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FD5799EB-2400-471A-BB45-F1D255D5B4A5}"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E296" i="2" l="1"/>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9" i="2"/>
  <c r="E268" i="2"/>
  <c r="E267" i="2"/>
  <c r="E266" i="2"/>
  <c r="E265" i="2"/>
  <c r="E264" i="2"/>
  <c r="E263" i="2"/>
  <c r="E262" i="2"/>
  <c r="E261" i="2"/>
  <c r="E260" i="2"/>
  <c r="E259" i="2"/>
  <c r="E258" i="2"/>
  <c r="E257" i="2"/>
  <c r="E256" i="2"/>
  <c r="E255" i="2"/>
  <c r="E254" i="2"/>
  <c r="E253" i="2"/>
  <c r="E252" i="2"/>
  <c r="E251" i="2"/>
  <c r="E250" i="2"/>
  <c r="E249" i="2"/>
  <c r="E248" i="2"/>
  <c r="E247" i="2"/>
  <c r="E246"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<sst xmlns="http://schemas.openxmlformats.org/spreadsheetml/2006/main" count="77180" uniqueCount="19822">
  <si>
    <t>Índice onomástico anual · Gazeta de Madrid y Gazeta Ministerial de Sevilla</t>
  </si>
  <si>
    <t>Madrid, números 1–171 · Sevilla, números 1–62 · 1 de enero–31 de diciembre de 1808</t>
  </si>
  <si>
    <t>Registros: 8.134</t>
  </si>
  <si>
    <t>Ordenación aproximada por apellidos; cada fila enlaza con la página del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</si>
  <si>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</si>
  <si>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</si>
  <si>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</si>
  <si>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</si>
  <si>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</si>
  <si>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</si>
  <si>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</si>
  <si>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</si>
  <si>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</si>
  <si>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</si>
  <si>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</si>
  <si>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</si>
  <si>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Áadres García Fernández</t>
  </si>
  <si>
    <t>Mencionado en una noticia, disposición o aviso de España.</t>
  </si>
  <si>
    <t>Noticias de España</t>
  </si>
  <si>
    <t>30 de septiembre de 1808</t>
  </si>
  <si>
    <t>Sevilla 36</t>
  </si>
  <si>
    <t>Transcripción del OCR histórico; compruebe la grafía en el facsímil.</t>
  </si>
  <si>
    <t>mentado sus votos, y ha agregado como vocales supernumerarios á los Sres. Obispos de Orense y Tuy , D. Áadres García Fernandez, arcediano de Vivero en la Sta. iglesia de Mondoñedo, y al Sr. Bemiudez, caballero de la ciudad de Santiago. Las noticias del exército de dicho R yno son, que su general en xefe B</t>
  </si>
  <si>
    <t>Cotejar OCR</t>
  </si>
  <si>
    <t>Abaarre, Antonio</t>
  </si>
  <si>
    <t>Antonio Abaarre</t>
  </si>
  <si>
    <t>Figura en una relación de donativos, ofertas o suscripciones.</t>
  </si>
  <si>
    <t>Donativos y suscripciones</t>
  </si>
  <si>
    <t>4 de noviembre de 1808</t>
  </si>
  <si>
    <t>Madrid 141</t>
  </si>
  <si>
    <t>Continúan los donativos de monturas para el exército de Castilla la viejm entregados al comisionado D. Antonio Abaarre. Nombres. Sillas. Bridas. El Excmo. Sr. príncipe de Sto. Mauro » marques de Villadarias................................................................... 3 3 El coronel D. Ramón</t>
  </si>
  <si>
    <t>Abad de Aparicio, Manuel</t>
  </si>
  <si>
    <t>Manuel Abad de Aparicio</t>
  </si>
  <si>
    <t>Mencionado en un suplemento o anexo de la Gazeta.</t>
  </si>
  <si>
    <t>Suplementos y anexos</t>
  </si>
  <si>
    <t>22 de abril de 1808</t>
  </si>
  <si>
    <t>Madrid 38 (supl.)</t>
  </si>
  <si>
    <t>Anexo, p. 33</t>
  </si>
  <si>
    <t>.. Zaragoza..... 30» 234 Doña Paula Gonzalo del Rio......................... Burgos........ 300 958 D. Manuel Abad de Aparicio..................... . Madrid...... 3°° 2020 D. Pedro Darracq........................................... . Cádiz.......... 300 163 D. Francisco Xavier Sánchez.....................</t>
  </si>
  <si>
    <t>Abad y Monsco, Manuel</t>
  </si>
  <si>
    <t>Manuel Abad y Monsco</t>
  </si>
  <si>
    <t>Mencionado en un anuncio particular, económico o judicial.</t>
  </si>
  <si>
    <t>Avisos y anuncios</t>
  </si>
  <si>
    <t>Anexo, p. 30</t>
  </si>
  <si>
    <t>..... 300 152 D, Josef Echevarría........................................... Valencia..... 300 1989 D. Manuel Abad y Monsco...,................ ........ Zaragoza.,... IOOO 57 D. Armengol Dalmau y de Cubells...... ....... Barcelona,i,. 500 1217 D. Cirilo Nenin y D. Francisco Chavarri.... Bilbao........</t>
  </si>
  <si>
    <t>Abadía, Francisco Antonio</t>
  </si>
  <si>
    <t>Francisco Antonio Abadía</t>
  </si>
  <si>
    <t>Anexo, p. 13</t>
  </si>
  <si>
    <t>.... 300 2828 D. Miguel Zabaleta.................... ........................ Zaragoza..... 500 660 D. Francisco Antonio Abadía........................... Madrid....... icoo 1839 Sra, Doña Manuela Cevallos............................. Zaragoza..... 300 1084 Doña Angela de Galarza y compañía............. Ma</t>
  </si>
  <si>
    <t>Abadía, Francisco Xavier</t>
  </si>
  <si>
    <t>Francisco Xavier Abadía</t>
  </si>
  <si>
    <t>9 de agosto de 1808</t>
  </si>
  <si>
    <t>Madrid 111</t>
  </si>
  <si>
    <t>e¡se detalla en este parte. i... También debo recomendar á- V. E, al mayor general de esta división D. Francisco Xavier Abadía, al ayudante general de artillería de la mismá el coronel D.i Josef Jpnear; gobernador de Motril, y al coronel de artillería.D. Antonio de.láiCruz, comandante dé la de ambas divis</t>
  </si>
  <si>
    <t>26 de agosto de 1808</t>
  </si>
  <si>
    <t>Madrid 117</t>
  </si>
  <si>
    <t>os, y contribuyó singularmente á que el enemigo' fuesé baiido ’cn aquel punto!-1 ! lJLos; coroneles D. Francisco Xavier Abadía, mayor general de la‘ dividí sion, D. Jósef Juncar, ayudante general dé la artillería, y D. Antonio de' la Cruz, comandante de estas armas, se han hecho dignos del mayor elogio; -</t>
  </si>
  <si>
    <t>Abadía, Ignacio</t>
  </si>
  <si>
    <t>Ignacio Abadía</t>
  </si>
  <si>
    <t>Madrid 130</t>
  </si>
  <si>
    <t>ra 41 varas de lienzo. Doña Ana Martin Caballero, muger de D. Alfonso Garrido , 100 camisas. EL Sr. D. Ignacio Abadía, del consejo de Ordenes, y contador general de las quatro militares , 50 varas de paño azul y pardo y 50 camisas. Dia 21. D. Manuel de Salazar y Vallejo 4 camisas. D. Roque Rosado</t>
  </si>
  <si>
    <t>11 de octubre de 1808</t>
  </si>
  <si>
    <t>Madrid 133</t>
  </si>
  <si>
    <t>ales. ; muger 128. D.Pedrode Prado 200^ v D. Josef de Tejada Ruiz 300. El marques deSales roo* . .r D. Ignacio Abadía, del consejo de D..¡Francisco Alsina 60, S. M., 6317 rs. 17 mrs. en efectos Doña Eulalia Mónforte 200. : • ¿ ( . de estado. DoñajMarian¿)Obrégon 306.-. .; D. Luis López i®. D. Jos</t>
  </si>
  <si>
    <t>esa de Viilaverde 100 finas.» El hermano Antonio Peribañez 2.. Los dependientes de la contaduría de D. Ignacio Abadía, del consejo de los Sres. infantes D. Carlos y Don S. M.» 60. Francisco de Paula 361. D. M. L. S. una. Doña María Damor 2. D. Josef Ortiz 1 f varas de lienzo. D. Francisco de Moya</t>
  </si>
  <si>
    <t>18 de octubre de 1808</t>
  </si>
  <si>
    <t>Madrid 135</t>
  </si>
  <si>
    <t>a, y. los señores marques de Ovieco , marques de Fuerte Híjar, D. Antonio de Aranda, D. Luis Gacel, D. Ignacio Abadía, y el secretario D. Tomas Lobo ; no habiéndolo podido hacer los señores D. Josef García de León y Pizarro y D. Luis de, Onis y González por hallarse en ese real sitio. Todo lo qua</t>
  </si>
  <si>
    <t>21 de octubre de 1808</t>
  </si>
  <si>
    <t>Madrid 136</t>
  </si>
  <si>
    <t>... .............. Ei duque de Bervick.,........... ........ Ea duquesa de Benavente............... D. Ignacio Abadía, contador de las Ordenes...................... ................ k El marques de Bélgida....... *.......... i D. Josef Genaro Salazar..... *........... D. Domingo Antonio de la Bra</t>
  </si>
  <si>
    <t>Madrid 141 (supl.)</t>
  </si>
  <si>
    <t>ta, y el contador general de maestrazgos D. Ignacio Abadía, que por hallarse ausentes no lo pudieron executar con el Consejo. La Junta de Plaséncia manifiesta con fecha del día' 22 el júbilo y contento que ha recibido por la instalación d</t>
  </si>
  <si>
    <t>11 de noviembre de 1808</t>
  </si>
  <si>
    <t>Madrid 143 (supl. 2)</t>
  </si>
  <si>
    <t>Anexo, p. 4</t>
  </si>
  <si>
    <t>............... 122. D. Vicente *de- Alzaibary 4 id. por agosto............................... 124. D. Ignacio Abadía y del consejo de S. M. en el real de las Ordenes, én iriteréses de vales del año de 1800, por una vez... 5144 8* Doña María Josefa Aguírre y Yeldi, id...................................</t>
  </si>
  <si>
    <t>Abadía, Vicente</t>
  </si>
  <si>
    <t>Vicente Abadía</t>
  </si>
  <si>
    <t>diz........... 6co 1885 D. Angel Ramírez de Arellano......................... Zaragoza..... 600 185 D. Vicente Abadía....... ................... ................ Alicante...... 300 1430 Josef Barrau..................... ■•••••.........*..... ..... ........ Málaga......... 500 1791 D. Josef de Iza</t>
  </si>
  <si>
    <t>Anexo, p. 18</t>
  </si>
  <si>
    <t>96 D. Martin Diego Saenz Diez* tesorero de ios ■ ’• y.L .&lt; ¡ ' : gremios. Mad rid........ 1 ©do 186 D. Vicente Abadía.....................................;...... Alicante...;.. fóo 593 D. Felipe Martínez Viergol........................i.’... Madrid........ 300 530 Edificio de Astunduaga, propio d</t>
  </si>
  <si>
    <t>Abádíal, Ignacio</t>
  </si>
  <si>
    <t>Ignacio Abádíal</t>
  </si>
  <si>
    <t>13 de septiembre de 1808</t>
  </si>
  <si>
    <t>Madrid 123</t>
  </si>
  <si>
    <t>res. Silla*. Bridas. Sr. conde dí^-3 Sr. conde dé Torrémuzquiz...... ..................... i. 2 Sr. D. Ignacio Abádíal.»...................... . 2 2 Sr. D. Ped/ó FlOrez Quevédo.................... 1 1 Sr. X). Carió* Sexn............................. .... 3 Sr. D. Mauricio ‘Manuel de Parada.......</t>
  </si>
  <si>
    <t>Abancini, Carlos</t>
  </si>
  <si>
    <t>Carlos Abancini</t>
  </si>
  <si>
    <t>25 de octubre de 1808</t>
  </si>
  <si>
    <t>Madrid 137</t>
  </si>
  <si>
    <t>ricio, del comercio, 15 id. D. Santiago Folguera 6 id. D. Carlos Abancini, del comercio, 3 id. D. Pedro de Orve y Larreategui 6 camisas finas nuevas y 6 pares de calcetas id. D. Antonio Villasante 6 camisas nuevas. D. Fermiñ María de Uria Nafarrondo 12</t>
  </si>
  <si>
    <t>Abarca, Diego</t>
  </si>
  <si>
    <t>Diego Abarca</t>
  </si>
  <si>
    <t>Mencionado en un nombramiento, ascenso, concesión o disposición oficial.</t>
  </si>
  <si>
    <t>Nombramientos y disposiciones</t>
  </si>
  <si>
    <t>15 de marzo de 1808</t>
  </si>
  <si>
    <t>Madrid 22</t>
  </si>
  <si>
    <t>e de granaderos al de fusileros D. Manuel Mayo Caamaño; á subtenientes de compañía á Jos de bandera D. Diego Abarca y D. Isidoro Puente y Robledo; y á subteniente de bandera á D. Josef Luis Cumplido, vecino de la demarcación del regimiento. La villa de Milmarcos, en la provincia de Guadalaxara, ha</t>
  </si>
  <si>
    <t>Abbas-Mirza, Príncipe</t>
  </si>
  <si>
    <t>Príncipe Abbas-Mirza</t>
  </si>
  <si>
    <t>Mencionado en una noticia extranjera.</t>
  </si>
  <si>
    <t>Noticias extranjeras</t>
  </si>
  <si>
    <t>l Emperador de ios franceses, Quando llegó á la ciudad, todo estaba ya preparado para recibirle. El Príncipe Abbas-Mirza, hijo mayor del Monarca persa y comandante de aquella frontera, ha hecho •muchos obsequios al embaxador, el qual se ha encontrado en la misma ciudad con el que va de Persia á Fran</t>
  </si>
  <si>
    <t>ABbuso</t>
  </si>
  <si>
    <t>Madrid 135 (supl. 2)</t>
  </si>
  <si>
    <t>Anexo, p. 3</t>
  </si>
  <si>
    <t>......•••••••• 219°* D. Juan Benito í^e^a'gá^ id. j por un año á 4'rs: fd............./..^. ^ 1460. D. ABbuso de íbarraVoiicial dé la secretaría de Hacienda ,‘ííbó * ; rsi. por una vez, y 6 rs. diarios............................. .............. ,1100. D. ‘Manuel de la. Vina-y ürruela , del</t>
  </si>
  <si>
    <t>Abella, Antonio</t>
  </si>
  <si>
    <t>Antonio Abella</t>
  </si>
  <si>
    <t>28 de octubre de 1808</t>
  </si>
  <si>
    <t>Madrid 138</t>
  </si>
  <si>
    <t>Antonio fíenriquezRoldan 80 rs. D. Ignacio AlexandrO Casado “tío... en metáljcp y,90 rs. 8f mrs. en D. Antonio Abella 361 rs. en efectos .^qtqsjde estado. ^ ■&lt; y- de estado.' " "¿V,.. D. Manuel Gutiérrez de Rozps 30Q. Doña Francisca Pueyo .íGO iS1.;en i¿. ] '' u- A ';• D. Luis Robledo 1,60» ; , s</t>
  </si>
  <si>
    <t>Abena, Mateo</t>
  </si>
  <si>
    <t>Mateo Abena</t>
  </si>
  <si>
    <t>16 de septiembre de 1808</t>
  </si>
  <si>
    <t>Madrid 125 (supl.)</t>
  </si>
  <si>
    <t>Anexo, p. 1</t>
  </si>
  <si>
    <t>,, .................... foo. D. Benigno Pedro Bueno, por una vez.»,.............»»►».»„».„„... 300. D. Mateo Abena, por una vez.»....................... .......................... . D. Juan Josef Saldias, á cuenta de 8 rs. diarios por agosto..... 1*28. D. Juan Nepómuceno d¿ Aranda, por una vez</t>
  </si>
  <si>
    <t>Abererombie</t>
  </si>
  <si>
    <t>29 de marzo de 1808</t>
  </si>
  <si>
    <t>Madrid 27</t>
  </si>
  <si>
    <t>ng, antes de consentir en la propuesta, pregunta qué otros documentos piensa pedir el noble lord; y Mr. Abererombie dice que pide adefinas copia de los oficios) pasados por los tres oficiales referidos al Príncipe regente» de lás respuestas del Príncipe y y una razón circunstanciada de Ja confe</t>
  </si>
  <si>
    <t>Abin y Sotoj, Ambrosio</t>
  </si>
  <si>
    <t>Ambrosio Abin y Sotoj</t>
  </si>
  <si>
    <t>7 de octubre de 1808</t>
  </si>
  <si>
    <t>Madrid 132 (supl.)</t>
  </si>
  <si>
    <t>. ....... 2000. D. Francisco de Zalvide, por una vez....................... ............... . 1000. D. Ambrosio Abin y Sotoj por agosto á 6o rs. mensuales..... . 60. D. Juan Antonio de Echevarría, escribiente,* por agosto á 40 rs. cada mes..................................................... ...........</t>
  </si>
  <si>
    <t>Abrarez, Félix</t>
  </si>
  <si>
    <t>Félix Abrarez</t>
  </si>
  <si>
    <t>15 de diciembre de 1808</t>
  </si>
  <si>
    <t>Madrid 155</t>
  </si>
  <si>
    <t>añas , diputado de dicha. Don Ildefonso Ortuño , eclesiástico. D. Estéban Felipe Mórnn, secretario. Don Félix Abrarez dei Villar, diputado dé S. Francisco. D. Lúeas Escolar, secretario. D. Pedro Roque Cobo, diputado $le S- Justo. D. Domingo del Valle, secretario de dich;í. D Juan Bautista Nieto, dip</t>
  </si>
  <si>
    <t>Abric, Pedro</t>
  </si>
  <si>
    <t>Pedro Abric</t>
  </si>
  <si>
    <t>Anexo, p. 26</t>
  </si>
  <si>
    <t>..... 5 00 1554 D. Santiago de Golidura.......................... ........ Bilbao......... 300 2113 D. Pedro Abric.................................................. Zaragoza..... 500 1043 D. Agustín Sánchez Izquierdo......................... Madrid........ 300 161 Sra. Condesa de Toreno.......</t>
  </si>
  <si>
    <t>Ábriel, Domingo</t>
  </si>
  <si>
    <t>Domingo Ábriel</t>
  </si>
  <si>
    <t>23 de septiembre de 1808</t>
  </si>
  <si>
    <t>Madrid 127</t>
  </si>
  <si>
    <t>antalón de estopa. Dia 1$. D. Joaquín Saez López 70 varas de crea. Doña Luisa Cortijo 12 de lienzo. D. Domingo Ábriel un caxorí con iiJ Sombreros paral sargento, armados con galón de seda, presilla ^y escarapela , y 60 para sóldados, armados con hiladiilo. Doña Manuela de Rueda y Haedo 594 docena</t>
  </si>
  <si>
    <t>Abrien y Oconor Valencia, Manuel</t>
  </si>
  <si>
    <t>Manuel Abrien y Oconor Valencia</t>
  </si>
  <si>
    <t>Anexo, p. 40</t>
  </si>
  <si>
    <t>• Mardíid..-..*.-.. 300 2093 D. Santiago de"l-»atorre...............*.«.««.«Gadiz......#..* 300 169 D. Manuel Abrien y Oconor Valencia.*..! 3 Ó3 2346 Excmo. Sr. Marques de Villafrañca.............. Zaragoza.*..; 600 15 26 Sres. Ruteüsi, Cerón, Bringas, Zorrilla y v Miera.................. .......................</t>
  </si>
  <si>
    <t>Abril, Ángel</t>
  </si>
  <si>
    <t>Ángel Abril</t>
  </si>
  <si>
    <t>Anexo, p. 38</t>
  </si>
  <si>
    <t>Cádi'Z'*M*^if' 500 176) D. Viceñte Arroyuelo................ . »• O^dlZ* • •• mu* •&gt;»:«««•• 300 623 D. Angel Abril »• Madrid» ; 500 ,. Bilbao...,;... 300 &gt;&gt;39 D. Juan Bautista de Aguirre.... 3°o 1728 D. Joaquín Rodríguez................. .. Cádiz......... 664 D. Tadeo Rico y Arnedo.......... .</t>
  </si>
  <si>
    <t>lienzo. D' Santiago Malo 2 sábanas. Peña Ana-Roxo • i a camisas* D. Manuel Gil Samibañez ico varas D. Angel Abril, tesorero honorario de lienzo» de exércitó, 6. D. Pedro de Prado 3 camisas. D. Juan Francisco Rodrigo 6. D. Francisco de las Barreras 50 pares D. Femando Vázquez Ttllez 12. de cal</t>
  </si>
  <si>
    <t>Abrisquieta, Andrés</t>
  </si>
  <si>
    <t>Andrés Abrisquieta</t>
  </si>
  <si>
    <t>9 de septiembre de 1808</t>
  </si>
  <si>
    <t>Madrid 121 (supl.)</t>
  </si>
  <si>
    <t>tador por S. M., por un tercio hasta fin de noviembre de 4400 rs. anuales durante la guerra , 1466. D. Andrés Abrisquieta ^ corredor de cambios, 600 rs. porcuna vez, y 6* por agosto á 2 rs. diarios, 662. D. Francisco Basoa y Abrisquieta, por id. á id., 62 rs. D. Manuel Vallejo, por agosto y setiembre</t>
  </si>
  <si>
    <t>Acabo</t>
  </si>
  <si>
    <t>18 de junio de 1808</t>
  </si>
  <si>
    <t>Sevilla 6</t>
  </si>
  <si>
    <t>posición , fuerzas é itinerario : en Sevilla recibiréis nuevas instrucciones. Tengo el honor &amp;c.—P. D. Acabo de saber que hay conmociones en Sevilla: marchad con precaución y disipad á cañonazos á esos sediciosos. Si halláis obstáculos que os impidan llegar á Sevilla , tomad posición , ó ac</t>
  </si>
  <si>
    <t>Acacio, Manuel Antonio</t>
  </si>
  <si>
    <t>Manuel Antonio Acacio</t>
  </si>
  <si>
    <t>Anexo, p. 31</t>
  </si>
  <si>
    <t>..... 3°o 1559 D. Apolinar de Iguazan..................................... Bilbao.......... 600 833 D. Manuel Antonio Acacio...................... . Madrid 1500 1929 D. Tomas Arroyo............................................... Zaragoza. 300 1876 D. Mariano Altaoja......................................</t>
  </si>
  <si>
    <t>Ace, Vicente</t>
  </si>
  <si>
    <t>Vicente Ace</t>
  </si>
  <si>
    <t>18 de noviembre de 1808</t>
  </si>
  <si>
    <t>Madrid 145 (supl.)</t>
  </si>
  <si>
    <t>y bizarro m rbcuí de campo D. Gregorio Quiros, y entre los heridos al capitán gmeral ei Excmo. Sr. D. Vicente Ace vedo, al gefe de encuadra D. Cayetano Valdé.-,, v á los brigadieres conde de S. Román y D. Francisco Riquelme. Madrid de noviembre. La suprema Junta central gubernativa del reino</t>
  </si>
  <si>
    <t>Acebo, Juan Antonio</t>
  </si>
  <si>
    <t>Juan Antonio Acebo</t>
  </si>
  <si>
    <t>............ .............. 4589... 22. D. Miguel de Nixerá Bazares, agente de Indias......... 300* D. Juan Antonio Acebo, id............. ...................... . 40. El Sr. conde de Pozos dulces............... ..... ............... . 1500. El Sr. D. Pedro de Nalda, contador general de pósitos.....</t>
  </si>
  <si>
    <t>Aceto, Juan</t>
  </si>
  <si>
    <t>Juan Aceto</t>
  </si>
  <si>
    <t>tro D. Severo Andrés García 2.’ una. La viuda de D. Josef de la Dehesa €. D Juan Mazarron 2 usadas. D. Juan Aceto 2. Doña Francisca Arias Perez 12, D. Francisco y Doña María Corche- D. Manuel de Salazar 2. ro 4. - D. V. M. 8 varas de lienzo. D. Antonio Sánchez Trapero 2. D. Jorge López 6camis</t>
  </si>
  <si>
    <t>Acevedo, Pedro</t>
  </si>
  <si>
    <t>Pedro Acevedo</t>
  </si>
  <si>
    <t>Don Ramón Royo Pueyo, alcalde. D. Luis Naranjo, diputado de la Latina. Don Cristóbal Olmedo, de id. D. Pedro Acevedo id. D. Rafael Guerra, eclesiástico de dicha. D. Juan Hermoso Dara,-alcalde. D. Bernardino Quirós, cura de Santiago. D. Miguel Wanderbick, diputado de la Bueña-dicha. D. Josef Alda</t>
  </si>
  <si>
    <t>Acevedo, Vicente</t>
  </si>
  <si>
    <t>Vicente Acevedo</t>
  </si>
  <si>
    <t>15 de noviembre de 1808</t>
  </si>
  <si>
    <t>Madrid 144 (supl.)</t>
  </si>
  <si>
    <t>Galicia , y una: parte de las tropas dé Asturias, que formaban un cuerpo mandado por él Excmó. Sr. D. Vicente Acevedo; á este cuerpo le atacaron los enemigos el dia 3;, y con fuerzas superiores, entre Llanteno y Menagarai; y aunque fueron vigorosa mente; rechazados, tomaron posición entre el cuer</t>
  </si>
  <si>
    <t>Acevedo, Vicente María</t>
  </si>
  <si>
    <t>Vicente María Acevedo</t>
  </si>
  <si>
    <t>30 de agosto de 1808</t>
  </si>
  <si>
    <t>Madrid 118</t>
  </si>
  <si>
    <t>£ de agosto. El coronel D. Juan María de Vega, con fecha de 6 del presente, participa al Excmo. Sr. D. Vicente María Acevedo, general en gefe, que con orden del teniente general D. Nicolás de Llano Ponte, comandante en el puerto de S. Isidro, salió con una partida de tropa para la ciudad de León, i fin</t>
  </si>
  <si>
    <t>Acevo, Juan Antonio</t>
  </si>
  <si>
    <t>Juan Antonio Acevo</t>
  </si>
  <si>
    <t>de la de Santa María D. Rafael de Goarrichena, secretario de la diputación de la calle de Segovia. D. Juan Antonio Acevo, diputado de los Angeles. D. Nicolás Iniesta, diputado- de las Niñas de la Paz. D. Josef Alcalde, alcalde de dicha. D. Francisco Cabañas , diputado de dicha. Don Ildefonso Ortuño</t>
  </si>
  <si>
    <t>Achard</t>
  </si>
  <si>
    <t>9 de julio de 1808</t>
  </si>
  <si>
    <t>Madrid 81</t>
  </si>
  <si>
    <t>primero de marzo de 1809: este término es de rigor. Las memorias deben dirigirse francas de porte á Mr. Achard &gt; secretario perpetuo de la academia de Marsella. Turin t5 de junio. El príncipe gobernador general fue ayer á visitar los hospitales y hespí cios de esta ciudad, acompañado del g</t>
  </si>
  <si>
    <t>Acosta, Francisco</t>
  </si>
  <si>
    <t>Francisco Acosta</t>
  </si>
  <si>
    <t>1 de noviembre de 1808</t>
  </si>
  <si>
    <t>Madrid 140 (supl. 2)</t>
  </si>
  <si>
    <t>Anexo, p. 2</t>
  </si>
  <si>
    <t>... 520. D. Bartolomé López, id................................................ ............... 60. D. Francisco Acosta, vidriero de S. M., id................................ IOCO. Doña María Manuela Navarrete y D. Felipe de Baños, id........ 16000. D. luán Laguna Rodríguez, un vale real, id.......</t>
  </si>
  <si>
    <t>Acuenzaít, Ramón</t>
  </si>
  <si>
    <t>Ramón Acuenzaít</t>
  </si>
  <si>
    <t>9 de febrero de 1808</t>
  </si>
  <si>
    <t>Madrid 12</t>
  </si>
  <si>
    <t>anas D. Juan Bautista Azpard, D. Antonio Busto? y D.; Manuel Rentería , D* Hilario Santos Ramhfeá &gt; D. Ramón Acuenzaít jÓ^GÍndi4o Manuel §an Martin, D. Francisco R Josef María Perez^, D. Jo?ef M^tep Echevarría , D. Jaime Salas * E&gt;» .Salvador Ros v Antonio DyMnbncUco Bordqii i-.Xf-. Miguel Eelií*&gt;</t>
  </si>
  <si>
    <t>Adair</t>
  </si>
  <si>
    <t>23 de febrero de 1808</t>
  </si>
  <si>
    <t>Madrid 16</t>
  </si>
  <si>
    <t>noticia anunciada en algunas gazetas de haber salido de aqut para Trieste el ministro de Inglaterra Mr. Adair. G R A N BRETAÑA. Londres 2 8 de enero. Se han recibido noticias de los Estados-Unidos con fecha de 27 de diciembre. Los americanos han prohibido que ningún buque de su nación sal</t>
  </si>
  <si>
    <t>11 de marzo de 1808</t>
  </si>
  <si>
    <t>Madrid 21</t>
  </si>
  <si>
    <t>hacer lá paz. Lagazeta de la corte nada ha dicho sobre este particular: lo que sí se observa es que Mr. Adair, emb&lt;pcador Inglaterra, Lace prevenciones de víase. . El archidjuqUje'palatino lia^pnbjica$q el pjan.del museo nacional deHungría, que va a establecerse en Pest. Se compondráde un</t>
  </si>
  <si>
    <t>Ádáir</t>
  </si>
  <si>
    <t>Princesa María Isabel Amalia, sobrina del Reí de Baviera» ;. 1 ^ Las cartas'dé Austria aseguran qué Mr. Ádáir, ministro de Iñglatérra cerca de aquella corte , ha recibido uqa nota confidencial, en que se le intima que salga dé Vieha. ' ' '• ' 1 : f ‘ . *■' Hólhá ido ár ¿azar • t, S1. M. a</t>
  </si>
  <si>
    <t>25 de marzo de 1808</t>
  </si>
  <si>
    <t>Madrid 25</t>
  </si>
  <si>
    <t>chipiélago una horrible tempestad, que ha dispersado todos sus buques. Esperamos de un dia á otro á Mr. Adair, embaxador de Inglaterra en Viena, como asimismo un buque que debe venir de Malta para trasladarle á Inglaterra* Las tropas rusas que estaban en las inmediaciones de Padua y Trevi</t>
  </si>
  <si>
    <t>1 de abril de 1808</t>
  </si>
  <si>
    <t>Madrid 29</t>
  </si>
  <si>
    <t>es fue á reconocer el Emperador de los franceses en su Ultimo viage á Italia. Escriben de Viena que Mr. Adair, ministro de Inglaterra, salid el 1,° del corriente de aquella capital con toda su legación, tomando el camino de Trieste, donde le esperaba un buque ingles para conducirle á Malt</t>
  </si>
  <si>
    <t>secretario de la legación inglesa de Viena ha llegado ya aqui , y esperamos de un momento á otro á Mr. Adair. . REINO DE ITALIA. Milán 8 de marzo. Escriben de Trieste, con fecha de i.° de marzo, que pocos dias antes so había presentado delante de la rada una división de buques de guerra,</t>
  </si>
  <si>
    <t>8 de abril de 1808</t>
  </si>
  <si>
    <t>Madrid 32</t>
  </si>
  <si>
    <t>ados mas ricos de lá Valtelina. REINO DE ITALIA. Milán 11 de marzo. Avisan de Trieste la llegada de Mr. Adair, embaxador que ha sido de Inglaterra en la corte de Viena. Luego que llegó, se le facilitaron medios; de dar aviso, al comodoro Campbell , comandante de dos fragatas inglesas; que</t>
  </si>
  <si>
    <t>20 de junio de 1808</t>
  </si>
  <si>
    <t>Madrid 62</t>
  </si>
  <si>
    <t>íe• tras de cambio giradas por nuestros embaxadores ? y enviadas á algunos parages del'continente. Mr. Adair , nuestro ultimo ministro enViena,ha girado por el valor de 8)719 libras esterlinas; Mr. Stratton, que lo fue en Es-tockolmo, por el de 27320 libras de la propia moneda; y Mr. Tho</t>
  </si>
  <si>
    <t>18 de julio de 1808</t>
  </si>
  <si>
    <t>Madrid 90</t>
  </si>
  <si>
    <t>laterra, á bordo del navio Soberbió, que vuelve def Mediterráneo, nuestro último embaxador de Viena Mr. Adair, el qual ha sido inmediatamente presentado al Reí. Lord Strongíbr, nombrado embaxador de Inglaterra cerca de la corte del Brasil, debía partir á bordo de la escuadra destinada par</t>
  </si>
  <si>
    <t>26 de diciembre de 1808</t>
  </si>
  <si>
    <t>Madrid 166</t>
  </si>
  <si>
    <t>erte con su cabeza. No se habla ya en Constantinopla de las nuevas tentativas que el enviado ingles Mr. Adair habia hecho para entrar en negociaciones con la Puerta. Parece que las respuestas categóricas dadlas en diferentes ocasiones por el gobierno turco á los parlamentarios que este mi</t>
  </si>
  <si>
    <t>30 de diciembre de 1808</t>
  </si>
  <si>
    <t>Madrid 170</t>
  </si>
  <si>
    <t>lgunos pormenores sobre el viage desgraciado del ministro ingles Adair hacia Constantinopla. Qüando Mr. Adair llegó á los Dardanelos, y manifestó al comandante de los castillos el objeto de su misión , que era, según dicia , restablecer la paz entre la Puerta y la Inglaterra; el comandant</t>
  </si>
  <si>
    <t>AdairV</t>
  </si>
  <si>
    <t>8 de enero de 1808</t>
  </si>
  <si>
    <t>Madrid 3</t>
  </si>
  <si>
    <t>r la dieta de aquelj;eino: créese que S. M. estará aquí de vuelta á fin de este mes. ¿ ' Dicesé qúé Mr. AdairV mínistfto dé Inglaterra cerca de nuestra corteyesk tá para salir de ella, á consecuencia óe las medidas que van á tomarse para cerrar óuestrps pÜértoS á 1Ó5 íhglésés. ^ W * ■ Á '</t>
  </si>
  <si>
    <t>Adams</t>
  </si>
  <si>
    <t>1 de enero de 1808</t>
  </si>
  <si>
    <t>Madrid 1</t>
  </si>
  <si>
    <t>. &gt; ; Acaba de recibirse de Irkutsk, en Siberia, una noticia mui interesante para los naturalistas. Mr. Adams, que Iba acompañando al embaxador ruso que salió para la China, y no fue admitido en ella, ha visto y'examinado el cadáver de un animal enorme, hallado por Ossip Schumacof, gefe d</t>
  </si>
  <si>
    <t>7 de junio de 1808</t>
  </si>
  <si>
    <t>Madrid 54</t>
  </si>
  <si>
    <t>tíficos , que se separaron para hacer viages particulares. La. mayor parte consiguieron su intento. Mr. Adams, zoologo, ha reconocido el mar Glacial en compañía de su hermano, para lo qual llevaban entrambos las competentes instrucciones de la academia de ciencias de Petersburgo. En el ve</t>
  </si>
  <si>
    <t>31 de diciembre de 1808</t>
  </si>
  <si>
    <t>Madrid 171</t>
  </si>
  <si>
    <t>y llaman federativo á su sistema político, cuya aplicación hemos visto ya durante la presidencia de Mr. Adams. Entonces se levantó un ejército con el solo objeto de perpetuar en nuestra nación la preponderancia británica, conforme á cierto plan concebido y ordenado por ej grande apóstol d</t>
  </si>
  <si>
    <t>Addington</t>
  </si>
  <si>
    <t>contra Inglaterra; y propuso se borrase por via de enmienda el pasage relativo á los dinamarqueses. Mr. Addington apoyó lo que proponia el duque de Norfolk, respecto á que la expedición de Copenhague necesita defenderse con razones mui poderosas. ,,S¡ yo hubiese de juzgar , añadió , por las n</t>
  </si>
  <si>
    <t>, donde habrían también producido una diversión eficaz á favor de nuestro aliado el Rei de Suecia.” Mr. Addington se detuvo después á probar que la guerra con los Estados-Unidos no era negocio de tan poco momento como se decía; y por lo que hace á la paz con Francia declaró que la deseaba, pe</t>
  </si>
  <si>
    <t>ectos del enemigo?” Otros varios vocales hablaron en pro y en contra de la corrección propuesta por Mr. Addington; pero al fin rué desechada, y quedó aprobada .en todas sus partes la respuesta al mensage del Rei. FRANCIA. París 8 de febrero. El día 2 del corriente el senado conservador, á pro</t>
  </si>
  <si>
    <t>Adelung</t>
  </si>
  <si>
    <t>3 de junio de 1808</t>
  </si>
  <si>
    <t>Madrid 53</t>
  </si>
  <si>
    <t>ra un singular placer sabiendo que no se ha perdido enteramente el fruto de sus tareas. El plan que Mr. Adelung se había propuesto en su Mitridates era dar una idea razonada de todas las lenguas antiguas y modernas divididas en clases y en familias. La muerte le sobrecogió al tiempo que est</t>
  </si>
  <si>
    <t>Adeluug</t>
  </si>
  <si>
    <t>Citado en un aviso sobre fallecimiento, parentesco, haberes o derechos de herederos.</t>
  </si>
  <si>
    <t>La mayor parte de los .periódicos;.de.Europa anunciaron el fallecimiento del célebreiíHólogo aleman Mr. Adeluug, que purió en 1806 en él .nio.iúento en que se ocupaba en dar la última manp á su Mttridatei* Creemos que;</t>
  </si>
  <si>
    <t>Adlerberg, Carlos</t>
  </si>
  <si>
    <t>Carlos Adlerberg</t>
  </si>
  <si>
    <t>29 de noviembre de 1808</t>
  </si>
  <si>
    <t>Sevilla 53</t>
  </si>
  <si>
    <t>uien en Jos pueblos de su tránsito. Se dice que está ya en camino para España el ministro de Suecia D. Cárlos Adlerberg, para residir cerca de la Junta central. El Rey Nro. Sr. D, Fernando VII, y en su real nombre la Junta central suprema, se ha servido nombrar subinspector comandante de artillería</t>
  </si>
  <si>
    <t>Adorno, Pedro</t>
  </si>
  <si>
    <t>Pedro Adorno</t>
  </si>
  <si>
    <t>19 de enero de 1808</t>
  </si>
  <si>
    <t>Madrid 6</t>
  </si>
  <si>
    <t>Jlises Albergotti, D. Francisco Mendieta , D. Ramón de Carvajal, D. Félix Jones, D. Miguel Salcedo, D. Pedro Adorno, Don Josef de Vargas y D. Cárlos Luxan , coroneles de los regimientos de infantería de Ñapóles , Rei, España, Irlanda, Zamora, Sabnya, Soria y-Jaén. S. M. se ha servido conferir e</t>
  </si>
  <si>
    <t>Adrián Ernaez</t>
  </si>
  <si>
    <t>Anexo, p. 12</t>
  </si>
  <si>
    <t>celona.... 3°o 366 Doña Angela de Mellet................................ . Cádiz.......... TOO I4JO D. Adrián Ernaez.......................................... . Málaga.....*... 300 1609 Sres. D. Nicolás de Sarachaga y compañía..... Bilbao....... . 300 933 D. Pedro María Cano.....................</t>
  </si>
  <si>
    <t>Adrián Hernaez</t>
  </si>
  <si>
    <t>isionados. Rs vn. 2052 D. Francisco Xavier Castaños.................... . Cádiz........... 500 1449 D. Adrián Hernaez............................................. Málaga....... . JOO 419 P- Francisco Galindo..... ................................... Santander.... IOOO 4*4 D. Victoriano Gallardo...</t>
  </si>
  <si>
    <t>Anexo, p. 34</t>
  </si>
  <si>
    <t>lbao.... 1000 2104 D. Josef María Gadeyne............ ...................... .Cádiz..... 30.00 1452 D. Adrián Hernaez...........................................; Málaga... 500 2290 D. Francisco Isidro de Aparicio.i..... Cádiz..... 3co 2271 D. Martin de Torres Moreno.....1..,.. Bilbao... ...r.. 5°</t>
  </si>
  <si>
    <t>Anexo, p. 44</t>
  </si>
  <si>
    <t>;.;..... 300 2193 D. Miguel García Fernandez................... ............ Coruña........ 500 322 D. Adrián Hernaez.............. ...........i—-............. ..... Málaga......... 00o 1387 D. Estéban de Alvarellos....................................... Burgos......... y 00 967 D. Miguel? Antoni</t>
  </si>
  <si>
    <t>Anexo, p. 47</t>
  </si>
  <si>
    <t>astian. $00 160 Sra. Condesa de Toreno...................................... Valencia..... $09 I4fi D. Adrián Hernaez.............................................. Málaga........ fOQ 272 D. Manuel y D. Mateo Martínez y D. Manuel de Villanueva..................................... . Burgos.........</t>
  </si>
  <si>
    <t>Adrián Hfernaez</t>
  </si>
  <si>
    <t>Anexo, p. 35</t>
  </si>
  <si>
    <t>■ 3°° I4j6 D. Tomas Brufau......... ...................................... Málaga......... 300 1454 D. Adrián Hfernaez...... ......... Málaga........ 300 310 Francisco Xávier Ubadingo............................ . Málaga........ 300 1076 D. Francisco Saez Ruiz................ .................. Al</t>
  </si>
  <si>
    <t>Adrián Jácome</t>
  </si>
  <si>
    <t>12 de agosto de 1808</t>
  </si>
  <si>
    <t>Sevilla 22</t>
  </si>
  <si>
    <t>dos otomanos : y el otro la llegada del navio de guerra Revenge , i cuyo bordo vienen el Excmo. Sr. D. Adrián Jácome » vocal de la Junta Suprema de Sevilla» y el general de marina D. Juan de. Apedace enviados de aquella á S. M. británica» Hoy se espejan aquí. Parece que en Italia hay también sín</t>
  </si>
  <si>
    <t>23 de agosto de 1808</t>
  </si>
  <si>
    <t>Madrid 116</t>
  </si>
  <si>
    <t>ados otomanos, y el op¡co la llegada del navio de guerra Revenge, á cuyo bordo vienen el Excmo. Sr. D. Adrián Jácome, vocal de la junta suprema de Sevilla, y el general de marina Don Juan de Apodaca, enviados por aquella á S. M. británica. Hoi se esperan aqui. Parece que en Italia hai también sí</t>
  </si>
  <si>
    <t>14 de septiembre de 1808</t>
  </si>
  <si>
    <t>Madrid 124 (extraord.)</t>
  </si>
  <si>
    <t>a Frente de Niborg en Fionia 13 de agosto de i8o8. = Excmos. Sres. = Rafael Lobo. == Exentos. Sres. D. Adrián Jácome y D. Juan Ruiz de Apodaca.”= Lo que ponemos con la mayor satisfacción en noticia de V. A. S., no pudiendo incluirle el estado que expresa el oficio, por no haberlo remitido, dimanado</t>
  </si>
  <si>
    <t>Adrián Márcos Mar</t>
  </si>
  <si>
    <t>des de su real ca&gt;* sa y corte. ; i Sala de corte. Certifico que publicada en la sala plena de este D. Adrián Márcos Mar- dia la orden del Consejo, en que acompaña la real tinezy gobernador. provisión expedida en 1.° de este mes, por la qual¿ D. Manuel Perez de Ro- habiéndose verificado la instalació</t>
  </si>
  <si>
    <t>Adrián Riser</t>
  </si>
  <si>
    <t>Anexo, p. 14</t>
  </si>
  <si>
    <t>ao........ . 50a 2S83 D. Francisco Tamariz y Ribera............... ....... Cádiz.......... IOOO 206 D. Adrián Riser..... ............ '......... ..................... Alicante...... 300 369 Doña Juana. Gutiérrez y Cevallos.................. Cádiz........4 300 488 D. Juan Antonio de Aguirre.....</t>
  </si>
  <si>
    <t>Adriano Fernández</t>
  </si>
  <si>
    <t>............................. 6o. D. Casimiro Flores Canseco, ídem, á 6o rs. cada mes........ . 6o* D. Adriano Fernandez, portero del gabinete de máquinas, por agosto á 40 rs. cada mes.......................................................... 40. D. Nicolás de Apezteguia y Lozano, agente general de</t>
  </si>
  <si>
    <t>Agg</t>
  </si>
  <si>
    <t>EMBRE DE 1808. G R A N B R E T A Ñ A. Londres ro de agosto. ' Se ha publicado un poema histórico de Mr. Agg, cuyo título es la Aurora de la libertad en el continente europeo , o la pelea de los patriotas españoles por la independencia dé su país. La comisión encargada del fondo patrióti</t>
  </si>
  <si>
    <t>Aggf</t>
  </si>
  <si>
    <t>Sevilla 30</t>
  </si>
  <si>
    <t>ral estaba ya en Coupio» . GRAN BRETAÑA. Londres 30 de Julio* Se ha publicado un poema histórico de Mr. Aggf ex*» yo título es la Aurora de ia libertad et» el continente européo, 'ó /fl pc/ea de los patriotas etpcíiJes por la independencia de «a pajs» La comis-ion encargada del fondo patri</t>
  </si>
  <si>
    <t>Agtístin Endara</t>
  </si>
  <si>
    <t>Madrid 136 (supl. 2)</t>
  </si>
  <si>
    <t>eses á 40 rs; mensiíáles..;d^i.......ó;....-.^ 80. D. Carlos MuUeí&gt;pÓr agosto. á 60 *». id:.:.ó 60. D. Agtístin Endara, por id. á 120 id..... ................ .................... . i*u. Doña María Laguna dé Várgas, id........;............ 120. D. Manuel Carrácero¿ empleado en Correos, por id. á 2</t>
  </si>
  <si>
    <t>Aguado, Ramón</t>
  </si>
  <si>
    <t>Ramón Aguado</t>
  </si>
  <si>
    <t>Anexo, p. 29</t>
  </si>
  <si>
    <t>IOCO 2310 D. Juan Chatrusa*................. ........................... Cádiz........... 3C0 2395 D. Ramón Aguado............................................ Zaragoza..... 3 00 934 Sra. Condesa de Jaruco.................................... Madrid....... 3 00 2004 D. Diego Saravia.............</t>
  </si>
  <si>
    <t>. IOOO 2164 D. Ensebio Zallidea....................... i.............* 1 • * Cótuña..:.... 500 2394 D. Ramón Aguado............................................. Zaragoza..... 500 1938 D. Juan Martin Ballesteros............................... Zaragoza..... 300 1678 D. Luis.Máría de Collantes....</t>
  </si>
  <si>
    <t>Agudo, Ignacio</t>
  </si>
  <si>
    <t>Ignacio Agudo</t>
  </si>
  <si>
    <t>Madrid 148 (supl.)</t>
  </si>
  <si>
    <t>........... 200. D. Manuel Perez, un recibo de Vitalicio, id................................. 1035. D. Ignacio Agudo, id................ ........ ................................................ . 100. Doña Micaela Ugbicain y Doña Joaquina de Cuevas, id.......... 160. D. Josef Díaz, id.........</t>
  </si>
  <si>
    <t>Agüero Marcos, Mateo</t>
  </si>
  <si>
    <t>Mateo Agüero Marcos</t>
  </si>
  <si>
    <t>Anexo, p. 15</t>
  </si>
  <si>
    <t>Zaragoza..... 30 o 736 D. Antonio de Goycoechea............................. Madrid....... 500 604 D. Mateo Agüero Marcos................................. Madrid....... 500 1562 D. Josef Lorenzo Ortiz..................................... , Bilbao......... 3°o 245 7 Brigadier D. Josef Antonio Arrúé de</t>
  </si>
  <si>
    <t>Anexo, p. 24</t>
  </si>
  <si>
    <t>n■%M*.*,* **•• •*•* * ‘ Zaragoza.,.:. :■íP9® 2262 Dona Francisca ds••*•••*•»•♦• ¡ S ilbao o 5po 603 D. Mateo Agüero Marcos........... . hladrid....... 300 1455 D. Manuel Carretero.................................. 3o® 1832 D. Francisco de. Toledo. 300 2166 D. Josef Antonio de Ap.eri.bayt t dP® 1853 D.</t>
  </si>
  <si>
    <t>Agüero y Neira, Domingo</t>
  </si>
  <si>
    <t>Domingo Agüero y Neira</t>
  </si>
  <si>
    <t>s de 1800 por una vez ,^y ademas 2 rs. diarios, por 2 meses................................ 663 17. D. Domingo Agüero y Neira, abogado del colegio, 4 rs. diarios, por 4 meses.................. ..................................................... 488. Pascual García Torrejon, 2 id. por 2 id.,............</t>
  </si>
  <si>
    <t>Agües, Juan Francisco</t>
  </si>
  <si>
    <t>Juan Francisco Agües</t>
  </si>
  <si>
    <t>¿3**? - ... v *• Donativos de camisas y otros efectos para el esdrcito de Aragón. D. Juan Francisco Agües 2 camisas. Dona María Pastor 38 varas de lienzo. D. Lorenzo Rubro Abarran 2. Doña Jacoba Atíenza de Durango una Doña FerÚiinaCálculi 2 y 2paresde camisa. ■■.■-‘■.••J:.. ‘ zapatós.</t>
  </si>
  <si>
    <t>Aguí, Vicente</t>
  </si>
  <si>
    <t>Vicente Aguí</t>
  </si>
  <si>
    <t>4 de octubre de 1808</t>
  </si>
  <si>
    <t>Madrid 131 (supl.)</t>
  </si>
  <si>
    <t>​= Sr? p. Josef Salazar. =Sr. D. Manuel Fernandez del Burgo. = Sr. D. Josef Antonio de Bor ja. =sSr.D. Vicente Aguí lar y Jurado.,=:Sr. D. Felipe González Vallejo.=Sr. D. Juan Ibañez de la Rentería.=Sr. í). Esteban Antonio de Orellana. =rSr. D. Miguel Munarriz.=:Sr. D. Guillelmo de Vargas. Sr. D.</t>
  </si>
  <si>
    <t>Aguiar, Juan</t>
  </si>
  <si>
    <t>Juan Aguiar</t>
  </si>
  <si>
    <t>22 de enero de 1808</t>
  </si>
  <si>
    <t>Madrid 7</t>
  </si>
  <si>
    <t>ciedad había acordado distinguir en aquel solemne acto con el título de socio de mérito literario á D. Juan Aguiar, director de la real fábrica dé salitres, socio de nómeró, y encargado con real aprobación de la cátedra de cieiidáS 'naturalesestablecida por la sociedad , dáridóle ;ál mismo tie</t>
  </si>
  <si>
    <t>Aguilar, Agustin</t>
  </si>
  <si>
    <t>Agustin Aguilar</t>
  </si>
  <si>
    <t>........ Zaragoza 3 co 1439 Josef Soto y Manteli................ ............. . Málaga... 3 00 925 D. Agustin Aguilar............................................. Madrid.. 5 00 1553 D. Antonio de Bengoechea................................ Bilbao.... 300 2405 D. Josef Barnuevo.....................</t>
  </si>
  <si>
    <t>Aguilar, Juan</t>
  </si>
  <si>
    <t>Juan Aguilar</t>
  </si>
  <si>
    <t>Sevilla 38</t>
  </si>
  <si>
    <t>marque* de Sbmeruelos, gobernador de la Havana, y capitán, general de la isla de Cuba, entendió por D. Juan Aguilar, intendente de exército y de real; hacienda de aquella isla, (que llegó á ella el 17. deju.lio pasado ) lo ocurrido en España, y sus heróyeos sentimientos, de vengar la patria ult</t>
  </si>
  <si>
    <t>Aguilar, María</t>
  </si>
  <si>
    <t>María Aguilar</t>
  </si>
  <si>
    <t>11 de junio de 1808</t>
  </si>
  <si>
    <t>Sevilla 4</t>
  </si>
  <si>
    <t>n de la Suprema Junta de Gobierno. =j uan Bautista Pardo , Secretario.zdYIanuel María Aguilar , Secretario. Con fecha de 4 del que corre, mandó publicar esta Suprema Junta la órden siguiente. Desde el momento que se estableció esta Suprema Junta, trató de conservar la Religión y la Pat</t>
  </si>
  <si>
    <t>Aguilera, Francisco</t>
  </si>
  <si>
    <t>Francisco Aguilera</t>
  </si>
  <si>
    <t>Madrid 145</t>
  </si>
  <si>
    <t>............ 2 El conde de Campomanes................... 1 Juan Andrés Solana.................... x D. Francisco Aguilera....................... 4 D. Josef Raboso, vecino de Alcalá de Henares.......................................... I D. Andrés Raboso, id........................ 1 D. Juan Miguel Gon</t>
  </si>
  <si>
    <t>Agüilon, Manuel</t>
  </si>
  <si>
    <t>Manuel Agüilon</t>
  </si>
  <si>
    <t>drid....... 5.00 1906 D. Ramón Ezequiel Razóla........... .................. Zaragoza..... 5000 663 D. Manuel Agüilon............................................. Madrid....... 1000 165 D. Josef Izquierdo Ortihuela........ .................. Valencia..... 300 %y\ 2 D. Hipólito' Fernandez de Retan</t>
  </si>
  <si>
    <t>Aguinaco, Francisco</t>
  </si>
  <si>
    <t>Francisco Aguinaco</t>
  </si>
  <si>
    <t>20 de septiembre de 1808</t>
  </si>
  <si>
    <t>Madrid 126 (supl.)</t>
  </si>
  <si>
    <t>00. D. Domingo Usauro, capellán mayor-del convento-de D. Juan de'Alarcon, por una vez....... . 500* D. Francisco Aguinaco........... ................. ........... ............. . 300. D. Joaquin Steiner, per una vez............... ....... ........ ....... . 160. D. Francisco Villar, sirviente, por un</t>
  </si>
  <si>
    <t>Aguiriano y Gómez, Francisco Mateo</t>
  </si>
  <si>
    <t>Francisco Mateo Aguiriano y Gómez</t>
  </si>
  <si>
    <t>16 de febrero de 1808</t>
  </si>
  <si>
    <t>Madrid 14</t>
  </si>
  <si>
    <t>tropas francesas de caballería, aquarteladas en esta ciudad y pueblos comarcanos , que el limo. Sr. D. Francisco Mateo Aguiriano y Gómez , obispo de esta diócesi, en cuyo palacio se llalla hospedado S. E., había determinado hacer en la insigne iglesia colegial la bendición de candelas, y asistir á la misa, como lo</t>
  </si>
  <si>
    <t>Aguirre, Juan Antonio</t>
  </si>
  <si>
    <t>Juan Antonio Aguirre</t>
  </si>
  <si>
    <t>..... Bilbao• %••• • • • ' 3&lt;*&gt; 2118 D. Alberto Santias y Cortaciñ........ Zaragoza..... ? 300 ‘461 D. Juan Antonio Aguirre y D. Josef Agus­ ' 'i, . /. * ; tín de Buitrón..................... ................4.... Bilbao.... .71. r *300 2347 Excmo. Sr. Marques de Villafranea............. Zaragoza.;.1.. 300</t>
  </si>
  <si>
    <t>Aguirre, Juan Fernando</t>
  </si>
  <si>
    <t>Juan Fernando Aguirre</t>
  </si>
  <si>
    <t>13 de diciembre de 1808</t>
  </si>
  <si>
    <t>Sevilla 57</t>
  </si>
  <si>
    <t>del corriente. El dia r. del corriente salieron de esta ciudad para la de Córdoba los Excmos. Sres. D. Juan Fernando Aguirre y el marques de las Torres , vocales de esta Suprema Junta, con el objeto de celebrar una junta entre los diputados de los quatros reynos de Andalucía y los de la provincia de Extrema</t>
  </si>
  <si>
    <t>Aguirre, Manuel</t>
  </si>
  <si>
    <t>Manuel Aguirre</t>
  </si>
  <si>
    <t>ado......... D. Antonio Poriier......... ....... ......... i carro y d. m. p. c. ................ s D. Manuel Aguirre é hijos............. II { arreo. •' D. Salvador Paiomeque.........¡..... .</t>
  </si>
  <si>
    <t>Águirre, Vicente Ambrosio</t>
  </si>
  <si>
    <t>Vicente Ambrosio Águirre</t>
  </si>
  <si>
    <t>os. 35. Luis Bautró, diputado de S. Plácido. D. Pedro Rubio, director de los cinco gremios mayores. D. Vicente Ambrosio Águirre, director, su compañero. Fr. Ildefonso Paz, prior del convento del Rosario. D. Tomas Cordero, diputado de la, puerta de Toledo. D. ^Manuel de Ribacoba id. Don Francisco Román Gali</t>
  </si>
  <si>
    <t>Agunder, Antonio</t>
  </si>
  <si>
    <t>Antonio Agunder</t>
  </si>
  <si>
    <t>furriera, por una vez. 300. * La marquesa de 'Palomares deDiieró én: vales reales.......... . 21119 D. Antonio Agunder.,.oficial del. patronátddé: Castilla »&lt;uo vale . de 150 pesos.................. ................................. ....................2316 &gt;• D. Pcdnrjosefde’^Echenique^ vista pri</t>
  </si>
  <si>
    <t>Agustín Juan</t>
  </si>
  <si>
    <t>Mencionado en un anuncio bibliográfico, artístico o editorial.</t>
  </si>
  <si>
    <t>Libros, estampas y avisos culturales</t>
  </si>
  <si>
    <t>27 de septiembre de 1808</t>
  </si>
  <si>
    <t>Madrid 128</t>
  </si>
  <si>
    <t>or las armaf ¡español^ representó la compañía cómica de «Cartagena el dia 26 de agosto de 1808, por D. Agustín Juan. Se vende á 2 rs. en lá librería de7lE$cribano.r ■ ' ..% • , ,. .. .• • .. „ v ,. (T }.^ r Madrid cautiva en el 2 de mayo, ójmtoria de los acprkecimieñtjos de aquel dia; canto en</t>
  </si>
  <si>
    <t>Agustina Lozano</t>
  </si>
  <si>
    <t>prima, por una vez 2200 rs. D. Josef Pablo Malnero, criado de los señores infantes, por id. 320 rs. Doña Agustina Lozano, por una vez 100 rs. D. Mateo Cerrillo, id. 60 rs. D. Vicente Romero, oficial de la secretaría de Hacienda de Indias , por agosto á 300 rs. mensuales durante la guerra, 300. p. Si</t>
  </si>
  <si>
    <t>Agustina Martín</t>
  </si>
  <si>
    <t>Madrid 132</t>
  </si>
  <si>
    <t>tar 2. Doña María del Rosario Alarcon 2. D. Diego Alarcon 4. Doña María Teresa Fernandez Delgado 3. Doña Agustina Martin 2. Doña Teresa López 2. Doña Angela Ugena una. D. Antonio Fabeyrae 6. Dia 28. Doña Angela Taulau 3 caminas. Una señora viuda 3. D. Francisco Garibai 12. Doña Antonia Bellas y Garc</t>
  </si>
  <si>
    <t>Agustina Picón</t>
  </si>
  <si>
    <t>Sevilla 50 (anexo)</t>
  </si>
  <si>
    <t>Docal , id................' 100. Manuel Docal, id....... .................. .................. ico. Doña Agustina Picón , id......I........................ ................................ 60. D. Pedro Piaig , médico, id.................. ........................ ........... . 938 1. D. Blas Rúes,</t>
  </si>
  <si>
    <t>Agustina Ramírez</t>
  </si>
  <si>
    <t>na López 4 libras de hilas, 13 docenas de paños y 260 vendas. Doña M. J. T. libra y media de hilas. Doña Agustina Ramírez 2 libras id. Don A. G. 3 libras id. Doña Telesfora Mateo 3 libras id. Doña María Manuela Fernandez de Avila 2 iibras id. Doña María del Carmen de Velasco 2 libras de hilas, 2 de p</t>
  </si>
  <si>
    <t>Agustini, Ambrosio</t>
  </si>
  <si>
    <t>Ambrosio Agustini</t>
  </si>
  <si>
    <t>Diego Solano, al primero grado de capitán dé infantería, y al.según-* do de teniente. . -• ■&gt; ■- A D. Ambrosio Agustini, cadete del regimiento de infantería de Buenos-Aires, graduado de subteniente, grado de teniente. : A D. Benito Martínez» subteniente del cuerpo)de ¡blandengues; de Sánt* ;Fe., gr</t>
  </si>
  <si>
    <t>Aibuerne, Manuel</t>
  </si>
  <si>
    <t>Manuel Aibuerne</t>
  </si>
  <si>
    <t>.............. 200. Vi D. Pedro González Robles , agertte'de negocios........... ............. 120. D. Manuel Aibuerne, grabador, mensualqiente.^.................... 30. D. Antonio de Gimbernat, cirnjano de cámara, á cuenta de 1500 rs. por una vez...................500. D. Antonio de Campos, aboga</t>
  </si>
  <si>
    <t>Aiexandro de Huinboldt</t>
  </si>
  <si>
    <t>uscritos de Mr. Adelung no ofrecen muchos recursos sobre esta última parte; pero ei ilustre viagero Mr. Aiexandro de Huinboldt, deseoso de suplir en quanto esté de su parte esta* falta,ha enviado con la mayor generosidad á su amigo Mr. Vater todos sus* pape es relativos á las lenguas de América, imitando</t>
  </si>
  <si>
    <t>Aiexo de la Llana Bilbao, Juan</t>
  </si>
  <si>
    <t>Juan Aiexo de la Llana Bilbao</t>
  </si>
  <si>
    <t>Anexo, p. 20</t>
  </si>
  <si>
    <t>........... Coruña....... 300 2089 D. Josef Manuel de Unzaga.......... Ciddiz. i,*.**.. ■ &gt; 300 503 D. Juan Aiexo de la Llana Bilbao..,.,... 300 893 D. Ramón Lletget... Madrid....... 300 2031 D. Juan Miguel de Lostra.............. ...... . Cádiz 600 1435 D. Juan Bautista Lacordela............................ .</t>
  </si>
  <si>
    <t>Aifaráz, Luis</t>
  </si>
  <si>
    <t>Luis Aifaráz</t>
  </si>
  <si>
    <t>6 de septiembre de 1808</t>
  </si>
  <si>
    <t>Madrid 120 (supl.)</t>
  </si>
  <si>
    <t>o de Aragón. El resto, compuesto del coronel D. Juan Rengel, sargento mayor D. Ramón Gómez, capitán D. Luis Aifaráz, tenientes D. Gerónimo Ríos , D. Marcos Arnaiz, D. Rafael León, subteniea</t>
  </si>
  <si>
    <t>Aiicedo, Juan Antonio</t>
  </si>
  <si>
    <t>Juan Antonio Aiicedo</t>
  </si>
  <si>
    <t>, secretario de la Buená-dicha. D. Estéban Cormes, diputado de id. D. Francisco Martínez, diputado. D. Juan Antonio Aiicedo, alcalde.,D..Roque Antonio Lema, diputado de .Mosteases. D. Alfonso Luceño, diputado. D. Josef Lamano, alcalde de id. D. Gregorio Sánchez, diputado. D. Antonio Rafael de la Peña,</t>
  </si>
  <si>
    <t>Ainbrosio</t>
  </si>
  <si>
    <t>. 20. Doña Juana de Osoi-ío, id...................................................... ........ 120. D. Ainbrosio de&gt;^iídiafekr, archivero d¿ tí contaduría mayor ¿ id. 500. D. Manuel r Doña&gt; Antonia y Doña María Vandeborchty id...;; 60.’ D. Pedro AnconiOj tk&gt;},íkítíradai ;gu;arda^almaé.en de ios</t>
  </si>
  <si>
    <t>Ainonio Fernández</t>
  </si>
  <si>
    <t>22 de noviembre de 1808</t>
  </si>
  <si>
    <t>Madrid 146 (supl. 2)</t>
  </si>
  <si>
    <t>mayor de esta villa, 4 id. por 2 .meses...................................................... 244. D. Ainonio Fernandez, portero de cámara de S. M., 1277 7s. y 17 mrs. en un libramiento sobre la renta del Tabaco por una vez, y 184;por 3 meses á 2 rs. diarios.......... 1461 17. D. Miguel de la Palen</t>
  </si>
  <si>
    <t>Alan</t>
  </si>
  <si>
    <t>27 de diciembre de 1808</t>
  </si>
  <si>
    <t>Sevilla 61</t>
  </si>
  <si>
    <t>l 12 de Noviembre, se confirma en el articulo de Viena la noticia de haber llegado nuestro ministro Mr. Alan el 19 de Octubre á las cercanías da Coistantinopla , donde al momento entabló la negociación pata dar ü 1 á las hostilidades entre ingleses y turcos. Nuestros cruceros en el Archipi</t>
  </si>
  <si>
    <t>Alarcon Lozano, Diego</t>
  </si>
  <si>
    <t>Diego Alarcon Lozano</t>
  </si>
  <si>
    <t>imeros asesores prestaron su juramento D. Gregorio García de VinueSa , contador general de Cruzada, D. Diego Alarcon Lozano, fiscal del tribunal, y el citado D. Ventura Padilla.</t>
  </si>
  <si>
    <t>Alarcon, Diego</t>
  </si>
  <si>
    <t>Diego Alarcon</t>
  </si>
  <si>
    <t>anuel González Peral 2 camisas. Una señora viuda de un militar 2. Doña María del Rosario Alarcon 2. D. Diego Alarcon 4. Doña María Teresa Fernandez Delgado 3. Doña Agustina Martin 2. Doña Teresa López 2. Doña Angela Ugena una. D. Antonio Fabeyrae 6. Dia 28. Doña Angela Taulau 3 caminas. Una seño</t>
  </si>
  <si>
    <t>.............. . 30. r&gt;. Vicente de Mendizaba!, 40 id. por 5 meses............................ 200. D. Diego Alarcon, 4 rs. diarios , por 3 meses.................... 368. D. Antonio.Fabeyrae ,.4 id. po-r. 2 id •••&gt;,***5*v,»***fV**í*V*Vll»|***M».,tt . 244. Y; D. Pablo Fo.z , oficial de Ja secreta</t>
  </si>
  <si>
    <t>Alaría de Galana, Antonio</t>
  </si>
  <si>
    <t>Antonio Alaría de Galana</t>
  </si>
  <si>
    <t>Anexo, p. 16</t>
  </si>
  <si>
    <t>Ntümeros Lotes de las en • acciones. Nombres de los interesados. t Comisionados. Rs. va. 1951 D. Antonio Alaría de Galana, inquisidor de corte.......................................................... ....... Zaragoza..... 300 2316 D. Manuel Gutiérrez de Rosas......................... Cádiz..........</t>
  </si>
  <si>
    <t>Alateó Larreta</t>
  </si>
  <si>
    <t>Madrid 141 (supl. 2)</t>
  </si>
  <si>
    <t>........... 62. D. Josef García Abella, 3 id. por 2 meses..................................... 183. D. Alateó Larreta , 3 id. por 5 id...................................................... 459» Patricio López, 2 id. por agosto..................... ............... .................. 62. D- Manuel</t>
  </si>
  <si>
    <t>Albani, Ana</t>
  </si>
  <si>
    <t>Ana Albani</t>
  </si>
  <si>
    <t>Anexo, p. 45</t>
  </si>
  <si>
    <t>lencia...... 50a *749 D. Juan Francisco Muro................. .......... Cádiz............ 300 1818 Doña Ana Albani............................... •.......... Zaragoza..... .3 00 34 D.. Jayme Nogues........... Barcelona...* IOOO «73 P, Mariano Tornas y Monfort................... Zaragoza..... I</t>
  </si>
  <si>
    <t>Albear, Carlos</t>
  </si>
  <si>
    <t>Carlos Albear</t>
  </si>
  <si>
    <t>Sevilla 35</t>
  </si>
  <si>
    <t>, ae le dispersaron en aquel acto 44 hombres ,, los que uniéndose al alférez de caballería agregado D. Cárlos Albear, se sep^rarr^n del e*qundron,el qual siguió su marcha baxo el mando de su sargento mayor D. Juan Bernuy. Aquella noche se separó igualmente de 'dicho cuerpo e! espitan D. Josef Az</t>
  </si>
  <si>
    <t>14 de octubre de 1808</t>
  </si>
  <si>
    <t>Madrid 134</t>
  </si>
  <si>
    <t>ón, se le dispersaron en aquel acto 44 hombres, los.que uniéndose al alférez de caballería agregado D. Cárlos Albear, se separaron del escuadrón , el qual siguió su; marcha, baxo el mando de su sargento mayor Bbjuan Be mui. Aquella noche se separó igual-. mente de díchq cuerpo el capitán ,í&gt;. Jo</t>
  </si>
  <si>
    <t>Albelo, Nicolás</t>
  </si>
  <si>
    <t>Nicolás Albelo</t>
  </si>
  <si>
    <t>8 de noviembre de 1808</t>
  </si>
  <si>
    <t>Madrid 142 (supl. 2)</t>
  </si>
  <si>
    <t>furriera, id. 40. D. Manuel Romeral, director de niños, id....................... ........... 240. D. Nicolás Albelo, dependiente de la Lotería, id.................. 60. D. Andrés Caballero, del comercio, 3650 rs. por 6 meses á 20 rs. diarios durante un ano, y ademas 40© rs. en 5 vales de600 pes</t>
  </si>
  <si>
    <t>Alber, Domingo</t>
  </si>
  <si>
    <t>Domingo Alber</t>
  </si>
  <si>
    <t>12 camisas de vivero. Dia 14. Ds Libinio Stuyck y Vandergoten 189 varas de lienzo de vara y tercia. D. Domingo Alber 2 chaquetas, 2 chalecos y 2 pares de calzones blancos. El -Dr. D. Luis Toledano un vestido de paño azul, com</t>
  </si>
  <si>
    <t>Alberdi, Andrés</t>
  </si>
  <si>
    <t>Andrés Alberdi</t>
  </si>
  <si>
    <t>12 de febrero de 1808</t>
  </si>
  <si>
    <t>Madrid 13</t>
  </si>
  <si>
    <t>: se ha servido nombrar maestro mayor examinador de armas blanc’as de la real fabrica* de Toledo: á D. Andrés Alberdi, maestro armero exáv minadór dé Ja real fábrica de fusiles de Placencia.' • • :• ■ . '* En 26 de noviembre próximo pasado falleció en esta corte, á los 56 años* 4 meses y 17 dias</t>
  </si>
  <si>
    <t>Albert Gallalin</t>
  </si>
  <si>
    <t>2 de julio de 1808</t>
  </si>
  <si>
    <t>Madrid 74</t>
  </si>
  <si>
    <t>británico., no cesan de fomentar y alizar ,eí iuegodeíla discordia. ¡ m&gt; ? Mr.1 Albert Gallalin, secretario de la tesorería, acaba dé presentar di congreso el estado sucesivo de la deuda pública en los 6 últimos años. Ré* ¡silira de. él que en el/ transcurso ;de. los o años últimos; se</t>
  </si>
  <si>
    <t>Albert, Domingo</t>
  </si>
  <si>
    <t>Domingo Albert</t>
  </si>
  <si>
    <t>8 de marzo de 1808</t>
  </si>
  <si>
    <t>Madrid 20</t>
  </si>
  <si>
    <t>fecha 4? r8 de febrero próximo pasado, Quien supiere de su paradero, se servirá avisar en Madrid á D, Domingo Albert, calle de la Cruzj núm, 3; en Zaragoza á D, Juan Gaíeart, en Valencia i B. Agustín Vilaé hijos, en Cádiz á los señores Llauge Roma y compañía, y en Barcelona al referido D. Josef</t>
  </si>
  <si>
    <t>Albertos, Francisco</t>
  </si>
  <si>
    <t>Francisco Albertos</t>
  </si>
  <si>
    <t>40 Rs. 1Mes. ------ -T- •» 124. l_ mente 2000. 124. D. Francisco Albertos, uno id. por agosto y setiembre... «0 6l. 122. 928. 36;. •• 43o* IOO. »• 320. 3000. 100. 1500. La marquesa de....... un tocador con 36 piezas de plata. D. Andrés de Villaldos , ag</t>
  </si>
  <si>
    <t>Albino de Obregon, Manuel</t>
  </si>
  <si>
    <t>Manuel Albino de Obregon</t>
  </si>
  <si>
    <t>ha servido nombrar para la dignidad de deán de lá catedral de Panamá, vacante por fallecimiento de D. Manuel Albino de Obregon, á D. Tomas Antolin Baxo y Ocerin: para el arcedianato que este dexa al chantre D. Pedro Josef Casis de la Torre : para la chantría al maestrescuela D. Juan Joséf Martínez: par$;</t>
  </si>
  <si>
    <t>Albornoz, Francisco</t>
  </si>
  <si>
    <t>Francisco Albornoz</t>
  </si>
  <si>
    <t>Madrid 112</t>
  </si>
  <si>
    <t>Juan de Jerusalen, comandantes natos de este punto, D. Luis Rovíra , teniente de navio retirado, y D. Francisco Albornoz, capitán retirado de caballería, llamaron mucho la atención y el aprecio-per sus disposiciones respectivas, por su acierto y por su valeroso denuedo. Ei capitán D. Josef Peña Carr</t>
  </si>
  <si>
    <t>Albuerne, Manuel</t>
  </si>
  <si>
    <t>Manuel Albuerne</t>
  </si>
  <si>
    <t>12 de enero de 1808</t>
  </si>
  <si>
    <t>Madrid 4</t>
  </si>
  <si>
    <t>en quartlll;a de. marca imyor deS. Antonio Abad , dibuxada por Don Antonio Rodríguez y grabada por D. Manuel Albuerne. Véndese; en las librerías de Escribano, calle de las Carretas, y de Esparza, puerta del Sol, a 3 rs... .. MUSICA. En el almacén, general de papeles y obras de música de Escribano</t>
  </si>
  <si>
    <t>AlBüerne, Manuel</t>
  </si>
  <si>
    <t>Manuel AlBüerne</t>
  </si>
  <si>
    <t>Anexo, p. 22</t>
  </si>
  <si>
    <t>Valencia..... • 5 óo *°5 3 Doña Gertrudis dé Sálás' Calderón;; A, A. A; Ai A Madrid.!..:/. 500 821 D. Manuel AlBüerne........’.7...............V..7. Madrid...'../. ' 300 589 D. Felipe Martínez de Viergol............... Madrid/.....'. 600 2279 Doña Gregoria de Larrari....A........ Bilbao..!.. ¿,.</t>
  </si>
  <si>
    <t>. 3 co 613 Doña Ines Neviet.............................................. Madrid......... soo M 817 D. Manuel Albuerne...................................... . Madrid....... O 0 1445 D. Agustín Peral................................................ Málaga......... 0 ^ (O J'-'O 1462 D. Josef Lizalde.</t>
  </si>
  <si>
    <t>Anexo, p. 5</t>
  </si>
  <si>
    <t>diz......... 2CO 1105 D. Juan Perez Bueno............ ....................... Madrid....... 300 819 D. Manuel Albuerne.........,¡............................. Madrid........ 300 1982 Sres. D. Josef Francisco Mornau...................... Zaragoza...... 1500 766 D. Josef Mateo Abad y compañía.......</t>
  </si>
  <si>
    <t>Alcalá Ga-r, Antonio</t>
  </si>
  <si>
    <t>Antonio Alcalá Ga-r</t>
  </si>
  <si>
    <t>sala de acuerdo estaba preparado una efi— reira. gie de nuestro Señor Jesucristo con dos luces y ei D. Antonio Alcalá Ga-r libro de los santos evangelios, sobre el qual puesta llano. la mano derecha por ei señor gobernador y señores D. Tomas de Casano- alcaldes que por el orden de su antigüedad consta</t>
  </si>
  <si>
    <t>Alcalá Gal, Antonio</t>
  </si>
  <si>
    <t>Antonio Alcalá Gal</t>
  </si>
  <si>
    <t>16 de agosto de 1808</t>
  </si>
  <si>
    <t>Madrid 113</t>
  </si>
  <si>
    <t>a de Perez, calle de las Carretas, , Oda á las esclarecidas victorias de nuestros compatriotas: por D. Antonio Alcalá Gal laño, maestránte de la real de Sevilla. Se hallará en la librería de Esparza» puerta del Sol, y en la de Barco, carrera de S. Gerónimo, La muerte de Murat: tragedia unipersonal. Es t</t>
  </si>
  <si>
    <t>Alcalá Galiano, Antonio</t>
  </si>
  <si>
    <t>Antonio Alcalá Galiano</t>
  </si>
  <si>
    <t>22 de marzo de 1808</t>
  </si>
  <si>
    <t>Madrid 24</t>
  </si>
  <si>
    <t>(j.-te Jan la misma cantidad en vales, se ha señalado el día 26 del corriente en laaodienca del Sr. D. Antonio Alcalá Galiano, alcalde de casa y corte, por la escribanía de provincia de D. Carlos Rodríguez de iVto^a. AVIEOS. En virtud de decreto del real consejo de las Ordenes, de 27 de febrero líltimo,</t>
  </si>
  <si>
    <t>19 de junio de 1808</t>
  </si>
  <si>
    <t>Madrid 61</t>
  </si>
  <si>
    <t>17 , tasada en 47649 rs. 11 mrs., que se vende para hacer pago á cierto acreedor, acuda ante el Sr. D. Antonio Alcalá Galiano, alcalde de casa y corte , por la escribanía «de provincia de D. Garios Rodríguez de Moya, dentro del .terminó de 30 dias, que finalizarán en 5:de julio próximo. ^ ; • ' AVISOS. '</t>
  </si>
  <si>
    <t>4 de agosto de 1808</t>
  </si>
  <si>
    <t>Madrid 107</t>
  </si>
  <si>
    <t>, y demas encaxe regular, tasada en 53 '*0 rs., acuda ante el señor alcalde de la real casa y corte D. Antonio Alcalá Galiano, por la escribanía de provincia de D. Carlos Rodríguez de Moya. En la villa de Navalcarnero se venden 4 casas juntas ó separadas, la una grande, inmediata á la plaza; otra en la c</t>
  </si>
  <si>
    <t>7 de agosto de 1808</t>
  </si>
  <si>
    <t>Madrid 110</t>
  </si>
  <si>
    <t>, la de los de la puerta de Toledo, San Francisco y las Vistillas. Quartel de S. Isidro. El alcalde D. Antonio Alcalá Galiano hará las de los barrios de Mira el Rio , huerta del Bayo y S. Cayetano. El regidor D. Juan de Castañedo , las de los barrios cié las niñas de la Paz, la Comadre y S. Isidro. — Mad</t>
  </si>
  <si>
    <t>Alcalde, Gabriel</t>
  </si>
  <si>
    <t>Gabriel Alcalde</t>
  </si>
  <si>
    <t>. ........................................................................................... 2790. D. Gabriel Alcalde, id.................. .................................. ................ 36 24. Josef Revaque, maestro sastre, 2 vales reales de ifo pesos y efectivo, ¡d..’....'...v..v.v.v.*..'.</t>
  </si>
  <si>
    <t>Alcántara García, Pedro</t>
  </si>
  <si>
    <t>Pedro Alcántara García</t>
  </si>
  <si>
    <t>tienen todas las naciones en seguir la causa de España; otro de literatura sobre el hombre moral de Don Pedro Alcántara García, y la conclusión del elogio de Gonzalo Fernandez de Córdoba (el Gran Capitán). Se hallará con los anteriores en la librería de Escribano, calle de las Carretas, en donde se suscri</t>
  </si>
  <si>
    <t>Alcántara, Ramón</t>
  </si>
  <si>
    <t>Ramón Alcántara</t>
  </si>
  <si>
    <t>te dé milicias urbanas de su color. , ' ■ A D. Salvador Ros, D. Antonio Costa,, D. Cayetano Sturla, D. Ramón Alcántara , D. Gerónimo Rabasa, D. Ramón Antonio San Fuertes, capitanes urbanos: D. Juan de la Vianca, D. Basilio Viola, D. Juan Viola, D. Pedro Nolasco Ximenez, D. Juan Jorge, D. Matías Cá</t>
  </si>
  <si>
    <t>Alcázar de Tejada, Juan Antonio</t>
  </si>
  <si>
    <t>Juan Antonio Alcázar de Tejada</t>
  </si>
  <si>
    <t>adrid........ 600 389 D. Antonio Zazurca y Forton.......................... Coruña........ 500 2317 D. Juan Antonio Alcázar de Tejada............. . Cádiz........ 500 2368 D. Francisco Fernandez García......................... Zaragoza....... 300 212 D. Juan Rusheu................................. ..............</t>
  </si>
  <si>
    <t>Aldea, Tadeo</t>
  </si>
  <si>
    <t>Tadeo Aldea</t>
  </si>
  <si>
    <t>2 de septiembre de 1808</t>
  </si>
  <si>
    <t>Madrid 119</t>
  </si>
  <si>
    <t>ui3 do de su bizarro Teniente D. Tadeo Aldea, que fue gloriosamente herido* se retiraron los enemigos. Batidos estos por todas partes, buscaron precipitadamente su salud en el.centro del llano de Sarriá, al otro lado del rio</t>
  </si>
  <si>
    <t>n de 1&lt;T de agosto de 1808. OFICIALES HERIDOS. Soria......... .... Teniente........................ D. Tadeo Aldea. ^Sargento mayor............ D. Henrique O- Donnell. Ultonia............ Capitán de granaderos. D. Guillermo Nasc, levemente. i (.Subteniente.................... D. Miguel Pierson</t>
  </si>
  <si>
    <t>Alderete, Diego</t>
  </si>
  <si>
    <t>Diego Alderete</t>
  </si>
  <si>
    <t>Gines. D. Domingo Alvarez, presbítero beneficiado de Santiago. D. Alfonso Pastor, cura de S Josef. D. Diego Alderete, diputado de S. Isidro. D. Pedro Querpo de Llano, diputado de Santiago. D. Josef Panlagua, alcalde de id. D. Juan Pinedo, diputado de id. D. Cayetano Aravaca , eclesiástico de id.</t>
  </si>
  <si>
    <t>Aldrete, Juan</t>
  </si>
  <si>
    <t>Juan Aldrete</t>
  </si>
  <si>
    <t>18 de marzo de 1808</t>
  </si>
  <si>
    <t>Madrid 23</t>
  </si>
  <si>
    <t>tallón Jixo'de Panamá á. sargento, mayor, al. capitán de,granaderos , graduado de teniente coronel, D. Juan Aldrete; á esta resulta al de fusileros D. Pedro Santaná ;á, capí tan de.fusileros al teniente de granaderos .Di- Andres Sartorio ;’ á‘teniente1,de granaderos al de fusileros D¿ Josef Mar</t>
  </si>
  <si>
    <t>Aleas, Manuel</t>
  </si>
  <si>
    <t>Manuel Aleas</t>
  </si>
  <si>
    <t>27 de julio de 1808</t>
  </si>
  <si>
    <t>Madrid 99</t>
  </si>
  <si>
    <t>del Aguila y Bolañqs, con divisa encarnada y blanca: 1 de D. Alvaro Muñoz, con verde y blanca: 2 de D. Manuel Aleas, con azul y encarnada: 2 de D.VicenteBañuelos , con escarolada yr yerde : 2 de tí. Manuel Hernán García Chivato, con blanca: 2 de D. Julián de Fuentes, con verde; y 2 de D. Ramón</t>
  </si>
  <si>
    <t>Alebesque, Juan</t>
  </si>
  <si>
    <t>Juan Alebesque</t>
  </si>
  <si>
    <t>25 de noviembre de 1808</t>
  </si>
  <si>
    <t>Madrid 147</t>
  </si>
  <si>
    <t>e sepa de su paradero lo avisará á dicho Magriñá en Montblanch , donde se halla, y eti esta corte á D. Juan Alebesque, plazuela de Matute, núm. 21. A D. Miguel Angli ¿ vecino de la villa de Areñs del mar, en el principado de Cataluña, se le ha extraviado un vale real de igo pésos, creación de 17</t>
  </si>
  <si>
    <t>Alemani, Pablo</t>
  </si>
  <si>
    <t>Pablo Alemani</t>
  </si>
  <si>
    <t>Madrid 137 (supl. 2)</t>
  </si>
  <si>
    <t>, 20 id. por agosto....................... 20. D. Manuel Perez, 4 id. por 2 meses............... 8. D. Pablo Alemani , 40 id. por 5 id......................................... too. D. Tomas Gasanova, alcalde de corte, y su hijo D* Iñigo, 120 id. por agosto........................................</t>
  </si>
  <si>
    <t>Alence, Domingo Antonio</t>
  </si>
  <si>
    <t>Domingo Antonio Alence</t>
  </si>
  <si>
    <t>......... 60. Roque Molina, 20 id. por agosto................................................. 20 . D. Domingo Antonio Alence, maestro carpintero, 80 id. por 4 meses.... ........ ................... .................... ......... ........................ 3 23. D. Eduardo de Fuentes, presbítero, 30 id. po</t>
  </si>
  <si>
    <t>Alexandfa Hernández</t>
  </si>
  <si>
    <t>■ ••• • Madrid........ 300 1801 D. Nicasio Alvarez de Cienfuegos......... . Zaragoza..... &gt;00 1849 Doña Alexandfa Hernández......... .......... . Zaragoza..... 300 • 195 D. Josef López Sobrp.ymas.......... ......... Alicante;... 3°° »75* D. Antonio Manuel Trianes,....... ............. Cádiz.......... 6</t>
  </si>
  <si>
    <t>Alexandró, Príncipe</t>
  </si>
  <si>
    <t>Príncipe Alexandró</t>
  </si>
  <si>
    <t>5 de enero de 1808</t>
  </si>
  <si>
    <t>Madrid 2</t>
  </si>
  <si>
    <t>ciones necesarias para el cumplimiento de la referida orden. = El v ice-condestable y mayor general Príncipe Alexandró” CONFEDERACION DEL RIN. Francfort i j de diciembre. Las gacetas de Alemania aseguran que el Emperadór Napoleón ha resuelto unir el Po con é 1 Me d i te rrárt eo por m ed i o de un</t>
  </si>
  <si>
    <t>Alexaniro Cochraue</t>
  </si>
  <si>
    <t>. - , ■,-m AMERICA. r Bridge-7oim(ista de la Barbada) 27 de febrere. El miércoles último llegó aquí Sir Alexaniro Cochraue de su apostado^</t>
  </si>
  <si>
    <t>Alfaya, Benito</t>
  </si>
  <si>
    <t>Benito Alfaya</t>
  </si>
  <si>
    <t>quez, D. Gregorio Guerra Zorrilla, D. Josef Babea, D. Gregorio Dorado, diputación de las Descalzas. D. Benito Alfaya, diputado de S. Márcos. 35. Luis Bautró, diputado de S. Plácido. D. Pedro Rubio, director de los cinco gremios mayores. D. Vicente Ambrosio Águirre, director, su compañero. Fr. Il</t>
  </si>
  <si>
    <t>Alfcnsa López</t>
  </si>
  <si>
    <t>Madrid 143</t>
  </si>
  <si>
    <t>Eugenio Corra!, tina sábana y 19 camisas. D. Miguel Entrena, cura de Albalate de Tajuña, 4 camisas. Doña Alfcnsa López una. D. Pedro de la Puente, secretario de la Presidencia ,12. En la gazeta del martes anterior, pág. 1442 , lín. 20, dice Acasta, léase Atocha. ________ No habiéndose podido inser</t>
  </si>
  <si>
    <t>Alfonsa Ceuleman</t>
  </si>
  <si>
    <t>exéreito y otros usos titiles al mismo. Setiembre 19. D. Pedro Menendez García 15 varas de lienzo. Doña Alfonsa Ceuleman 4. D. Manuel Lacarra 2 camisas. D. Andrés Caballero 27. Doña Josefa Sanz 6. D. Manuel de Velasco 2 camisas y 14 varas de lienzo. D. Manuel Francisco del Castillo 88 pares de calce</t>
  </si>
  <si>
    <t>Alfonsa García y de la Higuera</t>
  </si>
  <si>
    <t>. Bilbao......... 600 1524 Doña María Josefa de Hormachea.................. Bilbao......... 300 60) Doña Alfonsa García y de la Higuera......... Madrid........ 500 1684 Miguel Vallejo, capitán de exércíto.,....... S. Sebastian. 380 2146 D. Pedro de la Riva Andrés................... ........ Coruña....... 300 1901</t>
  </si>
  <si>
    <t>Alfonsa Hernández</t>
  </si>
  <si>
    <t>Madrid 128 (supl.)</t>
  </si>
  <si>
    <t>................ 1093. D. Miguel Ballonest, por 3 meses.á 4 rs. diarios....................... 368. Doña Alfonsa Hernández, viuda, con tienda de vinos generosos, por 3 meses á 2 rs. diarios........................................................... 184. D. León de Altolaguirre, maestrante de la real d</t>
  </si>
  <si>
    <t>Alfonso</t>
  </si>
  <si>
    <t>adares ^714 rs. a 5 Doña Vicenta Viña 200. .mrs. en efectos de estado. • D. Antonjo Dáyila-toáw • , D, Alfonso;Ibarra 500. 1r^ D. Baitasar Marcó i !• L D. ■ JoseííRiberabi.66;. í • ;p t [ ;? ;!&gt; Di*,Joaquín Hernández Llano. 1®: D*. Josef Alberto. . ¿ D. Luis .Garbonero 40. ' ; &gt;. -t D. Jos</t>
  </si>
  <si>
    <t>capitán general, y por la escribanía de D. Josef de la Torre. . IIBROS. Las Siete Partidas del Rei D. Alfonso el Sab-io : nueva edición, cotejada coa varios códices antiguos, por la real academia de la Historia. Se han expresado al pie del texto las variantes mas notables: 3 tomos en 4.0 ma</t>
  </si>
  <si>
    <t>.................... 320. D. Domingo Garrido, pintor de: las reales caballerizas , id......... IOO. D. Alfonso* Garrido,-di rector, de. pintura de id.,. id'..................... 300. D. Fernando Selma, grabador de. cámara,, id..... ............................ 1500. D. Sáturio-Fernandez de</t>
  </si>
  <si>
    <t>..............t,... * ac©5; Juan González é¿Isabel Fernandez, id....... ........... ....... . .120. D. Alfonso. Garrido, en recibos de intereses de acciones del real Empréstito, id............................................ ................... . 8000. D. Manuel de Ascargorta, un libramien</t>
  </si>
  <si>
    <t>Alfonso Alazorra</t>
  </si>
  <si>
    <t>......... ........................ . 2072. Los correes de gabinete de S. M. D. Fernando Castañeda , D. Alfonso Alazorra .y.D. Josef España, por sí y por los demas empleados en igual clase, jubilados y en exercicio, naturales del valle de C¿rriedo, han entregado, con destino á las urgencias de , est</t>
  </si>
  <si>
    <t>Alfonso Ángel</t>
  </si>
  <si>
    <t>ión del señor fiscal jubilado D. Martin Leonés. D. Juan Melendez Valdés, se dixo por mí el infras-* D. Alfonso Angel de crito escribano de cámara mas antiguo y de goNoreña. bierno de la Sala: ,, ¿ Juráis á Dios y á sus santos D. Juan Melendez Val- evangelios y á Jesucristo crucificado, cuya sagrada</t>
  </si>
  <si>
    <t>Alfonso Ángel de Noreña</t>
  </si>
  <si>
    <t>uis Marcelino Pe re ira. == Aritónio Alcalá:Gritíáno.j= Tomas Casario.y^'y'Rádárrr Martin Leonés 1= Don Alfonso Angel de Noreña. =Juan Melendez Valdés. = D. Ignacio Antonio Martínez. , ‘ 4 ,• ,r: tyadrid 18¿ie octubre* &gt; ~ : -.V-c'íí^ ‘Ei Consejo ha expedidó¡ la real provisión del teño? siguiérité: Don Fer</t>
  </si>
  <si>
    <t>Alfonso Ballesteros y Patino</t>
  </si>
  <si>
    <t>d n de octubre de 1808. s Excmo. Sr. = Ignacio María de Alava. = Excmo. Sr. conde de Floridablanca. D. Alfonso Ballesteros y Patino, teniente de navio de la real armada,y ayudante secretario de la capitanía general de marina de este departamento. Certifico como habiéndose reunido en la habitación casa morada d</t>
  </si>
  <si>
    <t>Alfonso Cavia y Diez</t>
  </si>
  <si>
    <t>nsejos, un real diario, por agosto............................................................. 3*« D. Alfonso Cavia y Diez, 3 rs. id. por 2 meses.......................... 183. D. M. D., 90 rs. mensuales, por 2 id........................................... 180. D. Francisco Añaya Villazan, oficial del</t>
  </si>
  <si>
    <t>Alfonso Cortes</t>
  </si>
  <si>
    <t>réstito y pico, id........... .............................. ........................ ........ 460. D. Alfonso Cortes, id...................... ............. ................. ......... ......... 20©. D. Matías Peralta ,-agente de negocios, id....... .............................. 100. D. Felipe</t>
  </si>
  <si>
    <t>Alfonso de Alava</t>
  </si>
  <si>
    <t>Alvarez, individuos de la real botica, por una vez..... ........... ......................... 420. D. Alfonso de Alava, id....................................... ........................... 500. D. Manuel Merino, criado del Rei nuestro Señor, idL.*....... . '300* D. Miguel Ortiz de Rozas f en un v</t>
  </si>
  <si>
    <t>Alfonso de Cortes</t>
  </si>
  <si>
    <t>..... .......... ......... 2 2 El Sr. D. Fernando Vázquez y Tellez........ 1 1, El teniente coronel D. Alfonso de Cortes».. 1 : 1 nueva. ? D. Miguel Sainz, empleado en la oficina de ¿s alcabalas............ ........... ...................... ......... 6 6 D. Francisco Balómares......................</t>
  </si>
  <si>
    <t>Alfonso de Ibarra</t>
  </si>
  <si>
    <t>orte e&amp; de'7 24- rs. mensualmente, y ademas 1460 por 4 mesesanticipados á 12 rs. diarios.;;...2184* D. Alfonso de Ibarra, oficial de la secretaría de Hacienda, 6 rs. diarios , por agosto.;.....;.......’..................................V....... . i8&lt;L D. Miguel Arroyo, uno id. por 5 meses...........</t>
  </si>
  <si>
    <t>Alfonso de Ortega Calatayud</t>
  </si>
  <si>
    <t>e despacharán los billetes de esta rifa á 4 rs. cada uno. 1 : VENTAS JUDICIALES. Por providencia de D. Alfonso de Ortega Calatayud, juez comisionado regio en la diócesi de Jaén, se ha señalado el día 2/ del corriente para el remate de iz fanegas y 7 celemines de tierra, pobladas de estacas de olivo, sitio de</t>
  </si>
  <si>
    <t>Alfonso Duran y Baraza</t>
  </si>
  <si>
    <t>19 de agosto de 1808</t>
  </si>
  <si>
    <t>Madrid 115</t>
  </si>
  <si>
    <t>en los pueblos donde se haya D. Juan AntonioTnguanzo. executado, y qualquiera nota puesta en ellos D. Alfonso Duran y Baraza- respectiva al gobierno intruso. Madrid 11 de bal. agosto de 1808. = Está rubricado por uno de D. Pascual Quilez. los señores del margen. = Licenciado ZorraD. Benito Arias de Prada</t>
  </si>
  <si>
    <t>Alfonso Fernández</t>
  </si>
  <si>
    <t>mas de S. M., por agosto á 20 rs. mensuales........................... .................... . 20. . D. Alfonso Fernandez, por agosto á 20 rs.. mensuales........... 20. D. Antonio Rabarco, ayuda de la cocina, extraordinaria de SS. MM., por agosto á 60 rs. mensuales............... 1...................</t>
  </si>
  <si>
    <t>Alfonso G-utierrez</t>
  </si>
  <si>
    <t>erra D. Pedro de Berindoaga y su hijo Don Francisco Xavier, regidor de Madrid, 1104 rs. por 3 meses D. Alfonso G-utierrez, id.................. ...................... ................... 320. *9</t>
  </si>
  <si>
    <t>Alfonso Garrido</t>
  </si>
  <si>
    <t>y 6 pares de calcetas. Doña Isabei Tintero, santera de la calle de la Paloma, 12 camisas de vivero. D. Alfonso Garrido 60 camisas y uniformes de paño. Dia 77. Un incógnito 40 varas y quarta de paño blanco y 74 de lienzo. D. Juan Manuel de Náxera 8-camisas. D. Josef de Urizabal 2-camisas de coruña.</t>
  </si>
  <si>
    <t>calcetas. Dia 20. D. Raimundo de Alcántara 41 varas de lienzo. Doña Ana Martin Caballero, muger de D. Alfonso Garrido , 100 camisas. EL Sr. D. Ignacio Abadía, del consejo de Ordenes, y contador general de las quatro militares , 50 varas de paño azul y pardo y 50 camisas. Dia 21. D. Manuel de Sala</t>
  </si>
  <si>
    <t>año á 12 rs. diarios y 1© id..................................... ........................... 5380, D. Alfonso Garrido, en recibos de intereses de vales reales del año de 1800 id......... .......................................... .......................... 13039?* Una sirviente, id..............</t>
  </si>
  <si>
    <t>Alfonso Gómez</t>
  </si>
  <si>
    <t>ia, mancebo de D. Miguel Angel Sancho, por un año anticipado......».»;.»».,»..»».,»»»»...... . 6co. D. Alfonso Gómez, del comercio, por una vez ••a•••••••••«••*••••••• 200. D. Josef de Valgoma, oficial de la contaduría de Millones, por una vez..................... ........................ ......</t>
  </si>
  <si>
    <t>Alfonso Luceño</t>
  </si>
  <si>
    <t>artínez, diputado. D. Juan Antonio Aiicedo, alcalde.,D..Roque Antonio Lema, diputado de .Mosteases. D. Alfonso Luceño, diputado. D. Josef Lamano, alcalde de id. D. Gregorio Sánchez, diputado. D. Antonio Rafael de la Peña, D. Agustin Plácido Zanon, D. Juan Ventura Apostegui, diputación del Carmen</t>
  </si>
  <si>
    <t>Alfonso Pastor</t>
  </si>
  <si>
    <t>. D. Juan Antonio Salcedo, cura de S Gines. D. Domingo Alvarez, presbítero beneficiado de Santiago. D. Alfonso Pastor, cura de S Josef. D. Diego Alderete, diputado de S. Isidro. D. Pedro Querpo de Llano, diputado de Santiago. D. Josef Panlagua, alcalde de id. D. Juan Pinedo, diputado de id. D. Ca</t>
  </si>
  <si>
    <t>Alfonso Sánchez Navarro</t>
  </si>
  <si>
    <t>28 de julio de 1808</t>
  </si>
  <si>
    <t>Madrid 100</t>
  </si>
  <si>
    <t>adra para 10 caballerías ma7ores, pajar, granero 7 varios pozos. Para tratar de ajuste se acudirá á D. Alfonso Sánchez Navarro, oñcial de la secretaría de la real Junta de comercio y moneda, en la puerta de Moros; 7 la persona que gustase pasarla k ver se servirá avisar en la calle de Sta. Brígida, núm. 3</t>
  </si>
  <si>
    <t>Alfonso VíIlagomez, Miguel</t>
  </si>
  <si>
    <t>Miguel Alfonso VíIlagomez</t>
  </si>
  <si>
    <t>ervirá entregarle al citado Angli en dicha villa. Los señores D. Domingo Fernandez de Campo manes y D. Miguel Alfonso VíIlagomez, ministros del jreal y supremo Consejo de Castilla, han señalado el lunes 28 del corriente á las ir en punto de la mañana c'n la escribanía de provincia de D. Mañüel Lope* de Riva</t>
  </si>
  <si>
    <t>Alfonso Vilagómez, Miguel</t>
  </si>
  <si>
    <t>Miguel Alfonso Vilagómez</t>
  </si>
  <si>
    <t>Mencionado en una noticia de la Gazeta extraordinaria.</t>
  </si>
  <si>
    <t>Gazeta extraordinaria</t>
  </si>
  <si>
    <t>31 de marzo de 1808</t>
  </si>
  <si>
    <t>Madrid 28 (extraord.)</t>
  </si>
  <si>
    <t>Antonio González Yebra, el marques de Casa García, D. Andrés Lasauca, D. Antonio Alvares Contreras, D, Miguel Alfonso Vilagómez, del propio conseje*</t>
  </si>
  <si>
    <t>Alfonso Villa, Miguel</t>
  </si>
  <si>
    <t>Miguel Alfonso Villa</t>
  </si>
  <si>
    <t>nos, así por la violencia con que D. Francisco Domenech. en todo se ha procedido, como por falta de D. Miguel Alfonso Villa- autoridad legítima para disponerlo. Y para gomez. que conste á todos expídase la circular corresD. Vicente Duque de Es­ pondiente; en la qual se prevendrá también trada. que en lo</t>
  </si>
  <si>
    <t>Alfonso Villagomez, Miguel</t>
  </si>
  <si>
    <t>Miguel Alfonso Villagomez</t>
  </si>
  <si>
    <t>n de Torres, D. Domingo Fernandez Campomanes, D. Andres Lasauca, D. Antonio Alvarez de Contreras, y Don Miguel Alfonso Villagomez, ministros del consejo Real, nombrados por S. M. para sentenciar la causa formada contra los que se hallan presos con motivo de las ocurrencias con el PainCipe nuestro señor: vist</t>
  </si>
  <si>
    <t>orres. = ¡D/:Domingo Fernandez de Campomanes. = D. Andrés Lasauca.=D. Antonio Alvarez de Contrerás.=D. Miguel Alfonso Villagomez.,,</t>
  </si>
  <si>
    <t>Alfonso Xbarra</t>
  </si>
  <si>
    <t>Anexo, p. 43</t>
  </si>
  <si>
    <t>..; ¿Bilbao./.;...;/ 300 2273 Doña Maríá Antonia .Maradiagg* ....../•.../.o Bilbao...!../, 300 2431 D. Alfonso Xbarra....... * • • • •.• •••••,■&lt;■»r . Zaragoza.../ 500 i4í8 D. Ramón de Sta. ,Cruz...&gt;.Wv..vv'vv»vv..^. Santander../ 300 326 Juana Pilink........... .............. •»...... ...........</t>
  </si>
  <si>
    <t>Alias Mon y Velarde</t>
  </si>
  <si>
    <t>18 de agosto de 1808</t>
  </si>
  <si>
    <t>Madrid 114 (extraord.)</t>
  </si>
  <si>
    <t>chos años. Quartel general de Zaragoza 14 de agosto de 1808.= Josef de Palafox y Melci. = limo. Sr. D. Alias Mon y Velarde/* EN LA IMPRENTA REAL.</t>
  </si>
  <si>
    <t>Alisoga, Ramón</t>
  </si>
  <si>
    <t>Ramón Alisoga</t>
  </si>
  <si>
    <t>26 de febrero de 1808</t>
  </si>
  <si>
    <t>Madrid 17</t>
  </si>
  <si>
    <t>Ignacio Gueróla , y subtenencias de bandera at cadete D. Joseph María Ladoux, y al sargento primero D. Ramón Alisoga. . " En el regimiento de infantería de Soria se ha servido S. M. conferir com</t>
  </si>
  <si>
    <t>Alkett</t>
  </si>
  <si>
    <t>lo menos. -atLa esquadrá que salió de Inglaterra el 6 de diciembre con órdenes secretas al mando de Mr. Alkett , se ha reunido con la de Sir Sidney Smith, que cruza á la boca del Tajo. CAMARA BAXA. Sesión del 21 de enero. Habiéndose leído énr la cámara haxa el mensage de S. M., que el lord</t>
  </si>
  <si>
    <t>Allende, Juan Domingo</t>
  </si>
  <si>
    <t>Juan Domingo Allende</t>
  </si>
  <si>
    <t>D. Gaspar Urdapiileta ,;JD. Juan Narcdo y Riega, D. JósefMaría Santelices , D. Josef Matías Costa, Don Juan Domingo Allende , D. Juan Francisco Diaz , D. Angel Hubach ; á los subtenientes del cuerpo de patriotas; D. Miguel Mugra, D. Vicente Bordas, D. Juan Bautista Viton, D. Julián Corbera, D. Juan Ped</t>
  </si>
  <si>
    <t>Almazan, Pedro Antonio</t>
  </si>
  <si>
    <t>Pedro Antonio Almazan</t>
  </si>
  <si>
    <t>mas de otro cuya entrega está ya anunciada. D.S.T. un caballo con su correspondiente silla y brida. D. Pedro Antonio Almazan , vecino de la villa de Valderas en Castilla la vieja , entregó para aquel exército un caballo útil, cuyo resguardo ¿e su valor ha devuelto al comisionado , manifestando quererlo</t>
  </si>
  <si>
    <t>Almeida Mendoza, Antonio</t>
  </si>
  <si>
    <t>Antonio Almeida Mendoza</t>
  </si>
  <si>
    <t>oficial primero de la comisión general de Consolidación de esta provincia, por una. vez feo^rs. ., D. Antonio Almeida Mendoza, por id. 1200 rs. J:-¡ i Doña Joaquina López, por agosto i 160 rs. mensuales durante la guerra/ 160. El conde de........... á cuenta de 4© rs., 2®. D. Bernardo Murillas, por una v</t>
  </si>
  <si>
    <t>Almela, Luis</t>
  </si>
  <si>
    <t>Luis Almela</t>
  </si>
  <si>
    <t>eraciones mas distinguidas, y el aprecio de la autoridad. El teniente del real cuerpo de artillería D. Luis Almela no solo dirigió los fuegos con toda la precisión y conocimientos artísticos , sino que reuniendo á estas qualidades el valor, el desembarazo, y un golpe de vista mui feliz, logró</t>
  </si>
  <si>
    <t>Almunia, Antonio</t>
  </si>
  <si>
    <t>Antonio Almunia</t>
  </si>
  <si>
    <t>iente , graduado de capitán, D. Diego Carta; tenencias á los subtenientes dé granaderos f). Roque y D. Antonio Almunia , y subtenencias de bandera al sargento' primero O. Manuel Ruiz, y al cadete D. Benito Llórente y Ferraz: en el de Murcia compañía al teniente de granaderos, graduado de capitan,</t>
  </si>
  <si>
    <t>Alopens</t>
  </si>
  <si>
    <t>15 de abril de 1808</t>
  </si>
  <si>
    <t>Madrid 35</t>
  </si>
  <si>
    <t>377 El ministro de Rusia Mr. Alopens permanece aun arrestado, y se dice que será trasladado con buena escolta á una plaza fuerte. DINAMARCA. Kicl i’j de marzo. Escriben de Copenhague que el capitán Jessen ha llegado</t>
  </si>
  <si>
    <t>Alopeus</t>
  </si>
  <si>
    <t>6 de febrero. Mr. Whitbread pide que se presente á la cámara una copia de los pliegos remitidos por Mr. Alopeus; otra de las respuestas dadas por el ministro de estado de S. M. al embaxador ingles en Viena, sobre la mediación ofrecida por esta corte, y un extracto de las conferencias de lor</t>
  </si>
  <si>
    <t>s , ha contestado con mui poco decoro á las reclamaciones; que se-le han. hecho sobre el arresto dé Mr. Alopeus por parte dé los enviados de las demás, potencias en. Estockolmo. S.M. sueca, no contento con haber cometido esta violencia , contraria al derecho- de/ gentes, ha mandado detener</t>
  </si>
  <si>
    <t>servició del Austria, qué viene á París. En los mismos diás paso también de París para Petersburgo Mr. Alopeus, ministro que ha sido.dé Rusia en Londres. El médico de S. M. el rei de Holanda ha estado en Spa algunos días, durante los quales ha visitado varias casas,y tenido frecuentes conf</t>
  </si>
  <si>
    <t>Madrid 135 (supl.)</t>
  </si>
  <si>
    <t>ara completar y aumentar los regimientos. Las tropas, de Virtemberg deberán reunirse en Jiilvangen. Mr. Alopeus, último embaxador de Prusia en Londres , se halla actualmente eu Visbaden* ; - EL 12 pasó, por Stuttgardt desde Viena á Paris un mensagero estado austríaco.. En muchas provincias</t>
  </si>
  <si>
    <t>Alquier</t>
  </si>
  <si>
    <t>d se ha dignado dar hoi audiencia á los oficiales del cuerpo de exércitó francés, que ha presentado Mr. Alquier, embaxador de Francia,, El Sto. Padre los ha recibido can la maypr bondad, y le ha cumplimentado á nombre de todos el general Mioilis, comandante en gefe. Es de admirar la buena d</t>
  </si>
  <si>
    <t>adouna península entre esta última ciudad y la de Catania; pero esta noticia necesita confirmación. Mr. Alquier, ministro plenipotenciario que ha sido de S. M. I. y R* en Ñapóles y Roma, acaba de llegar á París* El día 8 pasó por Nanci un correo de la sublime Puerta con dirección á París. S</t>
  </si>
  <si>
    <t>Altecona, Rafael</t>
  </si>
  <si>
    <t>Rafael Altecona</t>
  </si>
  <si>
    <t>illa. Ordenes Militares. Muerto........... Cadete........ D. Josef Demblans. r2- Pedro Nieto. _ . ' D. Rafael Altecona. fCapitanes....,' D Bartolom¿ Boutelou. Heridos.................. ■{ ID. Manuel Bu Ines. I rD. Atanasio (U. B Revuelta. i Tenientes ...Jd. jJosef Alano, graduado de capitán. ¿D. T</t>
  </si>
  <si>
    <t>Altimiras, Francisco</t>
  </si>
  <si>
    <t>Francisco Altimiras</t>
  </si>
  <si>
    <t>180.% Manuel Yanes, tendero, id.......... .................................................. . 120. D. Francisco Altimiras, del comercio, 1460 rs. por un año á 4 diarios, y 500 por una vez............ .......................... ..................... 1960. D. Gabriel de Hoyos y Velarde, en 4 pagarés de</t>
  </si>
  <si>
    <t>Alvar-ez, Pedro</t>
  </si>
  <si>
    <t>Pedro Alvar-ez</t>
  </si>
  <si>
    <t>............... . Bilbao..... 15.co 23 5) D. Vicente Saldaña................ . Zaragoza.. ,39° 3'44 D. Pedro Alvar-ez y- Fabrega. ...... Cádiz...... 500 2385 D. Alonso Fernandez de Lkncres. Zaragoza..,,. • •• . 300</t>
  </si>
  <si>
    <t>Alvarellos, Rafael</t>
  </si>
  <si>
    <t>Rafael Alvarellos</t>
  </si>
  <si>
    <t>Anexo, p. 42</t>
  </si>
  <si>
    <t>uan; de: ¿ cí kj/ » f ..............................................ii.i''; dadizíMiiiMi; 30Q ■ 258 D. Rafael Alvarellos......i, Burgós....../. 300 300 J.oaquiu Peri............. jMáiaga....~J 300 1923 D. .Antonio vCay.añero.............. ..........................i. ^Zaragoza...:] ,»3oo Ppijji Jose</t>
  </si>
  <si>
    <t>Alvares Contreras, Antonio</t>
  </si>
  <si>
    <t>Antonio Alvares Contreras</t>
  </si>
  <si>
    <t>es, D. Antonio Villanueva, D. Antonio González Yebra, el marques de Casa García, D. Andrés Lasauca, D. Antonio Alvares Contreras, D, Miguel Alfonso Vilagómez, del propio conseje*</t>
  </si>
  <si>
    <t>Alvares Guerra, Andrés</t>
  </si>
  <si>
    <t>Andrés Alvares Guerra</t>
  </si>
  <si>
    <t>16 de julio de 1808</t>
  </si>
  <si>
    <t>Sevilla 14</t>
  </si>
  <si>
    <t>s, municiones y tropas. Dichos pueblos desean con vivas ansias ser ocupados por nuestros exércitos. D. Andrés Alvares Guerra, habilitado por esta Suprema Junta para levantar un batallón de infantería ligera con ei nombre de cazadores de Extremadura, ha ofrecido á todos los soldados del exf&amp;é'itó enemigo</t>
  </si>
  <si>
    <t>Alvares, Domingo</t>
  </si>
  <si>
    <t>Domingo Alvares</t>
  </si>
  <si>
    <t>16 de diciembre de 1808</t>
  </si>
  <si>
    <t>Madrid 156</t>
  </si>
  <si>
    <t>do eclesiástico secular. Dr. D. Juan Antonio Irusta, teniente cura de la parroquia de S. Sebastian; D. Domingo Alvares, beneficiado de la de Santiago. Diputación del cuerpo colegiado de nobleza. D. Eusebio María de los Heros , D. Benito de Prado y Ulloa. Diputación de los cinco gremios mayores. D.</t>
  </si>
  <si>
    <t>Álvarez Acero, Bernardo</t>
  </si>
  <si>
    <t>Bernardo Álvarez Acero</t>
  </si>
  <si>
    <t>r 6 meses.................................................................................... 1600. D. Bernardo Alvarez Acero, maestro de música en el coliseo del Príncipe, 60 rs. mensuales, por setiembre....,........................... 60. D. ManueL Rodríguez, 30 id. por 2 meses.........................</t>
  </si>
  <si>
    <t>Álvarez CarbJHo, Nicolas</t>
  </si>
  <si>
    <t>Nicolas Álvarez CarbJHo</t>
  </si>
  <si>
    <t>. B. 60' id: 'po.r 2 mes·es ................. ~ •• ~,.'••.'r~" •."" • •••.••••.• o..........,. 110. D. Nicolas Alvarez CarbJHo, 20 id.' por 5 id .................... ~ .... . 100. D. Fe~rÍ~mdo Menendez, g~ar~~~aln;a~cen ~e'l~ sa.1 ,d~ e~purrta, J JO id. por' 2 id·.... :·.~'•....•. :~ . .. ·.'.• ~., .••••</t>
  </si>
  <si>
    <t>Álvarez de Álvarez, Félix</t>
  </si>
  <si>
    <t>Félix Álvarez de Álvarez</t>
  </si>
  <si>
    <t>......... La Coruña.. 3co 15 78 Doña Rosa Ventura de Alcedo y Las Casas. Bilbao......... 1 jco 1907 D. Félix Alvarez de Alvarez............................ Zaragoza..... 300 1050 D. Pedro Leseusne.............................................. Madrid....... . 300 1956 D. Rafael Irazabal.....................</t>
  </si>
  <si>
    <t>Álvarez de Castro, Juan</t>
  </si>
  <si>
    <t>Juan Álvarez de Castro</t>
  </si>
  <si>
    <t>Madrid 142</t>
  </si>
  <si>
    <t>allar^, en ia imprenta y librería dé Barco, calle de la Cruz.. . t ;.3rn ' Pastorales del limó. Sr. D. Juan Alvarez dé Castro, obispo^de Cpriij^.pe 3^9J^f5 jiíiiio y; 20 dé setiembre de este ¿ño, en las que exhorta a la defensa ^¡5; la reijgj.09,., del Reí y dé la patria. Se hallarán en la librería de la</t>
  </si>
  <si>
    <t>Álvarez de Contreras, Antonio</t>
  </si>
  <si>
    <t>Antonio Álvarez de Contreras</t>
  </si>
  <si>
    <t>nuel Alvarez Caballero, D. Sebastian de Torres, D. Domingo Fernandez Campomanes, D. Andres Lasauca, D. Antonio Alvarez de Contreras, y Don Miguel Alfonso Villagomez, ministros del consejo Real, nombrados por S. M. para sentenciar la causa formada contra los que se hallan presos con motivo de las ocurrencias co</t>
  </si>
  <si>
    <t>Álvarez de Contrerás, Antonio</t>
  </si>
  <si>
    <t>Antonio Álvarez de Contrerás</t>
  </si>
  <si>
    <t>rez Caballero.=E&gt;. Sebastian de Torres. = ¡D/:Domingo Fernandez de Campomanes. = D. Andrés Lasauca.=D. Antonio Alvarez de Contrerás.=D. Miguel Alfonso Villagomez.,,</t>
  </si>
  <si>
    <t>Álvarez de Faria, Juan</t>
  </si>
  <si>
    <t>Juan Álvarez de Faria</t>
  </si>
  <si>
    <t>D. Tomas de Sancha y Prado en efectivo................................. 1500. El mariscal de campo D, Juan Alvarez de Faria, y su esposa la condesa de Fuente-nueva de Arenzana, han cedido un crédito cobrablé contra la ciudad de Segovia de 400S) rs. 400000. El R. P. ministro y comunidad de PP. Trinitari</t>
  </si>
  <si>
    <t>Álvarez de Labraría, Francisco</t>
  </si>
  <si>
    <t>Francisco Álvarez de Labraría</t>
  </si>
  <si>
    <t>os tenientes del cuerpo de patriotas de la Union D. Antonio Santiago 'Ulano, D. Juan: Pedro Zerpa'p D. Francisco Alvarez de Labraría, D. Juan Tornáguera, D. Manuel-Vidal; D. Bernardo Ansoategui, D. Antoni© Cruz; y á D. Manuel Ribera, comandante del cuerpo de maestranza establecida en la fortaleza, yD. Francisco</t>
  </si>
  <si>
    <t>Álvarez de Quevedo</t>
  </si>
  <si>
    <t>Madrid 134 (supl.)</t>
  </si>
  <si>
    <t>o de su sueldo correspondiente á agosto................... 336 24. D. Francisco.Alvarez de Quevedo, cirujano, por agosto á 20 rs. ai mes........ ..................... .............................................................. 20; D. Pedro Cubero, tapicero, por agosto 40 rs. mensuales</t>
  </si>
  <si>
    <t>Álvarez de Toledo, Andrés</t>
  </si>
  <si>
    <t>Andrés Álvarez de Toledo</t>
  </si>
  <si>
    <t>ntura Carbonell , D. Félix Victoriano Gómez, D. Juan Godoi, D. Juan Jorge, D. Juan Vicente Vandeli, Don Andrés Alvarez de Toledo, D. Manuel Gestal y Castro, D. Matías Cámara: á los tenientes del cuerpo de patriotas de la Union D. Antonio Santiago 'Ulano, D. Juan: Pedro Zerpa'p D. Francisco Alvarez de Labrar</t>
  </si>
  <si>
    <t>Álvarez del Villar, Félix</t>
  </si>
  <si>
    <t>Félix Álvarez del Villar</t>
  </si>
  <si>
    <t>........ .................. 1 D. Santiago Rabasa, maestro sombrerero, 4 id. por agosto....... 124. D. Félix Alvarez del Villar, uno id. por 5 meses....................... 153. Doña N., viuda, por una vez..................................... .............. 1000. D. Gregorio Marín, id.......................</t>
  </si>
  <si>
    <t>Álvarez Enciso, Pablo</t>
  </si>
  <si>
    <t>Pablo Álvarez Enciso</t>
  </si>
  <si>
    <t>Madrid 147 (anexo)</t>
  </si>
  <si>
    <t>. ......... 120. D. Juan Manuel de Valle, 40 id. id.......................................... . 80. D. Pablo Alvarez Enciso , 40 id. id..... ................................... . 8ov D. Francisco Xavier Corcin, 2 rs. diarios, por 3 meses............ 184. Antonio López, traginero, 3 id. por 12 id.......</t>
  </si>
  <si>
    <t>Álvarez, Alexandro</t>
  </si>
  <si>
    <t>Alexandro Álvarez</t>
  </si>
  <si>
    <t>ia, vacante por premoción de D. Franclco Orchell al arcedianato'titular de la catedral de Torosa, á D. Alexandro Alvarez. S. M. ‘sé’* ha servido conferid la tenencia .coronela del regimiento de iníantéría de, España gt*tupiente coronel D. Juan Ramón Martí, comandante ¿el tercerffbatapon’dél de la Pr</t>
  </si>
  <si>
    <t>Álvarez, Ángel Gerónimo</t>
  </si>
  <si>
    <t>Ángel Gerónimo Álvarez</t>
  </si>
  <si>
    <t>2 D. Bartolomé Palacio, del comercio, por una vez 6© rs. D. Angel Gerónimo Alvarez, por id. 5 00 rs. D. Félix de Larena, id. 500 rs. D. Juan Laví y Zavala, id. 1100 rs.. D. Josef López de la Iglesia, id. 40 rs. D. Miguel Castellanos, id. 640 rs. D. Matías. Roble</t>
  </si>
  <si>
    <t>Álvarez, Antonio</t>
  </si>
  <si>
    <t>Antonio Álvarez</t>
  </si>
  <si>
    <t>Madrid 144 (supl. 2)</t>
  </si>
  <si>
    <t>244. D. y. de O., 4. id. id................................................... ............. 244.1 D. Antonio Alvarez?.administrador déla real Cartuxa del Paular^, 2id., por, agosto... ...v.. .é*.6.2. D. Manuel Hernández de Gregorio, boticario dé cámara de S. M. ,1 ' . 3 id. por agosto...........</t>
  </si>
  <si>
    <t>Álvarez, Domingo</t>
  </si>
  <si>
    <t>Domingo Álvarez</t>
  </si>
  <si>
    <t>de San Bernardo. D. Benito Prado, diputado de la nobleza. D. Juan Antonio Salcedo, cura de S Gines. D. Domingo Alvarez, presbítero beneficiado de Santiago. D. Alfonso Pastor, cura de S Josef. D. Diego Alderete, diputado de S. Isidro. D. Pedro Querpo de Llano, diputado de Santiago. D. Josef Panlagu</t>
  </si>
  <si>
    <t>Álvarez, Felipe</t>
  </si>
  <si>
    <t>Felipe Álvarez</t>
  </si>
  <si>
    <t>ii37 tes D. Vicente S. Pedro, D. Cosme Montanaro, D, Felipe Alvarez, y los cadetes D. Mariano Buendica, D. Tomas Monroi y D. Joaquín Clavijo, con la tropa, se reunieron, sin saber aquella determinación por haber estado algunos de ellos en la guard</t>
  </si>
  <si>
    <t>Álvarez, Félix</t>
  </si>
  <si>
    <t>Félix Álvarez</t>
  </si>
  <si>
    <t>l convento de S. Juan de Dios. £&gt;. Ramón Gar*r cía, alcalde del barrio de la Encarnación y Palacio. D. Félix Alvarez, alcalde del barrio de la Comadre. D. Benito Trigo, alcalde del barrio de San Juan. D. Pedro López, alcalde del barrio de Pinto. Fr. Gerónimo de Santa Cruz , presidente del conven</t>
  </si>
  <si>
    <t>Álvarez, Francisco</t>
  </si>
  <si>
    <t>Francisco Álvarez</t>
  </si>
  <si>
    <t>plantadas, presas y en buen estado 8105 cepas: él propio Josef de la Pipa 712 : Francisco Alvarez, vecino del lugar de Nabóñ , tiene sembrados y á surcó 16 dias de bueyes de maíz con ahorro de la Tiritad de semilla: el propio Josef de la Pipa 25 dias de bueyes: Francisco García de la</t>
  </si>
  <si>
    <t>Álvarez, Francisco Xavier</t>
  </si>
  <si>
    <t>Francisco Xavier Álvarez</t>
  </si>
  <si>
    <t>d.............. .. 361. Doña Sinforiana de Roa, en intereses de vales reales, id........... 180 17. D. Francisco Xavier Alvarez, oficial dé la contaduría general f dé la América meridional, en vales reales, id......................... 2263 28» 3X Santiago Fernandez, maestro sillero de íeales guardias de Co</t>
  </si>
  <si>
    <t>Álvarez, Juan</t>
  </si>
  <si>
    <t>Juan Álvarez</t>
  </si>
  <si>
    <t>administrador del canal de Manzanares, un vale real de 150 pesos,....... ................ 2317 19. D. Juan Alvarez, por una vez........... ................................ . íóq. D. Jpsef de Montes, oficial del archivo general de rentas, por J una vez..........................................</t>
  </si>
  <si>
    <t>Álvarez, Manuel</t>
  </si>
  <si>
    <t>Manuel Álvarez</t>
  </si>
  <si>
    <t>Madrid 140</t>
  </si>
  <si>
    <t>efuerzo que salió del castillo. lioi ha&gt; llegad© a esta ciudad el brigadier de los reales exércitos Don Manuel Alvarez, que desembarcó ayer en S. Feliu de Guixols. Viene á ton\ar el mando de las tropas .acantonadas en las cercanías de esta plaza. Vich jy de octubre. Apenas se recibió la órderi én</t>
  </si>
  <si>
    <t>.. 400. Doña Ana María Zaragoza, id............................................................ 40* D. Manuel Alvarez, ayuda y entretenido del oficio de furriera, id................................................................................. 100. D'. Juan Manuel Vallejo, id..................</t>
  </si>
  <si>
    <t>Álvarez, Pedro</t>
  </si>
  <si>
    <t>Pedro Álvarez</t>
  </si>
  <si>
    <t>Anexo, p. 21</t>
  </si>
  <si>
    <t>....... 300 ’f . 217 Coronel I&gt;.; Ignacio Muñoz........ ...... ............... .. Alicante. 300 832 D. Pedro Alvarez y compañía.......................... Madrid......... 500 184O Sra. Doña Josefa Ceváíros...............r........... Zaragoza..... 3 ©o 21 2 I Excma. Sra. Duquesa de fa Roca..... ....</t>
  </si>
  <si>
    <t>Álvarez, Rafael</t>
  </si>
  <si>
    <t>Rafael Álvarez</t>
  </si>
  <si>
    <t>meses.......... 60. D. Juan Martin, guarnicionero, 40 id. id........ 1......................... 80. D. Rafael Alvarez, tesorero de la real casa de Moneda, 150 id. por agosto................................................................ ................... I JO. D. Nicolás del Valle, 40 id. por</t>
  </si>
  <si>
    <t>Álvarez, Ramón</t>
  </si>
  <si>
    <t>Ramón Álvarez</t>
  </si>
  <si>
    <t>elipe Baídorioti; y la del de Sevilla ai capitán primero del batallón de voluntarios de Campo mayor D. Ramón Alvarez de E^ria.,' ; El. Reí se ha seryjdo conferir el regimiento de caballería del Rei at coronel í&gt;.Jósef María Lastres, teniente coronel del mismo cuerpo: el de caballería de la Reina al c</t>
  </si>
  <si>
    <t>Alvaro Gutiérrez</t>
  </si>
  <si>
    <t>5 de agosto de 1808</t>
  </si>
  <si>
    <t>Madrid 108</t>
  </si>
  <si>
    <t>allí mismo dexárán la razón de la casa en que hubiere de presentarse para el expresado ¡obijeu&gt;, á D. Alvaro Gutiérrez, que está encargado del asunto.' Una cocinera de edad de 38 años, - con bastante disposición, y que po¡drá desempeñar lo que ocurra de guisar en una cocina á la española y á la fr</t>
  </si>
  <si>
    <t>Alvaro Muñoz</t>
  </si>
  <si>
    <t>os serán de las vacadas : 2 de D. Bernabé del Aguila y Bolañqs, con divisa encarnada y blanca: 1 de D. Alvaro Muñoz, con verde y blanca: 2 de D. Manuel Aleas, con azul y encarnada: 2 de D.VicenteBañuelos , con escarolada yr yerde : 2 de tí. Manuel Hernán García Chivato, con blanca: 2 de D. Juli</t>
  </si>
  <si>
    <t>Alvaro Ximenez, Pedro</t>
  </si>
  <si>
    <t>Pedro Alvaro Ximenez</t>
  </si>
  <si>
    <t>imo pasado: para la dignidad de chantre y canongía de la catedralde Segovia, vacantes por muerte de D. Pedro Alvaro Ximenez, á D. Agustín de Cáceres , canónigo de la colegiata del real sitio de $. Ildefonso: para la canoncía de la metropolitana de Sevilla, vacante por fallecimiento de D. Josef Ramón de</t>
  </si>
  <si>
    <t>Alvaro, Gerónimo</t>
  </si>
  <si>
    <t>Gerónimo Alvaro</t>
  </si>
  <si>
    <t>Anexo, p. 25</t>
  </si>
  <si>
    <t>....... 500 848 D. Domingo González........................................ Madrid........ 600 1844 D. Gerónimo Alvaro.......................................... Zaragoza..... 30a 190) D. Marcelo de San Román............ ................... Zaragoza..... 500 645 D. Josef Bartolomé Aguado...........</t>
  </si>
  <si>
    <t>Alvo Lombera, Miguel</t>
  </si>
  <si>
    <t>Miguel Alvo Lombera</t>
  </si>
  <si>
    <t>Anexo, p. 7</t>
  </si>
  <si>
    <t>í es, alcalde mayor.Alicante...!.. 300 1045 Doña María. Gavina Marín;...;..-.Madrid....... 500 42 5 D. Miguel Alvo Lombera...Santander.... 300 1297 D. Antonio Cabañero/presbítero.................. Valencia.... 500 83 9 Sres. Sántbañer y Ximeno.. .............................. Madrid........ 3°o 2430 S</t>
  </si>
  <si>
    <t>Alzaga, Martín</t>
  </si>
  <si>
    <t>Martín Alzaga</t>
  </si>
  <si>
    <t>e contraxo quando los ingleses fueron rechazados de aquel pais. Enterado el Reí de los servicios de D. Martin Alzaga, alcalde que fue -de primer voto en la ciudad de Buenos-Aires, y particularmente de los que contraxo qtjando los ingleses fueroiv rechazados de aquel país-, .se ha dignado concede</t>
  </si>
  <si>
    <t>Alzaibar, Vicente</t>
  </si>
  <si>
    <t>Vicente Alzaibar</t>
  </si>
  <si>
    <t>.... 600 o D. Gabriel Balaez.................. ............................. Zaragoza..... 300 1960 D. Vicente Alzaibar.......................................... Zaragoza..... 300 945 Excmo. Sr. Marques del Norte...................... Madrid....... 500 2178 D. Francisco Osearte.......:.............</t>
  </si>
  <si>
    <t>Amable Charost, Miguel</t>
  </si>
  <si>
    <t>Miguel Amable Charost</t>
  </si>
  <si>
    <t>Madrid 138 (supl. 2)</t>
  </si>
  <si>
    <t>.................... 10. D. Simón de Villar y Sancha, 60 id., por 4 meses..................... 240. D. Miguel Amable Charost, reloxero de cámara de S. M., 30 id., por agosto.............................................................. ................ D. Manuel Ruiz de Morales, 60 id. id...............</t>
  </si>
  <si>
    <t>Amalia de Rusia, Princesa</t>
  </si>
  <si>
    <t>Princesa Amalia de Rusia</t>
  </si>
  <si>
    <t>31 de mayo de 1808</t>
  </si>
  <si>
    <t>Madrid 52</t>
  </si>
  <si>
    <t>ífe-piano ó clave con la mayor perfección, compuesto por Kimberger, maestro de piano de S. A. R. la Princesa Amalia de Rusia, y traducido del francés por el capitán D. Federico Moreti, á 20 rs. i EN LA IMPRENTA REAL.</t>
  </si>
  <si>
    <t>Amandi, Francisco Antonio</t>
  </si>
  <si>
    <t>Francisco Antonio Amandi</t>
  </si>
  <si>
    <t>Anexo, p. 10</t>
  </si>
  <si>
    <t>....... Santander.... 300 1303 Sres Berqueyre hermanos , comerciantes........ Valencia..;.. 300 989 D. Francisco Antonio Amandi...................... Madrid....... 1000 167 Sr. Marques de Valdeolmos de la Torrecilla.. Valencia...... 300 2060 D. Francisco Martínez Sisniega.... ................ .. Cádiz.....</t>
  </si>
  <si>
    <t>Amandi, Miguel</t>
  </si>
  <si>
    <t>Miguel Amandi</t>
  </si>
  <si>
    <t>iz........... 600 1065 Doña Ventura María Sanz............................... Madrid....... 300 988 D. Miguel Amandi............................................. Madrid....... 500 762 D. Tomas García Prieto y compañía............. Madrid....... 500 1021 D. Diego de Herce.........................</t>
  </si>
  <si>
    <t>Amarino Corbb</t>
  </si>
  <si>
    <t>as desgracias de Fernando vrt, poesía escrita por una señora inglesa, y traducida al castellano por D. Amarino Corbb, en que se describen todos los sucesos acaecidos á este virtuoso jóven’desde su mas tierna infancia hasta el presente. Se hallará en las librerías de Doblado, de la viuda de Ramos</t>
  </si>
  <si>
    <t>Amat, Félix</t>
  </si>
  <si>
    <t>Félix Amat</t>
  </si>
  <si>
    <t>subtenientes de granaderos D. Vicente Amat y D. Juan Dalmansa ; y subtenencias de bandera al cadete D. Félix Amat y al sargento primero D. Celedonio Floria. Igualmente ha concedido el Reí ayudantía en el regimiento de infantería de España al teniente D. Joaquin Navarro. ; S. M. se ha servido co</t>
  </si>
  <si>
    <t>Amat, Francisco</t>
  </si>
  <si>
    <t>Francisco Amat</t>
  </si>
  <si>
    <t>Madrid 136 (supl.)</t>
  </si>
  <si>
    <t>rseles. Del regimiento de caballería de Algarbe han venido con la división el teniente'y habilitado D. Francisco Amat, y i2 hombres, que estando en marcha con caudales psra el cuerpo, ¡supieron en el camino la resolución 4q1 embarco , y se 4qcjdierop.desd.e= luegpJáijre^ocederrá N^botg.pa-ra segu</t>
  </si>
  <si>
    <t>........ 36$. . D. Vicente Fligaus, 2 id. por 2 meses......................................... 122. D. Francisco Amat , 4 id. por agosto....... ........ 124. D. Antonio Barcones, contador del real Seminario de nobles, uno id. por 2 meses......................................... ..................</t>
  </si>
  <si>
    <t>Amat, Vicente</t>
  </si>
  <si>
    <t>Vicente Amat</t>
  </si>
  <si>
    <t>capitán- D. Josef Montenegro, teniente del mismo cuerpo: tenencias á ios subtenientes de granaderos D. Vicente Amat y D. Juan Dalmansa ; y subtenencias de bandera al cadete D. Félix Amat y al sargento primero D. Celedonio Floria. Igualmente ha concedido el Reí ayudantía en el regimiento de infanter</t>
  </si>
  <si>
    <t>Amatria, Carlos</t>
  </si>
  <si>
    <t>Carlos Amatria</t>
  </si>
  <si>
    <t>Sevilla 45</t>
  </si>
  <si>
    <t>Fagores, D. Carlos Amatria , D. Lorenzo Bonifaz Quinta no, el marques de la Puebla y el conde Gimonde: su secretario el Dé Antonio Escaño. Las elecciones que S. M. ha hecho para las secretarias del despacho</t>
  </si>
  <si>
    <t>Americ, Juan Bautista</t>
  </si>
  <si>
    <t>Juan Bautista Americ</t>
  </si>
  <si>
    <t>el coronel del mismo cuerpo D. Josef García Paredes. Comandante general de ingenieros el brigadier D. Juan Bautista Americ. Mayor general el teniente coronel del mismo cuerpo D. Josef Falc. El teniente general de la real armada D. Felipe Jado Cagigal esta destinado á este exército, y sigue al quartel</t>
  </si>
  <si>
    <t>Ametller, Blas</t>
  </si>
  <si>
    <t>Blas Ametller</t>
  </si>
  <si>
    <t>................•* IOOi* D. Antonio Baylo , del comercio de libros, id................... . icoo. . D. Blas Ametller , grabador, 60 rs. por agosto y setiembre 230 rs. mensuales , y 60 por una vez................ ............................... 120, D. Lorenzo de Mor», de Juros, por una.vez...3CQ</t>
  </si>
  <si>
    <t>Amezua, Francisco</t>
  </si>
  <si>
    <t>Francisco Amezua</t>
  </si>
  <si>
    <t>Anexo, p. 19</t>
  </si>
  <si>
    <t>id....... 3 00 2022 D. Bedro I aflore.................................... Cádiz........... 500 1904 D, Francisco Amezua.............. ................... . Zaragoza.*... -3co 5i •D. Antonio Cortés y Coll..................... ........... Barcelona.... 3 00 302 Ramón Fcnt de Spcna.............. .....</t>
  </si>
  <si>
    <t>Amonio Cano Manuel</t>
  </si>
  <si>
    <t>17 de junio de 1808</t>
  </si>
  <si>
    <t>Madrid 59</t>
  </si>
  <si>
    <t>Sr. D. Andrés Romero Valdés, de 28 de abril de este año, que por ausencia de su compañero dicho Sr. D. Amonio Cano Manuel despachaba su juzgado, se han señalado 15 dias de término á Don Pedro Ignacio de Armendariz para que, llegando á su noticia, comparezca dentro de ellos en dicha audiencia á usrr de s</t>
  </si>
  <si>
    <t>Amonio Valdes</t>
  </si>
  <si>
    <t>ndía á l89 hombres. E táa Bomb ados para la Junta central por la Junta de León el Excmo. Sr. baylío D. Amonio Valdes y el Sr. vizconde de Qtainranilla. Seviilm-27 de SeptiembreHabiéndose formado en Osaña el esquadiron de Carabineros reales el 11 de Julio de esté año, para marchar á Chinchón, ae le d</t>
  </si>
  <si>
    <t>Amorós, Francisco</t>
  </si>
  <si>
    <t>Francisco Amorós</t>
  </si>
  <si>
    <t>2 de febrero de 1808</t>
  </si>
  <si>
    <t>Madrid 10</t>
  </si>
  <si>
    <t>gnado el Reí conceder plaza de ministro de capa y espada en el consejo supremo de las Indias al Sr. Don Francisco Amorós, oficial de la secretaría de estado y del despacho de 1a guerra. La real sociedad económica de esta corte, á cuyo cargo está la real escuela de taquigrafía , sita en la calle del</t>
  </si>
  <si>
    <t>Amoros, Ignacio</t>
  </si>
  <si>
    <t>Ignacio Amoros</t>
  </si>
  <si>
    <t>Sevilla 32</t>
  </si>
  <si>
    <t>ayer á distintos puntos, por donde puede ser atacado en su fuga el enemigo. Ayer noche llegó á esta D. Ignacio Amoros, procedente de Tarragona, con 400. fusiles y su*? correspondientes bayonetas, de. puñal, y 8. cargas de balas. Real sitio del Escorial 27. de Agosto. Es cosa que debe' llamar la a</t>
  </si>
  <si>
    <t>An, Manuel</t>
  </si>
  <si>
    <t>Manuel An</t>
  </si>
  <si>
    <t>yo, en 2 vales reales de enero, * uno de 300 pesos,y el otro de 150, y un pico en dinero, Id. 7C00. D. Manuel An?e! Carranclo, id................................ . IfOO. La junta de gobierno de la real compañía de la Havana^ 4©- rs. en metálico por los meses de agosto y setiembre á 2© mensua</t>
  </si>
  <si>
    <t>Añas de Prada, Benito</t>
  </si>
  <si>
    <t>Benito Añas de Prada</t>
  </si>
  <si>
    <t>andez Gamponjanesministros del propio consejo, y para que hiciese de secretario ai alcalde de corte D. Benito Añas de Prada. Concluida la sumaria nombró para fiscal al mas antiguo del propio consejo D. Simón de Viegas; y para sentenciarla, después de haber observado todos los trámites y solemnidades de</t>
  </si>
  <si>
    <t>Añaya Villazan, Francisco</t>
  </si>
  <si>
    <t>Francisco Añaya Villazan</t>
  </si>
  <si>
    <t>......... 183. D. M. D., 90 rs. mensuales, por 2 id........................................... 180. D. Francisco Añaya Villazan, oficial del archivo del duque de Medinaceli, 60 rs. id. por agosto.............. ............. .................. 60. D. Baltasar Viguera, médico, 30 id. por 4 meses.............</t>
  </si>
  <si>
    <t>AnconiOj, Pedro</t>
  </si>
  <si>
    <t>Pedro AnconiOj</t>
  </si>
  <si>
    <t>d¿ tí contaduría mayor ¿ id. 500. D. Manuel r Doña&gt; Antonia y Doña María Vandeborchty id...;; 60.’ D. Pedro AnconiOj tk&gt;},íkítíradai ;gu;arda^almaé.en de ios '5 gre* ¡ ■ mfeó , por on.3ño^..^.v.».i..¡¡..¿.^.M,.,;...^.......................... . 1100. D. Gregorio Entrambasaguas, del comercio de l</t>
  </si>
  <si>
    <t>Ancos, Jorge</t>
  </si>
  <si>
    <t>Jorge Ancos</t>
  </si>
  <si>
    <t>Estéban de la Torre, por el cuerpo del comercio. Don Gabriel Vales, diputado del barrio de lá Cruz. D. Jorge Ancos , secretario de la de Santa María D. Rafael de Goarrichena, secretario de la diputación de la calle de Segovia. D. Juan Antonio Acevo, diputado de los Angeles. D. Nicolás Iniesta,</t>
  </si>
  <si>
    <t>Andario, Melchor</t>
  </si>
  <si>
    <t>Melchor Andario</t>
  </si>
  <si>
    <t>a de sus generales en España, y la lealtad y amor de los españoles por su Soberano Fernando vu, por D. Melchor Andario. Véndese en las librerías de Bengoechea,. calle de las Carretas, en la de Cerro, portal de Manguiteros , en el almacén de papel de Bueno, calle del Carmen, y en el puesto de la ga</t>
  </si>
  <si>
    <t>Andrade, Joaquín</t>
  </si>
  <si>
    <t>Joaquín Andrade</t>
  </si>
  <si>
    <t>io$7 Notas. En la acción del 16 fueron .heridos el barón de la Barce y Don Joaquín Andrade, y en la del día 19 el capitán D. Josef Barón de Montágne y D. Cayetano BarresuCbea , todos del regimiento de guardias Valonas. v , El capitán del regimiento de infantería de la R</t>
  </si>
  <si>
    <t>Andrea Luna</t>
  </si>
  <si>
    <t>camisas y D. J. Y. 2: 56 varas de lienzo. D. Francisco Goyá 21 varas de lienzo; D. L . 2. camisas. Doña Andrea Luna 4 camisas. D. B. S. una. D. Joaquín García 2. D. Miguel Herrero 2. El convento de religiosas de S. FerD. Joaquín Lemaire y Villareál 7 nando S. ; camisas, 4 pares de calcetas , 2</t>
  </si>
  <si>
    <t>Andrea Rlíñano</t>
  </si>
  <si>
    <t>Sevilla 28</t>
  </si>
  <si>
    <t>¿ó en fio á la puerta de Atocha el General de este g!o:i &gt;¿l&gt; exi-cito, rco;np2ííado del Kxcmo. Sr, D. Andrea Rlíñano„ vocal de la Suprema Junra de Sevilla, dei ma» t¡¿cal de campo D. Temas Moreno, primer ayudante general del exércim, de los demás oficiales del estado mayor y del coronel Wmn^an e</t>
  </si>
  <si>
    <t>Andrea Rodríguez Mate</t>
  </si>
  <si>
    <t>elo, Tifa ~éñ Ta cátedra! de León, vacante por fallecimiento de D. Santos Fernandez ,’y renuncia de D. Andrea Rodríguez Mate, á quien M. sé sirviónoi^brar'para ella á consulta de la cámara por résplñqioq do 7 jjdó Jgprqro ' del'-.'ano - próximo pasado, á DV Manuel García Álvárez : parja una me^la-raciqn</t>
  </si>
  <si>
    <t>Andrés Julián</t>
  </si>
  <si>
    <t>l............ El marques de Alcañices................. .......r El marques de Bendaña........ . %■ D. Andrés Julián, subteniente de la partida de descubierta de Valencia.;..;.................................... . D. Francisco Pascual de los Cobos, vecino de Jtjmilla.............. .......... D.</t>
  </si>
  <si>
    <t>Andrés Luis</t>
  </si>
  <si>
    <t>o Je Sta. María. D. Manuel Négueruela% secretario de S Juan. Don Juan Sagra , alcalde de los Caños. D. Andrés Luis, secretario de dicha. D. Josef López Braña, eclesiástico de dicha. D. Manuel Taraayo, diputado</t>
  </si>
  <si>
    <t>Andrés Miguel</t>
  </si>
  <si>
    <t>aura. En ei regimiento dé caballería del Infante se ha servido S. Mi conceder ; tenencia al alférez D. Andrés Miguel ; esta- resulta al portaestandarte D. Nicolás Coral; y empleos de portaestandarte al sargento primero 0* Nicasío</t>
  </si>
  <si>
    <t>Andrés-de Errasti</t>
  </si>
  <si>
    <t>24 de mayo de 1808</t>
  </si>
  <si>
    <t>Madrid 49</t>
  </si>
  <si>
    <t>tierra el teniente general D. Domingo Cervino; el mariscal de,campo D. Luis Idiaquez; el brigadier D. Andrés-de Errasti, comandante del primer batallón de reales guardias Españolas; el coronel D. Pedro de Porras, capitán de reales guardias Valonas; el coronel D. Pedro de Torres, exentó del real cue</t>
  </si>
  <si>
    <t>Andriani, Luis María</t>
  </si>
  <si>
    <t>Luis María Andriani</t>
  </si>
  <si>
    <t>Anexo, p. 27</t>
  </si>
  <si>
    <t>....... Bilbao.......... 300 916 Doña Juana Teresa de Latorre y compañía.... Madrid........ 300 148 D. Luis María Andriani, sargento mayor....... Valencia..... 600 1003 Doña Josefa Susana Seropp................................ Madrid....... 500 1953 D. Juan Casaus......................................</t>
  </si>
  <si>
    <t>Andureo, Juan</t>
  </si>
  <si>
    <t>Juan Andureo</t>
  </si>
  <si>
    <t>, 10 rs. D. Josef Kossi, por una vez 800 rs. D. Francisco Labat, por agosto á 60 rs. mensuales, 60. D. Juan Andureo 160 rs. por una vez y 20, mensuales, 180. D. Fernando del campo, oficial de la contaduría del consejo de Guerra, por agosto 20 rs. Juana López, su criada, por una vez 300 rs. . D.</t>
  </si>
  <si>
    <t>Ange</t>
  </si>
  <si>
    <t>io Josef Mathé GH1, presbítero, por una vez........... 1100. p! Casimiro Maroto, por una vez.&lt; 320. D. Ange 1 de Aragón y. Aivarez , por. una. vez................... $00. D. Gregoriodeia Cruz ,&gt;por una vez D. Andrés Visur, por una vez 134994 •••, too. D. Pedro Marcelino* Blanco ^ corred</t>
  </si>
  <si>
    <t>AngefSolano</t>
  </si>
  <si>
    <t>10. : ¡ D. Andrés .Perez de Gracia 120. Fr nciseo Xavier García 4. D. Ramón Perez y Qrteá 2354 xs. D. AngefSolano 60. y iplsmrs., en vales reales. Juan de García 19. Doña Ceferlna* Ramonel 200.. Francisco Villoría 30. D. Juan de.Berriiezo 30. Ramón González X rs. y 8 Jnrf. ; D. F. J. S. C. 20</t>
  </si>
  <si>
    <t>Angela Clara de Pineda</t>
  </si>
  <si>
    <t>la . Ha vana....................... ................... ................... Cádiz.......... 300 109 Doña Angela Clara de Pineda.......... ............... Tudeia........ 300 2184 D. Josef de Miranda y Cabezón...................... Coruña........ 300 •55 D. Josef Ignacio Sagrista y Soler........... ........</t>
  </si>
  <si>
    <t>Angela de Galarza</t>
  </si>
  <si>
    <t>rid....... icoo 1839 Sra, Doña Manuela Cevallos............................. Zaragoza..... 300 1084 Doña Angela de Galarza y compañía............. Madrid....... 600 2088 Doña Josefa Cebrian y Pizarro............. .......... Cádiz...... . 300 1725 Lie. D. Josef María de Castro..................... Cádiz.</t>
  </si>
  <si>
    <t>Angela de Mellet</t>
  </si>
  <si>
    <t>. Málaga........ 500 78 D. Cayetano Font y Closas........................ . -Barcelona.... 3°o 366 Doña Angela de Mellet................................ . Cádiz.......... TOO I4JO D. Adrián Ernaez.......................................... . Málaga.....*... 300 1609 Sres. D. Nicolás de Sarachaga y co</t>
  </si>
  <si>
    <t>Angela Reclopdo</t>
  </si>
  <si>
    <t>avier dé' VefáT^óo, D* -i) j- T-vj a .Pqi\a ¿María Teresa Ga^tañós^..’^;: P&lt; FraHci^cphporti t lbo. Doña Angela Reclopdo, sirvienta, jé* D. Antonio fíenriquezRoldan 80 rs. D. Ignacio AlexandrO Casado “tío... en metáljcp y,90 rs. 8f mrs. en D. Antonio Abella 361 rs. en efectos .^qtqsjde estado. ^ ■&lt;</t>
  </si>
  <si>
    <t>Angela Rodrigo</t>
  </si>
  <si>
    <t>ora viuda, id......... ...................... ................................. .............. 300. Doña Angela Rodrigo , id........... ....................... ................................. 10. La real academia de Teología dogmática sita en Santo Tomas de esta cor te r id.......................</t>
  </si>
  <si>
    <t>Angela Taulau</t>
  </si>
  <si>
    <t>Doña Agustina Martin 2. Doña Teresa López 2. Doña Angela Ugena una. D. Antonio Fabeyrae 6. Dia 28. Doña Angela Taulau 3 caminas. Una señora viuda 3. D. Francisco Garibai 12. Doña Antonia Bellas y García 2. Doña María Antonia Cano 2 camisas de coruña. Los señ res condes de Gausa 12. D. Josef Maris</t>
  </si>
  <si>
    <t>Angela Ugena</t>
  </si>
  <si>
    <t>iego Alarcon 4. Doña María Teresa Fernandez Delgado 3. Doña Agustina Martin 2. Doña Teresa López 2. Doña Angela Ugena una. D. Antonio Fabeyrae 6. Dia 28. Doña Angela Taulau 3 caminas. Una señora viuda 3. D. Francisco Garibai 12. Doña Antonia Bellas y García 2. Doña María Antonia Cano 2 camisas de</t>
  </si>
  <si>
    <t>Angles, Francisco</t>
  </si>
  <si>
    <t>Francisco Angles</t>
  </si>
  <si>
    <t>Madrid 130 (supl.)</t>
  </si>
  <si>
    <t>Hoi.&gt;ida, por una vez........................................................................ 160. D. Francisco Angles, oficial de ía secretaría del consejo de Hacienda , por una vez........... .................................... ..................... 500* D. Francisco de Ugarte , por una vez....</t>
  </si>
  <si>
    <t>Angli, Miguel</t>
  </si>
  <si>
    <t>Miguel Angli</t>
  </si>
  <si>
    <t>n Montblanch , donde se halla, y eti esta corte á D. Juan Alebesque, plazuela de Matute, núm. 21. A D. Miguel Angli ¿ vecino de la villa de Areñs del mar, en el principado de Cataluña, se le ha extraviado un vale real de igo pésos, creación de 17 de setiembre, niitn. 185665 h-endosado á su favo</t>
  </si>
  <si>
    <t>Anguisolea, Marcos</t>
  </si>
  <si>
    <t>Marcos Anguisolea</t>
  </si>
  <si>
    <t>Anexo, p. 41</t>
  </si>
  <si>
    <t>Madrid..»». 500 825 Viuda de Aldea-Nueva................................... 1 Madrid...... 500 2244 D. Marcos Anguisolea.................... ................... Bilbao»...».. 300 274 D. Josef González Figueras............... ........... Burgos....... 500 406 D. Francisco Barrio Joven........u.......</t>
  </si>
  <si>
    <t>Anguissola, Conde</t>
  </si>
  <si>
    <t>Conde Anguissola</t>
  </si>
  <si>
    <t>21 de julio de 1808</t>
  </si>
  <si>
    <t>Madrid 93</t>
  </si>
  <si>
    <t>ues de Acquavi va, con rúbrica. = Ramón de Germán. =s El Príncipe de Montemiletto.rr Antonio Nolii.=Conde Anguissola.=s El conde de policastro. = Moasieur Rosini.=Tito Mane» , secretario del consejo de Estado.” • IMPERIO « FRANCES. ,• "S París G de julio. Mr. Langles, miembro del instituto, y co</t>
  </si>
  <si>
    <t>Angulo, Benito</t>
  </si>
  <si>
    <t>Benito Angulo</t>
  </si>
  <si>
    <t>....... . icoo. D. Josef Beltran, 30 id. por agosto............................................ 30. D. Benito Angulo, 30 id. id............. ....................... •V........V - 3Ó' D. Josef Medel y Rosales, oficial de la secretaria de la conaesa de Benavente, 40 id. id...................... ..</t>
  </si>
  <si>
    <t>Angulo, Francisco</t>
  </si>
  <si>
    <t>Francisco Angulo</t>
  </si>
  <si>
    <t>26 de julio de 1808</t>
  </si>
  <si>
    <t>Madrid 98</t>
  </si>
  <si>
    <t>D. Manuel Romero, á D. Antonio Ranz Romanillos, á Don Estanislao de Lugo, á D. Pablo de Arribas, á D. Francisco Angulo, á D. Juan Antonio Llórente, y á D. Antonio de la Cuesta y Torre^Mi ministro secretario de Estado queda encargado de la execucion del presente decreto, y de dar los avisos corresp</t>
  </si>
  <si>
    <t>................ 40. D. Juan Galan , 20 id. id................................... ............. 40. D. Francisco Angulo, 4 rs.rdiarios, por 5 meses...................i.. 612. D. Jacinto Z icarias Ruiz, por una vez.................................... . 160. I-a marquesa Du Ghasteler, dos mesadas de</t>
  </si>
  <si>
    <t>Angulo, Pedro</t>
  </si>
  <si>
    <t>Pedro Angulo</t>
  </si>
  <si>
    <t>19 de abril de 1808</t>
  </si>
  <si>
    <t>Madrid 37</t>
  </si>
  <si>
    <t>ra al cadete D. Esteban López Vidal: en el de Cantabria compañía al ayudante , graduado de capitán, D. Pedro Angulo; tenencia al subteniente de granaderos D. Francisco Perez, y subtenencia de bandera al' cadete D. Antonio de Paz: en el de América la tenencia coronela al comandante del tercer ba</t>
  </si>
  <si>
    <t>Aniceto de Cuevas</t>
  </si>
  <si>
    <t>........... 60. D. Hipólito del Valle, 100 id............................ .................. . 100. D. Aniceto de Cuevas, 50 id......................................................... 50. D. Francisco Peñaredonda, 120 id. id...i.............. ........................ .120. D. Josef Pastor de Cácere</t>
  </si>
  <si>
    <t>Ánío</t>
  </si>
  <si>
    <t>**5*v,»***fV**í*V*Vll»|***M».,tt . 244. Y; D. Pablo Fo.z , oficial de Ja secretaría del $r. Infante D. Ánío- , nio;,-en libramientos de Vitalicio, por una vez................ . . 1440. ' D. Ramón Tamáyo, teniente de. fragata de la, real Armada, un recibo de intereses de vales reales, id.</t>
  </si>
  <si>
    <t>Anronfo del Portillo, Juan</t>
  </si>
  <si>
    <t>Juan Anronfo del Portillo</t>
  </si>
  <si>
    <t>.... 1100 .12s D. Frántisco l^iaz, por uña vez................................................ íob. D. Juan Anronfo del Portillo, pof una vez...................zcíeo. D. Santiago de la Peña, de este comerciopor una vez........... 1500. D. Antonio Vizcaíno y Somoza, agente de negocios................. 400. M</t>
  </si>
  <si>
    <t>Anselino</t>
  </si>
  <si>
    <t>Anexo, p. 39</t>
  </si>
  <si>
    <t>a......... 500 268 P. josef María de yeladiez............................ Burgos............... )CO D. Anselino:Alonso..y..Reziiz........... ............... Bilbao........ 500 43,1 p. Josef -González de.Ribera. ......;..’............. Santander.... 300 2§0 Peña Teresa Cabeaon...............</t>
  </si>
  <si>
    <t>Anselma de Vacas, María</t>
  </si>
  <si>
    <t>María Anselma de Vacas</t>
  </si>
  <si>
    <t>Ribáfcbbay Gor- D. Pedro Navarro 3. , - vea 1)2, camisas.' : .... D. Pablo Minguet una. v:r;-' '/ .Doña María Anselma de Vacas uñar. Doña Ñ. úna.1 f: - f D. Isidro Gaspar de Aranzazuj. D. Leandro Sandoval y su escribienDoñá María Nicolasa .Montero 2. v te D. Ramón Ciaran 5. 4 Doñ$.Míc.aéU, Rapftqn’á‘'Nico</t>
  </si>
  <si>
    <t>Anselmo</t>
  </si>
  <si>
    <t>1 de marzo de 1808</t>
  </si>
  <si>
    <t>Madrid 18</t>
  </si>
  <si>
    <t>re hacer postura á todas ó cada uiiá dé dreháí heredades, lo executará por la escribanía que exerce D. Anselmo (garcía Herretosj L-.También está asignado por la misma comisión el citado diav io; para él remití de una casa y 116 obradas dé tierra de pan llevar,* sitas en término dél’ lugar</t>
  </si>
  <si>
    <t>Anselmo Prieta Hermosino</t>
  </si>
  <si>
    <t>isionados. Rs. vn. 381 Doña Jacoba Gilí de Taboada......... ................ Coruña...... . 500 75° D. Anselmo Prieta Hermosino......... . ... Madrid......600 564 D. Josef Nieto.................................. ............ . ... Madrid....... 1000 197 D. Pedro Cassou................................... ..</t>
  </si>
  <si>
    <t>Ansoategui, Bernardo</t>
  </si>
  <si>
    <t>Bernardo Ansoategui</t>
  </si>
  <si>
    <t>lano, D. Juan: Pedro Zerpa'p D. Francisco Alvarez de Labraría, D. Juan Tornáguera, D. Manuel-Vidal; D. Bernardo Ansoategui, D. Antoni© Cruz; y á D. Manuel Ribera, comandante del cuerpo de maestranza establecida en la fortaleza, yD. Francisco Cottia , capitán de dicho cuerpo de maestranza , grados de c</t>
  </si>
  <si>
    <t>Antbnio Cornel</t>
  </si>
  <si>
    <t>vestir. Aranjuez ér de noviembre. El Sefmb. Sr. conde de FLeridablanca se ha servido dirigir al Sr. D. Antbnio Cornel el1 real decreto siguiente: „El Reí nuestro Sr. D. Fbrnando vtt , y en su real nombre la Junta céntral suprema y gubernativa del reino , deseando facilitar todos los medios de breve</t>
  </si>
  <si>
    <t>Antequera, Francisco</t>
  </si>
  <si>
    <t>Francisco Antequera</t>
  </si>
  <si>
    <t>r una vez.................. 20. D. Francisco Pomaré, tesorero del duque de Frías, por una vez. 400. D. Francisco Antequera, oficial de utensilios de la corona de V Aragón , por uña vez..............................................*..»»»........ 160. D. Pelayo Diez' Muñiz , agente de negocios ¿ por una</t>
  </si>
  <si>
    <t>Anto, Francisco</t>
  </si>
  <si>
    <t>Francisco Anto</t>
  </si>
  <si>
    <t>Anexo, p. 46</t>
  </si>
  <si>
    <t>2117 D. Rafael López, y CortUlasiV;.q.Utt^.'¿.«rdii¿vif; Zaragoza...;.*542 Di -Manuel de Erezuma y D. Francisco Anto­ 7 f .11 » ,. Y .- « nio de Dúo</t>
  </si>
  <si>
    <t>Antoiio de Üíraza, Juan</t>
  </si>
  <si>
    <t>Juan Antoiio de Üíraza</t>
  </si>
  <si>
    <t>^'Qniéñ quik?érer fecér);fiiejórav «icudi áfitej él señor^ teniente por lá escribanía dél número dé D. Juan Antoiio dé Üíraza. 1 Para pago de acreedores se vende extrajpdicialménté una casa sita en lá cílte dé ííortaleza, num. |, frfanz.304,YasadaJ en71073 rs. y 17 nirs. vn. Qtíied quisiere tratar, dé aj</t>
  </si>
  <si>
    <t>Antolin Baxo y Ocerin, Tomás</t>
  </si>
  <si>
    <t>Tomás Antolin Baxo y Ocerin</t>
  </si>
  <si>
    <t>nidad de deán de lá catedral de Panamá, vacante por fallecimiento de D. Manuel Albino de Obregon, á D. Tomas Antolin Baxo y Ocerin: para el arcedianato que este dexa al chantre D. Pedro Josef Casis de la Torre : para la chantría al maestrescuela D. Juan Joséf Martínez: par$; la maestrcscolía al tesorero I). J</t>
  </si>
  <si>
    <t>Antolin Ramos</t>
  </si>
  <si>
    <t>ndente corregidor de Madrid D. Pedro de Mora y Lomas.................... I 1 El comisario de guerra D. Antolin Ramos.. 1 1 nueva. D. Josef de Armésto , contador de contaduría mayor.........;......................................... 1 1 El coronel'D. Felipe Sicre............................ 1 1 í</t>
  </si>
  <si>
    <t>Antón</t>
  </si>
  <si>
    <t>....... Alicante..... 3co 1000 Doña Juaua Belloc......... ................. Madrid...... . 600 2270 Doña Antón f na Cándida,de, Laraudo.....,,, 1 •' r4 Bübao. í ...... 300 1536 D. Agustin .de Olana • «t*«4 «&gt;M I • • • • » *4 •*•#•••* . Bilbao........ . 300 1075 D. Juan Teran...............</t>
  </si>
  <si>
    <t>Antón de la Encina, Rafael</t>
  </si>
  <si>
    <t>Rafael Antón de la Encina</t>
  </si>
  <si>
    <t>as armas; DqVicente Mena , canónigo de esta santa ígle-sia primada *siy ¡vicario¿general interino ; D. Rafael Antón de la Encina , dignidad de chantre y canónigo de la santa iglesia de Sevilla, y.secretario de</t>
  </si>
  <si>
    <t>Antoni</t>
  </si>
  <si>
    <t>pa'p D. Francisco Alvarez de Labraría, D. Juan Tornáguera, D. Manuel-Vidal; D. Bernardo Ansoategui, D. Antoni© Cruz; y á D. Manuel Ribera, comandante del cuerpo de maestranza establecida en la fortaleza, yD. Francisco Cottia , capitán de dicho cuerpo de maestranza , grados de capitán de m</t>
  </si>
  <si>
    <t>Antonia Alonso</t>
  </si>
  <si>
    <t>anti?i&gt;tp ^ntra Xesq^ría-gt- : 1 - neral ¡ i d... .y».v..y¿ .»••..;.....• ».»•••• ...... . 2826 ir. Doña Antonia Alonso, .viuda, id................... • •.....• -......... 300. D. Pablo Alonso, id.....—................................................ ......... 320. D. Pantaleon Zavaia, en intereses</t>
  </si>
  <si>
    <t>Antonia Bellas y García</t>
  </si>
  <si>
    <t>onio Fabeyrae 6. Dia 28. Doña Angela Taulau 3 caminas. Una señora viuda 3. D. Francisco Garibai 12. Doña Antonia Bellas y García 2. Doña María Antonia Cano 2 camisas de coruña. Los señ res condes de Gausa 12. D. Josef Mariscal 4. Una viuda una. Doña María Rueda 2. Doña Ignacia Rodríguez 2. D. M. C. 6. Doña</t>
  </si>
  <si>
    <t>Antonia Cabré</t>
  </si>
  <si>
    <t>..... Madrid......... 300 1620 D. Miguel Antonio de Yaniz......... ........ Bilbao..J...i. 500 1986 Doña Antonia Cabré................ ........ . Zaragoza..... 500 894 D. Tomas Arrufat..................................... Madrid....... icoo 1538 D- Francisco Xavier de Goycoechea..... Bilbao.......</t>
  </si>
  <si>
    <t>Antonia Cano, María</t>
  </si>
  <si>
    <t>María Antonia Cano</t>
  </si>
  <si>
    <t>gela Taulau 3 caminas. Una señora viuda 3. D. Francisco Garibai 12. Doña Antonia Bellas y García 2. Doña María Antonia Cano 2 camisas de coruña. Los señ res condes de Gausa 12. D. Josef Mariscal 4. Una viuda una. Doña María Rueda 2. Doña Ignacia Rodríguez 2. D. M. C. 6. Doña M. C. una. Doña María Felip</t>
  </si>
  <si>
    <t>Antonia CástillóA</t>
  </si>
  <si>
    <t>Burgos........ 300 968 D: Ramón Pardo...... .......... A.....aA...!...A... Madrid... A.. 1 jeo 2410 D. Antonia CástillóA!.A ji.A...A'A•"• •• .&lt;.V.,s ‘ Zaragoza..... 3¿o 39) D. Matías, González y'Matorés.. 1........t.J.: Coruña....... - joa 269 D. Tomaste Velásco..V.V....;............v.'.aaa; • 'Büfg</t>
  </si>
  <si>
    <t>Antonia Catalá</t>
  </si>
  <si>
    <t>'-'O 1462 D. Josef Lizalde.................. ............................. Málaga......... 6co 1971 Doña Antonia Catalá........................................ Zaragoza..... 300 2005 D. Quirico Puyo............................... 1............. Cádiz........... IOCO 2310 D. Juan Chatrusa*..........</t>
  </si>
  <si>
    <t>Antonia de Borbón, María</t>
  </si>
  <si>
    <t>María Antonia de Borbón</t>
  </si>
  <si>
    <t>retas, y en el puesto de Gutiérrez* frente á Ja casa de Filipinas. &gt; . Himno á la buena memoria; de Doña María Antonia de Borbón , Princesa de Asturias. Se hallará en las librerías de Bengoechea , calle dé las Carretas, y dc.Vt* Ua^ piazüela de StQ. Douiingo. : A i ».. . u ■ '? i-i . Relación histórica de l</t>
  </si>
  <si>
    <t>Antonia de Girnbernat, María</t>
  </si>
  <si>
    <t>María Antonia de Girnbernat</t>
  </si>
  <si>
    <t>n /efectivo, id..................................... .................... ................. 100000. Doña María Antonia de Girnbernat, en intereses de vales, id... 722.La hermandad de obra pia de ciegos de esta villa , id......' 1000, Los individuos de esta Inrmardaá en particular, id................629 4* D. Jo</t>
  </si>
  <si>
    <t>Antonia Fernández</t>
  </si>
  <si>
    <t>00. D. Lúeas Herrero, id................................ .■................................... 480. Doña Antonia Fernandez, id........................................... ............. 4. D. F. O. B., id......... ...... ............................... ............... ......... ..... 60. D. R. V., id...</t>
  </si>
  <si>
    <t>Antonia Fernández, María</t>
  </si>
  <si>
    <t>María Antonia Fernández</t>
  </si>
  <si>
    <t>s. diarios...... ...................................................... ...................... 686. Doña María Antonia Fernandez, viuda, y D. Antonio Vázquez, su dependiente, por 4 meses á real diario..................... 122. Juan Antonio Vallinas, molendero de checplate, por agosto á . real diario........</t>
  </si>
  <si>
    <t>Antonia García y Mancho</t>
  </si>
  <si>
    <t>......... 300 213 T D. Gregorio Gil Santibañez ■•i*............. ».&lt;........ Zaragoza...*. 600 1869 Doña Antonia García y Mancho:..:...»............ Zaragoza...^ % 00 1976 Doña Juana Peñalba ..................... ............ Zaragoza..».. 5 ©o 82 D. Gabriel de Zavala................. .................. Tor</t>
  </si>
  <si>
    <t>Antonia Landeyro</t>
  </si>
  <si>
    <t>...r...... v v * * ' 1 ■' ‘ • 1 IOO. \L f.. ' 80. .* D. Rafael Sagués, ,id«...................1000. Dona Antonia Landeyro, id.&lt;40. D. Vicente Ibañez, guarda almacén cíe la renta del Plomo, y su hijo D. Ignacio Ibañez , á cuenta de 840 rs. por una vez... 70. D. Francisco Perez,, boticario, por un año.</t>
  </si>
  <si>
    <t>Antonia Martínez, María</t>
  </si>
  <si>
    <t>María Antonia Martínez</t>
  </si>
  <si>
    <t>ecinas de Arganda, 4* y 3 varas de paño pardo. Doña Viqenta Miranda 2 camisas. D. Josef Linacero 2. Doña María Antonia Martínez una. Doña María G. 2 finas, y 2 pares de calcetas. Doña M. T. y C. 2 d$ coruña y 2 pares de calcetas. Doña Juana Lacroix 6 camisas. Las señoritas Cerdañes 4. Doña Manuela Ámedigo</t>
  </si>
  <si>
    <t>Antonia Molina de Risel</t>
  </si>
  <si>
    <t>adrid....;*. í 39? 1714 D. Ignacio Esteves yMatutev*,'-.;..-;..,.:.,»^, C,adiz.,«...«f. v &lt;5(03 059 Doña Antonia Molina de Risel, ....v^U*&gt;. Madrid*;...;*. 5 ÓO 2330 D. Josef Reta y Miguel........ .. Cádiz........ oóo i2if D. Juan de Aiuruaga,....................... ............... Bilbao........ 500 2452 D</t>
  </si>
  <si>
    <t>Antonia Moro de Elejaveita, María</t>
  </si>
  <si>
    <t>María Antonia Moro de Elejaveita</t>
  </si>
  <si>
    <t>Zaragoza • • • • f 3°9 519 d. ;osef Dupuy y sobrinos.......................... . Bilbao... 300 505 Doña María Antonia Moro de Elejaveita....... Bilbao.... 1500 856 D. Manuel de Santayana........... ;..... ................ Madrid.. 500 2277 D. Francisco de Atristain................................. Bilbao..-.. 6co 2</t>
  </si>
  <si>
    <t>Antonia Parra</t>
  </si>
  <si>
    <t>.......... 8000. Doña Atanasia Diez, id...................^..........^...«««................... 20. Doña Antonia Parra, id..................................................... 44. D. Manuel pascual,, id......... ............,........ ................................ ¿.. 100. D. Ramón P^.rez, id.w,</t>
  </si>
  <si>
    <t>Antonia Ponzotia</t>
  </si>
  <si>
    <t>id .....u 302308 D- Juaa Míipuel de.Peralta**».•,••• #,# * * *••••*• * ■ - Cádiz.......... 300 ,042 Dona Antonia Ponzotia • * .•• • Madrid;......i 1000 ¡348 Junta de-Qpbierno..de. la.reai..compañía! db la/f o ' : .0 ; ‘ Pdavana.,**?».............. ........... *w,*.»«• • Cádiz,,’;3®®' ^^2 n. Ali^iijel</t>
  </si>
  <si>
    <t>Antonia Rodríguez</t>
  </si>
  <si>
    <t>Bilbao........ 500 2453 D. Hilario Ximenez......................... ........ Zaragoza..... 300 1335 Doña Antonia Rodríguez, viuda de Delgado. Valencia..... 300 473 D. Martin de Aldanav.......................... Bilbao..300 2125 D. Josef Patricio Sorgoyen........... . Zaragoza.... 20000 1862 D. Francis</t>
  </si>
  <si>
    <t>Antonia Zarate y Murguía</t>
  </si>
  <si>
    <t>oza..... 300 1132 D. Juan Doz y Cornel...................................... Zaragoza..... 300 1813 Doña Antonia Zarate y Murguía.................... Zaragoza..... 500 443 D. Josef de Escalante.................................... . Santander... 600 164 D. Francisco Santos........................ ............</t>
  </si>
  <si>
    <t>Antonia, Maríá</t>
  </si>
  <si>
    <t>Maríá Antonia</t>
  </si>
  <si>
    <t>..... 300 1619 D. Lorenzo de Solieta Balzplav....,.....*;*.....:........; ¿Bilbao./.;...;/ 300 2273 Doña Maríá Antonia .Maradiagg* ....../•.../.o Bilbao...!../, 300 2431 D. Alfonso Xbarra....... * • • • •.• •••••,■&lt;■»r . Zaragoza.../ 500 i4í8 D. Ramón de Sta. ,Cruz...&gt;.Wv..vv'vv»vv..^. Santander..</t>
  </si>
  <si>
    <t>Antonio María</t>
  </si>
  <si>
    <t>D. Manuel Bernabla, diputado eclesiástico de S. Plácido. D. Domingo Mesa, alcalde del barrio de id. D. Antonio María, Perez, secretario. D. Manuel Rodríguez , presbí-, tero r diputado de S. Nicolás. D. Agustín Michel, diputado de la Huerta del Bayo. D. Andrés Grande, diputado id. D. Francisco Ca</t>
  </si>
  <si>
    <t>Antonio Santiago</t>
  </si>
  <si>
    <t>o, D. Manuel Gestal y Castro, D. Matías Cámara: á los tenientes del cuerpo de patriotas de la Union D. Antonio Santiago 'Ulano, D. Juan: Pedro Zerpa'p D. Francisco Alvarez de Labraría, D. Juan Tornáguera, D. Manuel-Vidal; D. Bernardo Ansoategui, D. Antoni© Cruz; y á D. Manuel Ribera, comandante del</t>
  </si>
  <si>
    <t>Antonio'Viscaino</t>
  </si>
  <si>
    <t>Anexo, p. 32</t>
  </si>
  <si>
    <t>e la Havana...................................................... ....... Cádiz........... 300 1284 D. Antonio'Viscaino, presbítero...................... Valencia..... 300 1294 Excmo. Sr. D. Félix Berenguer, teniente general........ .......................................................... Valenci</t>
  </si>
  <si>
    <t>Antonio, Príncipe</t>
  </si>
  <si>
    <t>Príncipe Antonio</t>
  </si>
  <si>
    <t>o. * La Princesa María Teresa, hermana del Emperador, partirá dentro de pocos dias con su esposo el Príncipe Antonio» para volver á Saxonia. ALEMANIA. Hamburgo 25 de mayo. Queriendo el Emperador de Rusia imposibilitar toda comunicación entre su imperio y la Inglaterra, ha mandado que ningún buqu</t>
  </si>
  <si>
    <t>Antonio-Balaguer</t>
  </si>
  <si>
    <t>ao......... 3°° 2065 D. Juan Manuel de Peralta........... ................. Cádiz........ IOCO 1134 D. Antonio-Balaguer......... ................—....... . Zaragoza... ..; 300 1946 D. Juan de Marticorena................................... Zaragoza.....: 500 7¿5 D. Manuel Callejo de Alba............</t>
  </si>
  <si>
    <t>Antonio-Ráfaei López</t>
  </si>
  <si>
    <t>arinos, ’ ..... ............................................................. ....... .v...... río. D. Antonio-Ráfaei López, id............ .......... ................... ........... . r6®. Juan de Mata Fernandez, sacristán de la parroquia de Santa Cruz, id.................. ................... .......</t>
  </si>
  <si>
    <t>AntonióHenriquez de Mbntalba</t>
  </si>
  <si>
    <t>29 de enero de 1808</t>
  </si>
  <si>
    <t>Madrid 9</t>
  </si>
  <si>
    <t>te en casa de D. Pedro Perez García, del comercio, plaza mayor; y en Badajoz al comisario de guerra D. AntonióHenriquez de Mbntalba. Se halla vacante la plaza de médico de la villa de Seseña, distante 5 leguas de Madrid y 2 del real sitio de Aranjuez: su dotación es 6600 rs. anuales y 200 para c¿isa. Los-prete</t>
  </si>
  <si>
    <t>AntonioPerezSanta</t>
  </si>
  <si>
    <t>Madrid 127 (supl.)</t>
  </si>
  <si>
    <t>arcía, mozo de.Qtlcio de .la .í'urriera de S. M,., por uná) vez. ..v. i.......u.^.. ii\ ah. i. 500. D. AntonioPerezSanta, Marina, * oficial edel archivo de; rentas, por- una vez..... ............ .....i,.....;......*..;............ 3C0. D. Manuel Rodríguez, portero de la secretaría de Gracia y Jus«.</t>
  </si>
  <si>
    <t>AntonioTnguanzo, Juan</t>
  </si>
  <si>
    <t>Juan AntonioTnguanzo</t>
  </si>
  <si>
    <t>este auto, tildándose el asiento de proclamaCarrillo. ción de Josef 1 en los pueblos donde se haya D. Juan AntonioTnguanzo. executado, y qualquiera nota puesta en ellos D. Alfonso Duran y Baraza- respectiva al gobierno intruso. Madrid 11 de bal. agosto de 1808. = Está rubricado por uno de D. Pascual Q</t>
  </si>
  <si>
    <t>Antonio’ Vicénte Fernández</t>
  </si>
  <si>
    <t>nda al del mismo regimiento conde dé Ibeágh': la del de Cantabria al del de voluntarios de Castilla D. Antonio’ Vicénte Fernandez: la del de América al del de Saboya, graduado de teniente coronel , D. Agustín Colomina: la del de Nápoles ál del propio cuerpo D. Felipe Baídorioti; y la del de Sevilla ai capitá</t>
  </si>
  <si>
    <t>Antonio’Villareal</t>
  </si>
  <si>
    <t>........ . 1000 2289 D. Antonio García del Rio............................. Cádiz......... 600 1097 D. Antonio’Villareal................................ . ... Madrid....... 606 1981 Sres. D. Josef Francisco Mornau....... ... Zaragoza..... 500 H02 D. Juan Xavier de ¿aplaza y *Xazarraga........ Madrid</t>
  </si>
  <si>
    <t>Antonjo Dáyila-toáw</t>
  </si>
  <si>
    <t>s j 00. rs. D. Leandro Valladares ^714 rs. a 5 Doña Vicenta Viña 200. .mrs. en efectos de estado. • D. Antonjo Dáyila-toáw • , D, Alfonso;Ibarra 500. 1r^ D. Baitasar Marcó i !• L D. ■ JoseííRiberabi.66;. í • ;p t [ ;? ;!&gt; Di*,Joaquín Hernández Llano. 1®: D*. Josef Alberto. . ¿ D. Luis .Garbonero 40. '</t>
  </si>
  <si>
    <t>Antopio Fernández Osorio</t>
  </si>
  <si>
    <t>... 200. D. Jacinto Fernandez, cirujano, id..................... ............................. 100. D. Antopio Fernandez Osorio, escribiente de la contaduría de SS. A A., en un recibo de intereses de vales rs. y pico, id... 400. Doña Ana María Zaragoza, id...................................................</t>
  </si>
  <si>
    <t>Antortio Palamar</t>
  </si>
  <si>
    <t>. Bilbao......... 500 1722 Doña Josefa González y Alamos.¿.....¿1......... Cádiz.......... 300 1984 D. Antortio Palamar.................................. Zaragoza..... 500 2108 D. Ramón Larue....... .................. . Cádiz........... 500 2142 D. Nicolás de Arujo y Losada................... . Cor</t>
  </si>
  <si>
    <t>Antqnio Rivacoba, Francisco</t>
  </si>
  <si>
    <t>Francisco Antqnio Rivacoba</t>
  </si>
  <si>
    <t>rs. por una vez, 100. •. !. D. Andrés del Peral, dorador, 80 rs. por una vez, y 240 mensuales, 320. D. Francisco Antqnio Rivacoba un vale de 300 pesos de enero por una vez, 4631 rs. y 22 mrs. D. Manuel Isidoro del Corral y Sobrino, cambiantes, por una vez 20© rsi D. Pedro Pauca, caxero jubilado del Banco, po</t>
  </si>
  <si>
    <t>Antunez, Manuel</t>
  </si>
  <si>
    <t>Manuel Antunez</t>
  </si>
  <si>
    <t>de granaderos del regimiento de Soria; D. Manuel Montesinos, capitán de infantería de Extremadura; D. Manuel Antunez, alférez de guardias Españolas; D. Cosme García, capitán graduado del regimiento de infantería de Borbon, y D. Tomas García , comandante de las fuerzas de la Veguda: todos merecen</t>
  </si>
  <si>
    <t>Aotonio García</t>
  </si>
  <si>
    <t>........................... 200. D. Baltasar García^iayudadeJarfurriera de S. M.,,por una vez. 300. D. Aotonio García, mozo de.Qtlcio de .la .í'urriera de S. M,., por uná) vez. ..v. i.......u.^.. ii\ ah. i. 500. D. AntonioPerezSanta, Marina, * oficial edel archivo de; rentas, por- una vez..... ..</t>
  </si>
  <si>
    <t>Aparicio Vidaurraga</t>
  </si>
  <si>
    <t>RáL mon Antonio Sanfuente, D. Josef Martin Ortega , D. Josef Antonio Aceval , I&gt;. Gerónimo Agüdélo, D. Aparicio Vidaurraga:, I&gt;. Manuel Rodrifuez Saludua, E). Josef María Rodríguez, D. Santiago Cerro, y Zamudie, &gt;. Biego Estanislaor Imaces, Xbr josef fiaría; AgU&amp;tini,! D, Gaystano Stairla, D. Gaspar S</t>
  </si>
  <si>
    <t>Aparicio, Francisco</t>
  </si>
  <si>
    <t>Francisco Aparicio</t>
  </si>
  <si>
    <t>... , Madrid JOO 776 Sres. Alba y Colomer................................... Madrid....... 300 2133 D. Francisco Aparicio................................... Zaragoza..... 1500 4i7 D. Luis Casaña............................................... Santander.... ÓOO 7* D. Joaquin de Urrutia.................</t>
  </si>
  <si>
    <t>... 300 2423 D. Francisco Fernandez Elias....»........................ Cádiz...;..... ..... 500 876 D. Francisco Aparicio..................................... Madrid..,...;; 300 953 D. Benito de Lamata Linares............................... Madrid..... . 500 019 D. Francisco de Irusta.......... *....</t>
  </si>
  <si>
    <t>Aparicio, Juan Manuel</t>
  </si>
  <si>
    <t>Juan Manuel Aparicio</t>
  </si>
  <si>
    <t>e, por una vez......... IOO. D. Manuel de Viergol, relator del consejo, por una vez........... 2CO. D. Juan Manuel Aparicio, por una vez...... *........................... ........ 320. P. Isidro Carrasco, jpor una vez................................................. 320. 13. Juan López ^^nas,. mensual</t>
  </si>
  <si>
    <t>Apezteguia y Lozano, Nicolás</t>
  </si>
  <si>
    <t>Nicolás Apezteguia y Lozano</t>
  </si>
  <si>
    <t>quez......................... 1 1 1 D. Francisco Roblejo......... ................. 1 1 1 icabezad. D. Nicolás Apezteguia y Lozano...... 1 El gremio de menuderos......... ........ . 4 P. Francisco Bermejo.......... .............. 1 P. Ramón Lancha:.:........... . 2 D. Matias Bayo..............................</t>
  </si>
  <si>
    <t>Apolinar de Iguaran</t>
  </si>
  <si>
    <t>2.0 de la secretaría de Hacienda de Indias............ ................ ...................... 500. D. Apolinar de Iguaran, del comercio ..........i..500. D. Antonio Martínez..................................... .................... 1000. D. Teodoro Cia...... ..........................................</t>
  </si>
  <si>
    <t>............ 360. D. Pedro Pablos, un real,diario, por 4 meses................... ;....... 122. ¡ ¡ D. Apolinar de Iguaran,-del comercio, 2500 rs. por una vez, ? y é rs. id. por f id..... .......... ................................ . 3418. D. Manuel Sánchez del Valle , 500 rs. por una vez, y 6 diarios</t>
  </si>
  <si>
    <t>Apolinar de Iguazan</t>
  </si>
  <si>
    <t>Anexo, p. 11</t>
  </si>
  <si>
    <t>a..... 300 221 D. Josef de Mollinedo..... ................................. Alicante...... 300 1558 D. Apolinar de Iguazan....................... ...... 1..... Bilbao.......... 300 2449 H. Hilario Ximenez................... ........................ Zaragoza..... 500 897 D. Ramón de Olarria............</t>
  </si>
  <si>
    <t>Cádiz.......... 300 132 D. Salvador de Perellos y Lanuza................... Valencia..... 3°o 1559 D. Apolinar de Iguazan..................................... Bilbao.......... 600 833 D. Manuel Antonio Acacio...................... . Madrid 1500 1929 D. Tomas Arroyo....................................</t>
  </si>
  <si>
    <t>. Zaragoza...:. 300 437 D. Antonio del Piélago y Castro..................... Santander.... 600 1561 D. Apolinar de Iguazan...................................... Bilbao......... 300 1947 D. Antonio Colas....................... ........................ Zaragoza..... 300 2406 D. Segundo Torres...........</t>
  </si>
  <si>
    <t>Apolinar de Isuaz-an</t>
  </si>
  <si>
    <t>: Zaragoza. ...U ■ 500 *33 D. Josef de Ter-an.............................. . Valencia ■3C.°: 1534 D. Apolinar de Isuaz-an................, . -Bilbao»,.. .y., 3,00 2451 D. Santiago Piñuela............................. Zaragoza.* *■.. •. 300 286 Sánchez y compañía.............................. Málaga 3</t>
  </si>
  <si>
    <t>Apolinar de Isuazan</t>
  </si>
  <si>
    <t>ados, Comisionados. Rs. vn. 977 D. Salvador Gblomer Antentas././..//../.L/...... Madrid... 300 1531 D. Apolinar de Isuazan....................................... Bilbao.... ^ 300 I977 Tadeo López........................ .................. ........... .. Zaragoza..... % aoo 19185 Pr!'Berhár^,Ga^hpt,^^.</t>
  </si>
  <si>
    <t>Apología de Quinto Septimio FlorenteTertuliano</t>
  </si>
  <si>
    <t>pasta; como también varias obras de medicina y cirugía traducidas por el mismo. Apología de Quinto Septimio FlorenteTertuliano,presbítero de Cartago, contra los gentiles en defensa de los cristianos, por el limo Mañero: un tomo en 4.^ Se hallará en el despacho de libros de la Borda, calle del Arenal. Las obras de Ce</t>
  </si>
  <si>
    <t>Apostegui, Juan Ventura</t>
  </si>
  <si>
    <t>Juan Ventura Apostegui</t>
  </si>
  <si>
    <t>calde de id. D. Gregorio Sánchez, diputado. D. Antonio Rafael de la Peña, D. Agustin Plácido Zanon, D. Juan Ventura Apostegui, diputación del Carmen calzado. D. Juan Antonio Ruiz, cura de S. Mi Han. Fr.Juan Josef Capilla, presidente de S. Francisco. P. D. Francisco Lázaro del Ortal, prepósito dei Salvado</t>
  </si>
  <si>
    <t>Aran, Juan</t>
  </si>
  <si>
    <t>Juan Aran</t>
  </si>
  <si>
    <t>íguez, por agosto 6 rs. D. Josef Company, oficial de la secretaria de Hacienda, por ahora 1 joo rs. D. Juan Aran , por una vez 1500 rs. D. Antonio Cortés del Valle, oficial primero de la comisión general de Consolidación de esta provincia, por una. vez feo^rs. ., D. Antonio Almeida Mendoza,</t>
  </si>
  <si>
    <t>Aravaca, Cayetano</t>
  </si>
  <si>
    <t>Cayetano Aravaca</t>
  </si>
  <si>
    <t>o de Llano, diputado de Santiago. D. Josef Panlagua, alcalde de id. D. Juan Pinedo, diputado de id. D. Cayetano Aravaca , eclesiástico de id. D. Tomas Zapelena, diputado calle de Segovia. D. Manuel Medina, diputado id. D. Antonio Urandurraga, diputado del barrio de S.'Juan.-'D. Melchor Gómez de la</t>
  </si>
  <si>
    <t>Arborio Sartirana</t>
  </si>
  <si>
    <t>27 de mayo de 1808</t>
  </si>
  <si>
    <t>Madrid 50</t>
  </si>
  <si>
    <t>ener alguna influencia en el de las partes subterráneas, y anunciar acaso el fin de los terremotos. Mr. Arborio Sartirana, gentilhombre de S. M. el Rei de Italia, y caballero de la real orden, de la Corona de Hierro , ha llegado á esta ciudad, á cumplimentar á $S. A A. II. el príncipe gobernador gene</t>
  </si>
  <si>
    <t>Arbuthnot</t>
  </si>
  <si>
    <t>sia firmado en el mes do ■enero de 1807; otra de la correspondencia entre el secretario de estado y Mr. Arbuthnot; y también la de la correspondencia entre lord ColUngwood y los demás almirantes ingleses en el Mediterráneo. í Mr. Canning, después de haber hecho varias reflexiones sobre la ca-</t>
  </si>
  <si>
    <t>Arbutnoth</t>
  </si>
  <si>
    <t>22 de julio de 1808</t>
  </si>
  <si>
    <t>Madrid 94</t>
  </si>
  <si>
    <t>nglesa; y en el caso qué no accedan á esta petición, disparareis contra la ciudad. Pero siempre que Mr. Arbutnoth este en libertad,os concertareis con el sobre la conducta qué haya de observarse. Si. este ministro opina que deben principiarse las hostilidades» dispondréis desde luego vuestra es</t>
  </si>
  <si>
    <t>Arcaíre y Viciende, Dionisio</t>
  </si>
  <si>
    <t>Dionisio Arcaíre y Viciende</t>
  </si>
  <si>
    <t>consejos. El que pretendiere tener derecho á Los bienes y créditos que pertenecen á la herencia de D. Dionisio Arcaíre y Viciende, beneficiado que fue de la parroquia de la M igdalena de Zaragoza, y sea pariente suyo por parte de padre ó madre/acudirá á deducirlo al tribunal de causas pías de dicha ciudad de</t>
  </si>
  <si>
    <t>Arciniega, Benigno</t>
  </si>
  <si>
    <t>Benigno Arciniega</t>
  </si>
  <si>
    <t>.................... * 80. D. Placido Caballero, por agosto á 20 rs. mensuales.................. 20 D. Benigno Arciniega, sirviente, id........... ................ ........ ......... 40. D. Francisco Ruiz de Mendoza, oficial del archivo general de Consolidación,- 300 rs. por una vez, y 36 y 24. mrs.</t>
  </si>
  <si>
    <t>Arcos y Sancho, Francisco</t>
  </si>
  <si>
    <t>Francisco Arcos y Sancho</t>
  </si>
  <si>
    <t>lo cxecufará por la escribanía que está á cargo de D. Francisco García Ramírez. uPor providencia dé D. Francisco Arcos y Sancho, juez comisionado regio en la '-móéeísi de Cádiz, se ha señalado1 ¿1 dia 9 d el corriente para el remate de 88 fanegas •déIfiéria , con su cortijo blanco , en la dehesa de la Tabl</t>
  </si>
  <si>
    <t>Arecós Cuervo, Juan</t>
  </si>
  <si>
    <t>Juan Arecós Cuervo</t>
  </si>
  <si>
    <t>iene también 510: el mismo Josef de la Pipa, ya dicho, ha segado toda su cosecha de pair con hoces: D. Juan Arecós Cuervo, de,Pronga tiene plantadas, presas y en buen estado 8105 cepas: él propio Josef de la Pipa 712 : Francisco Alvarez, vecino del lugar de Nabóñ , tiene sembrados y á surcó 16 dias d</t>
  </si>
  <si>
    <t>Arévalo, Francisco</t>
  </si>
  <si>
    <t>Francisco Arévalo</t>
  </si>
  <si>
    <t>............ . 40. 1 D. Miguel Arévalo , ropero, mensualmente.................................. 10. D. Francisco Arévalo, mensualmente...................... .............. *■•••• 10. D. Martin Gousin, oficial de libros de la Inclusa, por 4 meses á 40 rs. cada mes......................i..............</t>
  </si>
  <si>
    <t>ares;de botines de pa-^ ño negro, 2 camisas, 3 pantalones, 6 varas; de saiga Manca y ^; arpijlerási D. Francisco Arévalo 21 varas y tercia de estameña. D. Policarpo Gutiérrez 40 pares de botines largos y 3 pantalones, todo de lienzo. D. Santiago Izquierdo 3 5 varas y media de paño pardo. D. Manuel S</t>
  </si>
  <si>
    <t>Arévalo, Miguel</t>
  </si>
  <si>
    <t>Miguel Arévalo</t>
  </si>
  <si>
    <t>0 rs. cada mes..................................................... ....................... . 40. 1 D. Miguel Arévalo , ropero, mensualmente.................................. 10. D. Francisco Arévalo, mensualmente...................... .............. *■•••• 10. D. Martin Gousin, oficial de libros</t>
  </si>
  <si>
    <t>Argaiz, Francisco Xavier</t>
  </si>
  <si>
    <t>Francisco Xavier Argaiz</t>
  </si>
  <si>
    <t>Anexo, p. 9</t>
  </si>
  <si>
    <t>........ Madrid....... 300 1287 D. Ignacio de Orellano, comerciante.......... Valencia..... 300 T47 D. Francisco Xavier Argaiz......................... Madrid........ "500 1527 7 Miera......&gt;........................ Bilbao......... 300 633 D. Francisco Antonio Diz. Madrid....... 500 529 pe de Mazazuda....</t>
  </si>
  <si>
    <t>Argelich, Buenaventura</t>
  </si>
  <si>
    <t>Buenaventura Argelich</t>
  </si>
  <si>
    <t>26 de junio de 1808</t>
  </si>
  <si>
    <t>Sevilla 8</t>
  </si>
  <si>
    <t>calle Imperial Núm. 25. por mayor y menor. AVISO. Se han extraviado unos Vales Reales endosados por D. Buenaventura Argelich, vecino de Barcelona, á favor de D. Fermín Elizaide, del comercio de Cádiz, cuyos números se ignoran Se avisa para evitar Ja circulación de todo vale que tenga el referido endoso,</t>
  </si>
  <si>
    <t>Madrid 121</t>
  </si>
  <si>
    <t>radero se servirá dar aviso de él á los expresados señores, y en Madrid en la secretaría del banco. D. Buenaventura Argelich, vecino de Barcelona, corresponsal de D. Fermín de Elizalde, de Cádiz, debía enviarle en uno de los correos desdé últimos de mayo del presente año varios vales reales endosados al</t>
  </si>
  <si>
    <t>Arhaiz y Brínga's, Francisco</t>
  </si>
  <si>
    <t>Francisco Arhaiz y Brínga's</t>
  </si>
  <si>
    <t>ptor de latinidad, en libramientos de intereses de. vales reales y efectivo, id...i........... 661. D. Francisco Arhaiz y Brínga's, del comercio, en libramientos del Fondo vitalicio y efectivo, id...... ..................... .................. 1000. D. M ariano Salvador de Maelíá, primer pintor de cámara de S</t>
  </si>
  <si>
    <t>Arias Antonio Moit</t>
  </si>
  <si>
    <t>cticaron. Parala formación de la causa nombró el Reí padre en 6 de noviembre una ¡unta compuesta de D. Arias Antonio Moit, decano gobernador interino-del consejo Real, de D. Sebastian de Torres , y D. Domingo Fernandez Gamponjanesministros del propio consejo, y para que hiciese de secretario ai alcal</t>
  </si>
  <si>
    <t>Arias Antonio Mon</t>
  </si>
  <si>
    <t>a misiva, dicen así: SENTENCIA. „En el real sitio de S. Lorenzo a 15 de enero de 1808, el limo. Sr. D. Arias Antonio Mon, decano gobernador interino del consejo; los limos. Sres. D. Gonzalo Josefde Vilches, D. Antonio Villanueva, D. Antonio González Yebra , y los Sres. marques de Casa^García, D. Eug</t>
  </si>
  <si>
    <t>10 de mayo de 1808</t>
  </si>
  <si>
    <t>Madrid 45</t>
  </si>
  <si>
    <t>a ha nombrado la junta juez de policía al consejero de Castilla D. Domingo Fernandez de Campománes. Don Arias Antonio Mon y 'V elarde, decano del consejo y cámara de S. M. &amp;c. „Hago saber al público que por la suprema junta de' gobierno se me ha comunicado con £@cna de este dia la proclama del Sermo. S</t>
  </si>
  <si>
    <t>Madrid 68</t>
  </si>
  <si>
    <t>de junio. Con fecha 24 de este mes ha comunicado el Excmo. Sr. D. Sebastian Piñuela I al limo. Sr. D. Arias Antonio Mon, decano del consejo, ia real orden siguiente: 9,limo. Sr. En el dia 15 de este mes, señalado para la apertura de la asamblea de Bayona baxo la presidencia del Sr. D. Miguel Josef</t>
  </si>
  <si>
    <t>España é Indias: y con fecha del 13 se comunicó por el Excmo. Sr. D. Sebastian Piñuela al timo. Sr. D. Arias Antonio Mon , decano del consejó, la real orden siguiente: „Ilmc. Sr. El Rei quiere que la impresión, publicación y circulación que S. M.. ha mandado hacer al consejo de la constitución que h</t>
  </si>
  <si>
    <t>Arias Antonio Mon y Velarde</t>
  </si>
  <si>
    <t>o de la Guerra: D. Pedro Mendinuera, consejero de Estado, teniente general de tos reales exércitos: D. Arias Antonio Mon y Velarde, decano del consejo de Castilla, y su gobernador inteirino: el duque de Granada, presidente del consejo de las Ordenes: D. Gonzalo Josef de Vilches, ministro del consejo y cámara</t>
  </si>
  <si>
    <t>Arias de Prada, Benito</t>
  </si>
  <si>
    <t>Benito Arias de Prada</t>
  </si>
  <si>
    <t>a corte, núm. 3, manzana 482 , tasada en 162362 rs. Quien quisiere hacer postura, acuda ante el Sr. Don Benito Arias de Prada, alcalde de casa y corte, por la escribanía de provincia de Don Manuel López de Ribas. En virtud de providencia de D. Félix Benitez, alcalde mayor de la villa de Leganes, juez com</t>
  </si>
  <si>
    <t>Arias Gonzalo</t>
  </si>
  <si>
    <t>aquella diócesi, escritas por varios teólogos y canonistas célebres, y traducidas al castellano por D. Arias Gonzalo de.Mendoza: tomo 6.° Habiendo observado el editor qué muchos dé los suscritores, solo por haber anticipado el Importe de uno, dos ó tres tornos, se han propuesto recoger, á lo último</t>
  </si>
  <si>
    <t>Arias Mon</t>
  </si>
  <si>
    <t>para que sí mereciese su real aprobación, pueda llevarse á efecto; y asi lo acordaron y firmaron. = D. Arias Mon.^s D. Gonzalo Josef de Vilches.=D; Antonio 'Víllánuéva. =Doü Antonio González Yebra.==El marques de Gasa*García.=D. Eugenio Manuel Alvarez Caballero.=E&gt;. Sebastian de Torres. = ¡D</t>
  </si>
  <si>
    <t>nes, marques Cabulero, presidente del de Hacienda, marques de las Amarillas, decano del de Guerra , D. Arias Mon, decano del de Castilla, y conde de M' otar eo , consejeros de Estado, para oir la lectura de una-carta de, S. A. I. y R. el gran duque de Berg, con fecha de hoi, estando delibera</t>
  </si>
  <si>
    <t>13 de mayo de 1808</t>
  </si>
  <si>
    <t>Madrid 46</t>
  </si>
  <si>
    <t>tá rubricado. Con fecha de 10 de mayo ha comunicado el Excmo. Sr. D. Sebastian Piñuela al limo. Sr. D. Arias Mon, decano del consejo y cámara , la real orden, cuyo tenor, y el de los documentos que en ella se expresan, es el siguiente: ,,limo. Sr.: Remito á V. L de orden del Sermo. Sr. gran</t>
  </si>
  <si>
    <t>sejo.” ; &gt; Conria propia fecha ha coimúnicado el Excmo. Sr. D. Miguel Josef der Azanza al limo. Sr. D. Arias Mon, decano del consejo y cámara, la real orckenque¿sigue: • ó- r &gt;r ■. ..'ó! , .r . •i; .j,Il&lt;tio¿ Sr;: Teniendo en consideración el Lugar-Teniente.General del reinot eL^nérito y'tal</t>
  </si>
  <si>
    <t>astian Piñuela.” Con fecha 29 de mayo ha comunicado el Excmo. Sr. D. Sebastian Piñuela al limo. Sr. D. Arias Mon, decano del consejo y cámara , las reales órdenes que siguen : ,,Ilmo. Sr. El Serenísimo Señor gran Duque de Berg, Lugar-Teniente General del reino, quiere qué mañana 30 del corri</t>
  </si>
  <si>
    <t>cretos se ha publicado el 15 en el consejo una real orden de S. A. I. y R., comunicada al limo. Sr. D. Arias Mon, decano del consejo y cámara, por el Excmo. Sr. D. Sebastian Piñuela, en que después de insertar los referidos reales decretos, se dice lo siguiente: „ Habiendo S. A. I. y R. acep</t>
  </si>
  <si>
    <t>1041 Sres. del consejo pleno. ,,Se declaran nulos, de ningún valor ni D. Arias Mon. efecto los decretos de abdicación y cesión de D. Gonzalo Josef de Vil- la corona de España, firmados en Francia por ches. los señores Reyes D. Fernando vii y D. CarD. Manuel de L</t>
  </si>
  <si>
    <t>o consejo, se le dé la misma fe y crédito que á su original. Dada en Madrid á n de agosto de i8oS.='D. Arias Mon.= D. Juan Antonio de Inguanzo. = D. Andrés Lasauca. = D. Viceate Duque de Estrada. = D. .Benito Arias.” El real y supremo consejo de Indias ha expedido la circular siguiente: ,, L</t>
  </si>
  <si>
    <t>Madrid 120</t>
  </si>
  <si>
    <t>I12Ó Et. gobernador de la Coruña ha dirigido al limo. Sr. D. Arias Mon, decano del supremo consejo dé Castilla, el siguiente oficio: 99 limo. Sr.: El día 24 del corriente se «ie presentó un caballero ingles con otros dos irlandeses que lo acompañaban</t>
  </si>
  <si>
    <t>Arias Mon y Veiarde</t>
  </si>
  <si>
    <t>hará recomendable su memoria v sensible su muerte. ventas judiciales. Por providencia del limo. Sr. D. Arias Mon y Veiarde, decano gobernador interino fiel consejo, y presidente del honrado concejo de la Mesíu, se ña prorogado por 30 días mas, que cumplen en 8 de marzo próximo, el remate del arrendami</t>
  </si>
  <si>
    <t>Arias Mon y Velarde</t>
  </si>
  <si>
    <t>drid de setiembre de i8o8. = Ilmo. Sr = Pedro de Silva» patriarca electo de las Indias. = limo. Sr. D. Arias Mon y Velarde.” ' AVISOS. Con motivo del saqueo hecho por los franceses en la ciudad de Cuenca se han extraviado al señor conde de Cervera 45 acciones del banco nacional de S. Cirios, núms. 337</t>
  </si>
  <si>
    <t>Madrid 126</t>
  </si>
  <si>
    <t>. muchos años. Madrid 7'de setiembre de 1808. = Ilmo. Sr. — El marques y señor de; Mos,=? limo. Sr. D. Arias Mon y Velarde." ; El supremo consejo de Castilla'ha acordado que se publiquen, en gazeta lasrsiguiéntes. noticias que ha recibido de las justicias de la villa deLMolar¡ y lugar de Iglesias de l</t>
  </si>
  <si>
    <t>Arias, Antonio</t>
  </si>
  <si>
    <t>Antonio Arias</t>
  </si>
  <si>
    <t>, por agosto á 10 rs. diarios....................................... ......................... 310. D. Antonio Arias, dependiente del conde de Villapaterna, por 5 meses á un real diario.................................. ............................ D. Josef de S. Román , por 3 meses á 2 rs. diar</t>
  </si>
  <si>
    <t>Arias, Benito</t>
  </si>
  <si>
    <t>Benito Arias</t>
  </si>
  <si>
    <t>e y crédito que á su original. Dada en Madrid á i.° de octubre de f8o8. = £l duque del Infantado. = D. Benito Arias. =s T). Tomas; Moyano.rs D, Ignacio Martínez de VilleIa. = D. Juan Antonio González Cárrilld.rr Yo D. Bartolomé Muñoz, secretario del Rei nuestro Señor, y sii éscribaño de cámara,</t>
  </si>
  <si>
    <t>Arias, Isidoro</t>
  </si>
  <si>
    <t>Isidoro Arias</t>
  </si>
  <si>
    <t>lbao........ . 3.00 35 D. Gregorio Ramírez Calvo............................. Barcelona»» 300 220,' D. Isidoro Arias................................................. Coruña....... 500 1704 D. Francisco Luis de Lara y Noriga............... Cádiz......... 500: 2461 D. Josef Lizalde»...............</t>
  </si>
  <si>
    <t>Arinos, Bernardo Manuel</t>
  </si>
  <si>
    <t>Bernardo Manuel Arinos</t>
  </si>
  <si>
    <t>do de Tni» que- tiené anexa 'la' cura: de:.almas, vacante:por muerte de í&gt;; josef Perez Calderón, á D. Bernardo Manuel Arinos : para una ración titulada de la capilla deSV‘Márcelo, Tifa ~éñ Ta cátedra! de León, vacante por fallecimiento de D. Santos Fernandez ,’y renuncia de D. Andrea Rodríguez Mate, á q</t>
  </si>
  <si>
    <t>Armando Laurrete</t>
  </si>
  <si>
    <t>. Madrid..... . 500 144 D. Joaquín Martínez Vallejo......................- Valencia..... 300 i°59 ' D. Armando Laurrete, mariscal de campo... Madrid........ ■ 3°° I4j6 D. Tomas Brufau......... ...................................... Málaga......... 300 1454 D. Adrián Hfernaez...... ......... Málaga.</t>
  </si>
  <si>
    <t>Armeiigol, Manuel</t>
  </si>
  <si>
    <t>Manuel Armeiigol</t>
  </si>
  <si>
    <t>nto de infantería de Africa al comandante del tercer batallón del de Córdoba , graduado de coronel, D. Manuel Armeiigol;; y subtenencias de bandera en los de Zamora., Valencia y León á los cadetes D. Francisco Bolangero , D. Josef María Rodríguez, D. Manuel Muñoz y D. Josef Nuñez Baamonde. ^ El Reí</t>
  </si>
  <si>
    <t>Armengol Dalmau y de Cubells</t>
  </si>
  <si>
    <t>. Valencia..... 300 1989 D. Manuel Abad y Monsco...,................ ........ Zaragoza.,... IOOO 57 D. Armengol Dalmau y de Cubells...... ....... Barcelona,i,. 500 1217 D. Cirilo Nenin y D. Francisco Chavarri.... Bilbao........ ; 300 2023 D- Juan de Dios Iracheta................................. Cádiz....,,...</t>
  </si>
  <si>
    <t>Armenta, Ramón</t>
  </si>
  <si>
    <t>Ramón Armenta</t>
  </si>
  <si>
    <t>Madrid 137 (supl.)</t>
  </si>
  <si>
    <t>y cubrían la retaguardia 1 ó o hombres del escuadrón ligero dé Cataluña , al-í ¡mandó de su capitán Don Ramón Armenta. " Asegurado el general Caldagués de hallarse los enemigos en S. Cugat, corrió hácia ellos, y llegando á la ermita de Sto. Domingo, los vio que recien llegados al pueblo habían ap</t>
  </si>
  <si>
    <t>Armeodariz, Joaquín</t>
  </si>
  <si>
    <t>Joaquín Armeodariz</t>
  </si>
  <si>
    <t>de línea Re Toledo, con 2 ayudantes, el capitán de voluntarios de la* Corona D.vjosef Maldonado, y D. Joaquín Armeodariz, capitán primero del batallón de, voluntarios de Navarra.</t>
  </si>
  <si>
    <t>Armfeld, Teniente General</t>
  </si>
  <si>
    <t>Teniente General Armfeld</t>
  </si>
  <si>
    <t>ción debe desembarcar en la Noruega , luego que la segunda y tercera división hayan llegado. Que él Teniente General Armfeld atacará al mismo tiempo aquella Pro vincia por tierra, con i63 hombres. Ya no se habla del desembarco de las tropas danesas , francesas y españolas en la Scania* Bayona 11 de Mayo</t>
  </si>
  <si>
    <t>Armfeldt</t>
  </si>
  <si>
    <t>e manifiestan extremamente contento* del nuevo orden de cosas. Sin embargo, uno de los parientes de Mr. Armfeldt, y'que tiene el mismo apellido, hizo una tentativa inútil para sublevar los moradores de un territorio que posee; pero esta multitud, armada de horquillas, se disperso coa soló la</t>
  </si>
  <si>
    <t>Armstrong</t>
  </si>
  <si>
    <t>25 de julio de 1808</t>
  </si>
  <si>
    <t>Madrid 97</t>
  </si>
  <si>
    <t>os relativos á las negociaciones con la Francia y la Inglaterra. En una carta de Mr. de Champagny á Mr. Armstrong, ministro americano en París, S. E. hace notar á los Estados-Unidos, que si es del ínteres y del honor de todas las naciones el cooperar á que se restablezca el verdadero derecho</t>
  </si>
  <si>
    <t>Arnaez y Bringas, Juan</t>
  </si>
  <si>
    <t>Juan Arnaez y Bringas</t>
  </si>
  <si>
    <t>. Madrid...... 3 co i 6J 4 ■D.* Santiago de Lar.ramendi......... ....... . Madrid........ 300 1062 D. Juan Arnaez y Bringas....... ......................... Madrid........ 3co 654 D. Manuel Felipe de San Pelayo...................... Madrid....... 500 :'k53 5 •D.- Diego Contador.........................</t>
  </si>
  <si>
    <t>Arnaez, Francisco</t>
  </si>
  <si>
    <t>Francisco Arnaez</t>
  </si>
  <si>
    <t>0a Ji6 Juan Villere........... ^........................................... Málaga........ 5 00 ¿89 D. Francisco Arnaez.......................................... Málaga........ . 1000 i6l3 D. Santiago de Unda.......................................... Bilbao........ 500 2i6i D. Fernando León Benavid</t>
  </si>
  <si>
    <t>Arnaez, Pedro</t>
  </si>
  <si>
    <t>Pedro Arnaez</t>
  </si>
  <si>
    <t>Francisco Hernando Gómez 152I varas de estopa. Doña María Bernarda Ortiz Guinea y Teran 4. Dia 24. D. Pedro Arnaez , presbítero, 2 camisas. D. Manuel Martínez de Haedo y Doña Bernarda Arnaez 2. D. Fernando Martínez de Viergol 18 de crea. Antonio Pascasio García, barrendero de las caballerizas</t>
  </si>
  <si>
    <t>Arnainz, Francisco</t>
  </si>
  <si>
    <t>Francisco Arnainz</t>
  </si>
  <si>
    <t>500 243 D. Agustin Lozano.............................. ............... Búfgos........... 600 1606 D. Francisco Arnainz yBringas............ ........ Bilbao.......... 6co 1615 D. Fermín María de Uribarri.................... .... Bilbao........ . 300 342 Fr. Pedro Yepez, de S. Juan de Dios............</t>
  </si>
  <si>
    <t>Arnaiz, Marcos</t>
  </si>
  <si>
    <t>Marcos Arnaiz</t>
  </si>
  <si>
    <t>. Juan Rengel, sargento mayor D. Ramón Gómez, capitán D. Luis Aifaráz, tenientes D. Gerónimo Ríos , D. Marcos Arnaiz, D. Rafael León, subteniea</t>
  </si>
  <si>
    <t>Arnaiz, Pedro</t>
  </si>
  <si>
    <t>Pedro Arnaiz</t>
  </si>
  <si>
    <t>s, por 3 meses............................................................................... 1052. D. Pedro Arnaiz, presbítero, por una vez................................... 260. D. Manuel Maitinez de Haedo, oficial de la contaduría ge\</t>
  </si>
  <si>
    <t>. Doña Micaela Fourdiniez y sus dos D. Agustín Sanz 2. hijas 4. D. J. Q. 2. D. Josef de la Torre 4. D. Pedro Arnaiz una. Doña Isabel Andrea Huésterlíng 12. D. Manuel Martínez de Aedo y Do­ Doña Cándida Irueta, sirvienta, una. ña Bernarda Arnaiz una. Doña María Ramona deAguirre 100. Sres. Santib</t>
  </si>
  <si>
    <t>Arnaldo Desmaisieres</t>
  </si>
  <si>
    <t>..... 3°° 1082 Excma. Sra. Condesa de la Puebla...... .......... Madrid........ 300 1100 Excmo. Sr. D. Arnaldo Desmaisieres, teniente general......................................... ...................... Madrid....... 300 1372 D. Juan Roca y Juan de Orihuela;.;.,.......... Alicante...... 300 1778 D.</t>
  </si>
  <si>
    <t>Arnedo, Santiago</t>
  </si>
  <si>
    <t>Santiago Arnedo</t>
  </si>
  <si>
    <t>Valencia..... 360 553 D. Castor García de Castro.............. •......... . Madrid........ Jóo 2370 D. Santiago Arnedo...................... ..................... Zaragoza..... 300 469 D. Manuel de Sarachaga................................. •••• Bilbao.;....... 300 351 D. Josef Floranes, directord</t>
  </si>
  <si>
    <t>Arpstett</t>
  </si>
  <si>
    <t>17 de diciembre de 1808</t>
  </si>
  <si>
    <t>Madrid 157</t>
  </si>
  <si>
    <t>l Emperador ha nombrado comandante militar de Presburgo al general de caballería conde de Riesch. ' Mr. Arpstett, consejero de .estado ruso» queda interinamente encargado de los negocios después de ¡la salida del príncipeLurakhu Se ha nombrado ppr sucesor de esté al conde Stakelberg, ministr</t>
  </si>
  <si>
    <t>Arques, Juan</t>
  </si>
  <si>
    <t>Juan Arques</t>
  </si>
  <si>
    <t>nte, Coronel D. Francisco Mariano; capitán D. Josef Alarcon; teniente D. Josef Viilarroei; cirujano D. Juan Arques, en Hamburgo: enfermos. Capitán D. Juan Duraillo, en id.: para asistir á dicho convite. Teniente coronel agregado ©. Agustín Duboix; Capitán D. Gabriel Tagle, en Rauders: estaban</t>
  </si>
  <si>
    <t>Arrafan y Valdés de Bexer, Francisco</t>
  </si>
  <si>
    <t>Francisco Arrafan y Valdés de Bexer</t>
  </si>
  <si>
    <t>Anexo, p. 8</t>
  </si>
  <si>
    <t>... Zaragoza..... . 500 2426 D. Juan Manuel de Peralta...,................ . Cádiz........ 500 1720 D. Francisco Arrafan y Valdés de Bexer...... Cádiz.......... 1500 2387 D. Vicente Landeras y Mas,........*................ Zaragoza..... 3 00 1860 D. Víctores Abad de Aparicio........... ............ Zaragoza..... óoo</t>
  </si>
  <si>
    <t>Arrafan y Valdés, Francisco</t>
  </si>
  <si>
    <t>Francisco Arrafan y Valdés</t>
  </si>
  <si>
    <t>Valencia..,.. 30® 2332 D. Pedro Bringas Marroquin........ .................. Zaragoza..... 300 1739 D. Francisco Arrafan y Valdés...................... Cádiz...,...... 500 1724 Lie. D. Josef María de Castro........................ Cádiz.......... 15QO 249 D. Josef Antolin de Náxera..... ....... .............</t>
  </si>
  <si>
    <t>Arráfañy Múñóz, Francisco</t>
  </si>
  <si>
    <t>Francisco Arráfañy Múñóz</t>
  </si>
  <si>
    <t>Otero............. ............. Zaragoza..... 600 1963 D. Martin de Enseña. Zaragoza..... 500 2086 D. Francisco Arráfañy Múñóz.l.......... i......... Cádiz........... 300 1995 D. Vicente Casáju». ..i.........;...:..................... Zaragoza..... 300 1787 D. Rafael Patero........ .......................</t>
  </si>
  <si>
    <t>Arralan y Valdés, Francisco</t>
  </si>
  <si>
    <t>Francisco Arralan y Valdés</t>
  </si>
  <si>
    <t>............ Cádiz.......... 500 25 D. Bernabé Rodríguez Cabriada y Pardo... Zaragoza..... 6co 1721 D. Francisco Arralan y Valdés, de Bexer. • « • Cádiz.......... 300 22 D. Blas Martínez..................... ...................... Zaragoza..... 0 0 IO87 D. Braulio González Peré............................ Ma</t>
  </si>
  <si>
    <t>Arríaza, Juan Bautista</t>
  </si>
  <si>
    <t>Juan Bautista Arríaza</t>
  </si>
  <si>
    <t>, para puesto en música, y cantado á la entrada de los victoriosos exércitos de Jas provincias: por D. Juan Bautista Arríaza. Se hallará á 10 quartos en las librerías de Castillo, frente á las gradas de S. Felipe, y de Perez, calle de las Carretas. Mi sueño: canción al estado actual de la España. Véndes</t>
  </si>
  <si>
    <t>Arribas, Pablo</t>
  </si>
  <si>
    <t>Pablo Arribas</t>
  </si>
  <si>
    <t>Madrid 147 (supl.)</t>
  </si>
  <si>
    <t>por D. Josef Miguel de Azanza,Don Gonzalo O-Farrill, D. Manuel Romero, Don Mariano Luis de Urquijo, D. Pablo Arribas , y el conde de Cabarrus. Estos hombres ilusos, vendidos por ambición al enemigo, siguen en sus cartas el camino trillado ya de ponderar las ventajas que nos re</t>
  </si>
  <si>
    <t>Arriyas, Francisco</t>
  </si>
  <si>
    <t>Francisco Arriyas</t>
  </si>
  <si>
    <t>l Fondo vitalicio, id. 332. DrFelipe Ferrero., en intereses de vales de 1800, id............. . 541 D. Francisco Arriyas, .en intereses de vales y efectivo , id.... .... 400. ~ Doña cMa ría. Micaela .Victoria., id...M&lt;&gt;...................... ••••••••••**•♦•••* |oo. D. Francisco López de las Herrería</t>
  </si>
  <si>
    <t>Arroyó, Agustín</t>
  </si>
  <si>
    <t>Agustín Arroyó</t>
  </si>
  <si>
    <t>s por S. M* de la real junta de dirección y gobierno de los mismos , y del escribano de diligencias D. Agustín Arroyó, salió la c-uerte eñ favor de í&gt;. Domingo Martin de Munguía , que vive en la. confitería de la calle dé Segovia; el- qual se. iritere^p'en .^sta Jifa tomando uii billete él diá i</t>
  </si>
  <si>
    <t>Arroyo, Ana</t>
  </si>
  <si>
    <t>Ana Arroyo</t>
  </si>
  <si>
    <t>; y Doña, María Concepción de Ifusta 6. Doña Isabel Carvajal y Castañeda 2. tí, Juan Lopéz una'. . Doña Ana Arroyo 5 y libra y media tí. Josef Sayes y su parienta Doña de hilas. Manuela Labarta 3. D. Antonio Freile 6 camisas. Df Martin de la Puerta 6, , ( Doña María López libra y media de Marq</t>
  </si>
  <si>
    <t>Arroyo, Félix</t>
  </si>
  <si>
    <t>Félix Arroyo</t>
  </si>
  <si>
    <t>ara este efecto dentro, del término; de 30, dias, por mano deí. escribano: D* Jbsef Sánchez Tirado» D. Félix Arroyo, cirujanohernista que ha sido de los: reales hospitales de Madrid, haviajadopor Francia, deseoso-de adelantar en las varias operaciones, de oculista, y fia- conseguido muchas,y re</t>
  </si>
  <si>
    <t>Arroyo, Ignacio</t>
  </si>
  <si>
    <t>Ignacio Arroyo</t>
  </si>
  <si>
    <t>. N. P., id.................................................................................... 60. D. Ignacio Arroyo, un libramiento del Fondo vitalicio, id...... 541 17. D.iFrancisco Fernandez de Villa, 4 vales de 1 jo pesos, y efectivo, id......................... .............................</t>
  </si>
  <si>
    <t>Arroyo, Miguel</t>
  </si>
  <si>
    <t>Miguel Arroyo</t>
  </si>
  <si>
    <t>cienda, 6 rs. diarios , por agosto.;.....;.......’..................................V....... . i8&lt;L D. Miguel Arroyo, uno id. por 5 meses........................... 153. D. Jaime Jilvá , del comercio-^2-id. por agosto.......... . - 63. Pablo Boneta* cocinero,*2 id. D. Francisco-Perez Velazquez ,</t>
  </si>
  <si>
    <t>Arroyo, Tomás</t>
  </si>
  <si>
    <t>Tomás Arroyo</t>
  </si>
  <si>
    <t>........ Bilbao.......... 600 833 D. Manuel Antonio Acacio...................... . Madrid 1500 1929 D. Tomas Arroyo............................................... Zaragoza. 300 1876 D. Mariano Altaoja............................................. Zaragoza. I jCO i68 Sr. Marques de Valdeolmos....</t>
  </si>
  <si>
    <t>Arroyuelo, Vicente</t>
  </si>
  <si>
    <t>Vicente Arroyuelo</t>
  </si>
  <si>
    <t>3 00 2004 D. Diego Saravia.............. ................. .............. Cádiz........... 300 1764 D. Vicente Arroyuelo............... ...................... Cádiz........... 500 1200 D. Agustín 'Alegrin.................. ................ . Barcelona.... 300 1789 D. Juán Pedro Bardalonga y D. Juan</t>
  </si>
  <si>
    <t>Arroyuelo, Viceñte</t>
  </si>
  <si>
    <t>Viceñte Arroyuelo</t>
  </si>
  <si>
    <t>y Garay... Madrid....... IOOO 2421 D. Juan Manuel de Peralta,.......... &gt;«. Cádi'Z'*M*^if' 500 176) D. Viceñte Arroyuelo................ . »• O^dlZ* • •• mu* •&gt;»:«««•• 300 623 D. Angel Abril »• Madrid» ; 500 ,. Bilbao...,;... 300 &gt;&gt;39 D. Juan Bautista de Aguirre.... 3°o 1728 D. Joaquín Rodríguez....</t>
  </si>
  <si>
    <t>Arrufat, Tomás</t>
  </si>
  <si>
    <t>Tomás Arrufat</t>
  </si>
  <si>
    <t>....... Bilbao..J...i. 500 1986 Doña Antonia Cabré................ ........ . Zaragoza..... 500 894 D. Tomas Arrufat..................................... Madrid....... icoo 1538 D- Francisco Xavier de Goycoechea..... Bilbao........ 300 1771 D. Juan Manuel de Peralta............ Cádiz............</t>
  </si>
  <si>
    <t>Artcnio</t>
  </si>
  <si>
    <t>«-■■ .■..¿..i . .«.• ^ t. . ¿ Doña Dáraasa Izquierdo , por una.,vez........................ . t6,o. D. Artcnio dei Gi'mbernat, cirujano de cámara de S. M.,en va- , les reales, y. en intereses de ésta moneda, id............. ........... 2451 i8. D. Ped ro Regalado Moreno , cura párroco de Geta</t>
  </si>
  <si>
    <t>Arthur Wellesley</t>
  </si>
  <si>
    <t>6 de julio de 1808</t>
  </si>
  <si>
    <t>Sevilla 11</t>
  </si>
  <si>
    <t>99 bemos que nuestros ministros han determinado auxiliar á 99 los españoles en su justa contienda. Sir Arthur Wellesley 99 sale pronto para España: llevará consigo las tropas que 99 estén listas y se seguirán en breve las de Cork. Se 99 harán todos los esfuerzos , imaginables para aplicar á es99 ta</t>
  </si>
  <si>
    <t>Arthuro Velleslei</t>
  </si>
  <si>
    <t>an probado el ardimiento de un pueblo libre. A la rendición de Dupont seguirá en brevé la de Junot. Sir Arthuro Velleslei, que desembarcó en Figueiras, se hallaba, según las últimas noticias, á dos jornadas de Lisboa. El último correo de Gothenburgo. traxo la noticia de que el Reí dé Suecia habia lle</t>
  </si>
  <si>
    <t>Arturo</t>
  </si>
  <si>
    <t>22 de diciembre de 1808</t>
  </si>
  <si>
    <t>Madrid 162</t>
  </si>
  <si>
    <t>este asunto, asegurando que él no habia dado ninguno de los detalles publicados en los periódicos. Sir Arturo confesó después que aunque en muchos artículos del armisticio fue de contrario dictamen al del general en ge-fe, sin embargo habían convenido ambos unánimemente en per» mitir á lo</t>
  </si>
  <si>
    <t>Arturo Paget</t>
  </si>
  <si>
    <t>1 " ; - , r. Según las noticias mencionadas' de Turquía, la esquadrá inglesa, á cuyo bordo se halla Sir Arturo Paget, ha dexádo de bloquear estrechamente; el canal los Dardanelos; pero continúa cruzando en el Archipiélago, y tiene en continua alarma las plazas y ciudades de sus costas, sus islas</t>
  </si>
  <si>
    <t>ias. ^ Belgrado i.° de diciembre. Dias pasados se había extendido la voz de que el embaxador ingles Mr. Arturo Paget había logrado ser admitido en Gqnstantinopla, y que había ajustado un armisticio con el;diván. Ahora sé sabe que Ib que ha dado origen á esta falsa noticia, lia sido-el suceso! Si</t>
  </si>
  <si>
    <t>6y El día 17 recibió el almirantazgo, por él telégrafo, la noticia de que Sir Arturo Paget acababa de llegar á Limington de vuelta de Levante. Al pronto el buque que lo conducia fue puesto en quarentena, y no se pennitió desembarcar al embaxador; pero á consecuencia de</t>
  </si>
  <si>
    <t>Arturo Veliesley</t>
  </si>
  <si>
    <t>Al ir.ismo tiempo anda múi'valida la voz de que el mando en gefe del exército de la India se dará á Sir Arturo Veliesley; y probabíememe se le encargará también la. comisión de* executap el plan' del anterior gobernador su? pariente ,'que trataba de subyugar todos los príncipes independientes que qu</t>
  </si>
  <si>
    <t>Arturo Velleslei</t>
  </si>
  <si>
    <t>17 de mayo de 1808</t>
  </si>
  <si>
    <t>Madrid 47</t>
  </si>
  <si>
    <t>ord Cathcart tendrá el mando en gefe, y servirán baxo sus ordenes Sir John More, Sir IXivid JBaird, Sir Arturo Velleslei, y los_brigadieres Diott y Cotton. Ha salido para Malta el general Stuart \ á quien se ha conferido el mando de todas las tropas inglesas en las islas del Mediterráneo. HOLANDA. X</t>
  </si>
  <si>
    <t>an, hermano de Pitt, venia á España , para cuyas costas se preparaba una,expedición de 20© hombres, Sir Arturo Velleslei, salió el 7 de Inglaterra , y a» espero encontrarlo en las aguas de Lisboa , y reunir á su gran</t>
  </si>
  <si>
    <t>Arturo WeJlesl</t>
  </si>
  <si>
    <t>Sevilla 21</t>
  </si>
  <si>
    <t>n , hermano de Pit , venia á España , para cuyas costas se preparaba una expedición de 2o9 hombres. Sir Arturo WeJlesl^y salió el 7 de Inglaterra , y así espero encontrarlo en las aguas de Lisboa , y reunir á su grande expedición las tropas que es* soltamos. Diario de Badajoz 1 de jfgosio. Por par</t>
  </si>
  <si>
    <t>Arturo Welleslei</t>
  </si>
  <si>
    <t>os.*' Ayer se juntó el consejo de guerra para continuar la sumaria sobre la capitulación de Lisboa. Sir Arturo Welleslei suplicó que se le permitiese manifestar por escrito las instrucciones que podia dar sobre el armisticio y la capitulación que le siguió. Sir Welleslei leyó en seguida un escrito,</t>
  </si>
  <si>
    <t>n Cádiz, mediante á que jap exército francés, mandado por el general D-upont, ocupaba la Andalucía. Sir Arturo Welleslei, que conocía la necesidad urgente de precisar á los franceses á que evacuasen el Portugal, y que por otra parte sabia que r.q podiá lograrse esto ni con su exército ni con el del</t>
  </si>
  <si>
    <t>24 de diciembre de 1808</t>
  </si>
  <si>
    <t>Madrid 164</t>
  </si>
  <si>
    <t>tropas francesas embarcadas en Lisboa era de 24725 hombres, 243 mugeres ,116 niños y 759 caballos. Sir Arturo Welleslei se levantó, y pidió que se le permit iese hacer algunas leves observaciones sobre lo expuesto por sir Dalrimple , pues tenían relación con los movimientos del exército británico,</t>
  </si>
  <si>
    <t>Arzobispo de Toledo, Cardenal</t>
  </si>
  <si>
    <t>Cardenal Arzobispo de Toledo</t>
  </si>
  <si>
    <t>24 bon, Cardenal Arzobispo de Toledo» escrita en recomendación de estas obras» y con el retrato de S. Erna. Véndense juntas ó separadas en las librerías de Quiroga y de ’Oomez Fiientenebro. r.Cufso^coriipléto de físi</t>
  </si>
  <si>
    <t>Sevilla 58</t>
  </si>
  <si>
    <t>illa 16. de Diciembre, El Martes 13. á las af. de la tarde entró en esta Ciudad el Eminentísimo Sr. Cardenal Arzobispo de Toledo y administrador de esta Sta. Iglesia. Aquella tarde esta Junta Suprema diputo para que ie cumplimentasen á sus vocales los fíxcmos. Sres. P. Mro. Manuel Gi!, su vicepresidente y O.</t>
  </si>
  <si>
    <t>Arzobispo, Cardenal</t>
  </si>
  <si>
    <t>Cardenal Arzobispo</t>
  </si>
  <si>
    <t>Sevilla 31</t>
  </si>
  <si>
    <t>nos particulares, que bastaba á reprimir una quexa del gobierno ftances. . Genova- 22. de Julio, El Cardenal Arzobispo ha sschdo de pila en su palacio una bija del fiel executor de esta ciudrd, que por falta de padrino se hallaba sin haber recibido el santo bautismo algunos meses ha. ; HOLANDA. Am</t>
  </si>
  <si>
    <t>As, Ignacio</t>
  </si>
  <si>
    <t>Ignacio As</t>
  </si>
  <si>
    <t>4 de marzo de 1808</t>
  </si>
  <si>
    <t>Madrid 19</t>
  </si>
  <si>
    <t>vincial dé dragones de S. Carlos, en el propio reino , se ha servido promover á capitán al teniente D. Ignacio As.tegui; á teniente al alférez D. Bernardo García, y á alférez á D. Manuel Sánchez , vecino de la demarcación del regimiento. ■ —1 v " j wi 1 -• ■" ■ ........ - - -i ■ ■ VENTAS JUDI</t>
  </si>
  <si>
    <t>Asíénsio Garda Ordoñéz</t>
  </si>
  <si>
    <t>20 rs. id. 20. (* R «*■ M., A! d v-v «A .n. «a MA &gt; 1 . -1 _! A — *1 f *1, - • ^ , 7 : . _____ 200. D. Asíénsio Garda Ordoñéz , Boticario, por id. fá ióó D. Antonio de la Cruz? catedrático del colegia de Farmacia, por 2 meses á 40 rs. id............................. .............................. 80. D.</t>
  </si>
  <si>
    <t>Asuaga, Manuel</t>
  </si>
  <si>
    <t>Manuel Asuaga</t>
  </si>
  <si>
    <t>••••*• •Zaragoza..*-.. 300 g-31?4 D, Santos de Allende....*...... . . Coruña............. 300 1018 D. Manuel Asuaga......... Madrid............. .300 1942 p. Francisco RousJUe................ Zaragoza..... 500 753 Éjccmo. Sr. T)u,q«e de Osuna».•?•*. Madrid.........-30a 2280 p.. Félix Antonio, d</t>
  </si>
  <si>
    <t>Asui, Francisco</t>
  </si>
  <si>
    <t>Francisco Asui</t>
  </si>
  <si>
    <t>• D. Gregorio Martínez de MollineD. Santiago .Gandedó Pelaez .4. do 24. Doña María Poazoti y Pía 4. D. Francisco Asui 12. D. Juan de Madrid 6. .D, Antonio Sanz Ruiz 2. Doña Pascuala de la Plaza una. Doña :M. A. S. 12. Doña María' Leama y Seco;£&gt; s; A \ D* Ántonip Pereira 5. ,r ‘Doña Maríá) Nidola</t>
  </si>
  <si>
    <t>Ataide, Henrique</t>
  </si>
  <si>
    <t>Henrique Ataide</t>
  </si>
  <si>
    <t>de intereses de vales de 1800, id....................... .................................. 180 17. D. Henrique Ataide, comisario de guerra jubilado, uno id. de 1808, id................................................................................... ........ 180 17. D. Juan Antonio Revuelta, 30</t>
  </si>
  <si>
    <t>Atanasia Diez</t>
  </si>
  <si>
    <t>axa de oro, de $ onzas de peso , jd.......................................................... 8000. Doña Atanasia Diez, id...................^..........^...«««................... 20. Doña Antonia Parra, id..................................................... 44. D. Manuel pascual,, id......... ...</t>
  </si>
  <si>
    <t>Atanasio Dávila</t>
  </si>
  <si>
    <t>la real capilla, un vale de 150 pesos de enero por una vez.;............................. 2315 2$; D. Atanasio Dávila, por uña' vez.....;......*........... ........... . 300. D. Sebastian de Otaegui, por uña vez« 821506*..... 30a. D. Josef Antonio deTLarra'z, oficial de la tesorería de los Sres.</t>
  </si>
  <si>
    <t>Atanasio Puyal</t>
  </si>
  <si>
    <t>Madrid 142 (supl.)</t>
  </si>
  <si>
    <t>l ámbito dei templo, se extendía por sus bellos alrededores. Hizo la solemne ceremonia el limo. Sr. D. Atanasio Puyal.y Poveda, obispo de Caristo, auxiliar de Madrid, con toda la dignidad dei rito eclesiástico en la capilla particular donde se venera el devoto simulacro de nuestra Señora, que bor</t>
  </si>
  <si>
    <t>Atanasio Salazar</t>
  </si>
  <si>
    <t>l mismo cuerpo D. Felipe Berenguer: ía del de Africa al de la Corona, graduado de teniente coronel, D. Atanasio Salazar: la del de Toledo al del de Navarra D. Josef Bodet: la del de Mallorca al del de Sevilla, graduado de teniente coronel; D.-Antonio Zuazo; la del de Irlanda al del mismo regimiento</t>
  </si>
  <si>
    <t>Atnat, Félix</t>
  </si>
  <si>
    <t>Félix Atnat</t>
  </si>
  <si>
    <t>e Sto. Domingo,, y en Toledo en la de Soria. Puede ir en carta. Cristiana reconvención al limo. Sr. D. Félix Atnat, abad de S. Ildefonso;, en respuesta contradictoria á su pastoral de 3 de junio.—Sentencia formal y definitiva de Bonaparte contra los vencidos insurgentes de Ja España. Véndese e</t>
  </si>
  <si>
    <t>Auckland, Lord</t>
  </si>
  <si>
    <t>Lord Auckland</t>
  </si>
  <si>
    <t>. En este dia la cámara exáminó las órdenes del consejo relativas á la navegación de los neutrales. Lord Auckland dixo que estas órdenes eran directamente contradictoriasá la lei de.las naciones, y que daban demasiada extensión á la regla establecida en laguerra de 17 5 6 &gt; la qual debía cons</t>
  </si>
  <si>
    <t>Auger</t>
  </si>
  <si>
    <t>26 de abril de 1808</t>
  </si>
  <si>
    <t>Madrid 41</t>
  </si>
  <si>
    <t>no Fabre, que ya ha conseguido anteriormente otro premio del cuerpo. Se ha adjudicado el accessit á Mr. Auger ; y se ha hecho mención honrosa de otros dos discursos. Mr. Fontanes leyó el elogio premiado: Mr. Legouvé leyó una noticia y algunos trozos del discurso de Mr. Auger y de los otro</t>
  </si>
  <si>
    <t>Augustin, Basilio</t>
  </si>
  <si>
    <t>Basilio Augustin</t>
  </si>
  <si>
    <t>. Cádiz......... 3000 2190 D. Leopoldo de S. Vicente y Godoi.............. Coruña........ 3^00 391 D. Basilio Augustin, capitán de ingenieros.... Coruña....... 500 1422 Micaela y Rita Setta.......................................... Málaga.. 3° 0 458 D. Santiago Smith...............................</t>
  </si>
  <si>
    <t>Augusto de Talleirand</t>
  </si>
  <si>
    <t>efe del estado mayor para que las comunique á los gefes de los cuerpos. BADEN. Cnrlsruhe % de mayo. Mr. Augusto dé Talleirand, nombrado ministro plenipotenciario de S. M. el Emperador de los franceses cerca de nuestra corte, ha llegado aqui hace algunos días de París. El viernes último túvola primera aud</t>
  </si>
  <si>
    <t>Autopio</t>
  </si>
  <si>
    <t>•••', 760. D. Juan, Josef de Sari v.iarté conductor de caudales, por agosto á 120 r&amp; mensuales 120. D. Autopio garra, dependiente, del duque de Frías, por agosto á 20 rs, mensuales 20. D. Vicente García.Losaspor agosto, á. 30 rs.. mensuales..... .i.. 30. D. Jpaquin F.us.ter » presbítero, y</t>
  </si>
  <si>
    <t>Avalle, Manuel María</t>
  </si>
  <si>
    <t>Manuel María Avalle</t>
  </si>
  <si>
    <t>Veri,, para Catalufía.=Ei Sr. D. Francisco PaíáFox, Áragon.z^Los Sres. D. Francisco Xavier Caro, y D. Manuel María Avalle, Asturias y Galicia.— El Sr. Barón de Sabasoná, Valencia.a=ÉÍ Sr. Marques de ¿ampo-sagrado, Granada, Córdoba y Jaen.=:Él Sr. Marques de la Puebla, Sevilla.i^Los &amp;re$. Marques del</t>
  </si>
  <si>
    <t>Avono</t>
  </si>
  <si>
    <t>de semillas acaecida en tierra de León, obra curiosa y útil á toda clase de personas, por E. D. D. D. Avono. Véndese en la Coruña en la librería de Soto, en Santiago en la imprenta y librería de Vila, y en Lugo en casa del sargento retirado D. Antonio Ramírez. Puede ir en carta. GRABADO</t>
  </si>
  <si>
    <t>Axus, Alexo</t>
  </si>
  <si>
    <t>Alexo Axus</t>
  </si>
  <si>
    <t>..................... 100. D. Luis Franco.,.almacenista de,carbón^ por una vez............... 4.00. D. Alexo Axus,. por.una&gt; ..... ........................ . 40o. _ 1). Francisco*.Tenaquero.,.a cuenta.de .2®.,rs^....y^&gt;.,,.vM............ .3^o*,, , Pecho Rodríguez,.oficial .impresor *: por upa</t>
  </si>
  <si>
    <t>Ayala y Corona, María</t>
  </si>
  <si>
    <t>María Ayala y Corona</t>
  </si>
  <si>
    <t>oña Susana Carrera 3 libras y media de hilas y una de paños. Doña Josefa Vareia una libra de hilas. Doña María Ayala y Corona 2 libras de id. Doña María Valentina Bueno 3 libras id. Doña Ignacia Bueno 2 libras id. Doña Petra Muñoz libra y media de hilas, una de paños y 8 vendas. Doña Gavina López 4 libra</t>
  </si>
  <si>
    <t>Azcarraga, María</t>
  </si>
  <si>
    <t>María Azcarraga</t>
  </si>
  <si>
    <t>ez........... 100. Doña María Josefa Morena, por una vez..................................... 3000. Doña María Azcarraga, por una vez ........................................ 200. D. Miguel de Sorron, presbítero, por una vez..... ............... 100. D. Domingo Chavarrí, del comercio de lienzos, por</t>
  </si>
  <si>
    <t>Azofra, Juan</t>
  </si>
  <si>
    <t>Juan Azofra</t>
  </si>
  <si>
    <t>razón el memorialista de los portales de Provincia, en el puesto de la tinta, junto á la tienda de D. Juan Azofra. teatros. El Rei, con motivo de su proclamación en esta villa, tiene a bien conceder la entrada gratuita en los teatros: de* esta corte en los dias lunes 15 y martes 26 del presen</t>
  </si>
  <si>
    <t>Azpard, Juan Bautista</t>
  </si>
  <si>
    <t>Juan Bautista Azpard</t>
  </si>
  <si>
    <t>ido cuerpo de patriotas, graátfde coronel de milicias urbanas.* A los capitanes de milicias urbanas D. Juan Bautista Azpard, D. Antonio Busto? y D.; Manuel Rentería , D* Hilario Santos Ramhfeá &gt; D. Ramón Acuenzaít jÓ^GÍndi4o Manuel §an Martin, D. Francisco R Josef María Perez^, D. Jo?ef M^tep Echevarrí</t>
  </si>
  <si>
    <t>Azparez, Juan</t>
  </si>
  <si>
    <t>Juan Azparez</t>
  </si>
  <si>
    <t>............ 300 1315 P, Josef Antonio Lafora,.................... .......... , Valencia.... 300 24 D. Juan Azparez......................................... ......... v Zaragoza......... 500 970 D.. Vicente Sacristana...... ................................. • Madrid............. 5coco 624 Excmo</t>
  </si>
  <si>
    <t>Azpeltia, Gregorio</t>
  </si>
  <si>
    <t>Gregorio Azpeltia</t>
  </si>
  <si>
    <t>.. ¡ srdqtasl' í-r;? - \ • •• Doña Cecilia Simancas tina. - : rBb Juan Ahtopk) de Urraza 6 camisas. D. Gregorio Azpeltia y su5 hijo 4.: « D. J uan Bu rruezo 4. ‘ ' Doña María Rita de Ibargtiéñ úna. D. Diego Panlagua 6. i.rr -i.; D. Angel de Urriidhi 4 T D. Silvestre y D. Pélayo Diez Mar- Doña Ines Del</t>
  </si>
  <si>
    <t>Azpiroz, Francisco</t>
  </si>
  <si>
    <t>Francisco Azpiroz</t>
  </si>
  <si>
    <t>irección de salitres, 40 rs. cada mes................ ......................................... 40. D. Francisco Azpiroz, 40 rs. cada mes......................................... 40. D. Pedro Antonio Erneta, 20 rs. cada mes................ ..........*...... 20. D. Baltasar Doncel, agente de Indias,</t>
  </si>
  <si>
    <t>Bacarini, Francisco</t>
  </si>
  <si>
    <t>Francisco Bacarini</t>
  </si>
  <si>
    <t>. D. Andrés de Tejada, tesorero de exército honorario, por un añoanticipado... ...V........... 720. D. Francisco Bacarini, por un mes , 20. D. Josef María* de Macuso, del comercio , por un mes.......... 500. D. Vicente Sancho ¿ arquitecto, por un mes......... .............. ...... 320. D. Cárlos Holt</t>
  </si>
  <si>
    <t>Bade, Lorenzo</t>
  </si>
  <si>
    <t>Lorenzo Bade</t>
  </si>
  <si>
    <t>........................ 320. *D. Miguel de Lavandero, portero de Rentas , id.................. 60. D. Lorenzo Bade, fiel de la renta del TabacoV* id.......... ......... roo. D. Eugenio Fernandez , id., id..;........ .................................... 60. D. Eugenio Dessí y Alcázar, id., id..</t>
  </si>
  <si>
    <t>Badeigt, Pedro</t>
  </si>
  <si>
    <t>Pedro Badeigt</t>
  </si>
  <si>
    <t>.. 500 83 9 Sres. Sántbañer y Ximeno.. .............................. Madrid........ 3°o 2430 Sres. D. Pedro Badeigt y compañía............. Cádiz......... 300 3815 D. Miguel Dolz.............v..........Zaragoza...» I oeo 2130 Doña MSiríá Prado de Aparici.............'......... Zaragoza..... neo 2</t>
  </si>
  <si>
    <t>Baena, Francisco Gerónimo</t>
  </si>
  <si>
    <t>Francisco Gerónimo Baena</t>
  </si>
  <si>
    <t>rio en que echarlo.; los demas pagarán el frasquito aparte. - VENTAS JUDICIALES. Por providencia de D. Francisco Gerónimo Baena, juez comisionado regio en la diócesi de Plasenciá, se ha señalado el dia 7 del corriente parael remate de la dehesa del Hoyo, sita á media legua de distancia de dicha ciudad, ent</t>
  </si>
  <si>
    <t>15 de enero de 1808</t>
  </si>
  <si>
    <t>Madrid 5</t>
  </si>
  <si>
    <t>e dichas fincas, lo executará por la escribanía que deserripeña Miguel Tellez. * Por providencia de D. Francisco Gerónimo Baena, juez comisionado regio en 1 la d iócesi de Piasencia, se ha señalado el dia 6 de febrero próximo para el remate de la parte que en la dehesa de S. Salvador, término del lugar deM</t>
  </si>
  <si>
    <t>229 Por providencia de D. Francisco Gerónimo Baena, juez comisionado real en la diócesi de Plasencia, se manda publicar e! remate y señalamiento de términos para las mejoras del medio diezmo» diezmo entero y quarto, que se ha serv</t>
  </si>
  <si>
    <t>Baeza, Antonio</t>
  </si>
  <si>
    <t>Antonio Baeza</t>
  </si>
  <si>
    <t>26 de enero de 1808</t>
  </si>
  <si>
    <t>Madrid 8</t>
  </si>
  <si>
    <t>to de dragones de la Reina i D. Xavier González ; y en el de Almansa empleo de portaguión al cadete D. Antonio Baeza. El dia i .° de febrero á las 3 de la tarde se dará principio al curso de taquigrafía, 6 del arte de escribir con tanta velocidad como se habla, en la real, escuela sita en la cal</t>
  </si>
  <si>
    <t>Baget, Juan</t>
  </si>
  <si>
    <t>Juan Baget</t>
  </si>
  <si>
    <t>rpo í&gt;. Manuel Bodet. La tercera constaba de 743 hombres del tercio de Lérida, al mando del coronel D. Juan Baget, cuya retaguardia cubrían los otros 2 violentos restantes. La quarta coluna ó cuerdo de reserva fuerte era 1145 hombres encabezada por 145 granaderos de infantería de Borbon , á l</t>
  </si>
  <si>
    <t>0 batallón de Ultonia; D. Henrique O-Donnell, sargento mayor del mismo cuerpo, que ha sido herido ; D. Juan Baget, coronel y comandante de Jos tercios de Lérida; D. Juan Claros, capiran retirado; Don Manuel Bodet, capitán de granaderos del regimiento de Soria; D. Manuel Montesinos, capitán de</t>
  </si>
  <si>
    <t>uerridos miqueletes de esta ciudad de Lérida, mandado por el vencedor de Bruch el intrépido coronel D. Juan Baget. Preveía nuestro prudente general ios males que habían de ocasionar estos bandidos en los infelices pueblos de su carrera, y por esto envió contra ellos aí libertador de las pobla</t>
  </si>
  <si>
    <t>entan como inevitable. {Diario de la Coruña números *7y «o , ESPAÑA. ; t ^ Hostalrich 18 de agosto. D. Juan Baget ha dado parte al Excmo. Sr. capitán general de que habiendo salido un dia á la descubierta, le hicieron los franceses 5 prisioneros, ¿ quienes sacaron los ojos, les cortaron los t</t>
  </si>
  <si>
    <t>se han rendido á nuestras gloriosas armas. Escriben del Ampurdan que nuestro comandante el coronel D. Juan Baget 'con la división de Lérida se ha embarcado en la Escala para Rosas, á cuyo punto han marchado igualmente otras tropas, que ascenderán por todas á 6$. hombres. Este refuerzo acabar</t>
  </si>
  <si>
    <t>Bagration, Príncipe</t>
  </si>
  <si>
    <t>Príncipe Bagration</t>
  </si>
  <si>
    <t>28 de junio de 1808</t>
  </si>
  <si>
    <t>Madrid 70</t>
  </si>
  <si>
    <t>s fuerzas , el general Buxhovden emprenderá pasar el golfo Bótnico, y abrirá su segunda campaña. El Príncipe Bagration no volverá ya al exército de Finlandia. No se han recibido noticias ulteriores del exército de la Laponia. La campaña en aquel punto parece que se ha concluido. Las tropas frances</t>
  </si>
  <si>
    <t>Baguer, Miguel</t>
  </si>
  <si>
    <t>Miguel Baguer</t>
  </si>
  <si>
    <t>, del comercio, por una vez.... icoó. D. Francisco Gómez, i cuenta de 365 rs................ . 184. D. Miguel Baguer, interventor de la real fabrica de pan de munición, por una vez............................ ................ ...................... . 320. D. Miguel » del comerció, por un ano....</t>
  </si>
  <si>
    <t>Bahamonde, Manuel María</t>
  </si>
  <si>
    <t>Manuel María Bahamonde</t>
  </si>
  <si>
    <t>ta Rocandid y D. Francisco ■f Martínez Mugica............................ . Burgos:,....*. 3°0 1921 D. Manuel María Bahamonde,..*..,.................. Zaragoza..... 500 598 Excmo* Sr. D, Vicente Joaquin Osorio de •* ■ ( Moscoso........ ................................................. Madrid....... 600 2</t>
  </si>
  <si>
    <t>Bai, Ramón</t>
  </si>
  <si>
    <t>Ramón Bai</t>
  </si>
  <si>
    <t>Madrid 147 (supl. 2)</t>
  </si>
  <si>
    <t>de una cuchillada. Recomienda Claros el valor del sargento mayor D. Francisco Claros, de sñ segundo D. Ramón Bai, capitán del segundo de infantería ligera de Barcelona, y al gobernador de Figueras, y comandante de la tropa inglesa, y al capitán O. Narciso Cordech, y al comandante de somatene</t>
  </si>
  <si>
    <t>Baídorioti, Felipe</t>
  </si>
  <si>
    <t>Felipe Baídorioti</t>
  </si>
  <si>
    <t>Saboya, graduado de teniente coronel , D. Agustín Colomina: la del de Nápoles ál del propio cuerpo D. Felipe Baídorioti; y la del de Sevilla ai capitán primero del batallón de voluntarios de Campo mayor D. Ramón Alvarez de E^ria.,' ; El. Reí se ha seryjdo conferir el regimiento de caballería del Re</t>
  </si>
  <si>
    <t>Bails, Benito</t>
  </si>
  <si>
    <t>Benito Bails</t>
  </si>
  <si>
    <t>de Castillo; en Granada en la de Polo, y en Cádiz en la de Castillo. — Adiciones á la geometría de D. Benito Bails, por el mismo: tiene por objeto el demostrar con toda exactitud la teoría del círculo, cilindro , cono y esfera, sin considerar al círculo como polígono de infinitos lados. Se hal</t>
  </si>
  <si>
    <t>pergamino y 10 en pasta. «-.Instrucción militar del Rei de Prusia pan sus generales, traducido por D. Benito Bails: un tomo en 8.° con 13 estampas, á 1 2 rs. en pasta.__Escuda de los tiempos del exercicio militar: un tomo en 3.°, á 4 rs. en pergamino y ó en pasta. Se hallarán en la librería de</t>
  </si>
  <si>
    <t>Baird</t>
  </si>
  <si>
    <t>es y edades se apresuraban á ir á ver nuestros generosos aliados. Al anochecer llegó el general sir D. Baird, cuya llegada obsequió el cabildo de esta santa iglesia con su música y gran porción de cohetes, habiendo durado la función por espacio de hora y media; en sus intermedios el seño</t>
  </si>
  <si>
    <t>y adornado magníficamente. Todo español al encontrarse con un ingles creta hallar un amigo antiguo. Sir Baird es el ídolo del exército. Perlada 2j? de octubre. Sabemos de positivo que nuestras tropas han cortado ai exército francés, y que se le acercan mas y mas cada día. Nuestro cuerpo (el</t>
  </si>
  <si>
    <t>Baitasar Marcó</t>
  </si>
  <si>
    <t>centa Viña 200. .mrs. en efectos de estado. • D. Antonjo Dáyila-toáw • , D, Alfonso;Ibarra 500. 1r^ D. Baitasar Marcó i !• L D. ■ JoseííRiberabi.66;. í • ;p t [ ;? ;!&gt; Di*,Joaquín Hernández Llano. 1®: D*. Josef Alberto. . ¿ D. Luis .Garbonero 40. ' ; &gt;. -t D. Josef Martin 5 yo en efectos de D; A.</t>
  </si>
  <si>
    <t>Bajaguer, Antonio María</t>
  </si>
  <si>
    <t>Antonio María Bajaguer</t>
  </si>
  <si>
    <t>Cádiz....*....., JO® 1711 D. Juan Manuel de_PeraIta...................... Cádiz......... . 300 219 D. Antonio María Bajaguer........... ........... Alicante....... 3Q° 363 D. Santiago de Abarratfcgui.,...................... ^3&lt;icÍ 1 S5««•«t • * *4 « &lt;400 3 71 Fr... .Pedro Yepes. 3°° 2280 Pona Gregaria d</t>
  </si>
  <si>
    <t>Balaez, Gabriel</t>
  </si>
  <si>
    <t>Gabriel Balaez</t>
  </si>
  <si>
    <t>... 500 1861 D. Pablo Ibarra.................................. ................ Zaragoza..... 600 o D. Gabriel Balaez.................. ............................. Zaragoza..... 300 1960 D. Vicente Alzaibar.......................................... Zaragoza..... 300 945 Excmo. Sr. Marques del N</t>
  </si>
  <si>
    <t>Balaguer, Antonio María</t>
  </si>
  <si>
    <t>Antonio María Balaguer</t>
  </si>
  <si>
    <t>Anexo, p. 23</t>
  </si>
  <si>
    <t>. Madrid..... . 3000 : 630 'Dona María de las Mercedes Velasco............ Madrid..... . 3 00 c 228 D. Antonio María Balaguer........ Alicante...... 1500 ci:589 'Sres.; Segura, Costazar y* Ibaciola........... Bilbao........ 300 52f D. Joáqu irv' de Uria -y Laquin tarta,'.. !• Bilbao*.*, ' 300 .. Cádiz...</t>
  </si>
  <si>
    <t>Balanza, Miguel</t>
  </si>
  <si>
    <t>Miguel Balanza</t>
  </si>
  <si>
    <t>Junta central el Excmo. Sr. Príncipe Pió por Valencia. ? Por Navarra» eL 2 del corriente» los Sres. D. Miguel Balanza y D. Carlos Amatri. El mismo día» por Madrid» ios Excmos. Sres. marques de Astorga y D. Pedro de Silva. La Junta suprema central gubernativa, desde el primer &lt;dia de su feliz instalac</t>
  </si>
  <si>
    <t>Balanzategui, Manuel</t>
  </si>
  <si>
    <t>Manuel Balanzategui</t>
  </si>
  <si>
    <t>. D. Andrés Perez « diputado dei barrio dei Ave María. D. Ignacio Ucelai, alcalde del barrio de id. D. Manuel Balanzategui, beneficiado de S. Lorenzo. D. Mariano García Cruz, alcalde del barrio de^la Huerta del Bayo. D. Juan Blesa, diputado eclesiástico de id. D. Mateo Qid , alcalde del barrio de Mira</t>
  </si>
  <si>
    <t>Balbina González</t>
  </si>
  <si>
    <t>idL.*....... . '300* D. Miguel Ortiz de Rozas f en un vale real, id....ií.ó.................. 2162* Doña Balbina González , id........ ........................................................ 120. Ramoa Rodríguez , id................... .................................................. ioq. D. Jfu^n</t>
  </si>
  <si>
    <t>Balboa, Juan</t>
  </si>
  <si>
    <t>Juan Balboa</t>
  </si>
  <si>
    <t>............................. roo. D. Raimundo Gómez, oficial de tirador de oro, por una vez.. 300. D. Juan Balboa, cirujano, por upa vez,...,.»........ .................. . 120. D. Juan López, geógrafo de S. M., á cuenta dé 300 rs., por una vez.............................. ..................</t>
  </si>
  <si>
    <t>Baldcmero Aguilera, Antonio</t>
  </si>
  <si>
    <t>Antonio Baldcmero Aguilera</t>
  </si>
  <si>
    <t>Manuel de Cea Escudero.^: Manuel Morales y Espinosa.:?Por acuerdo de la Junta, Antonio Baldcmero Aguilera, secretario. = Sres. D. Pedro Ribero y D. Josef Manuel Careta dela Tere. ' y ' * Antonio Baldomcro Aguilera, escribano del Rei nuestro Señor, público del número, y mayor del ilustrísimo ayunt</t>
  </si>
  <si>
    <t>Baldomero Aguilera, Antonio</t>
  </si>
  <si>
    <t>Antonio Baldomero Aguilera</t>
  </si>
  <si>
    <t>el sello de esta imperial ciudad, y la firmo en Toledo á 7 de octubre de 1808.= Antonio Baldomero Aguilera, secretario. Excmo. Sr. = Por el oficio de V. E. de 2$ del que rige, que acaba de llegar á mis manos por un oficial én posta desde Zaragoza, dirigido por aquel capitán general, he recibido la</t>
  </si>
  <si>
    <t>Baldoriotti, Felipe</t>
  </si>
  <si>
    <t>Felipe Baldoriotti</t>
  </si>
  <si>
    <t>El Reí se ha.servido conferir la sargentía mayor del regimiento de infantería de Nápoles al capitán D. Felipe Baldoriotti: tenencia en el de la Corona al subteniente D* Josef Marín; y subtenencia de bandera en el de la R eina al sargento primero de granaderos D. Julian Castáñeda. En América, o. M. se</t>
  </si>
  <si>
    <t>Balez, Gabriel</t>
  </si>
  <si>
    <t>Gabriel Balez</t>
  </si>
  <si>
    <t>........................ . 300. D. Sebastian Martínez, del comercio de lienzos, por una vez... too. D. Gabriel Balez , cambiante, por una vez.............. ....... ............. 5000. D. Manuel Corralero, maestro cotillero, por una vez................. 500. D. Bernardo Baquer, por una vez»......</t>
  </si>
  <si>
    <t>Ballesteros, Agustín</t>
  </si>
  <si>
    <t>Agustín Ballesteros</t>
  </si>
  <si>
    <t>efa de la Cueva y Velarda 24 id. D. Diego de la Bastida 2 id. Doña María Cruz de Villaté,^ viuda, y D. Agustín Ballesteros su hijo, 2 camisas y 2 vendas. D. T. M. 2 camisas. D. Fernando y D. Manuel García de la Prada 59 camisas finas. D. Pedro de la Puente, arquitecto, 24 camisas nuevas. D. Manuel de</t>
  </si>
  <si>
    <t>Ballesteros, Francisco</t>
  </si>
  <si>
    <t>Francisco Ballesteros</t>
  </si>
  <si>
    <t>comisionados ingleses en esta provincia salió de aquí el dia 13 del corriente el mariscal de campo D. Francisco Ballesteros con-dirección i Santander. Lleva á sus órdenes 5 0 hombres para reforzar los pumos del Escudo y Reinosa. ( Gazeta de Oviedo num. 24.) Malaga // de agosto. Ha entrado en este puert</t>
  </si>
  <si>
    <t>Ballesteros, Juan Martín</t>
  </si>
  <si>
    <t>Juan Martín Ballesteros</t>
  </si>
  <si>
    <t>.:.... 500 2394 D. Ramón Aguado............................................. Zaragoza..... 500 1938 D. Juan Martin Ballesteros............................... Zaragoza..... 300 1678 D. Luis.Máría de Collantes............... . - 1 • S. Sebastian. 300 2017 D. Ramón y D. Manuel LafForé......... Oddiz*«« «•••*</t>
  </si>
  <si>
    <t>Ballonest, Miguel</t>
  </si>
  <si>
    <t>Miguel Ballonest</t>
  </si>
  <si>
    <t>or agosto á 3.rs. diarios................................... ................................ 1093. D. Miguel Ballonest, por 3 meses.á 4 rs. diarios....................... 368. Doña Alfonsa Hernández, viuda, con tienda de vinos generosos, por 3 meses á 2 rs. diarios.................................</t>
  </si>
  <si>
    <t>Balmis, Francisco Xavier</t>
  </si>
  <si>
    <t>Francisco Xavier Balmis</t>
  </si>
  <si>
    <t>Cádiz........ 5 00 10^9 Sres. Gil y Benitia.............................. ......... Madrid 300 93i D. Francisco Xavier Balmis......................... Madrid...... 500 2459 D. Pedro Roca.................................. ......... . . Zaragoza..... 600 2294 D. Juan Manuel Fernandez de Mier...... , Cádiz</t>
  </si>
  <si>
    <t>Balómares, Francisco</t>
  </si>
  <si>
    <t>Francisco Balómares</t>
  </si>
  <si>
    <t>empleado en la oficina de ¿s alcabalas............ ........... ...................... ......... 6 6 D. Francisco Balómares................................. 1 - ; , O. Juan Ignacio de Berriozabal............... . 2 2 t D. Bidro del Rio;............................... 2 2 D. Juan Antonio Campos.........</t>
  </si>
  <si>
    <t>Baltasar</t>
  </si>
  <si>
    <t>Madrid 113 (supl.)</t>
  </si>
  <si>
    <t>o de Talarn;^ D. Francisco Lesus y Pou, diputado de Mataró; D. Manuel Torrens, diputado.de Manresa; D. Baltasar de.OUinellas , diputado de Igualada en representación</t>
  </si>
  <si>
    <t>T3í°. Subteniente D. Baltasar. Belmonte , en id.: con varias comisiones del regimiente . Idem del Infante, Coronel D. Francisco Mariano; capitán D. Josef Alarcon; teniente D. Josef Viilarroei; cirujano D. Juan</t>
  </si>
  <si>
    <t>inmer -diatamente un. destacamento al mando dti sargentomayor del batallon.de tiradores de España* D. Baltasar de; "Viílalba, compuesto de too hombres del expresado batallón y 60 del de caballería de España , mandados por el capitán del mismo cuerpo D. Josef Gavilanes , ios que dirigiéndose á</t>
  </si>
  <si>
    <t>Baltasar Calvó</t>
  </si>
  <si>
    <t>ión de la. suprema junta .dé gobierno de dicha ciudad, contra ;el canónigo de i S. Isidro de Madrid D. Baltasar Calvó*, un quaderno en 4.0 Se hallará en la librería de. Alonso , frente á las gradas dc S. Felipe y cri Valencia en la:de Méllen,' en Cádiz en la de Castillo, en Se villa.en la de Caro</t>
  </si>
  <si>
    <t>Baltasar de Andrade</t>
  </si>
  <si>
    <t>. 000 869 D. Ventura Fita................................................. Madrid........ 1000 783 D. Baltasar de Andrade............ ......... ............... Madrid........ 3°° 812 Doña Rafaela Martin.......................... ........... Madrid........ 500 2°37 D. Juan de Mata Zuñiga..............</t>
  </si>
  <si>
    <t>Baltasar de Villalba</t>
  </si>
  <si>
    <t>Madrid 143 (supl.)</t>
  </si>
  <si>
    <t>26 recibí orden de V. S. para que el sargento mayor del batallón de tiradores de España de mi mando D. Baltasar de Villalba saliese al camino de los Arcos para hacer una descubierta sobre aquel pueblo con 2 compañías y los 3 5 caballos del regimiento caballería de España, que se hallaban á mi orden en</t>
  </si>
  <si>
    <t>ndar á los oficiales y tropa' que he tenido el honor de mandar, particularmente á mi sargento mayor D. Baltasar de Villalba, el que manifestó , a mas de las circunstancias necesarias de un gefe , su inalterable serenidad , dando por su pane todas las disposiciones que exigían pronta determinación: al t</t>
  </si>
  <si>
    <t>oroneles D. Juan de Villalba y D. Francisco Copons y Nayi?, igualmente que los de su sargento mayor D. Baltasar de Villalba, y la bizarría de los comandantes de las guerrillas D. Josef Gavilanes, teniente bcíronel de exército, y capitán del regimiento dé caballería, de España , D. Pedro Loscertales y D</t>
  </si>
  <si>
    <t>Baltasar Doncel</t>
  </si>
  <si>
    <t>los reales "Consejos......................................................................... 240. D. Baltasar Doncel...... ,................................................. 412... 6. Estando para salir el 15 de octubre próximo de! puerto de Santander un bergantín particular con destino á Montev</t>
  </si>
  <si>
    <t>................ 40. D. Pedro Antonio Erneta, 20 rs. cada mes................ ..........*...... 20. D. Baltasar Doncel, agente de Indias, por 6 meses á 60 rs. cada uno............ .................................................................................. 360D. Joaquín de Echepare, ayudante</t>
  </si>
  <si>
    <t>Continúan; loi¿donativos en ‘dinero para el exército de Aragón. D. Manuel de la Torre, capellán de D. Baltasar Doncel 428. las Salesas i y el alcalde del barrio La condesa viuda de los Villares un D. Josef Fabregás, 6f5 rs. y j par de broches de diamantes tablas mrs. en metálico, y 270 rs. y y es</t>
  </si>
  <si>
    <t>Baltasar García</t>
  </si>
  <si>
    <t>, por unq vez...... 500. Ignacio Alvarcz, hosterero, por una vez.............................. 200. D. Baltasar García^iayudadeJarfurriera de S. M.,,por una vez. 300. D. Aotonio García, mozo de.Qtlcio de .la .í'urriera de S. M,., por uná) vez. ..v. i.......u.^.. ii\ ah. i. 500. D. AntonioPerezSant</t>
  </si>
  <si>
    <t>Baltasar Hidalgo de Cisneros</t>
  </si>
  <si>
    <t>de este departamento. Certifico como habiéndose reunido en la habitación casa morada del Excmo. Sr. D. Baltasar Hidalgo de Cisneros , capitán general de este departamento, los señores tenientes generales D. Joaquín Cañaveral y D. Félix Marquina, el comandante del arsenal D.‘ Nicolás de Estrada, el de los/terci</t>
  </si>
  <si>
    <t>Baltasar Marco</t>
  </si>
  <si>
    <t>ales................ ....... 6 o. Vicente Rizo, cantero, por una vez 400 ts.fy^o mensuales.... 430. D Baltasar Marco, procurador de villa, 120 rs. por agosto...... 120. D. Juan Josef de Mendizabal, oficial de eorreos, por 5 meses á 20 rs. mensuales................................................</t>
  </si>
  <si>
    <t>Baltasar Nogales</t>
  </si>
  <si>
    <t>D. S. F., id.................••••................................................... ....... . 100. D. Baltasar Nogales , en intereses de vales reales, id................. 270 25. D¿ Victoriano Peñaranda,fen un vale real de á 300 pesos, y en intereses de esta roonedá, id........ ...................</t>
  </si>
  <si>
    <t>Baltasar Novales</t>
  </si>
  <si>
    <t>a María Bonilla A y 2 pares D. Josef Espinosa 6. - * de calcetas. Doña Tétesrora Mateo Perez 2‘ y 2 D. Baltasar Novales-2-camisas. \ * pares. 4e calcetas, y *' 1 ,r D; Júaii de Gñófó'S; ¡ f- •1 tí. Mañuél Jósefde Ribáfcbbay Gor- D. Pedro Navarro 3. , - vea 1)2, camisas.' : .... D. Pablo Minguet una.</t>
  </si>
  <si>
    <t>Baltasar Pascual de Herazo</t>
  </si>
  <si>
    <t>ragones; de Lima al comandante del tercer esquadron D. Francisco Zarate j y esta resulta al capitán D. Baltasar Pascual de Herazo.</t>
  </si>
  <si>
    <t>Baltasar Untoria</t>
  </si>
  <si>
    <t>............ ...... 320. D. Cárlos Holtz , maestro antera, por una vez...................... . 400. D. Baltasar Untoria, mancebo de D. Miguel Angel Sancho, por un año anticipado......».»;.»».,»..»».,»»»»...... . 6co. D. Alfonso Gómez, del comercio, por una vez ••a•••••••••«••*••••••• 200. D. Josef</t>
  </si>
  <si>
    <t>Baltasar Viguera</t>
  </si>
  <si>
    <t>o del duque de Medinaceli, 60 rs. id. por agosto.............. ............. .................. 60. D. Baltasar Viguera, médico, 30 id. por 4 meses..................... 120. D. Vicente González Arnao, apoderado general del Rei de Erruria, en vales reales por una vez.................................</t>
  </si>
  <si>
    <t>Bañares, Domingo</t>
  </si>
  <si>
    <t>Domingo Bañares</t>
  </si>
  <si>
    <t>Madrid.......; 300 508 D. Angel Ladebesee y Alzaibar...................... Bilbao.......... 300 843 D. Domingo Bañares......... ............................... . Madrid....... . 3 00 2384 D. Martin de Barrencochea............................... Zaragoza..... 500 2141 D. Pedro del Barco............</t>
  </si>
  <si>
    <t>D. Domingo Bañares, boticario de cámara de S. M., nn recibo ■ y de' acciones del real Empréstito, por una vez............................ 600. D. Juan Antonio Quintana , íejátor'del consejo de Orden</t>
  </si>
  <si>
    <t>Bañares, Gregorio</t>
  </si>
  <si>
    <t>Gregorio Bañares</t>
  </si>
  <si>
    <t>lási2.y im D. Domingo Ibarrolá 6. r • par 'de- calcetas'. _ ‘ ‘ y ''/ * j- * D. v ■ - ; -• ' - ¡l T D. Gregorio Bañares 6 camisas. ' D. Bernardino'Qüiros 6. 1 " D, Hipo! ¡ to Ru iz 2, El brigadier D. Miguel dé Gamboa y X). F. 2 y 2 medias. su hermana 4. D. Vicente Pereda 6 camisas. r Doña Joaquina</t>
  </si>
  <si>
    <t>Baneti, Carlos</t>
  </si>
  <si>
    <t>Carlos Baneti</t>
  </si>
  <si>
    <t>tes del cuerpo de maestranza establecida en la fortaleza, grados,de teniente de milicias urbanas; A D. Carlos Baneti , Don Mariano García, D. Carlos Cheloni, subtenientes del nominado cuerpo de maestranza ; y á B. Isidro Castellano, abanderado de dicho cuerpo, grado de subteniente de milicias ur</t>
  </si>
  <si>
    <t>Banjutnoa, Manuel</t>
  </si>
  <si>
    <t>Manuel Banjutnoa</t>
  </si>
  <si>
    <t>billetes en Madrid en el despacho de libros de Laborda i i. calle del Arenal; en Sevilla ien el de D. Manuel Banjutnoa, deleo— mercio, p y ¿en Salamanca enría de Di Josef Payo! y hermano : su precio 10 fs. cada bíilete. Cojn arreglo á lo ofrecido en el diario de e$ta corte del día 19 dé se* tiembr</t>
  </si>
  <si>
    <t>Bantro, Luis</t>
  </si>
  <si>
    <t>Luis Bantro</t>
  </si>
  <si>
    <t>...... 40. D. M. G. N. , 20 id. por un año............................. ........... .......... 240. D. Luis Bantro, 300 rd. 'pot agosto..... ...... ............... 300. D. Josef Robleda, agenté de negocios, 100 id. por agosto....... . 100. D. F. I. V. , 40 id. por 2 meses........... ..........</t>
  </si>
  <si>
    <t>Baquer, Bernardo</t>
  </si>
  <si>
    <t>Bernardo Baquer</t>
  </si>
  <si>
    <t>..... ............. 5000. D. Manuel Corralero, maestro cotillero, por una vez................. 500. D. Bernardo Baquer, por una vez».......... . 200. Antonio Casajuana , zapatero, por una vez................... ......... .. 300. D. Josef Carranza, oficial de la contaduría de Indias, á cuenta de io</t>
  </si>
  <si>
    <t>Baquero, Manuel</t>
  </si>
  <si>
    <t>Manuel Baquero</t>
  </si>
  <si>
    <t>l Matesanz 2. Doña María Vicenta Qnilez 3. Doña Josefa del Rio 4. Doña María Ignacia de Mogozuza 2. D. Manuel Baquero 2. , D. Joaquín Antonio Sóxo 6. D. Josef Maldonado 6. Doña A. y B. 2. D. Juan Gutiérrez 4. Doña Ana Rodríguez, sirvienta, 2. Doña Rafaela Martínez de Ariza 4. Doña María Ruiz 6. D</t>
  </si>
  <si>
    <t>Bar</t>
  </si>
  <si>
    <t>mismo fin; y de su recibo me dará aviso. Dios guarde a V. muchos años. Madrid 4 de junio de i8o8.¿=D. Bar* tolomé Muñoz. ' r ' .* * -'"El fe id cuerpo dé guardias de Corps, noticioso de los movimientos qué turban el sosiego y la felicidad de la nación, se ha ofrecido 4 servir dónde se</t>
  </si>
  <si>
    <t>Bar, Juan Antonio</t>
  </si>
  <si>
    <t>Juan Antonio Bar</t>
  </si>
  <si>
    <t>............ Madrid./..;. 300 1790 D. Domingo Ruíz Duran.,.•• ■ ■ • •• • •» Cádiz:.;......; oco 404 D, Juan Antonio Bar ric.......Coruña....... 300 99 ) Doña Rosa'Bárbara-Perez. Labrador.............v.: Madrid....... 500 1034 D. Josef de Lapaz........... ........................ ....... . : Madrid.</t>
  </si>
  <si>
    <t>Baraguei-d Hilliers</t>
  </si>
  <si>
    <t>al, del capitán de guardias y del Príncipe Virei, á quien seguían el ge-: neral Baraguei-d Hilliers, coronel general de dragonesel general Lauriston, ayudante de campó del Emperador y gobernador de Venecia, e! general Douriez, y otras muchas personas de distinción. S. A. 1. el Príncipe V</t>
  </si>
  <si>
    <t>Barangot, Francisco</t>
  </si>
  <si>
    <t>Francisco Barangot</t>
  </si>
  <si>
    <t>....... 300 1022 D. Juan Josef de Bringas.................................... Madrid....... 500 441 D. Francisco Barangot...... .................................. Santander.... 600 436 D. Gregorio de Arce............................................ Santander.... 300 21 Excmo. Sr. Marques de las Amari</t>
  </si>
  <si>
    <t>Barbaza, Fernando</t>
  </si>
  <si>
    <t>Fernando Barbaza</t>
  </si>
  <si>
    <t>rica de tabacos........ ................ ....... ............* *......... Cádiz;......... rooo 1825 D. Fernando Barbaza.................... ...........*........ Zaragoza..... 500 1770 D. Juan Manuel de Peralta................... ........... Cádiz.......... 50© 731 D. Manuel Gonzalo Fernandez.......</t>
  </si>
  <si>
    <t>Barber, Juan</t>
  </si>
  <si>
    <t>Juan Barber</t>
  </si>
  <si>
    <t>a deCodina,que estaba atrincherada y coronada de mosquetes y esmeriles^ fue asaltada por el capitán D. Juan Barber, que se apoderó de ella, é hizo 19 prisioneros. En el mismo instante coa igual ardimiento, á pesar del fuego vivo de metralla y fusi'ería que hacia el enemigo, se.pusieron en movi</t>
  </si>
  <si>
    <t>e recoger usa compañía, que aunque debe componerse de 200 hombres, solo tenia 150 , cuyo capitán es D. Juan Barber y D. Gerónimo Presas, capitán de la compañía de S. Fdiu de Guixols, compuesta de 50 hombres; y solo con ellos, el ayudante de orden D. Juan Caracol, y el ayudante del tercio del Vallé</t>
  </si>
  <si>
    <t>Barber, Juan Bautista</t>
  </si>
  <si>
    <t>Juan Bautista Barber</t>
  </si>
  <si>
    <t>adrid..... 300 231&amp; D. Francisco Pico y Gómez............................. Cádiz.......... 500 2127 D. Juan Bautista Barber.................................... Zaragoza..... 300 849 D. Tomas Vilíareal............................................ Madrid ....... 500 641 D. Francisco Hernando Briongos y co</t>
  </si>
  <si>
    <t>Barbería, Pedro</t>
  </si>
  <si>
    <t>Pedro Barbería</t>
  </si>
  <si>
    <t>marques de Villafranca, mensuaLmenteí...*.. ................................. ................ ...» D. Pedro Barbería, del comercio, por agosto á 6 rs. diarios...... Francisco plores,dependiente de tesorería general, por agosto á óo rs. cada mes............ ................. ................... .</t>
  </si>
  <si>
    <t>00. D. Josef Bonilla 160. r d: f. m. 75. D. Josef Viñas 20. . D. M. F. 30. D. Manuel de Roxas 80. ' D. Pedro Barbería 200. D. Juan Gil de Arana 60, . * D.; £.; B. 1$. I D ña Justa Rutina de la Puente 20¿ D. Manuel Olivares 100. Doña Margarita Cabrero 10. . . .i D. Sebastian Casado 20. D. Francisc</t>
  </si>
  <si>
    <t>Barbero, Pedro Antonio</t>
  </si>
  <si>
    <t>Pedro Antonio Barbero</t>
  </si>
  <si>
    <t>................... IOO. Tomas Hernández, cucharero en la calle de Postas , id................ IOO. D. Pedro Antonio Barbero, teniente de sobrestante de coches de la real caballeriza, un relox de plata de Higgs y Evans, una caxa id. para tabaco, y ademas id..... .................... .......... ijo. La c</t>
  </si>
  <si>
    <t>BarCeío, Miguel</t>
  </si>
  <si>
    <t>Miguel BarCeío</t>
  </si>
  <si>
    <t>les Pardos y Morenos, gra— d&lt;xde alféréz de navio; á'D. Josef Antonio Acebal, comandante segundo, y D. Miguel BarCeío , ayudante priitiefó del expresado cuerpo, grado de teniente de milicias disciplinadas : á D. Francisco Lanuza, ayudante segundo!, y;á los habilitados de ayudantes D. Julián de Ia</t>
  </si>
  <si>
    <t>Barcelar</t>
  </si>
  <si>
    <t>obernador ingles de la isla de Ja Madera Mr. Beresford la entregó al agente del príncipe del Brasil Mr. Barcelar, en virtud de un ccnv-cnio ajustado en Londres. Mr. Barcelar tomó posesión en nombre de su Soberano, y el general Beresford hizo una proclama, en que levantaba á los moradores el</t>
  </si>
  <si>
    <t>Barceló, Antonio</t>
  </si>
  <si>
    <t>Antonio Barceló</t>
  </si>
  <si>
    <t>Madrid 125</t>
  </si>
  <si>
    <t>á hasta qué se .levantó el -sitio. En 1783 concurrió de voluntario ai bombardeo de Argel al lado de D. Antonio Barceló., portándose con la mayor bizarría. Fue nombrado gobernador de lá Havana , y capitán general de la isla de Cuba, las Floridas y la Lu&amp;iana; pero no pasó á este destino por haberle</t>
  </si>
  <si>
    <t>Barceló, Francisco</t>
  </si>
  <si>
    <t>Francisco Barceló</t>
  </si>
  <si>
    <t>sar, y no hallándola, fondeé en Mongat, dando parte de lo que ocurría á los miqueletes del mando de D. Francisco Barceló, donde por haber llegado la noticia de que salía de Barcelona una porción de enemigos con caballería, pasé á Badalona, y á las 2 de la tarde del dia 18 los barcos de los expatriad</t>
  </si>
  <si>
    <t>Barcenas, Pedro</t>
  </si>
  <si>
    <t>Pedro Barcenas</t>
  </si>
  <si>
    <t>an Rodríguez , del barrio de Guardias Españolas; D. Clemente Uribarren, id. D. Francisco, Redondo y D. Pedro Barcenas, id. Juntos asi en las casas consistoriales, sien—1 do la hora de la una , se hizo presente por el señor corregidor , que ia vi-* lia de Madrid habia tenido el honor de ofrecerse</t>
  </si>
  <si>
    <t>Barceta, Manuel</t>
  </si>
  <si>
    <t>Manuel Barceta</t>
  </si>
  <si>
    <t>.......... 4585 fD. Matías Lizardi, oficial de diamantista, id................................ 100. D. Manuel Barceta, 30 rs. mensuales, por agosto........................ 3o* D. Antonio de Llaguno , oficial del departamento del Fomento y Balanza, 250 id. id.......................................</t>
  </si>
  <si>
    <t>Barco, Manuel</t>
  </si>
  <si>
    <t>Manuel Barco</t>
  </si>
  <si>
    <t>0 rs. poruña vez.*......... 20. D. Josef de Albert, notario mayor dé la visita, por una vez... 120. D. Manuel Barco, del comercio de libros , por una vez.............. 35 o* D. Santiago Cuesta, médico de familia, por una vez............... 320. D. Juan Antonio Yangues, fabricante de cal y ladri</t>
  </si>
  <si>
    <t>Barcones, Antonio</t>
  </si>
  <si>
    <t>Antonio Barcones</t>
  </si>
  <si>
    <t>.................................... 122. D. Francisco Amat , 4 id. por agosto....... ........ 124. D. Antonio Barcones, contador del real Seminario de nobles, uno id. por 2 meses......................................... .................................... 61. Josef Rigó , jardinero del duque del</t>
  </si>
  <si>
    <t>Bardalonga, Juán Pedro</t>
  </si>
  <si>
    <t>Juán Pedro Bardalonga</t>
  </si>
  <si>
    <t>.......... 500 1200 D. Agustín 'Alegrin.................. ................ . Barcelona.... 300 1789 D. Juán Pedro Bardalonga y D. Juan Mon• tespan.....'......................................................... Cádiz........... 3 00 248 D. Josef Antolin de Náxera.............................. Burgos.........</t>
  </si>
  <si>
    <t>Bariov Marren</t>
  </si>
  <si>
    <t>20 de mayo de 1808</t>
  </si>
  <si>
    <t>Madrid 48</t>
  </si>
  <si>
    <t>do de negocios de Inglaterra en Hamburgo, falleció en Memel el 15 de diciembre último. El almirante Sir Bariov Marren reemplaza al almirante Berkíey en eí mando de su apostadero delante de Halifax. Las fragatas la Cambriand, de 44, la Euryol, la Alejandría, la Telis, la Afelpóme ne y la Voluntari</t>
  </si>
  <si>
    <t>Barlov, Jorge</t>
  </si>
  <si>
    <t>Jorge Barlov</t>
  </si>
  <si>
    <t>10 de junio de 1808</t>
  </si>
  <si>
    <t>Madrid 55</t>
  </si>
  <si>
    <t>a noche siguiente, y se retiró á otra plaza fortificada, adonde le han seguido nuestras tropas.,^ „ Sir Jorge Barlov va de gobernador á Madras. ■ „A vista de las bocas del Ganges cruzan una fragata francesa y un corsario mandado por el capitán Surcouf. Llevan apresadas 14 embarcaciones de Calcut</t>
  </si>
  <si>
    <t>Barnuevo, Manuel</t>
  </si>
  <si>
    <t>Manuel Barnuevo</t>
  </si>
  <si>
    <t>drid, ha suspendido la marcha de tropas francesas á las provincias que han aclamado á Fernando VII. D. Manuel Barnuevo, Teniente de Dragones de Pavía, que salió de Madrid el dia 8. del corriente á las io. de la noche y llegó á nuestro exército el 15 , ha comunicado las siguientes noticias. La guar</t>
  </si>
  <si>
    <t>Barra, Antonio</t>
  </si>
  <si>
    <t>Antonio Barra</t>
  </si>
  <si>
    <t>meses á un reai diario............ .............. ........................................... 10r. D. Antonio Barra, criado de S. M., por 3 meses á 2 rs. diarios. 184. D. Santiago González, maestro abaniquero, por 3 meses á un real diario.............i....,..*..........».....*.*»,..............</t>
  </si>
  <si>
    <t>Barrado de Cereceda, Manuel Juan</t>
  </si>
  <si>
    <t>Manuel Juan Barrado de Cereceda</t>
  </si>
  <si>
    <t>, donde permanecen SS. MM. y AA. sin novedad en su importante salud. El Reí se ha servido nombrar á D. Manuel Juan Barrado de Cereceda para la vara de alcalde mayor de la villa de S. Vicente, territorio de la óraen de Alcántara, de segunda clase; y á D. Fernando María López de Sagrado para la de la villa de Benic</t>
  </si>
  <si>
    <t>Barraficd, Juliana</t>
  </si>
  <si>
    <t>Juliana Barraficd</t>
  </si>
  <si>
    <t>ín «Matméi Lopéz-una. sables. r: D. Juan Colomer y Girald 2. * '•* D. Manuel González dé 'Lobera y. Doña Juliana Barraficd y pares de caL* compañía 36 camisas. : .. ¡ srdqtasl' í-r;? - \ • •• Doña Cecilia Simancas tina. - : rBb Juan Ahtopk) de Urraza 6 camisas. D. Gregorio Azpeltia y su5 hijo 4.: « D. J</t>
  </si>
  <si>
    <t>Barreda, Francisco</t>
  </si>
  <si>
    <t>Francisco Barreda</t>
  </si>
  <si>
    <t>l mejor Príncipe Trajino Augusto, su filosofía, política moral y económica, traducido del latín por D. Francisco Barreda: un tomo en 4®, á 20 rs. en pasta. Se hallarán en la librería de Cerro, portal de Manguiteros. x • -... NOTICIAS PECULIARES DE MADRID. AVISOS. El diarista de enfrente de Sto. Toma</t>
  </si>
  <si>
    <t>Barreda, Tomás Gerónimo</t>
  </si>
  <si>
    <t>Tomás Gerónimo Barreda</t>
  </si>
  <si>
    <t>, á 6 rs. diarios , por agosto...................... ............... ........ ................ 186. D. Tomas Gerónimo Barreda, contador general del infante Don Pedro, por agosto, á 12 rs. diarios.................................. 372. D. Francisco Hernández, tintorero, por 6 meses á 2 rs. diarios. 368. E</t>
  </si>
  <si>
    <t>Barredas, Antonio</t>
  </si>
  <si>
    <t>Antonio Barredas</t>
  </si>
  <si>
    <t>aripn de Pazos: en el de Irlanda compañías al teniente de granaderos D. Ignacio Husey y al ayudante D. Antonio Barredas, ambos graduados de capitán; ayudantía al teniente de granaderos D. Josef María Morales; tenencias á los subtenientes D. Juan María Lator y D. Josef Moreno, y subtenencia de bande</t>
  </si>
  <si>
    <t>Barrí, Juan</t>
  </si>
  <si>
    <t>Juan Barrí</t>
  </si>
  <si>
    <t>13 de julio de 1808</t>
  </si>
  <si>
    <t>Sevilla 13</t>
  </si>
  <si>
    <t>argo de P Salvador Marín, álferez de milicias provinciales de B ^ joz, y de l&gt;; Juan Barrí, teniente de fragata..</t>
  </si>
  <si>
    <t>Barric, Juan Francisco</t>
  </si>
  <si>
    <t>Juan Francisco Barric</t>
  </si>
  <si>
    <t>ilbao............... 300 33 8 D. Tontas de Urrutia.......«.».»*.......... . Cádiz.......... fóó 409 D. Juan Francisco Barric.................................... Coruña....... 300 9)9 Doña Josefa del Collado............... ............ . Madrid...... 300 1727 Antonio Masuco....... »»;»»:»»»......... Cádi</t>
  </si>
  <si>
    <t>Barrientos, Antonio</t>
  </si>
  <si>
    <t>Antonio Barrientos</t>
  </si>
  <si>
    <t>l mayor general del departamento D. Juan María Butler, el comandante del quarto batallón de maxiíia D. Antonio Barrientos, el comisario provincial del real cuerpo de artillería de marina D. Francisco Millau ,y el comandante del puerto y de la fragata Proserpina D. Josef Salazar, á las 10 de la mañana</t>
  </si>
  <si>
    <t>Barrio Joven, Francisco</t>
  </si>
  <si>
    <t>Francisco Barrio Joven</t>
  </si>
  <si>
    <t>. Bilbao»...».. 300 274 D. Josef González Figueras............... ........... Burgos....... 500 406 D. Francisco Barrio Joven........u............ ' Coruña.»uu„ -300 2399 D. Ramón Ramirez de Loáis*........................ . Zaragoza.»» 300 2183 D. Víctdriiy Ortuño y Viñador Coruña.....60b 491 D. Josef de</t>
  </si>
  <si>
    <t>Barriocanal, Ramón</t>
  </si>
  <si>
    <t>Ramón Barriocanal</t>
  </si>
  <si>
    <t>................... 386. D. Tomas de Sancha y Prado, 6 id., por 5 meses.................... i. 918. D. Ramón Barriocanal, oficial de.Empréstitos, 40 rs. por una » .' Vez , -y a-diarios, por .2 .meses.„........................ ...... ................. 162, Josef Rodríguez,'un real diar.ioy por 2 mese</t>
  </si>
  <si>
    <t>Barrionuevo, María</t>
  </si>
  <si>
    <t>María Barrionuevo</t>
  </si>
  <si>
    <t>ía Teresa Piscátori y Mora 12. DilMáriabó Armendía 10 pares de zapatos. D. Tomas Ferez 100 camisas. Doña María Barrionuevo ^29 varas y tercia de paño azul y 50 varas barragan ancho. D» Vicénte Alcátá 4 pares de calzones de cotonía. D. Pedro García Frailé i2 várás ifétiñá; D. Máñuél Gallego' 12 -vhras</t>
  </si>
  <si>
    <t>Barrkm, Jüán Francisco</t>
  </si>
  <si>
    <t>Jüán Francisco Barrkm</t>
  </si>
  <si>
    <t>ael Herranat.í..v..-...v.;.;.f Madrid.;..... 500 11020 Bree».«••«•-••••.•• ^ísdriá*.**.«. 600 c 408 D. Jüán Francisco Barrkm.^.i.Coruña........ 1500 ' 824 ‘Sres;* SíérTa^y Gasaoiu*.v.:(..d¿’í.í;,v..w..' Madrid*...í.;. 300 *917 'B.'^épíS) Guiehot;; *.v*il.* Zaragoza.;.. - 5Ó0 244° 'Sres^Di’ l^blo -Fernai</t>
  </si>
  <si>
    <t>Bartoiorné López Labin</t>
  </si>
  <si>
    <t>120. D. N icoias del Castillo, id.................................... .............. ......... 3°°* D. Bartoiorné López Labin, 120 rs. mensuales, por 2. meses..... 240. Juan Bautista Gasparoli, 60 id....................... ................................ 120. D. Juan Antonio Ruiz, contador de la caxa de</t>
  </si>
  <si>
    <t>Bartolom</t>
  </si>
  <si>
    <t>..... Cadete........ D. Josef Demblans. r2- Pedro Nieto. _ . ' D. Rafael Altecona. fCapitanes....,' D Bartolom¿ Boutelou. Heridos.................. ■{ ID. Manuel Bu Ines. I rD. Atanasio (U. B Revuelta. i Tenientes ...Jd. jJosef Alano, graduado de capitán. ¿D. Temando T Alvarez.</t>
  </si>
  <si>
    <t>Bartolomé-de Escauriaza</t>
  </si>
  <si>
    <t>l Jardín botánico, id...;;.*.;... : 100. r2 n c í 1111 ^ ^2, i ... ■*. f p* p,p p p p p p p p 6o¿ * D. Bartolomé-de Escauriaza, oficial del almacén de ’ paños: de Guadalaxara, en un recibo de réditos sobre el tabaco * id..... 320 ol D. Gerónimo Muñoz, id....................................................</t>
  </si>
  <si>
    <t>Basabre, Vicente</t>
  </si>
  <si>
    <t>Vicente Basabre</t>
  </si>
  <si>
    <t>o de Sevilla. =Es copia, de que certifico. = Sevilla 10 de setiembre de 1808. = Vicente Basabre, secretario.” Madrid 14 de setiembre. El Excmo. Sr. D. Francisco Xavier Castaños, capitán general del exército de Andalucía, recibió ayer el siguiente oficio que le lia remitido des</t>
  </si>
  <si>
    <t>Basart y Josef Bernieh, Gerónimo</t>
  </si>
  <si>
    <t>Gerónimo Basart y Josef Bernieh</t>
  </si>
  <si>
    <t>o ; y di caza á un barco que entró en Barcelona , hasta el dia 19, que en compañía de los capitanes D. Gerónimo Basart y Don Josef Bernieh y dos fragatas inglesas hicimos fuego en Mataró contra los enemigos hasta las 8 de la noche, que pasé á Calella á buscar municiones de las que habian abandonado los franceses, y recompo</t>
  </si>
  <si>
    <t>Basart, Gerónimo</t>
  </si>
  <si>
    <t>Gerónimo Basart</t>
  </si>
  <si>
    <t>gosto, de 1808.= Bartolomé Bosch menor. = Señores de la junta de S. Feliu de Guixols. Los capitanes D. Gerónimo Basart con su media galera y 62 hombres de tripulación , y D. Josef Bernieh con su falucho Fernando vn y 38 hombres , armados en corso en esta villa, se hicieron á la vela por disposició</t>
  </si>
  <si>
    <t>Bascones, Blas</t>
  </si>
  <si>
    <t>Blas Bascones</t>
  </si>
  <si>
    <t>......... Zaragoza 1 &gt;00 735 Doña Dorotea Eltin de Villaba........................ Madrid. 5co 2291 D. Blas Bascones................................................. Cádiz...... 3 00 745 D. Manuel Quevedo de Bustamante................ Madrid... 600 453 D. Lucas Escribano, administrador del corre</t>
  </si>
  <si>
    <t>Bascur, Juan</t>
  </si>
  <si>
    <t>Juan Bascur</t>
  </si>
  <si>
    <t>nel D'. Juan Freire, cadete de reales guardias de Corps; D. Fernando Zurita, subteniente de Jaén, y Don Juan Bascur, teniente coronel del de Ceuta. .Los regimientos dé Irlanda, Jaén, de línea, Barbastroy tercios de-Tejas, al mando de su¿ dignos gefesD. Juan Nacten, D. Josef de Moya, cuyo corone</t>
  </si>
  <si>
    <t>Basoa y Abrisquieta, Francisco</t>
  </si>
  <si>
    <t>Francisco Basoa y Abrisquieta</t>
  </si>
  <si>
    <t>ndrés Abrisquieta ^ corredor de cambios, 600 rs. porcuna vez, y 6* por agosto á 2 rs. diarios, 662. D. Francisco Basoa y Abrisquieta, por id. á id., 62 rs. D. Manuel Vallejo, por agosto y setiembre á 15 rs. mensuales, 30. D. Matías Cano, empleado en la fábrica de aguardientes, por una vez 300 rs. D. Bernardo Go</t>
  </si>
  <si>
    <t>Bastarreche, Pedro</t>
  </si>
  <si>
    <t>Pedro Bastarreche</t>
  </si>
  <si>
    <t>ragoza..... neo 2087 D. Marcelino Lom.........................../...... . Cádiz........... neo 3785 D. Pedro Bastarreche...;...... ............. Cádiz......... 600 3596 Sra. Viuda de Bengoa............. ..................... Bilbao........ 3 cd 801 D.-Tomas Cervantes y Famada-..Madrid....... 500 474</t>
  </si>
  <si>
    <t>Bastarte, Juan</t>
  </si>
  <si>
    <t>Juan Bastarte</t>
  </si>
  <si>
    <t>s de dichas milicias D. Juan de Viatica, D. Antonio Echavarri, D. Josef Rivas, D. Ramón Gorrondona, D. Juan Bastarte, D. Antonio Zavala , D. Francisco'Baldrich , D. Eugenio de Iturraga, Don Basilio Viola, D. Julián Viola , D. Juan Viola, D. Mauricio Xaplaneta, D. Pedro Nicolás Ximenez , D. Ventu</t>
  </si>
  <si>
    <t>Batanero, Antonio</t>
  </si>
  <si>
    <t>Antonio Batanero</t>
  </si>
  <si>
    <t>1000. D. Bartolomé González, id................ ............................................ . 20. D. Antonio Batanero, id................................................ .................. 20. D. C. H., id................................. .................................................... 360.</t>
  </si>
  <si>
    <t>Bathurst, Lord</t>
  </si>
  <si>
    <t>Lord Bathurst</t>
  </si>
  <si>
    <t>land concluyó proponiendo que se remitieran á examen de uña.-junta las órdenes del consejo. . ’ . . Lord Bathurst respondió que el decreto de Napoleón de 21.de noviembre excluía á los neutrales, sin restricción alguna, de todo comercio con Inglaterra » y declaraba en estado de bloqueo las isl</t>
  </si>
  <si>
    <t>Baudin</t>
  </si>
  <si>
    <t>3 de mayo de 1808</t>
  </si>
  <si>
    <t>Madrid 43</t>
  </si>
  <si>
    <t>ocas mas gloriosas de la marina francesa. S. M. I. y R. ha conferido el grado de contra-almirante á Mr. Baudin, capitán de navio , comandante de las fragatas Hortensia y Hertnione. El corsario nombrado el Gran 'Ñayoleon ha apresado y hecho entrar en Dunquerqiíé el 7 de este mes un bergantí</t>
  </si>
  <si>
    <t>Bay, Agustín</t>
  </si>
  <si>
    <t>Agustín Bay</t>
  </si>
  <si>
    <t>aderos al de fusilero# D. Josefi Bons, y á temientes.de fusileros á lo# subtenientes de granaderós* D. Agustín Bay y D. Juan Francisco Roh: en el de Kedipg. núm. y.° á Capitán segundo'aí teniente de -granaderos D. Jacobo Bruggér, y á teniente dé granaderos aí de fusileros 0. Félix Moflo: en el de</t>
  </si>
  <si>
    <t>Baylo, Antonio</t>
  </si>
  <si>
    <t>Antonio Baylo</t>
  </si>
  <si>
    <t>00. D. Francisco Roxo, id................................... ••............................•* IOOi* D. Antonio Baylo , del comercio de libros, id................... . icoo. . D. Blas Ametller , grabador, 60 rs. por agosto y setiembre 230 rs. mensuales , y 60 por una vez................ .........</t>
  </si>
  <si>
    <t>Bayo, Alonso</t>
  </si>
  <si>
    <t>Alonso Bayo</t>
  </si>
  <si>
    <t>.................. 220 17. D Camiio González Perea, 2 rs. diarios , por un año................ 730. D. Alonso Bayo, 500 rs. por una vez, y 6 diarios, por 2 meses. 866, D. Isidoro Sanz Valles, 4 id................ ........... 284. D. Juan Antonio García de García, 2 id. por 2meses.............</t>
  </si>
  <si>
    <t>Bayo, Matias</t>
  </si>
  <si>
    <t>Matias Bayo</t>
  </si>
  <si>
    <t>.... ........ . 4 P. Francisco Bermejo.......... .............. 1 P. Ramón Lancha:.:........... . 2 D. Matias Bayo.................................... •1 1 i ■ D. Hipólito Esteve, director de la escuela veterinaria........................... 1 D. Simón de Sta. María , dependien^ té de los cinc</t>
  </si>
  <si>
    <t>Bayo, Matías</t>
  </si>
  <si>
    <t>Matías Bayo</t>
  </si>
  <si>
    <t>aría-* no Blancas. D. Julián* de ¥uenté$¡' Dij&gt;ütados: D. Manuel Montaos. D., Juan * Madrid Dávilá. D. Matías Bayo. í). Fránciséo-Villa;' D* Juan Ramón Maf-1 tú te. D. Jüan Matías Satini, Óí Jtrán Josef de Dringas, prdcúrad&amp;f&gt;géñefai^ D. Felipe Somóz*, diputado del barrio del Ambr de Dios. El</t>
  </si>
  <si>
    <t>Norzagarai, procurador personero; D. Juan Xaramillo, regidor; D. Diego del Rio, también regidor, y D. Matías Bayo, diputado; D. Nicolás García Caballero, D. Juan Bautista Nieto, D. Pedro Marcelino Blanco , D. Miguel Martínez, D. Pedro Queipo de Llano, D. Juan Ruiz Dávila, D. Josef Bausá, D, R</t>
  </si>
  <si>
    <t>dor ; D. Juan de Castañedo, regidor; D. Juan Xaramillo, id.; D. Manuel Montaos, diputado del común; D. Matías Bayo, id.; D. Juan Josef de Bringas , procurador general; D. Mateo Norzagarai, personero del común. Diputación del estad» eclesiárHco regular. Fr. Eugenio Arnoedo, abad del monasterio</t>
  </si>
  <si>
    <t>Becerril, Antonio</t>
  </si>
  <si>
    <t>Antonio Becerril</t>
  </si>
  <si>
    <t>........ 1100. D. Mignel González de Lobera, id.......... .................................... 160. D. Antonio Becerril, un real diario, y 320, id........................... 320. D. Hilarión Salcedo, un libramiento contra la caxa de Consolidación, id................................................</t>
  </si>
  <si>
    <t>Becerrll, Antonio</t>
  </si>
  <si>
    <t>Antonio Becerrll</t>
  </si>
  <si>
    <t>..... ,32o. D. Ramón Risel, 300 id. por 5. meses...... .............................. ....... ^500. D. Antonio Becerrll , administrador de tabaco en, la ¡villa dfe Budi a , un i eal -diaa 10, * .por. 2: n j e se s.... • .«-■■ .■..¿..i . .«.• ^ t. . ¿ Doña Dáraasa Izquierdo , por una.,vez...........</t>
  </si>
  <si>
    <t>Bech, Felipe</t>
  </si>
  <si>
    <t>Felipe Bech</t>
  </si>
  <si>
    <t>v Nombres de los interesados. Comisionados. Fs. vo. ........ ................ . .. ■■■■■■. . 1(017 D. Felipe Bech&gt;».............v.,........../.......».» ^Madrid»»». -■ 300 1040 D. Josef Antonia Menguez............i................. Madrid.....;. '500 1330 Doña Rosa Salvador...................</t>
  </si>
  <si>
    <t>Bedel, General</t>
  </si>
  <si>
    <t>General Bedel</t>
  </si>
  <si>
    <t>30 de julio de 1808</t>
  </si>
  <si>
    <t>Sevilla 18</t>
  </si>
  <si>
    <t>ueblo, pasando por el campo en que se había dado la Batalla. A las siete de este día se presentó el General Bedel con toda su Plana mayor, las tropas desalaron y depositaron las armas, según se había capitulado* .Esta operación se, concluyó con el mayor órden, siendo su resultado ?1 quedar li</t>
  </si>
  <si>
    <t>Bedrpdel Rió</t>
  </si>
  <si>
    <t>a Puerta 6, , ( Doña María López libra y media de Marquesa del Castillo de S. Felipé 24. , hilas? ~ D. Bedrpdel Rió ¿ó. ,, , ; D: F;T£-Gd C; -M. L.acamisas. tíoñal’N^pija^y^üná UJfrá deshijas.:: Una señora viuda : " J D. Fausto Díaz y su parienta 2 ca- Doña María Josefa de Arribas 2. ' misas, 1</t>
  </si>
  <si>
    <t>Befck, Felipe</t>
  </si>
  <si>
    <t>Felipe Befck</t>
  </si>
  <si>
    <t>sa-ypor una'-vez;.*;.-....';.-.-;;;::;:;;;;;;;;.*.......;.4...;!. 1 too. ; D. Sebastian Nickel; y ; D. Felipe Befck y -plateros de tíro y ^.. . .¿ ‘ 80^ ; D. Manuel cte Sáücal-, oficia! de la cóótáduna de Consolidación, * \ y$ü muget ’Doña Florentina Sotó tufa’ y'ez..:.V...í.)á¿.¿00.' D. Joaquín</t>
  </si>
  <si>
    <t>Begines, Antonio</t>
  </si>
  <si>
    <t>Antonio Begines</t>
  </si>
  <si>
    <t>mg, al mando del brigadier Sr. Gazitua. El jueves el regimiento de Baza con 2400 plazas, su coronel D. Antonio Begines. Al dia siguiente la caballería de húsares Españoles con 658 plazas, su coronel el marques de Gampo-Verde. Siguen todas estas tropas su ruta para Gataluña, y han sido obsequiadas</t>
  </si>
  <si>
    <t>Madrid 146</t>
  </si>
  <si>
    <t>al mandó del brigadier el Sr. Gazltua el 23. El regimiento de Baza con 2400 plazas con .su coronel D. Antonio Begines el 27. Los húsares reales de Gra, nada con su coronel el marques de Campo-verde, y 65 8 plazas et 28. El primer batallón del regimiento de Almería y su coronel D. Juan Kreaccon 1200</t>
  </si>
  <si>
    <t>Bei, Manuel</t>
  </si>
  <si>
    <t>Manuel Bei</t>
  </si>
  <si>
    <t>Anexo, p. 6</t>
  </si>
  <si>
    <t>Madrid........ 300 1679 •0. Luis María de Collantes.......... ....... ......... S. Sebastian. 2348 •D. Manuel Bei^és...i;.4..'.*...’....17.. iZáragóza.....1 3 00 3S&gt;? 0. .Miguel de Laca....,..... ................. Coruña.;...;'.' 300 1196 0. Antón io Pendonez. ........... ...7.♦..... ... Barc</t>
  </si>
  <si>
    <t>Beime</t>
  </si>
  <si>
    <t>s modos, se han echado i pique á la entrada varias embarcaciones viejas. PRUSIA. Berlín 18 de jumo. Mr. Beime, antiguo consejero de gabinete, que fue nombrado presidente del tribunal de la cámara de esta ciudad, ha pedidos» licencia. Llegó hace 3 dias de Kónigsberg, y marchó sin detenerse</t>
  </si>
  <si>
    <t>Bel</t>
  </si>
  <si>
    <t>dente en Madrid; á saber: el nuncio apostólico Monseñor Gravina , e! encargado de negocios de París Mr. Bel loe, el encargado de negocios de Viena Mr. Gennote , el encargado de"negocios de Dresde Mr. Persch , el encargado de negocios de los Estados-Unidos Mr. Erving, el ministro plenipo</t>
  </si>
  <si>
    <t>Belart, Ramón</t>
  </si>
  <si>
    <t>Ramón Belart</t>
  </si>
  <si>
    <t>Madrid 131</t>
  </si>
  <si>
    <t>de g onzas. Pintura: á D. Francisco Lacoma, natural de Barcelona, de edad de 24 años. Escultura: á D. Ramón Belart, de Montblanc, arzobispado de Tarragona, de 3 2 /años. Arquitectura: á D, Tiburcio Perez Cuervo, de Oviedo, de 22 años. Premios segundos. Medallas de oro de 2 onzas. Pintura : á D</t>
  </si>
  <si>
    <t>Belestá, Domingo</t>
  </si>
  <si>
    <t>Domingo Belestá</t>
  </si>
  <si>
    <t>tamos nuestra sumisión y cbedie,ncia—-Oporto en cabildo á 28 de enera de 1808. = limo, y Excmo. Sr. D. Domingo Belestá.” ESPAÑA. . / r Irun 7 dé marzo. ' i • : . ■ , Antes de; ayer llegaron aquí varios destacamentos Franceses de dragones .y granaderos,de la guardia imperial, de los gendarmas escog</t>
  </si>
  <si>
    <t>Belestá, General</t>
  </si>
  <si>
    <t>General Belestá</t>
  </si>
  <si>
    <t>22 de junio de 1808</t>
  </si>
  <si>
    <t>Sevilla 7</t>
  </si>
  <si>
    <t>a plaza de algún provecho, pues acaban de ser desarmados. No así en Oporto, pues hallándose allí el General Belestá armó toda la tropa que tenia baxo su mando y apoderándose del Corregidor mayor, del General -de división Quemel 9 de Mr. Taboureau 9 Auditor del Consejo de Estado de París, del Co</t>
  </si>
  <si>
    <t>Belfoúr</t>
  </si>
  <si>
    <t>itud norte, comprehendiendo en esta demarcación la isla de la nueva Órleans (por encima de Quebec.) Mr. Belfoúr, traductor de las Fábulas literarias y del Poema sóbrela música del poeta español Inarte, ha ofrecido hacer una nueva edicion.de la traducción del D, Quixote por Jarvis, adornada</t>
  </si>
  <si>
    <t>Beltran</t>
  </si>
  <si>
    <t>ué se supuso tener'doble aléancede laeónocidé , il4sta aquí ; y un romanee que pinta Ja batalla que D. Beltran, cibaUeró navarro^ tuvo coa tina sierpe dcc. Se hallara Leon ilos anteriores v¿n la l ibrería de Escribano, salle de IasCanretasydoude se adinijten suscnpcaones&gt;payasodas’partes,</t>
  </si>
  <si>
    <t>Beltran Casaux</t>
  </si>
  <si>
    <t>os Lotes de ias en acciones. Nombres de los interesados. Comisionados. Rs. vn. — ■■ ;v —■ —tt —■ 72 D. Beltran Casaux, padre é hijos.......... ........ Barcelona.... 300 900 Doña Manueia Saenz de Tejada...................... Madrid........ 500 3° 4 Rafael.Medina y Lafita.......... ,..... ........</t>
  </si>
  <si>
    <t>Beltran Doria, Ignacio</t>
  </si>
  <si>
    <t>Ignacio Beltran Doria</t>
  </si>
  <si>
    <t>laga........ 500 411 Doña Candelaria de Herrera............................. Santander.... 300 2203 D. Ignacio Beltran Doria.................................. Barcelona,... 300 1086 D. Pedro del Rio............................................. . Madrid........ 300 1877 D. Joaquín Saldueña...............</t>
  </si>
  <si>
    <t>Beltran Fabre</t>
  </si>
  <si>
    <t>D. Joaquín Peral, id................................... .................................... . 200. D. Beltran Fabre, id............................................................................ 20. D. Francisco Xavier Cañizares, id............... ................................... 60. El gre</t>
  </si>
  <si>
    <t>Benaya, Manuel</t>
  </si>
  <si>
    <t>Manuel Benaya</t>
  </si>
  <si>
    <t>icha. D. Tomas del Cano Goicochea, secretario del barrio del Hospicio. D. Mauro López, diputado id. D. Manuel Benaya id. D. Pedro López Conche, de id. D. Blas de Torres Errazque, diputado de Jesús Nazareno. D. Josef Hilario Fernandez, eclesiástico. D. Juan Bautista Lasa. D. Pedro Trigoen, secret</t>
  </si>
  <si>
    <t>Benayas, Manuel</t>
  </si>
  <si>
    <t>Manuel Benayas</t>
  </si>
  <si>
    <t>es , id........................... ' 722. D. Eugenio Vidangel, presbítero, id............... . 120. D. Manuel Benayas , administrador de la real fábrica de cera de S. M., id...;.......................................................... ............ ................. jco. Doña Micaela Sánchez , id</t>
  </si>
  <si>
    <t>Beni, Andrés</t>
  </si>
  <si>
    <t>Andrés Beni</t>
  </si>
  <si>
    <t>D Juan Bautista Nieto, diputado de id. Dan Lázaro Sanz, alcalde. D. Francisco Criado, diputado id. D. Andrés Beni— tez , eclesiástico, del barrio del Ave María. D* Ventura López, alcalde del barrio Je Sta. María. D. Manuel Négueruela% secretario de S Juan. Don Juan Sagra , alcalde de los Caño</t>
  </si>
  <si>
    <t>Benigsen</t>
  </si>
  <si>
    <t>riediand fue nom- * brado general en gefe de los exércitos combinados ruso y prusiano en lugar • de Mr. Benigsen, se ha ocupado después de la paz , de orden del Emperador Alexandro, en reunir y organizar en las orillas del Duina e-1 nuevo exército que se le ha confiado, ademas de un cuerpo d</t>
  </si>
  <si>
    <t>Benita Díaz y Paula Rodríguez</t>
  </si>
  <si>
    <t>sos y electivo, id......................................................................... 2676 2* Doña Benita Diaz y Doña Paula Rodríguez, id.................... . 60. D. Felipe Tieso, del comercio de libros, 60 rs. mensuales, por agosto.......... .....................................................................</t>
  </si>
  <si>
    <t>Benita Rocandid, María</t>
  </si>
  <si>
    <t>María Benita Rocandid</t>
  </si>
  <si>
    <t>co..... . Madrid*...... 600 2420 D, Juan Manuel de Peralta.,........................ •«*#!» 500 278 Doña María Benita Rocandid y D. Francisco ■f Martínez Mugica............................ . Burgos:,....*. 3°0 1921 D. Manuel María Bahamonde,..*..,.................. Zaragoza..... 500 598 Excmo* Sr. D, Vicente</t>
  </si>
  <si>
    <t>Benita Rocandio, María</t>
  </si>
  <si>
    <t>María Benita Rocandio</t>
  </si>
  <si>
    <t>.. . iMadrid....... ; 300 506 Doña Francisca Paula de Irala..................... Bilbao...j 000 23) Doña María Benita Rocandio..................... Burgos..,,..,. Joo 1805 D. Joaquín Gispert................................. .......... Zaragoza..... 300 868 D. Ventura Fita..................................</t>
  </si>
  <si>
    <t>Benitez, Félix</t>
  </si>
  <si>
    <t>Félix Benitez</t>
  </si>
  <si>
    <t>a y corte, por la escribanía de provincia de Don Manuel López de Ribas. En virtud de providencia de D. Félix Benitez, alcalde mayor de la villa de Leganes, juez comisionado por la sala de señores alcaldes de casa y corte, se han mandado sacar á pública subasta, por término de 30 días, las fincas</t>
  </si>
  <si>
    <t>Benitez, Francisco Tomás</t>
  </si>
  <si>
    <t>Francisco Tomás Benitez</t>
  </si>
  <si>
    <t>aragozai.... 300 204 D. Josef Adalid , del comercio......................... Alicante...... 300 650 D. Francisco Tomas Benitez................ ..... . Madrid....... 300 1311 D. Pedro Beyeya, comerciante y comisionado, ¡ Vajencia&gt;5 09 . 1931 D. Vicente Martínez, dignidad 4.e tesprsrp... Zaragoza,?...,óoo 1</t>
  </si>
  <si>
    <t>Anexo, p. 37</t>
  </si>
  <si>
    <t>........... í fí "Vi ói 0 m 4 3 00 2408 D.' Antonio Castillo............... . Zaragoza..... 500 651 D. Francisco Tomas Benitez....... . Madrid..... . 600 858 D-. Manuel Machón.............. ... Madrid....... IOOO .7° Di Antonio Buenaventura- Gasso.. Barcelona.... 500 643 Di Antonio de Macazaga........i...</t>
  </si>
  <si>
    <t>Benitez, Juan Francisco</t>
  </si>
  <si>
    <t>Juan Francisco Benitez</t>
  </si>
  <si>
    <t>.......... ... 180. i Dona Rairóra ;Garcia- de Benitez, su&gt; muger, id................ ...... 120. « D. Juan Francisco Benitez, su hijo,,, id , 60.. B. Fulgencio Rubín de;,Celis,,.por agosto á 3 rs. diarios.,,..*....., r-:.' SS-.O. D. Tadeo Segundo Gómez, fiscal del consejo de Hacienda, por r 'X agosto y</t>
  </si>
  <si>
    <t>BenitoS</t>
  </si>
  <si>
    <t>14 de diciembre de 1808</t>
  </si>
  <si>
    <t>Madrid 154</t>
  </si>
  <si>
    <t>de la entrada de los franceses en esta villa ,ha sido el teatro de la acción mas atroz. El general D. BenitoS. Juan llegó allí con las tropas que habia tenido baxo su mando en Somosierra. Estas tropas, que en el campo de batalla habían manifestado tan poco aliento, no han dado pruebas sin</t>
  </si>
  <si>
    <t>Benosa, Juan</t>
  </si>
  <si>
    <t>Juan Benosa</t>
  </si>
  <si>
    <t>Sevilla 62</t>
  </si>
  <si>
    <t>, donde les opuso una resistencia! bizarra el teniente del tercio de mi que le 163 del mismo valle D Juan Benosa con iz hombres que componía^ su partida de guerrilla. Luego que se participó al go-* bernador interino del valle los movimientos de los ener roigos , levantó los somatenes del pay</t>
  </si>
  <si>
    <t>Bensléi</t>
  </si>
  <si>
    <t>Madrid 64</t>
  </si>
  <si>
    <t>6i$ imprenta , y que Mr. Bensléi, librero acaudalado de Londres , se ha asocia-’ do con él para poner en planta este nuevo método. &lt;■ Quáredo los ingleses conquistaron á Seringapatan enviaron á Calcuta la bibliot</t>
  </si>
  <si>
    <t>Beotas, Pedro</t>
  </si>
  <si>
    <t>Pedro Beotas</t>
  </si>
  <si>
    <t>4 meses desde agostó á 4 rs. diarios......................................... ....... J....... 488, D. Pedro Beotas, aposentador jubilado de S. M. ,-927 rs, en una boleta de su sueldo, y 73 en efectivo por una vea......... 1000. D. Josef de Liona , administrador general del abastó.de carnes, po</t>
  </si>
  <si>
    <t>Berdeja, Manuel</t>
  </si>
  <si>
    <t>Manuel Berdeja</t>
  </si>
  <si>
    <t>bao......... 500 947 D. Santiago de Diego Calonge.......................... Madrid....... 600 2285' D. Manuel Berdeja.....,..................................... Cádiz.,........ 500 1870 D. Manuel Palacin..... ..........,,............................ Zaragoza...:. 300 437 D. Antonio del Piélago y</t>
  </si>
  <si>
    <t>Berenguer, Felipe</t>
  </si>
  <si>
    <t>Felipe Berenguer</t>
  </si>
  <si>
    <t>tercer batallón del regimiento de infantería inmemorial del Rei al sargento mayor del mismo cuerpo D. Felipe Berenguer: ía del de Africa al de la Corona, graduado de teniente coronel, D. Atanasio Salazar: la del de Toledo al del de Navarra D. Josef Bodet: la del de Mallorca al del de Sevilla, grad</t>
  </si>
  <si>
    <t>Berenguer, Félix</t>
  </si>
  <si>
    <t>Félix Berenguer</t>
  </si>
  <si>
    <t>Madrid....... 600 236 D. Narciso Gonzalo del Rio urgos............. Tlií ^/vao uuw 1300 Excmo. Sr, D. Félix Berenguer, teniente general............................................................... Valencia..... 300 921 D, Bartolomé de Ambarro....... Madrid*........ 500 2247 D, Agustín Antonio d</t>
  </si>
  <si>
    <t>.. 300 1284 D. Antonio'Viscaino, presbítero...................... Valencia..... 300 1294 Excmo. Sr. D. Félix Berenguer, teniente general........ .......................................................... Valencia..... 300 332 D. Josef Salomón, Cádiz.................................. Cádiz.........</t>
  </si>
  <si>
    <t>....... .. Cádiz......... 664 D. Tadeo Rico y Arnedo.......... .. Madrid....... 300 1282 Excmo. Sr. D. Félix Berenguer .. Valencia...., 3 00 2167 D. Juan Hilario Rodríguez...*.. Coruña...;*.* 30 0</t>
  </si>
  <si>
    <t>Beresford</t>
  </si>
  <si>
    <t>últimas noticias de Londres avisan que el 24 de abril el gobernador ingles de la isla de Ja Madera Mr. Beresford la entregó al agente del príncipe del Brasil Mr. Barcelar, en virtud de un ccnv-cnio ajustado en Londres. Mr. Barcelar tomó posesión en nombre de su Soberano, y el general Beresford hi</t>
  </si>
  <si>
    <t>Berger</t>
  </si>
  <si>
    <t>7 de julio de 1808</t>
  </si>
  <si>
    <t>Madrid 79</t>
  </si>
  <si>
    <t>á doctrina, no me pertenecen exclusivamente: los he hecho de acuerdo con mi compa*triota y amigo el Dr. Berger, que ha tenido gran parte en este trabajo ayudándome con sus luces.*’ ~ w ' / ’ En la primera sección de su memoria investiga el autor quálesel grado de calor que pueden sufrir lo</t>
  </si>
  <si>
    <t>11 de julio de 1808</t>
  </si>
  <si>
    <t>Madrid 83</t>
  </si>
  <si>
    <t>cción refiere el autor los experimentos hechos en el hombre; esto es, en sí mismo, y en su amigo el Dr. Berger. Copiaremos süs mismas palabras. „Los fisiólogos, dice, han parado mas la atención en los efectos que pausa el calor en el hombre, que en los que puede producir en los anima/</t>
  </si>
  <si>
    <t>guantar el mismo arado de caior que sufrieron voluntariamente aquellos. Con este fin nos encerramos Mr. Berger y yo en un quarto calentado por una estufa: estábamos desnudos, y una pantalla de lienzo nos resguardaba del calor radiante de la estufa. Medimos el grado de temperatura con un termóm</t>
  </si>
  <si>
    <t>aguanto por ’ 8 minutos una temperatura entre 240 y 260o F. sin mayor incomodidad que la que sintió Mr. Berger , después de haber estado 7 minutos en otra temperatura de 227 8 F.” Él autor ha hecho también otros muchos experimentos sobre los grados de calor que pueden sufrir el hombre y lo</t>
  </si>
  <si>
    <t>Berges, Alexandro</t>
  </si>
  <si>
    <t>Alexandro Berges</t>
  </si>
  <si>
    <t>.......... . 60. D. M. V., 50 ?J. id,...5o* D. A. H., 50 id. id.......:.............. . . .... 50. D, Alexandro Berges y celador del alumbrado i 2Ó id,; por 2 meses. 40. D. Juan González, 20 id.por 6meses.................. 120. D, Félix Josef Martínez y portertydel consejo de Marina , 20 id. por ago</t>
  </si>
  <si>
    <t>Bermejo, Juan</t>
  </si>
  <si>
    <t>Juan Bermejo</t>
  </si>
  <si>
    <t>este dexa, á D. Antonio Urizar de Aldaca: para el corregimiento de 1er tras de la villa de Alcoi á D. Juan Bermejo: para la vara de alcalde mayor de Valladolid, que este dexa, á D. Josef de Vargas Vaca; y para el corregimiento de letras de Borja á D. Manuel Antonio Denia. ! En América. En el r</t>
  </si>
  <si>
    <t>Bermndez, Francisco</t>
  </si>
  <si>
    <t>Francisco Bermndez</t>
  </si>
  <si>
    <t>o Mercar, de Madrid rde 20 añós. Escultura: á D. Manuel Sancho, de id., de 13 años. Arquitectura? á D. Francisco Bermndez, de Torrelaguna, arzobispado de Toledo, de 25 años. Tercera clase. Premios primeros. Medallas de plata de $ onzas. Pintura: á D. Antonio González Villamil, de Madridj de1 18 años.</t>
  </si>
  <si>
    <t>Bermudez, Juan</t>
  </si>
  <si>
    <t>Juan Bermudez</t>
  </si>
  <si>
    <t>....................... 250. D. Nicolás Prieto, portero de la tesorería general,-60 id. id..... 60. D. Juan Bermudez, confitero, 10 id. por 2 meses...................... D. Pedro Pisón, oficial de la secretaría de Hacienda de Indias, 4$ rs. anuales: entrega.......................................</t>
  </si>
  <si>
    <t>Bernabé</t>
  </si>
  <si>
    <t>nistro del consejo Real, 12 rs. diarios, y ha satisfecho 1464 por 4 meses, y ademas .. 1®, id 2464, D. Bernabé;,Canga Arguelles¡bibliotecario-archivero del departamento déí fomento del:reino y balanza de comercio, 6 rs. - -diarios, y ha satisfecho 186.por agosto y 500 id.....*.............</t>
  </si>
  <si>
    <t>Bernabé Cabeza</t>
  </si>
  <si>
    <t>............ . 8. 1). Santiago Gavirati, 4 rs. diarios, por 2 meses........................... 244. D. Bernabé Cabeza, relator del consejo de la Guerra, 4 id., por agosto....................................................... . 124. D. Pedro de Garibaí, agente de Indias, 4 id., por 6 meses.......</t>
  </si>
  <si>
    <t>Bernabé del Aguila y Bolañqs</t>
  </si>
  <si>
    <t>r. D. Pedro de Mora y Lomas, corre** gidor de esta villa. - * Los toros serán de las vacadas : 2 de D. Bernabé del Aguila y Bolañqs, con divisa encarnada y blanca: 1 de D. Alvaro Muñoz, con verde y blanca: 2 de D. Manuel Aleas, con azul y encarnada: 2 de D.VicenteBañuelos , con escarolada yr yerde : 2 de tí. M</t>
  </si>
  <si>
    <t>Bernabé Mateo Pérez</t>
  </si>
  <si>
    <t>nta Barbara. Fr. Antonio de S. Miguel, ministro de Jesús. Fr. Vicente Prieto , prior de Sto. Tomas. D. Bernabé Mateo Perez, diputado eclesiástico dei barrio de S. Juan. D. Francisco Medina, capellán mayor de los naturales de S. Pedro. Fr. Eugenio Amoedo, abad de San Bernardo. D. Benito Prado, diputado</t>
  </si>
  <si>
    <t>Bernabé Nicolás Martínez</t>
  </si>
  <si>
    <t>ento de esta moneda,.id......... ......................................................... 3167 1^. D. Bernabé Nicolás Martínez, id,............... ............................... . 200. Doña María Pinero, sirviente, id............................ .................,..... 40. Di Valentín Francés Caballero,</t>
  </si>
  <si>
    <t>Bernabé Rapun</t>
  </si>
  <si>
    <t>en Langeland: sequedó en Langeland, * habiendo seguido la división desde Nieborg hasta esta isla.' D. Bernabé Rapun, comisario de guerra, se sabe extra judicialmente llegó hasta Odensé deseoso de seguir la división; pero se ignora quales fueron los causales que le impidieron llegar á Nieborg. D</t>
  </si>
  <si>
    <t>Bernabé Rodríguez Cabriada y Pardo</t>
  </si>
  <si>
    <t>ádiz.......... ioo 2319 D. Juan de Mata Zúñiga.............................. Cádiz.......... 500 25 D. Bernabé Rodríguez Cabriada y Pardo... Zaragoza..... 6co 1721 D. Francisco Arralan y Valdés, de Bexer. • « • Cádiz.......... 300 22 D. Blas Martínez..................... ...................... Zaragoza..... 0 0 IO87</t>
  </si>
  <si>
    <t>Bernabé San Martín</t>
  </si>
  <si>
    <t>*4* guel Esquiaga, D. Josef Francl , Jtían Ignacio Terrada, D. Juan /Ramos, D. Bernabé San Martin, D. Bernardo Mateo Ximenez, D. Manuel Pintos’, y á D. Juan de Dios Dbzó , capitán y sargento mayor interino del referido cuerpo de patriotas, grado de teniente coronel de milicias</t>
  </si>
  <si>
    <t>Bernabé Sancho</t>
  </si>
  <si>
    <t>sto ingles. ( Se concluirá.) ESPAÑA. ' , ' * t Madrid 2$ de enero.. — S. M. se ha servido nombrar á D. Bernabé Sancho para la dignidad de sacristán de la colegial de Mora', diócesi de Teruel, vacante por renuncia de D. Josef Monterde : á D. Juan Bautista García para el beneficio de Sta. Mar ría y</t>
  </si>
  <si>
    <t>Bernabé Schefler</t>
  </si>
  <si>
    <t>iente , por una vez......... . joo. D. N. N., á cuenta de 6co rs......... ........ ........... 120. D. Bernabé Schefler, músico de la real capilla , por una vez..... 80. D. Josef Babea , oficial de la secretaría de la cámara de Castilla, por úna vez..................................................</t>
  </si>
  <si>
    <t>Bernabla, Manuel</t>
  </si>
  <si>
    <t>Manuel Bernabla</t>
  </si>
  <si>
    <t>osef Gómez, diputado id. D. Ignacio Muñoz, diputado id. D. Rafapl Puente, alcalde del barrio de id. D. Manuel Bernabla, diputado eclesiástico de S. Plácido. D. Domingo Mesa, alcalde del barrio de id. D. Antonio María, Perez, secretario. D. Manuel Rodríguez , presbí-, tero r diputado de S. Nicolás.</t>
  </si>
  <si>
    <t>Bernard Starck de Saint Emmerond</t>
  </si>
  <si>
    <t>otras partes del mundo. « CONFEDERACION DEL RIN. Francfort // de febrero. Escriben de Ratisbona que Mr. Bernard Starck de Saint Emmerond, célebre antiquario, comenzó el mes anterior á hacer una excavación en un terreno contiguo al camino real que va desde esta ciudad á la de Kumpfmulh , en el qual se sabe que los r</t>
  </si>
  <si>
    <t>Bernarda Arnaiz de Vivaneo</t>
  </si>
  <si>
    <t>68 Rs.. Mrs. neral de. Correos, y su mugar Dona Bernarda Arnaiz de Vivaneo, 50 rs. mensuales, y 260 por una vez........................... 310. D. Antonio Hervás, vidriero, id............. ..................................... . $00. D. Josef Meneses, en</t>
  </si>
  <si>
    <t>Bernarda Ortiz Guinea y Teran, María</t>
  </si>
  <si>
    <t>María Bernarda Ortiz Guinea y Teran</t>
  </si>
  <si>
    <t>de N. 50. Doña Paula Martínez 6 de crea. D. N. 3, D. Francisco Hernando Gómez 152I varas de estopa. Doña María Bernarda Ortiz Guinea y Teran 4. Dia 24. D. Pedro Arnaez , presbítero, 2 camisas. D. Manuel Martínez de Haedo y Doña Bernarda Arnaez 2. D. Fernando Martínez de Viergol 18 de crea. Antonio Pascasio García, barr</t>
  </si>
  <si>
    <t>Bernardino Alvear</t>
  </si>
  <si>
    <t>ispado de Quito: para la segunda ración á D. Josef Miguel Carrion, y para la media ración ae este á D. Bernardino Alvear , cura interino del Sagrario de la misma catedral de Cuenca.__ También se ha servido S. M. nombrar á D. Josef Diego Molina y Castro para una ración de la catedral de Monterey , en</t>
  </si>
  <si>
    <t>Bernardino de Prades</t>
  </si>
  <si>
    <t>en vafói D. Ramón de Angulo 3©..... - , reales. D-1 Ramón de Basualdo 640a «• Dos bienhechores 2©. D. Bernardino de Prades 12a, Dpña María Ursula de Torres 100. HI.^iíBs í*ui| Marine? 6q. D. Bernardo Tomé 7p. I - J El Sr. í&gt;. Ñ. 100., ? ;;;7 , D,:I?edro, Xavier dé' VefáT^óo, D* -i) j- T-vj a .Pqi\a ¿M</t>
  </si>
  <si>
    <t>Bernardinó del Valle</t>
  </si>
  <si>
    <t>osto á 60 rs. mensuales....... 6o* Antonio Albindundi, tahonero, por agosto á 40 rs. mensuales. 40* D. Bernardinó del Valle, caballerizo de campo de S. M., por agosto á 40 rs. mensuales.... .................. ./... 40* D. Diego Alonso Monasterio, por agosto á 16 rs. mensuales.. 16. D. Manuel Gutiérrez</t>
  </si>
  <si>
    <t>Bernardino Gómez</t>
  </si>
  <si>
    <t>de Rueda y Haedo 594 docenas de botones de todas clases, 8 golas y 3 hebillas de cinturón. Dia itT. D. Bernardino Gómez 6 camisas de coruña. Un incógnito 6 de coruña fina. D. Lorenzo Cisneros 6 pares dé calcetas , 2 sábanas y 2 camisas, usadas. D Juan Bert 5 pares de zapatos. D. Santiago Miguel de</t>
  </si>
  <si>
    <t>Bernardino Maceda Arroyo</t>
  </si>
  <si>
    <t>., id................................................... ,................. ................. I 2G. D. Bernardino Maceda Arroyo, portero de la dirección de Provisiones, 240 rs. por 4 meses á 2 rs. diarios , y ademas un valere-647 rs. y.8 mrs. contra la diput«c¡dn de Comercio de Madrid, id.............. ...</t>
  </si>
  <si>
    <t>Bernardino Pandeavenas</t>
  </si>
  <si>
    <t>ardino Vázquez, contador del duque del Infantado, por agosto á 3 rs. diarios durante la guerra, 93. D. Bernardino Pandeavenas, porta muebles de S. M., por una vez rs. D. D. F., durante la guerra 60 rs. mensuales, por agosso 60. D. Luis Moreno, oficial de la secretaría de Estado, por una vez 1© rs. D. Man</t>
  </si>
  <si>
    <t>Bernardino Quirós</t>
  </si>
  <si>
    <t>de id. D. Pedro Acevedo id. D. Rafael Guerra, eclesiástico de dicha. D. Juan Hermoso Dara,-alcalde. D. Bernardino Quirós, cura de Santiago. D. Miguel Wanderbick, diputado de la Bueña-dicha. D. Josef Aldave , de Sta. Isabel. D. Antonio Ramón Fernandez, secretario de la Buená-dicha. D. Estéban Cormes,</t>
  </si>
  <si>
    <t>Bernardino Vázquez</t>
  </si>
  <si>
    <t>y 10 mrs. La duquesa viuda del Infantado 1© rs. vn. mensuales durante la guerra, por agosto 1© rs. D. Bernardino Vázquez, contador del duque del Infantado, por agosto á 3 rs. diarios durante la guerra, 93. D. Bernardino Pandeavenas, porta muebles de S. M., por una vez rs. D. D. F., durante la guerra</t>
  </si>
  <si>
    <t>Bernardino'Qüiros</t>
  </si>
  <si>
    <t>r • par 'de- calcetas'. _ ‘ ‘ y ''/ * j- * D. v ■ - ; -• ' - ¡l T D. Gregorio Bañares 6 camisas. ' D. Bernardino'Qüiros 6. 1 " D, Hipo! ¡ to Ru iz 2, El brigadier D. Miguel dé Gamboa y X). F. 2 y 2 medias. su hermana 4. D. Vicente Pereda 6 camisas. r Doña Joaquina Gómez 2. D. Francisco Gil una. . "</t>
  </si>
  <si>
    <t>Bernhard Starck</t>
  </si>
  <si>
    <t>5 de julio de 1808</t>
  </si>
  <si>
    <t>Madrid 77</t>
  </si>
  <si>
    <t>n curso público de lecciones sobre la fisionomía de las plantas según método de Mr. de Húmboldt. '• Mr. Bernhard Starck, de St. Emeran, ha visto coronadas sus investigaciones con feliz éxito; las excavaciones hechas cerca de esta ciudad Je han procurado algunos anillos de distintas formas, vasos y</t>
  </si>
  <si>
    <t>Bernuy, Juan</t>
  </si>
  <si>
    <t>Juan Bernuy</t>
  </si>
  <si>
    <t>los Albear, se sep^rarr^n del e*qundron,el qual siguió su marcha baxo el mando de su sargento mayor D. Juan Bernuy. Aquella noche se separó igualmente de 'dicho cuerpo e! espitan D. Josef Azlor con el objeto-dé reunirse á la partida* dispersa , lo que consiguió en Rey elves, y tomó el mando de</t>
  </si>
  <si>
    <t>BerruezoyAguilar, Manuel</t>
  </si>
  <si>
    <t>Manuel BerruezoyAguilar</t>
  </si>
  <si>
    <t>egal y Castro, de la misma edad. y vecindad. El 3de 300 á D.i Lorenzo Suarez, de i 6 años‘deedad. A D. Manuel BerruezoyAguilar,naturalde Almería^ por un dibuxo que ha hecho y regalado á la sociedad, se le gratificó con 320. A Francisco Coriigedo , oficial de cantería, por su puntual asistencia y aprovecha</t>
  </si>
  <si>
    <t>Bert, Juan</t>
  </si>
  <si>
    <t>Juan Bert</t>
  </si>
  <si>
    <t>ncógnito 6 de coruña fina. D. Lorenzo Cisneros 6 pares dé calcetas , 2 sábanas y 2 camisas, usadas. D Juan Bert 5 pares de zapatos. D. Santiago Miguel de Haedo 6 camisas. D. Fernando Soria ^platero, 22 varas de lienzo y 6 pares de calcetas. Doña Isabei Tintero, santera de la calle de la Pal</t>
  </si>
  <si>
    <t>Bertrán, Ramón</t>
  </si>
  <si>
    <t>Ramón Bertrán</t>
  </si>
  <si>
    <t>.... 500 1598 D. Bernardo de Elezaga................................... . Bilbao......... 3 00 9-56 D. Ramón Bertrán.......................................... . Madrid........ 300 372 D. Pedro Bernardo Cavanon................... ....... Cádiz........... 300 830 D..Miguel de Isusi................</t>
  </si>
  <si>
    <t>Berven, Antonio</t>
  </si>
  <si>
    <t>Antonio Berven</t>
  </si>
  <si>
    <t>una vez................................... ........................................ ............ 13 D. Antonio Berven, músico de la Encarnación, por una vez...., 240. D. Josef Antonio Serrano, abogado, por una vez................ . 200. Frutos Orejas, peluquero, por una vez.......................</t>
  </si>
  <si>
    <t>Besa, Francisco</t>
  </si>
  <si>
    <t>Francisco Besa</t>
  </si>
  <si>
    <t>... 300 464 D. Francisco de Orbaiz....................................... Bilbao......... IOOO 1189 D. Francisco Besa................................................. Barcelona.... 3°o 1979 Sres. D. Josef Francisco Mornau...................... Zaragoza....., 500 1794 Doña Ana María de Varo y Ribe</t>
  </si>
  <si>
    <t>Bescelio</t>
  </si>
  <si>
    <t>1422 Mr. Bescelio , resistieron con valor £ las lanchas, y las obligaron á volverse á las fragatas. Metz 24 de setiembre. S. M. I. y R. ha llegado aquí á las ó dadas de la tarde, sin que hubiese pr</t>
  </si>
  <si>
    <t>Besines de los Rijas, Antonio</t>
  </si>
  <si>
    <t>Antonio Besines de los Rijas</t>
  </si>
  <si>
    <t>Juan AntohloMartinez, sargento mayor D. ¿Melchor AL* vares?: fuerza 2400 hombres: De Baza!; coronel D. Antonio Besines de los Rijas^"teniente :-c6rón«i D.’ «Miguel de Harog sargento!mayor D.’Salvador Guerrero: fuerza' Í4©o. DeAlmería, coronel D. Juan Creagh, teniente co4 rdnet D. Josefa González, sargento mayo</t>
  </si>
  <si>
    <t>Bessíeres</t>
  </si>
  <si>
    <t>lia. Escriben deH¿necia.» con fecha de 24 de marzo, que el dia antes se había recibido una carta de Mr. Bessíeres, comisario imperial-en las Siete Islas, con la agradable noticia de que habían -llegado felizmente á la rada de Corfú.el 25 de,febi*ero las-dos esquádras de Tolon y Rcchefort»á la</t>
  </si>
  <si>
    <t>Betegon, Diego</t>
  </si>
  <si>
    <t>Diego Betegon</t>
  </si>
  <si>
    <t>r.... 300 556 D. Josef Merlo................................................ . Madrid...... óco 402 D. Diego Betegon , oficial de la contaduría de</t>
  </si>
  <si>
    <t>iz. ...................... 300 379 D. Juan Bautista de Echavarría.... .. Cádiz.......... IOOO 215 7 D. Diego Betegon............. ............ ... Cereña....... 300 1036 D.-Matías Bravo y presbítero......... .. Madrid........ ICQO 657 Di Bcscual Vállejo......................... . .. Madrid......</t>
  </si>
  <si>
    <t>BeTiito Sierra y Pamblei, Pedro</t>
  </si>
  <si>
    <t>Pedro BeTiito Sierra y Pamblei</t>
  </si>
  <si>
    <t>l ^beneficio simple de S. Pelayo de Gallegos, en la diócesi de Oviedo, yacarure.porfallecimiento de D. Pedro BeTiito Sierra y Pamblei, á D. Josef Doroteo Gómez de Navia, y Mo.reno, colegial en el real monasterio de S. Lorenzo; y pára el behbficio siinple' servidero de la parroquia del lugar de HerVás en la dióce</t>
  </si>
  <si>
    <t>Beugnot</t>
  </si>
  <si>
    <t>que fueron á Cassel con los demas diputados del reino de Vestfalia , han tenido una conferencia con Mr. Beugnot, en la que este ministro les ha asegurado que el gobierno piensa seriamente en abrir varios canales, por medio de los quales se comunicarán el Elba, el Veser, el Fulda y el Mein.</t>
  </si>
  <si>
    <t>Beveya, Pedro</t>
  </si>
  <si>
    <t>Pedro Beveya</t>
  </si>
  <si>
    <t>................... ........................ ...i..................... .. Valencia........ 300 1317 D. Pedro Beveya, comte. y comisionado..... Valencia..... 300 2253 D. Cándido &amp;amon de Meave.......................... Bilbao........ . 600 1803 El brigadier D. Juan María de Lanne..... . Zaragoza</t>
  </si>
  <si>
    <t>Beyeya, Pedro</t>
  </si>
  <si>
    <t>Pedro Beyeya</t>
  </si>
  <si>
    <t>.. Alicante...... 300 650 D. Francisco Tomas Benitez................ ..... . Madrid....... 300 1311 D. Pedro Beyeya, comerciante y comisionado, ¡ Vajencia&gt;5 09 . 1931 D. Vicente Martínez, dignidad 4.e tesprsrp... Zaragoza,?...,óoo 1522 D. Pedro Josef de Manzanal............................. Bil</t>
  </si>
  <si>
    <t>Bezares, Pedro</t>
  </si>
  <si>
    <t>Pedro Bezares</t>
  </si>
  <si>
    <t>Cádiz.......... 500 2313 D. Domingo de la Piedra y Angulo............... Cádiz........... 300 1829 D. Pedro Bezares................................................ Zaragoza..... 300, 2301 D. Josef de los Reyes....................................... Cádiz........... 300 15 D. Matías Marton......</t>
  </si>
  <si>
    <t>BÍasa Ramiro</t>
  </si>
  <si>
    <t>o Erran 1. 0. Simón Ortiz 2. Doña Pascuala Trijueque 2. Doña Teresa Moreno 1. Doña Rosa del Cano 2. Doña BÍasa Ramiro 2. Doña Paula Fuentes 1. LaSra. de Carranza 2. Marquesa del Valle de la Paloma 1. Doña Josefa Semolinos 4. Doña Francisca Villa 2. Doña Juana Prieto 2. Monjas de Sta. Clara 2. Doñ</t>
  </si>
  <si>
    <t>Bichat, Francisco Xavier</t>
  </si>
  <si>
    <t>Francisco Xavier Bichat</t>
  </si>
  <si>
    <t>nte de S. Luís. Anatomía general, aplicada á la fisiología y á la medicina, por Francisco Xavier Bichat, médico del hospital de humanidad de París, y catedrático de anatomía y fisiología en la misma ciudad: traducida por el Dr. D. Ramón Truxiílo, profesor de cirugía, y médico de los reales</t>
  </si>
  <si>
    <t>Bidersee</t>
  </si>
  <si>
    <t>tz.eben, • montero mayor qué fue en Hesse, á Mr. Conninx, presidente de la regencia de Paderborn, á Mr. Bidersee, presidente de la de Háiberstadty al ba</t>
  </si>
  <si>
    <t>Bidro del Rio</t>
  </si>
  <si>
    <t>ares................................. 1 - ; , O. Juan Ignacio de Berriozabal............... . 2 2 t D. Bidro del Rio;............................... 2 2 D. Juan Antonio Campos.............. ......... . 2 . 2 •, ■ \ ■ JL^. ■ Ignacio*Irían...................«........'..^ t2/ ; 2r Josef D. Juan Nep</t>
  </si>
  <si>
    <t>Bigot de Preameneu</t>
  </si>
  <si>
    <t>istro de los cultosBigot de Preameneu.” Carta de S. M. I. y R. á S. E. el ministro de los cultos. ,,Mr. Bigot de Preameneu: me ha sido muy sensible la noticia del fallecimiento de nuestro primo el cardenal de Belloi, arzobispo de nuestra1 buena ciudad de París; y queriendo honrar su memoria, y dar una</t>
  </si>
  <si>
    <t>Biospa, Ramón</t>
  </si>
  <si>
    <t>Ramón Biospa</t>
  </si>
  <si>
    <t>, 120 id. id....................................... .......................................... 120. D. Ramón Biospa, capellán de las Descalzas reales, 30 id. id... 3oD. Joaquín de Vila, 40 id. id.................................................... 40. D. Francisco Cantarero, .20 id. id.........</t>
  </si>
  <si>
    <t>Blagden, Carlos</t>
  </si>
  <si>
    <t>Carlos Blagden</t>
  </si>
  <si>
    <t>s de haber salido se halló en su estado natural. „ Convienen estos experimentos con los que refiere Sir Carlos Blagden, y todos prueban que el hombre puede;aguantar por poco tiempo un calor excesivo. Pero es necesario notar la desigual disposición de sufrir el calor</t>
  </si>
  <si>
    <t>Blake, Joaquín</t>
  </si>
  <si>
    <t>Joaquín Blake</t>
  </si>
  <si>
    <t>E MADRID DEL VIERNES 2 I DE OCTUBRE DE I 8(?8b - A V ESPAÑA. Aranjuez ij&gt; de octubre. El Excmo. Sr. D. Joaquín Blake, con oficio fecho en Valmaseda á 9 del corriente, en contestación al que le dirigió con fecha del 5 la suprema Junta central gubernativa del reino, remite ios estados de las tropa</t>
  </si>
  <si>
    <t>c s contribuir á la felicidad nacional, he dado parte de la lieg -da de estas fuerzas al Excmo. Sr. D. Joaquín Blake, para que si se considera autorizado, pueda disponer de ellas con presencia á su naturaleza^y situación. Relativamente á los acontecimientos y pormenores que han intervenido para</t>
  </si>
  <si>
    <t>neral del exército francés de Castilla la vieja, al general en gefe del exército español de Galicia D. Joaquin Blake, atentando á su fidelidad, y contestaciones de este digno-y acreditado militar. Se hallarán en la librería de Quiroga y JBurguillos, calle de las Carretas. Un español á todos: seg</t>
  </si>
  <si>
    <t>​= AL. R. P. de V. M. su mui humilde y leal vasallo = Vicente María de Acevedo. Parte del Excmo. Sr. D. Joaquín Blake, capitán general del exército de Galicia.</t>
  </si>
  <si>
    <t>Sevilla 43</t>
  </si>
  <si>
    <t>impidió que saqueasen el pueblo y monasterio. De todo lo quai aió cuenta á este Reyno el Excmo. Sr. D. Joaquín Blake , desde el quartei general de Trespaderne , con fecha de 21 del pasado. Cádiz 21 ée Octubre* El lunes 17 tomó posesión de! gobierno de esta plaza el mariscal de campo D. Josef Vir</t>
  </si>
  <si>
    <t>ración, la voluntad y los corazones. Arañjuez 9 de noviembre. ; Parte comunicado pdr el Exento. Sr. D. Joaquín Blake. Exento. Sr.: Los enemigos, reforzados mui con * iderabíem ente desde" Francia estos últimos dias, ademas de haber reunido casi todas las tropas; q*;ie antes tenían, atacaron ayer</t>
  </si>
  <si>
    <t>. : ''YAl ;-VO ' DEL MARTES 15 DE ÍS^IEMBÍli DE 1808. Aranjuez 14 de noviembre. El teniente general D. Joaquin Blake, desde Valmaseda con fecha de 7 y 8 del corriente, ha dirigido al señor secretario de Estado y del despacho de la Guerra los dos partes siguientes: Excmo. Sr.: Para proporcionar l</t>
  </si>
  <si>
    <t>a; se ha servido resolver que á todos los que se han hallado en la que diurnamente avisa el general D. Joaquín Blake, se les reparta por 2 dias doble prest, y que V. E. comunique las órdenes convenientes, para que tenga ef;cto esta soberana resolución.- De real orden lo participo á V. E. para su</t>
  </si>
  <si>
    <t>Blakeda, Joaquín</t>
  </si>
  <si>
    <t>Joaquín Blakeda</t>
  </si>
  <si>
    <t>^ZETA DE MADRID DEL VIERNES 18 DE ÑOVIEMBRE DE i8c8. Aranjuez i y de noviembre. El teniente general D. Joaquín Blakeda parte desde Espinós&amp;yG^n fecha de iode este mes, que viendo la imposibilidad de mantenerse etí Js^'izcaya por la escasez de subsistencias, había determinado replegar su exército á</t>
  </si>
  <si>
    <t>Blanc y Valdeiiou, Antonio</t>
  </si>
  <si>
    <t>Antonio Blanc y Valdeiiou</t>
  </si>
  <si>
    <t>s de Lara y Noríga............... Cádiz.. 500 1309 D. Antonio Just........ . Valencia..... 300 3024 D. Antonio Blanc y Valdeiiou................... Madrid.. 300 3467 D. Juan López del Rincón.............................. Málaga....... 300 841 D. Tomas de Ansu ....... ............................... . Madrid</t>
  </si>
  <si>
    <t>Blanca</t>
  </si>
  <si>
    <t>de describir, y señalado con el número 431 , representa la capilla sepulcral de la Reina de Francia Doña Blanca , madre de S. Luis, ix de este qoij\-. bife, la qual murió á los 64 años de edad en el de 1253. Este mauseolp de^ arquitectura gótica debe su conservación á Mr. lenoir, quien le s</t>
  </si>
  <si>
    <t>un mérito en su clase verdaderamente ^ÍSUQ:'de lá. atención *del curioso. Ya sabe vmd. que la Reina Doña Blanca fue hija .d^ AílfqnsOiiiX', Rei de Castilla , y que caso en i2co con Luis vnr, • Rei-d^ íffjancia^ del que tuvo 2 hijas y 9 hijos, uno de ellos S. Luis. f de-.est.e monumento se e</t>
  </si>
  <si>
    <t>Blanchard</t>
  </si>
  <si>
    <t>u persona, y dió muchas muestras del ínteres que le inspiraba su desgracia. A estas horas ya estará Mr. Blanchard de vuelta en Paris. ' Ademas del quántióso socorro que S. M. el Rei de Holanda ha enviado á los habitantes de esta ciudad con motivo de las desgracias del 15 de enero, ha dado tambié</t>
  </si>
  <si>
    <t>Blanco, Felipe</t>
  </si>
  <si>
    <t>Felipe Blanco</t>
  </si>
  <si>
    <t>nio de Lalinde, id...................... ...................................... 20. Di Franci seo y D. Felipe Blanco, el primero fiscal de la Lotería, y el segundo oficial de la contaduría de data de Juros, ua vale de 300 pesos de setiembre, id.,...... .............................. . 4525 22. D</t>
  </si>
  <si>
    <t>Blanco, Francisco</t>
  </si>
  <si>
    <t>Francisco Blanco</t>
  </si>
  <si>
    <t>.................... ............... ..................... .................. .............. . 160. D. Francisco Blanco, por úna vez.................................. ....... «... 100. Joaquín Callejo , dél gremio de polleros, por una vez................ 100. D. Ramón de Aldáy; del comercio de lien</t>
  </si>
  <si>
    <t>................ 93» D. J. A. C., 3 id. durante 2 años , por 12 meses........................ 1100. D. Francisco Blanco , en un libramiento del Fondo vitalicio, por una vez................................................. ............................. . • 2100* D. Josef Vázquez Figueroa, oficial de</t>
  </si>
  <si>
    <t>Blanco, Nicolás</t>
  </si>
  <si>
    <t>Nicolás Blanco</t>
  </si>
  <si>
    <t>d, valuada en 107848 rs. Quien quisiere hacer postura, lo executará por la escribanía que desempeña D. Nicolás Blanco. Por providencia de D. Josef Espinosa, juez comisionado regio en la diócesi de 'Toléda y provincia dé la Mancha, se há sacado á pública subasta, per término de £0 d ias, un olivar</t>
  </si>
  <si>
    <t>Blaqnez, Pedro</t>
  </si>
  <si>
    <t>Pedro Blaqnez</t>
  </si>
  <si>
    <t>......... 21900. D. Josef de Arce , por agosto á. 4 rs. diarios............................... 124. D. Pedro Blaqnez, por agosto á 2 rs. diarios............................... 62. D. Pedro Hebrar, por agosto á 2 rs. diarios............................... 62. D. Juan de Jáuregui, por 2 meses á 4</t>
  </si>
  <si>
    <t>Blas Martín</t>
  </si>
  <si>
    <t>• • : -í L.is ciñe/íj órdenes, de Arquitecturagrabadas por D. Vicente Engrúdanos, y; dibujadas por D. Blas Martin, académico de la real academia de S. Fernando: su precio 6 rs. Se hallarán en la librería dé Barco, carféra de S. Gerónimo, y en la de Sánchez, calle de las Veneras, ó en su puest</t>
  </si>
  <si>
    <t>Blasa Nieto de Paz y Centurión, María</t>
  </si>
  <si>
    <t>María Blasa Nieto de Paz y Centurión</t>
  </si>
  <si>
    <t>Doña Juana Meco, residente en Castilla la vieja, 2 id. Doña María Fernandez Casariego 3 id. La Sra. Doña María Blasa Nieto de Paz y Centurión 12 camisas nueras y 7 quarterones de hilas. Doña María de Beitia y su hermana 2 camisas finas, 2 libras de hilas y 6 vendas. Doña María del Cármen Moreno una camisa y 2 libras de</t>
  </si>
  <si>
    <t>Blasco Negrillo, Juan</t>
  </si>
  <si>
    <t>Juan Blasco Negrillo</t>
  </si>
  <si>
    <t>ruebas el socio ©. Francisco Tavares de Ullóa, según se había referido en el extracto de'las actas. Don Juan Blasco Negrillo, teniente de dragones de Numanciá, leyó un discurso sobre la necesidad y método de establecer una escuela de zoología, y formar un gabinété anotómicozoológico. Continuó el P. Lore</t>
  </si>
  <si>
    <t>Blasco, Felipe Antonio</t>
  </si>
  <si>
    <t>Felipe Antonio Blasco</t>
  </si>
  <si>
    <t>ía parroquial de Pego, diócesi, de Valencia, vacante poj fallecimiento de D. Sebastian Cholvi; y á D. Felipe Antonio Blasco para una ración de ía colegial de Daroca, diócesi de Zaragoza. El Reí se ha servido conferir la comandancia del tercer batallón del regimiento de infantería de Córdoba á D. Pedro</t>
  </si>
  <si>
    <t>Blasco, Pablo</t>
  </si>
  <si>
    <t>Pablo Blasco</t>
  </si>
  <si>
    <t>*9 Rs. Mrs. D. Pablo Blasco, presbítero, individuo de la real capilla, una caxa de oro esmaltada, guarnecida de perlas con miniatura y secreto. D. Domingo Esquiva, tesorero del conde de Fernán Nuñez, por una</t>
  </si>
  <si>
    <t>Blazquez, Joaquín</t>
  </si>
  <si>
    <t>Joaquín Blazquez</t>
  </si>
  <si>
    <t>r 2meses............. 122. D. Camilo Ruiz, 20 rs. mensuales, por 2 meses....................... 40. D. Joaquín Blazquez , 60 id. id...................... ........................ 120. Doña María Faijo, por una vez................................................... 4. D, Lorenzo Moreno, id..........</t>
  </si>
  <si>
    <t>Blesa, Juan</t>
  </si>
  <si>
    <t>Juan Blesa</t>
  </si>
  <si>
    <t>tegui, beneficiado de S. Lorenzo. D. Mariano García Cruz, alcalde del barrio de^la Huerta del Bayo. D. Juan Blesa, diputado eclesiástico de id. D. Mateo Qid , alcalde del barrio de Miralrio. D. Ramón de Victoria, del de S. Cayetano; D.. Gregorio de Aller, diputado del barrio* del Buen-suceso.</t>
  </si>
  <si>
    <t>Blet, Simón</t>
  </si>
  <si>
    <t>Simón Blet</t>
  </si>
  <si>
    <t>............. 270 25. Manuel Fernandez-, del gremio de polleros , id.......................... 100. D. Simón Blet, tornero de S. M., un cubierto de plata. Doña J. M., id....:;........................................ .............................. 40. D. Miguel González de Zurbano, 20 rs. mens</t>
  </si>
  <si>
    <t>Blomíaoio</t>
  </si>
  <si>
    <t>oIFernandez Soler......... ....... ..........i.. ^Cádiz.......... 1 y 09 . Bilbaó;..,..... 390 1549 D. Blomíaoio de ’l'osnitos.*.v.*v.v«....v.v^. 1207 D. Celestino í Bilbao....... .* 500 912 D. Fernando de Ximeno.,..„...,—&lt;..... ............... Madrid....... yoo 1004 D. Genaro Faustino Rincón..</t>
  </si>
  <si>
    <t>Blot, Juan</t>
  </si>
  <si>
    <t>Juan Blot</t>
  </si>
  <si>
    <t>».» 600 2361 D. Antonio Terrer................... »...... i................ . Zaragoza...» 500 1328 D. Juan Blot...... ..................................... ........... Valencia...» 300 1030 D. Manuel de Latorre..................................... Madrid...»» 600 1865 ^Doña Tomasa Cruzado..</t>
  </si>
  <si>
    <t>Marton. 3•• •• 3co 5 7° D. Domingo Villamil........................................ Madrid 300 *3?7 D, Juan Blot............................ .......................... Valencia1 3°° j873- D. Mariano de.Lucas y Arcayne............ . Zaragoza1 . . 500 1954 D. Jacinto Uria y Nafarrondo.........</t>
  </si>
  <si>
    <t>Blzaurdi, Manuel</t>
  </si>
  <si>
    <t>Manuel Blzaurdi</t>
  </si>
  <si>
    <t>Cpidad^Real.. D. Ramón Antonio Pico. . £n Córdoba Sres. Barcia, padre é hijo. £n la Cortina.,...... D. Manuel Blzaurdi. Cuenca........... Sres. v-iuda de Escolar, Noriega é hijo. £n Granada........ D. Francisco de Unzaga. £ñ Cruadálaxaru. D. Isidoro García Plaza. £n Jaén............. D. Ramón Marí</t>
  </si>
  <si>
    <t>Bo, Melchor</t>
  </si>
  <si>
    <t>Melchor Bo</t>
  </si>
  <si>
    <t>eal Armada, un recibo de intereses de vales reales, id........................ ............... 722. D. Melchor Bo.rru.el, capellán de honor de S. M., idi............... 300. D. Antonio Borruel, capellán de honor de S, M., en vales rea- . les , id-?»&gt;'*¿i«...i.• .fV'V":'.'*”"'.""!*',, ;2 j I D</t>
  </si>
  <si>
    <t>Bobadilla, Antonio</t>
  </si>
  <si>
    <t>Antonio Bobadilla</t>
  </si>
  <si>
    <t>......... .. 120. D. Pascual García, 30 id..por 2 meses............................. ........ . 6s. D. Antonio Bobadilla ,16 id. por 2 id................................. .......... 3 2. D. Josef María lita , 30 id. por agosto........................................... 30. D. Francisco Norte, 30 id.</t>
  </si>
  <si>
    <t>Bobil, Joaquín</t>
  </si>
  <si>
    <t>Joaquín Bobil</t>
  </si>
  <si>
    <t>U79 El capitán D. Joaquín Bobil, del batallón de voluntarios de Carmona, con 6o hombres y 20 caballos al mando del teniente D. F. Dewit, que había salido de orden de V. S. á un reconocimiento camino de los Arcos</t>
  </si>
  <si>
    <t>Bocherini, Luis Marcos</t>
  </si>
  <si>
    <t>Luis Marcos Bocherini</t>
  </si>
  <si>
    <t>de.1808, id.................. . 1083. D. Pedro Gofin, criado de la duquesa del Arco, id........roo* D. Luis Marcos Bocherini, presbítero, id................................... . 200. D. Francisco Alonso Fernandez , botillero, id...... ........................ 120. D. Juan Rubio, id. id....... ..........</t>
  </si>
  <si>
    <t>Bodet, Manuel</t>
  </si>
  <si>
    <t>Manuel Bodet</t>
  </si>
  <si>
    <t>o ; D. Juan Baget, coronel y comandante de Jos tercios de Lérida; D. Juan Claros, capiran retirado; Don Manuel Bodet, capitán de granaderos del regimiento de Soria; D. Manuel Montesinos, capitán de infantería de Extremadura; D. Manuel Antunez, alférez de guardias Españolas; D. Cosme García, capi</t>
  </si>
  <si>
    <t>Boix, Antonio</t>
  </si>
  <si>
    <t>Antonio Boix</t>
  </si>
  <si>
    <t>io segundo de los santos quatro evangelistas, vacante en la catedral de Gerona por fallecimiento de D. Antonio Boix , á D. Miguel Mata: para otro, también segundo, de S. Bartolomé, vacante en la parroquia de Torruella de Montgri,obispado de Gerona, vacante por muerte de D. Jaime Martí, á D. Ped</t>
  </si>
  <si>
    <t>Boix, Pedro</t>
  </si>
  <si>
    <t>Pedro Boix</t>
  </si>
  <si>
    <t>cia de Valencia, tasado en 75,294 rs. 4 mrs. Quien quisiere hacer postura, acudí á la escribanía de D. Pedro Boix, en la expresada villa. Por providencia de D. Juan Antonio Rivas, juez comisionado regio en la diócesi de Bajaioz, se ha señalado el día 8 de febrero'próximo para el remate dé las</t>
  </si>
  <si>
    <t>Bolangero, Francisco</t>
  </si>
  <si>
    <t>Francisco Bolangero</t>
  </si>
  <si>
    <t>l, D. Manuel Armeiigol;; y subtenencias de bandera en los de Zamora., Valencia y León á los cadetes D. Francisco Bolangero , D. Josef María Rodríguez, D. Manuel Muñoz y D. Josef Nuñez Baamonde. ^ El Reí se ha servido promover en el regimiento .suizo de Reding número 3.0 á sargento mayor al capitán pri</t>
  </si>
  <si>
    <t>Bolangéro, Miguel</t>
  </si>
  <si>
    <t>Miguel Bolangéro</t>
  </si>
  <si>
    <t>de granaderos D. Luis Sánchez de la Peña*, en el de Zamora compañía al teniente,graduado de capitán,Don Miguel Bolangéro; tenencia al subteniente de granaderos D. Josef Romero, y subtenencia de bandera al sargento primero D.Juan Astrua: en el de Guadalaxara compañía al ayudante, graduado de capitán,</t>
  </si>
  <si>
    <t>Bolívar, Juan</t>
  </si>
  <si>
    <t>Juan Bolívar</t>
  </si>
  <si>
    <t>Ceuta. ^E1 Reí se ha servido conferir el empleo de teniente dé Rei de la plaza de Gerona al coronel D. Juan Bolívar, capitán de los esquadrones ligeros de la real brigada de Carabineros. En América. S. M. se ha dignado nombrar para la* comandancia de las compañías de infantería veterana y de mi</t>
  </si>
  <si>
    <t>Bologna</t>
  </si>
  <si>
    <t>al. El duque de Lodi, presidente del colegio electoral de los poseedores, y los ciudadanos Valdrigni y Bologna , presidentes, aquel de los doctos , y este-de los comerciantes , han arengado en los términos propios del caso á S. M. , quien les ha contestado con su bondad</t>
  </si>
  <si>
    <t>Bonancini y Velasco, María</t>
  </si>
  <si>
    <t>María Bonancini y Velasco</t>
  </si>
  <si>
    <t>nviniese con arreglo á lo decretado. ■ Continúan los donativos para vestir el exército. Octubre jo. Doña María Bonancini y Velasco 6 camisas. D. Manuel</t>
  </si>
  <si>
    <t>Bonifacio de Irribarren, Juan</t>
  </si>
  <si>
    <t>Juan Bonifacio de Irribarren</t>
  </si>
  <si>
    <t>d........ 300 1316 D. Josef Mas, comerciante............................... Valencia..... 1000 1896 D. Juan Bonifacio de Irribarren, presbítero... Zaragoza..... 300 1381 D. Manuel Antonio Vela.................................. Burgos......... 300 2413 Doña María de la Encarnación de Vestares y Chapin..........</t>
  </si>
  <si>
    <t>Bonifacio Hurtado</t>
  </si>
  <si>
    <t>la real ^ distinguida orden española de Cárlos m, y capellán mayor de la de: señores Reyes nuevos; D. Bonifacio Hurtado, caballero del hábito de Santiago, y marques de Hermosilla; D. Manuel de Orgaz, caballero de la citada real orden de Cárlos ni, y regidor honorario del nominado ilustrísimo ayunta</t>
  </si>
  <si>
    <t>Bonifacio Pérez</t>
  </si>
  <si>
    <t>Vartage le salió al encuentro con 400 infantes y 30 dragones del Rey. Después de un largo tiroteo , D. Bonifacio Perez , capitán de los dragones , acometió al enemigo , y muriendo como valeroso guerrero, dexó la victoria á los suyos. Los franceses , desbaratados y rechazados de todos los puntos, h</t>
  </si>
  <si>
    <t>Bonifacio Sáenz de Tejada</t>
  </si>
  <si>
    <t>........... Alicante...... 300 842 D. Felipe García Ontiveros............... . Madrid...... 500 923 D. Bonifacio Saenz de Tejada y compañía..... Madrid'.'....O '3 00 2132 D. Cayetano Luis Maeso y compañía....... ».v Zaragoza....: 3°o 879 D. Miguel de Iñigo Vallejo...»................... . Madrid......: 300 11</t>
  </si>
  <si>
    <t>Bonifacio Segundo de Cabañas</t>
  </si>
  <si>
    <t>...... ..................................6000. • La comunidadide Escuelas Pías de Avapies , 1000. £ D. Bonifacio Segundo de Cabañas, id......................................... 1.009. Doña Tomasa Gpmez, un libramiento del fondovitalicio, id... 364 33* En el suplemento á ía gazeta de, 18 de octubre lista de don</t>
  </si>
  <si>
    <t>Bonifaz Quinta, Lorenzo</t>
  </si>
  <si>
    <t>Lorenzo Bonifaz Quinta</t>
  </si>
  <si>
    <t>Fagores, D. Carlos Amatria , D. Lorenzo Bonifaz Quinta no, el marques de la Puebla y el conde Gimonde: su secretario el Dé Antonio Escaño. Las elecciones que S. M. ha hecho para las secretarias del despacho, acreditan su zelo por el b</t>
  </si>
  <si>
    <t>Bonifaz, Lorenzo</t>
  </si>
  <si>
    <t>Lorenzo Bonifaz</t>
  </si>
  <si>
    <t>29 de septiembre de 1808</t>
  </si>
  <si>
    <t>Madrid 129 (extraord.)</t>
  </si>
  <si>
    <t>nte: Se juntaron dichos señoPor Castilla la vieja, res diputados en la sacristia.de la capilla real D. Lorenzo Bonifaz del palacio de este sitio, y formados salieron Quintano. á colocarse en los bancos, que á uno y á otro Por Cataluña. lado estaban dispuestos al efecto: oyeron miEl marques de Villel.</t>
  </si>
  <si>
    <t>Bonilla, Antonio</t>
  </si>
  <si>
    <t>Antonio Bonilla</t>
  </si>
  <si>
    <t>. M. promover á tenientes á los alféreces D. Josef Garibai y D. Pedro Paez; á alféreces al agregado D. Antonio Bonilla y al portaguión D. Josef Aguilar * y á portaguiones á los cadetes D. Pedro María Gil y D. Ramón Carrillo. En la extracción de la real lotería, celebrada el lunes 21 del corriente* s</t>
  </si>
  <si>
    <t>Bonoso Ruiz Sánchez</t>
  </si>
  <si>
    <t>Jaén, tasada en do30o rs. Quien quisiere hacer postura, lo practicará por la escribanía que exerce D. Bonoso Ruiz Sánchez, J,a dehesa de pasto y labor llamada de Montalbanejos, sita en término y jurisdicción de Toledo, tasada en 1.269714 rs., se ha rematado en la misma cantidad en las especies siguie</t>
  </si>
  <si>
    <t>Bordas, Vicente</t>
  </si>
  <si>
    <t>Vicente Bordas</t>
  </si>
  <si>
    <t>uan Francisco Diaz , D. Angel Hubach ; á los subtenientes del cuerpo de patriotas; D. Miguel Mugra, D. Vicente Bordas, D. Juan Bautista Viton, D. Julián Corbera, D. Juan Pedro Macharen! , D. Roque Laurel, D. Ramón Urien , D. Angel Ubac; á los cadetes del expresado cuerpo de patriotas , con grado</t>
  </si>
  <si>
    <t>Bordehore, Diego</t>
  </si>
  <si>
    <t>Diego Bordehore</t>
  </si>
  <si>
    <t>. Zaragoza..... óoo 1314 D. Joaquín Redin, comerciante...................... . Valenda.... 600 L318 D. Diego Bordehore y compañía.................. Valencia.... 300 1180 Conde de la Estrella........................................... Zaragoza..... 3 00 2192 D. Josef de Roura y Sala..................</t>
  </si>
  <si>
    <t>Borghese, Princesa</t>
  </si>
  <si>
    <t>Princesa Borghese</t>
  </si>
  <si>
    <t>19 de febrero de 1808</t>
  </si>
  <si>
    <t>Madrid 15</t>
  </si>
  <si>
    <t>......... 2400 francos. De la Reina de Holanda.................................. ....... 0500 De la Princesa Borghese........ ................................. 0438 Del ministro de lo interior............. .............. ......... 9000 Del cardenal Belloi.............................. 0300 Del ca</t>
  </si>
  <si>
    <t>Borghese, Príncipe</t>
  </si>
  <si>
    <t>Príncipe Borghese</t>
  </si>
  <si>
    <t>216 S. A. I. el Príncipe Borghese, condecorado con la dignidad de gobernador general de los departamentos transalpinos, ha sido presentado ayer por S. A. I. el Príncipe archicariciller del imperio al juramento que</t>
  </si>
  <si>
    <t>que han recibido en Maguncia los prisioneros rusos. ..De Turin escriben que aguardaban en breve al Príncipe Borghese, gobernador general de los departamentos de-allende los Alpes; y que se lisonjeaban de que S. A. I. lixaria en aquella ciudad su residencia. Antes de ayer, estando S. M. en el con</t>
  </si>
  <si>
    <t>Borgiowich</t>
  </si>
  <si>
    <t>18 de diciembre de 1808</t>
  </si>
  <si>
    <t>Madrid 158</t>
  </si>
  <si>
    <t>os de los Dardanelos. Le ha reemplazado Rahib-Baxá, que pasa por un zeloso partidario de la Puerta. Mr. Borgiowich ha presentado sus credenciales en calidad de encargado de negocios de Prusia. RUSIA. Petersburgo de noviembre. Nuestra gazeta de oficio no trae hoi noticia ninguna de la Finlandia</t>
  </si>
  <si>
    <t>Bori de Sainír Vincent</t>
  </si>
  <si>
    <t>10 de julio de 1808</t>
  </si>
  <si>
    <t>Madrid 82</t>
  </si>
  <si>
    <t>nta que ,la primera clase del instituto celebró, el 20 de este mes» fue nombrado corresponsal de el Mr. Bori de Sainír Vincent , capitán del 5 ,°;jregimiento; de dragones., que estfambien miembro ¡corresponsal del Lmu— seo de la histori^friatuiialliy^áeíia, sociedad de los-, curiosos de la, naturaleza de</t>
  </si>
  <si>
    <t>Borla</t>
  </si>
  <si>
    <t>lmirante de la bandera, azul; el contraalmirante Duckvorth, vice-almirante de la bandera encarnada; Sir Borla® Varren y Thornborough, vice-almirante de la bandera blanca; Sir Pelev, -rice-almirante de la bandera &amp;zul; Sir Purvis y Sir Cochrane, contralmirantes de la bandera encarnada; Sir</t>
  </si>
  <si>
    <t>Borlan Vareen y Tornborpngh</t>
  </si>
  <si>
    <t>4 de julio de 1808</t>
  </si>
  <si>
    <t>Madrid 76</t>
  </si>
  <si>
    <t>do-almirante de la bandera azul; el contraa/mirante Du^kyorth , .vicealmirante de la bandera roxa ;,Sir Borlan Vareen y Tornborpngh,-vicealmirantes de ja bandera blanca. -El finque^ de ^anchester, gobernador general de la Jamaica , llegó á aquella colonia á mediados del mes de marzo. Mrs. Hebson y Silvestre, f</t>
  </si>
  <si>
    <t>Borrero Ponton, Tomás</t>
  </si>
  <si>
    <t>Tomás Borrero Ponton</t>
  </si>
  <si>
    <t>ura en la misma diócesi: para la segunda canongía á D. Mauricio Salazar, y para la ración de este á Don Tomas Borrero Ponton, cura rector de dicha catedral: para la primera ración de aumento á D. Fausto Sodupe, y para la media ración que este dexa á D. Juan Antonio Xaramillo, cura en el obispado de Quit</t>
  </si>
  <si>
    <t>Borrés, Nicolás</t>
  </si>
  <si>
    <t>Nicolás Borrés</t>
  </si>
  <si>
    <t>comisionado, quien ha'señalado su remite para el dia 8 de febrero próximo. ’/: Por. providencia de D. Nicolás Borrés, juez comisionado regio en la diócesi de Badajoz, se ha.señalado el dia ,10 de febrero próximo para el remite de un olivar, de• oabér ji 2.fanegas con 307 .pies, al sitio, de lás</t>
  </si>
  <si>
    <t>Borruel, Antonio</t>
  </si>
  <si>
    <t>Antonio Borruel</t>
  </si>
  <si>
    <t>.... ............... 722. D. Melchor Bo.rru.el, capellán de honor de S. M., idi............... 300. D. Antonio Borruel, capellán de honor de S, M., en vales rea- . les , id-?»&gt;'*¿i«...i.• .fV'V":'.'*”"'.""!*',, ;2 j I Doña iMaría. Luisa de, Arósteguj, en vales reales , id.............2265, 19. Los</t>
  </si>
  <si>
    <t>Botino, Francisco María</t>
  </si>
  <si>
    <t>Francisco María Botino</t>
  </si>
  <si>
    <t>d.......; 500 611 D. Josef Narciso Neviet................................... Madrid........ 600 845 D. Francisco María Botino....,........................... Madrid........ 500 2249 D. Tomas Josef de Medina............................... Bilbao......... 500 j 220 D. Indalecio Moreno Montenegro de Velasco</t>
  </si>
  <si>
    <t>Botitélou, Claudio</t>
  </si>
  <si>
    <t>Claudio Botitélou</t>
  </si>
  <si>
    <t>5 de abril de 1808</t>
  </si>
  <si>
    <t>Madrid 31 (supl.)</t>
  </si>
  <si>
    <t>v':.--: r •. . : ¡ ¡ 'v'-Ijl segundo profesor dé botánica'y primero de agricultura y economía rural D. Claudio Botitélou pronunciará también un discurso, en que manifestará la dignidad dél arte que va á ensenar , su importancia f su influxo en la riqueza pública, y la necesidad de estudiarlo por pri</t>
  </si>
  <si>
    <t>Bougainville</t>
  </si>
  <si>
    <t>esente, una diputación de la clase ae ciencias físicas y matemáticas de aquel cuerpo, conducida por Mr. Bougainville, presidente dei instituto, tuvo la honra el sabado 6 de este-mies de presentarse á S. M., quien la recibió en el consejo de estado. El presidente pronunció un breve discurso, en q</t>
  </si>
  <si>
    <t>Boulet, Basilio</t>
  </si>
  <si>
    <t>Basilio Boulet</t>
  </si>
  <si>
    <t>alimentos de S. M., por agosto á 4 rs. diarios................................................ 124. D. Basilio Boulet, por agosto á 4 rs. diarios.............................. 124. D. Tomas de Pereda, del comercio de.esta y Aranjuez, por 4 meses á 36 rs. diarios........... .......................</t>
  </si>
  <si>
    <t>Bouligni, Dionisio</t>
  </si>
  <si>
    <t>Dionisio Bouligni</t>
  </si>
  <si>
    <t>29 de junio de 1808</t>
  </si>
  <si>
    <t>Sevilla 9</t>
  </si>
  <si>
    <t>de la columna al del Teniente Coronel, y Comandante de la compañía de Cazadores de guardias Walonas D. Dionisio Bouligni, con la órden de que tomase posición, y cubriese Jos bagages y municiones, conr cuya operación se contuvieron los enemigos, y dexaron retirar con el mejor órden á Sanmartín. Por n</t>
  </si>
  <si>
    <t>Bourdaiseau, María</t>
  </si>
  <si>
    <t>María Bourdaiseau</t>
  </si>
  <si>
    <t>ijas gaz^/aSid^ di setiembre y 20 de noviembre relativos a D. Juan y á Doña María Fuentes» hijos de Doña María Bourdaiseau, Vecina de Badajoz. Lo que se previene por lo que puede importar al hqnpr.vy -buen, nombre de los interesados, y á consecuencia de la justificación qué han hecho y remiúdo de la f</t>
  </si>
  <si>
    <t>Bourgogne</t>
  </si>
  <si>
    <t>razón entre los descubrimientos útiles el de la conserva de café de Moka, inventada y publicada por Mr. Bourgogne, boticario. Esta conserva es un licor, de que se c.chan algunas gotas en una taza de agua caliente, y se logra un café de la mejor calidad. Este café es mui económico, y .el descu</t>
  </si>
  <si>
    <t>Bourke</t>
  </si>
  <si>
    <t>encargado de negocios de los Estados-Unidos Mr. Erving, el ministro plenipotenciario de Copenhague Mr. Bourke, el ministro plenipotenciario de Petersburgo barón de Strogonoff, el de Milán , el mismo de Francia , el ministro plenipotenciario de la Haya Mr. V er- Huell, el ídé las ciudades</t>
  </si>
  <si>
    <t>Bóveda y Ignacio Mora, Juan</t>
  </si>
  <si>
    <t>Juan Bóveda y Ignacio Mora</t>
  </si>
  <si>
    <t>midad con que se distinguieron en todo el tiempo de la acción. El exento D. Josef Puig, los cadetes D. Juan Bóveda y Ignacio Mora, y les guardias D. Francisco Riaño * Josef Ggvantes, D. Josel Sóstoa, D. Manuel Zt rraquin y Don Felipe Luengo, serán eternamente nombres mui apreciables, que nos recordarán unos</t>
  </si>
  <si>
    <t>Braam Camp</t>
  </si>
  <si>
    <t>onde de Lima , embaxador que fue en París ; el vizconde de Barbacena ; el prior del orden de Avis ; Mr. Braam Camp , negociante ; y los senadores Antonio Tomas de Silva Leito, y Joaquín Alberto Jorge. i • í :■■&gt;,} ' * ! Mr. Magendie, capitán de navio, y comandante de la marina de S. M*I. y R.</t>
  </si>
  <si>
    <t>Braulio González Peré</t>
  </si>
  <si>
    <t>........ 300 22 D. Blas Martínez..................... ...................... Zaragoza..... 0 0 IO87 D. Braulio González Peré............................ Madrid....... 300 732 D. Manuel Gonzalo Fernandez................... Madrid........ 3°j 1742 D. Domingo Guerrero................................... Cád</t>
  </si>
  <si>
    <t>Braulio Rodríguez</t>
  </si>
  <si>
    <t>................ 60. Manuel Isidoro Bleñy, á 30 rs. mensuales.................................. 30. D. Braulio Rodríguez, labrador , 30 rs. cada mes...................... 30. D. Manuel Perez, marmolista, 40 rs. cada mes.......................... 40* D. Pedro Josef Mayorá, 120 rs. cada mes...........</t>
  </si>
  <si>
    <t>Bravo de Ribero, Tadeo</t>
  </si>
  <si>
    <t>Tadeo Bravo de Ribero</t>
  </si>
  <si>
    <t>de S. M. , por una vez.... 120. D. Manuel Josef Rubio, abogado dél colegio, por una vez...... 200. D. Tadeo Bravo de Ribero, por una vez............. i... iboo. D. Lorenzo Rubio de Albarran, alguacil mayor jubilado, por una vez..................... ......................................................</t>
  </si>
  <si>
    <t>vos hechos en esta corte para el exército de Castilla ¿a vieja, . . D. Bartolomé Lozano 2 caballos. D. Tadeo Bravo de Ribero un caballo y 12 camisas nuevas. D. Ramón :Blas Ramírez 2 camisas id Doña Xa viera Garai 6 id. D. Ignacio Antonio Martifiez 6 id. Los Sres. Sanche# y Légano 12 camisas en lugar de</t>
  </si>
  <si>
    <t>D. F. M........... ............................................................. .................. D. Tadeo Bravo de Ribero una docena de platos trincheros de plata, que su reducción á moneda produxo la cantidad de.........................................................................................</t>
  </si>
  <si>
    <t>Bravo de Rivero, Tadeo</t>
  </si>
  <si>
    <t>Tadeo Bravo de Rivero</t>
  </si>
  <si>
    <t>to de Zülueta 2 camisas y 2 pares de calcetas. Dia 13. Doña María. Petra Pastor 47 varas de lienzo. D. Tadeo Bravo de Rivero hechura de 24 vestidos completos. D. Lucas Urrea 600 gruesas de botones de ballena labrados. D. Francisco Antonio Sainz 164 varas y media de estopa. D. Santiago Colominas 20 pares</t>
  </si>
  <si>
    <t>Bravo Medina, Francisco</t>
  </si>
  <si>
    <t>Francisco Bravo Medina</t>
  </si>
  <si>
    <t>yo, núm. 387570, endosados dichos vales en el mismo mes y dia en favor de D. Nicolás de Fuentes por D, Francisco Bravo Medina. Quien supiere de su paradero, se servirá avisar á dicho D. Nicolás de Fuentes, calle de San Miguel, en Granada. VENTA. A pedimento de sus dueños, y en virtud de providencia del S</t>
  </si>
  <si>
    <t>Bravo, Antonio</t>
  </si>
  <si>
    <t>Antonio Bravo</t>
  </si>
  <si>
    <t>por una vez............... 200. D. Tomas Gutiérrez Sanz, agente de negocios, por; una vez..... 550. D. Antonio Bravo, maestro vidriero, por una vez.................. 320. D. Evaristo Perez de Casto , oficial de la secretaría de Estado, por ahora............. ...».................................</t>
  </si>
  <si>
    <t>Bravo, Tadeo</t>
  </si>
  <si>
    <t>Tadeo Bravo</t>
  </si>
  <si>
    <t>ultura ofreciendo á España ios frutos de la tierra, y dos genios con varios atributos de labranza. -D. Tadeo Bravo, caballero maestrante, diputado de la ciudad de Lima» adornó con particular gusto la fachada del quarto entresuelo que habita frente á la iglesia de S. Martin. Toda ella estaba ve</t>
  </si>
  <si>
    <t>Brea, Manuel</t>
  </si>
  <si>
    <t>Manuel Brea</t>
  </si>
  <si>
    <t>. ..... ............ . 4574 íD, Eügenio Villaseñor, fabricante de belas de sebo, por una vez. 3Ó00. D. Manuel Brea , almacenista- de carbón, por una vez......«...... 30Q. D. Pedro de Zubiaga., individuo de los 5 gremios mayores, por una vez. *«•••« • • #.» •*•••••»«« # 4 4 44#«.##444 4-4«.« m-</t>
  </si>
  <si>
    <t>Brídale, Miguel</t>
  </si>
  <si>
    <t>Miguel Brídale</t>
  </si>
  <si>
    <t>fábrica de extracto de regaliz que tiene en £lla. AVISO. En el juicio de concurso de acreedores de D. Miguel Brídale, vecino v del comercio de Xerez de la Frontera, y con motivo de la solicitud entablada por el mismo de que se declare la cancelación de los autos, se proveyó en 11 de marzo de est</t>
  </si>
  <si>
    <t>Brieva, Matías</t>
  </si>
  <si>
    <t>Matías Brieva</t>
  </si>
  <si>
    <t>n la fábrica de aguardientes, por una vez 300 rs. D. Bernardo González Alvarez, por una vez 640 rs. D. Matías Brieva, por una vez 100 rs. D. Mateo Ortiz de la Iglesia, por una vez jco rs, D. N. Taranco, 1© rs. D. N. Zámorano, 2© rs. D. N. Villanueva, 100 rs, D. N, Seguí , 10 rs. D. Josef Kossi,</t>
  </si>
  <si>
    <t>Bringas Marroquin, Pedro</t>
  </si>
  <si>
    <t>Pedro Bringas Marroquin</t>
  </si>
  <si>
    <t>...... Valencia..... 6oo 1338 D. Silvestre Jordán para D. Luis López........ Valencia..,.. 30® 2332 D. Pedro Bringas Marroquin........ .................. Zaragoza..... 300 1739 D. Francisco Arrafan y Valdés...................... Cádiz...,...... 500 1724 Lie. D. Josef María de Castro.......................</t>
  </si>
  <si>
    <t>Bringas, Francisco Antonio</t>
  </si>
  <si>
    <t>Francisco Antonio Bringas</t>
  </si>
  <si>
    <t>la real biblioteca, por agosto á 3 ® rs. mensuales.......................................... 3000. D. Francisco Antonio Bringas, por agosto á 6® rs. mensuales... 6000. D. Patricio&gt;Martínez de Bustos, por una vez 12® rs., y 300 por agosto á joo rs. mensuales..................................................</t>
  </si>
  <si>
    <t>Brinkman</t>
  </si>
  <si>
    <t>Madrid 148</t>
  </si>
  <si>
    <t>unas personas. El daño se valúa en 40® libras (cerca de 4 millones de reales.) Ha llegado á Londres Mr. Brinkman, nuevo ministro de la corte de Suecia: ayer tuvo una larga conferencia con Mri Canning en la secretaria del despacho' de negocios extrangeros.__ El embaxador de Portugal'tuvo tamb</t>
  </si>
  <si>
    <t>Brísonvy</t>
  </si>
  <si>
    <t>entenebro. r.Cufso^coriipléto de física experimental, escrito en francés por el ciudadano Brísonvy traducido al castellano con notas»que contienen las fórmulas del movimiento, fuerzas centrales &amp;c.: 4 -tomos en 4. Se bailarán en las librerías de Gómez Fuente</t>
  </si>
  <si>
    <t>Broca, Pedro</t>
  </si>
  <si>
    <t>Pedro Broca</t>
  </si>
  <si>
    <t>.......... Zaragoza. ... * i :3°° i9I4 D. Francisco Rousílle.■.....•......... Zaragoza'. X 5CC0 i34 D. Pedro Broca, comerciante............. Valencia. 500 368 D. Francisco de- Mier y Teran............. Cádiz ..... 300 '7 &gt;6 D. Juan Esteban Trie so y compañía... Madrid. 500 3884 D.vAngel Ramire</t>
  </si>
  <si>
    <t>Brongniart</t>
  </si>
  <si>
    <t>ntarán árboles en trasbolillo, para que sirvan depaseo, en el verano.__-Se dice que este plan es de Mr. Brongniart, uno de nuestros mas acreditados arquitectos. ESPAÑA. _ Madrid 1.° de abrü. El martes de esta semana se vistió la corte de gala con motivo del cumpleaños del Sr. Infante don «arlo</t>
  </si>
  <si>
    <t>Bront, Segismundo</t>
  </si>
  <si>
    <t>Segismundo Bront</t>
  </si>
  <si>
    <t>uestra parte no hubo mas que 4 heridos, 2 muertos y 4. prisioneros. En esta acción se distinguieron D. Segismundo Bront, teniente de la compañía de D. Jaime Guión, de Vich; D. Pedro Munt y el ayudante de órdenes D. Juan Caracol, que se hallaba mandando la coluna de retaguardia; sin dexar de recomen</t>
  </si>
  <si>
    <t>Broun</t>
  </si>
  <si>
    <t>Madrid 140 (supl.)</t>
  </si>
  <si>
    <t>se han portado con la mayor distinción, han presentado un jarro de plata de la forma mas elegante á Mr Broun, cirujano mayor de las tropas que tenemos en Sicilia, con una inscripción en que manifiestan tanto el concepto en que están de su habilidad y talentos, como su gratitud por la hum</t>
  </si>
  <si>
    <t>Brucho, Rafael</t>
  </si>
  <si>
    <t>Rafael Brucho</t>
  </si>
  <si>
    <t>y el teniente coronel D. Martin Martínez', capitán déíde Málaga,* el teniente del mismo regimiento D. Rafael Brucho y D. Manuel Osorio, teniente coronel del .provincial de Guadixy mis ayudantes de campo. ‘ vPor esta misma causa no expreso!ltjfc.oficiales, sargentas ,;icabos y soldados que se distin</t>
  </si>
  <si>
    <t>Brufau, Tomás</t>
  </si>
  <si>
    <t>Tomás Brufau</t>
  </si>
  <si>
    <t>.....- Valencia..... 300 i°59 ' D. Armando Laurrete, mariscal de campo... Madrid........ ■ 3°° I4j6 D. Tomas Brufau......... ...................................... Málaga......... 300 1454 D. Adrián Hfernaez...... ......... Málaga........ 300 310 Francisco Xávier Ubadingo.......................</t>
  </si>
  <si>
    <t>Bruna Gutiérrez de los Riós</t>
  </si>
  <si>
    <t>......... . Madrid....... 600 288 D.Pedro de Cárdenas y R.d®del Río...... . Málaga........ 300 15.6 Doña Bruna Gutiérrez de los Riós............ . Valencia..... 30a 1723 D. Isaac de Landaburu................................Cádiz.......... 600 1201 D. Tomas Gaspar y Casas.... ;.................... Barcelona....</t>
  </si>
  <si>
    <t>Bruneti, Juan</t>
  </si>
  <si>
    <t>Juan Bruneti</t>
  </si>
  <si>
    <t>29 de abril de 1808</t>
  </si>
  <si>
    <t>Madrid 42</t>
  </si>
  <si>
    <t>el Sermo. Sr, D. Carlos María, Infante de España,. dibuxado por D. Antonio Carnicero, y grabado por D. Juan Bruneti. Se hallará,.con el. de S. M. el Sr. D. Fernando vii, de igual tamaño, iluminados, en la librería de Esparza, puerta del Sol, á &gt;20 rs. r MUSICA. Cavatina del Paisiello, la Raquel</t>
  </si>
  <si>
    <t>Bruno</t>
  </si>
  <si>
    <t>Madrid 71</t>
  </si>
  <si>
    <t>eguimiento de los autos pendientes sobre la sucesión testada ó intestada en los bienes del referido D. Bruno; previniendo á dichos interesados, que pasado</t>
  </si>
  <si>
    <t>eguimiento de los autos pendientes sobre la sucesión testada ó intestada en los bienes del referido D. Bruno. Posteriormente ha mandado dicho supremo tribunal en 18 de octubre último, que en atención á las circunstancias que han ocurrido se repita el insinuado emplazamiento, como se veri</t>
  </si>
  <si>
    <t>Bruno Barrera</t>
  </si>
  <si>
    <t>ra al de D. Carlos Montero, teniente coronel del regimiento de infantería de Soria: la quarta al de D. Bruno Barrera, coronel delsegundó de Sabóya.j estando esta y la tercera baxo las órdenes del mariscal de canipo conde cie,C*ldagués5 y la quinta al del general de igual clase D. Cárlos de Vitte</t>
  </si>
  <si>
    <t>Bruno de Abaría</t>
  </si>
  <si>
    <t>Josef Antonio , D. Tomas, Doña María Josefa y Doña Mónica de Monreai y Abaría, sobrinos del difunto D. Bruno de Abaría , capitán agregado que fue á dicha plaza de Tortosa, para que en el término de 15 dias, que se asigna á los existentes en el reino, y de 3 meses á los de fuera de él, comparezcan</t>
  </si>
  <si>
    <t>Josef Antonio, D. Tomas, Doña María Josefa y Doña Monica de Monrea! y Abaría, sobrinos del difunto D. Bruno de Abaría, capitán agregado que fue á dicha plaza de Tortosa, para que en el término de 15 dias, que se asignó í los existentes en ejL reino, y de 3 meses á los de fuera de él, compareciese</t>
  </si>
  <si>
    <t>Bruno Francisco de Acosta</t>
  </si>
  <si>
    <t>Eusebio Josef Rodríguez y D. Manuel Bernardo Roldan, diputados de este común; D. Manuel de Huertas, D. Bruno Francisco de Acosta, D. Julián Manuel dé Valverdé, D. Patricio Ortiz/Pareja, Dón Francisco Ruano Santos »y D. Isidoro de Lara, jurados perpetuos; í&gt;. Alfonso Cañedo; y Vigil, dignidad de vicario de c</t>
  </si>
  <si>
    <t>Bruno Rozas, Manuel</t>
  </si>
  <si>
    <t>Manuel Bruno Rozas</t>
  </si>
  <si>
    <t>ativos y (fertas voluntarias que constan en el banco nacional de $. Carlos. * * » -. ■■ Rs* ■ iCfÉ» D. Manuel Bruno Rozas, oficial de h contaduría de cargo de Juros, por agosto á 30 rs. mensuales........... ............. 30. D. Juan Marcelo Tuasón, capitán de milicias en Manila» por id./ y i 60 rs. i</t>
  </si>
  <si>
    <t>Brunot</t>
  </si>
  <si>
    <t>tados en una rpun^a de lá roca # mató 40 .ingleses; que había sobre el puente. ^ “ El mayor general Mr. Brunot , edecán general de S. M. el Rei de Holanda, llegó aquí el miércoles, y ayer por la tarde tuvo una audiencia del Rei i i &gt;: u ■■= -ávv.. - I;3?k- v / - ;,rl y , 1 í &gt; c-:-:r ;ü:„.</t>
  </si>
  <si>
    <t>Buch, Antonio</t>
  </si>
  <si>
    <t>Antonio Buch</t>
  </si>
  <si>
    <t>scuelas pías, leyendo una canción á la amistad patria , y se concluyó con un rasgo poético que leyó D. Antonio Buch__ _ La concurrencia, compuesta del clero, nobleza, ciudadanos, comercio y otras clases honradas é interey;. sadas en la pública felicidad, fue de las mas lucidas; y la consideraci</t>
  </si>
  <si>
    <t>Bucheli, Francisco</t>
  </si>
  <si>
    <t>Francisco Bucheli</t>
  </si>
  <si>
    <t>Josef Polo. = Sr. D. Josef Joaquin Martí.=rSr. D. Benito San Juan.=Sr. D. Ramón de Villalba. =r Sr. D. Francisco Bucheli. = Sr. Don .Francisco Diz. Excmo. Sr.=r Habiendo hecho presente esta macana .en el ¿qonsejq de Indias la real, orden que V. E. se ha servido dirigirme cpcu fecha «de ¿6 del corrie</t>
  </si>
  <si>
    <t>Bueno, Benigno Pedro</t>
  </si>
  <si>
    <t>Benigno Pedro Bueno</t>
  </si>
  <si>
    <t>e indias, por uriavez...»........................................ »...,,, .................... foo. D. Benigno Pedro Bueno, por una vez.»,.............»»►».»„».„„... 300. D. Mateo Abena, por una vez.»....................... .......................... . D. Juan Josef Saldias, á cuenta de 8 rs. diarios</t>
  </si>
  <si>
    <t>Bueno, Gerónimo</t>
  </si>
  <si>
    <t>Gerónimo Bueno</t>
  </si>
  <si>
    <t>. Cádiz.......... ». IOOOí 2401 D. Manuel Miguel de Retes................. Zaragoza...... 300 187? D. Gerónimo Bueno............ Zaragoza...». 1500 1958 D. Juan Antonio Rodrigo....................... [Zaragoza.. ... 1500 1741 Doña Josefa González y Baez................* Cádiz ......... . 3 00 17</t>
  </si>
  <si>
    <t>Bueno, Manuel Pedro</t>
  </si>
  <si>
    <t>Manuel Pedro Bueno</t>
  </si>
  <si>
    <t>........ . Bilbao........! 300 111 D. Juan Antonio de Escarga, abad de Beruéte. Tudela... 1500 1945 D. Manuel Pedro Bueno......................... Zaragoza....! 300 440 D. Antonio del. Piélago y Castro.............. ..... Santander.... 300 1930 D. Vicente Martínez, dignidad de tesorero deOsma........</t>
  </si>
  <si>
    <t>Bulow</t>
  </si>
  <si>
    <t>29 de diciembre de 1808</t>
  </si>
  <si>
    <t>Madrid 169</t>
  </si>
  <si>
    <t>ya á punto de tener sobre esto algunas conferencias con Mr. de Mcngelas. Del 2f. ,Somos deudores á Mr. Bulow, ministro de hacienda del reino de Westfalia, del proyecto de unir los dos rios mas caudalosos de la Alemania setentrional, el Elva y el .Veser. Se dice que él es quien ha propues</t>
  </si>
  <si>
    <t>Buman, Nicolás</t>
  </si>
  <si>
    <t>Nicolás Buman</t>
  </si>
  <si>
    <t>cadete D. Francisco Basilio Kostr en el de Rédíng num. 2.a á teniente aF subteniente de granaderos D. Nicolás Buman; y en el de WimpfFen á subteniente de bandera al cadete D. Jorge Hirth» , S..M» sé ha servido conceder en él* regimiento, de infantería de Léon subtenencia, de barídeia al sargent</t>
  </si>
  <si>
    <t>Burdett</t>
  </si>
  <si>
    <t>29 de julio de 1808</t>
  </si>
  <si>
    <t>Madrid 101</t>
  </si>
  <si>
    <t>. Este es el fin que se propone en el bilí .presentado á la cámara, y pido que se lea segunda vez.” Mr. Burdett dixo: „Quando.la Inglaterra no estaba civilizada, quando teníamos un exército indisciplinado, y quanio reinaban la licencia y el desorden baxo el nombre de libertad, entonces sola</t>
  </si>
  <si>
    <t>Burgos, Domingo</t>
  </si>
  <si>
    <t>Domingo Burgos</t>
  </si>
  <si>
    <t>al de ; Espolies, por una vez.................. .............................................. JOO. D. Domingo Burgos , rector de la Inclusa y colegio de la Paz, por agosto á 100 rs. mensuales.......................... ........... 100. Isidoro Moreno ^peluquero, por una vez.......... . *■’o. J D.</t>
  </si>
  <si>
    <t>Burriel, Marcos</t>
  </si>
  <si>
    <t>Marcos Burriel</t>
  </si>
  <si>
    <t>íguez, bibliotecario primero de los reales estudios de Madrid. El nombre del P. Marcos Burriel, autor de estas memorias, y las doctas adiciones conque el editor las ha ilustrado, y de que da razón en el prólogo, hacen mui re* comendable esta obra, que es digna de la atención de lo</t>
  </si>
  <si>
    <t>Bustámantey Alh, Joaquín</t>
  </si>
  <si>
    <t>Joaquín Bustámantey Alh</t>
  </si>
  <si>
    <t>renzo: pata úna ración ae la colegiata de Covarrubias, diócesi de Búrgos y vacante por promoción de D. Joaquín Bustámantey Alh marza á canongía de la propia Iglesia, á; D. Pedro Regalado González , teniente behéficíádb de la parroquia dé Sta. María' de la 'villa dé Gúmíel de Izan en el obispado deOsma; y</t>
  </si>
  <si>
    <t>Bustilío, Félix</t>
  </si>
  <si>
    <t>Félix Bustilío</t>
  </si>
  <si>
    <t>................ . Málaga....... 300 1221 D. Francisco Narzagaray........ . Bilbao,.;...... 3°° 536 D. Félix Bustilío................ ............................ oeo 2419 Doña María de Dolores Amil y de Oro....... OclCilZaiiM #••• 390 507 D. Angel Ladebese y Alzaibar........................ Bilb</t>
  </si>
  <si>
    <t>Busto González, Tomás</t>
  </si>
  <si>
    <t>Tomás Busto González</t>
  </si>
  <si>
    <t>o del Rosario. Don' Francisco Iturmendi, diputado de S. Martin. D. Francisco Xavier de Eli— pe, id. D. Tomas Busto González id. D. Antonio Rubio, de S. Isidro. D. Fernando del Sorribo, diputado de S. Cayetano. D. Inocencio Pastrana, coadjutor del Caballero de Gracia. D. Sebastian de Haegui, secretario</t>
  </si>
  <si>
    <t>Busto, Antonio</t>
  </si>
  <si>
    <t>Antonio Busto</t>
  </si>
  <si>
    <t>graátfde coronel de milicias urbanas.* A los capitanes de milicias urbanas D. Juan Bautista Azpard, D. Antonio Busto? y D.; Manuel Rentería , D* Hilario Santos Ramhfeá &gt; D. Ramón Acuenzaít jÓ^GÍndi4o Manuel §an Martin, D. Francisco R Josef María Perez^, D. Jo?ef M^tep Echevarría , D. Jaime Salas</t>
  </si>
  <si>
    <t>Butler, Juan María</t>
  </si>
  <si>
    <t>Juan María Butler</t>
  </si>
  <si>
    <t>rez Varela , el comandante de ingenieros D. Josef Pilón y Espejo, el mayor general del departamento D. Juan María Butler, el comandante del quarto batallón de maxiíia D. Antonio Barrientos, el comisario provincial del real cuerpo de artillería de marina D. Francisco Millau ,y el comandante del puert</t>
  </si>
  <si>
    <t>Butrón, Fernando</t>
  </si>
  <si>
    <t>Fernando Butrón</t>
  </si>
  <si>
    <t>r á la España nuestra fidelidad y amor al Rei y á la patria, que dirigí con mi segundo, mi ayudante D. Fernando Butrón, y con mi hijo el conde de Belveder (por quedar yo gravemente enfermo de resultas de estos sentimientos) á S. M. á tiempo que quando llegaron á ponerla en sus reales pies , ya se</t>
  </si>
  <si>
    <t>Caballero, Ana Martín</t>
  </si>
  <si>
    <t>Ana Martín Caballero</t>
  </si>
  <si>
    <t>l Francisco del Castillo 88 pares de calcetas. Dia 20. D. Raimundo de Alcántara 41 varas de lienzo. Doña Ana Martin Caballero, muger de D. Alfonso Garrido , 100 camisas. EL Sr. D. Ignacio Abadía, del consejo de Ordenes, y contador general de las quatro militares , 50 varas de paño azul y pardo y 50 camis</t>
  </si>
  <si>
    <t>Caballero, Andrés</t>
  </si>
  <si>
    <t>Andrés Caballero</t>
  </si>
  <si>
    <t>0 pesos de mayo, por su íntegro valor hasta el día de la entrega............... 4584..... y. El Sr. D. Andrés Caballero, del comercio, presentó en cinco vales de 150 pesos de setiembre, por su íntegro valor é intereses hasta el dia de la entrega. 11309........4. La casa de comercio de los Sres. Alv</t>
  </si>
  <si>
    <t>D. Pedro Menendez García 15 varas de lienzo. Doña Alfonsa Ceuleman 4. D. Manuel Lacarra 2 camisas. D. Andrés Caballero 27. Doña Josefa Sanz 6. D. Manuel de Velasco 2 camisas y 14 varas de lienzo. D. Manuel Francisco del Castillo 88 pares de calcetas. Dia 20. D. Raimundo de Alcántara 41 varas de li</t>
  </si>
  <si>
    <t>res­ D. Sebastian de Qtaegui 100. bítero , 200 rs. María Montesein 8. .&lt; D.F.N.60. Pedro Tornero 8. D. Andrés Caballero 1821 rs. y. 24 Doña Rafaela Ormaza 8. mrs. en metálico , y 9161 y 16 María Sánchez 4 rs. y 16 mrs. mrs. en vales reales. D. Juan Jo^ef de la Presilla xoo. D Antonio Xavier de Herr</t>
  </si>
  <si>
    <t>........... ........... 240. D. Nicolás Albelo, dependiente de la Lotería, id.................. 60. D. Andrés Caballero, del comercio, 3650 rs. por 6 meses á 20 rs. diarios durante un ano, y ademas 40© rs. en 5 vales de600 pesos }7 efectivo , id......................................................</t>
  </si>
  <si>
    <t>Caballero, Diego</t>
  </si>
  <si>
    <t>Diego Caballero</t>
  </si>
  <si>
    <t>beneficio de la villa de Cañetedelas Torresyen el obispado de Córdoba, vacante por fallecimiento de D. Diego Caballero , y el arcíprestazgo benefició simple de Sta. Cruz con Barcena, en la diócesi de Burgos, vacante por muerte de D. Eugenio Nuñez, á D. Juan Nepomuceno Moreno y Hore ; y para uno de</t>
  </si>
  <si>
    <t>Caballero, Gerónimo</t>
  </si>
  <si>
    <t>Gerónimo Caballero</t>
  </si>
  <si>
    <t>vo á bien S. M. nacer para él en D. Pedro Díaz Palacios por decreto de n de enero próximo pasado, á D. Gerónimo Caballero, vicario de las iglesias de Algeciías.' ' ' - - f El Reí se ha servido promover a mariscales de campo de sus exércitos á los brigadieres D. IJlises Albergotti, D. Francisco Mendie</t>
  </si>
  <si>
    <t>Caballero, Juan Bautista</t>
  </si>
  <si>
    <t>Juan Bautista Caballero</t>
  </si>
  <si>
    <t>vador Galiard, pretendiente aprob.,*io á plaza de caballero cadete del real cuerpo de artillería, y D. Juan Bautista Caballero, discípulos de la academia pública de matemáticas, que con la real aprobación de S. M. se halla establecida en la calle del Caballero de Gracia, núm. 9^ quarto 2.0, baxo la direcc</t>
  </si>
  <si>
    <t>Caballero, Pablo Antonio</t>
  </si>
  <si>
    <t>Pablo Antonio Caballero</t>
  </si>
  <si>
    <t>........ Málaga....... JCO 1099 Doña María 'Concepción Valenciano y Ar¿ • Madrid........ I JOO 1441 D. Pablo Antonio Caballero......................... Málaga......... 300 293 Angela Curioni ..... .... •v........ •• • ........ ■ Málaga........ 300 5*7 D. Ramón Blas Ramírez................................</t>
  </si>
  <si>
    <t>imo de Ribera.,..., Cádiz}........ í 00 1624 D. Ramón de Sta. Cruz y Gil.. Santander;.,&lt;; iOO, 1440 D. Pablo Antonio Caballero...... .• i• f»*y • 3°Q- : *9&gt;9 D. Manuel Centurión.............. JOZ^.S., 600 I751 D. Tomas Ruiz de Sorzano....... Cádiz • ••»i»- ^00 1883 D. Manuel Mareen.... . Zaragoza....* 500</t>
  </si>
  <si>
    <t>Caballero, Pedro Antonio</t>
  </si>
  <si>
    <t>Pedro Antonio Caballero</t>
  </si>
  <si>
    <t>rtificación honorífica en recompensa de su ' aplicación. •' ' VENTAS JUDICIALES. Por providencia de D. Pedro Antonio Caballero, juez comisionado regio en la diócesi de Málaga/ se fia señalado el dia 6 del presente para el remate de una hacienda , nombrada la del Puente, situada en término y jurisdicción d</t>
  </si>
  <si>
    <t>cer postura,Lo executará por Ja escribanía que actúa Francisco de Páijla Morales.. . Por mandado de D. Pedro Antonio Caballero, subdelegado en ¡el departamento de Goin en la diócesi de Málaga, se ha señalado el día.11,del qué.rige para el rematé de una. huerta en término de dicha, villa, partido: de: los</t>
  </si>
  <si>
    <t>Cabañas, Francisco</t>
  </si>
  <si>
    <t>Francisco Cabañas</t>
  </si>
  <si>
    <t>de Santibañez, del comercio, en un vale real de 300 pesos y resto de dinero efectivo..... 65 90... D. Francisco Cabañas, del comercio............................ . 500. D. Angel Moreno................................ ................ ............. 2000. D. C. C. E...................................</t>
  </si>
  <si>
    <t>acedapor • • • id. á id....................................................................... 310* D. Francisco Cabañas, pasamanero, 500 rs. por una vez, y 732 por 4 meses á 6 rs. diarios......... ....... ................... ....... Í232. D. Luis de Onis , oficial mayor de la secretaría de Estado,</t>
  </si>
  <si>
    <t>Angeles. D. Nicolás Iniesta, diputado- de las Niñas de la Paz. D. Josef Alcalde, alcalde de dicha. D. Francisco Cabañas , diputado de dicha. Don Ildefonso Ortuño , eclesiástico. D. Estéban Felipe Mórnn, secretario. Don Félix Abrarez dei Villar, diputado dé S. Francisco. D. Lúeas Escolar, secretario</t>
  </si>
  <si>
    <t>Cabañero, Antonio</t>
  </si>
  <si>
    <t>Antonio Cabañero</t>
  </si>
  <si>
    <t>María. Gavina Marín;...;..-.Madrid....... 500 42 5 D. Miguel Alvo Lombera...Santander.... 300 1297 D. Antonio Cabañero/presbítero.................. Valencia.... 500 83 9 Sres. Sántbañer y Ximeno.. .............................. Madrid........ 3°o 2430 Sres. D. Pedro Badeigt y compañía.............</t>
  </si>
  <si>
    <t>Cabanís</t>
  </si>
  <si>
    <t>ciad con los médicos déí país .'sobre la naturaleza y aplicación de sus aguas mí* nerales. ' ' . •¡ Mr. Cabanís, individúo del senado conservador y del instituto , uno de los mas célebres médjeos de nuestra edad, falleció el 6 del corriente eü Rüeil, cerca de Meulan. El 14 se ha trasladado</t>
  </si>
  <si>
    <t>Cabanis</t>
  </si>
  <si>
    <t>instituto ha elegido el i6: del corriente á Mr. Tracy para la plaza vacante por el fallecimiento de Mr. Cabanis. Mr. dé Tracy es senador, y conocido ventajosamente del publico por un tratado de ideología, que comprehende la gramática y la lógica. continuación bel articulo de economía políti</t>
  </si>
  <si>
    <t>Cabarrouy, Santiago</t>
  </si>
  <si>
    <t>Santiago Cabarrouy</t>
  </si>
  <si>
    <t>a..... 300 1188 I&gt;. Josef Vidal......tfZÍ,................................ . Barcelona.... 300 2003 D. Santiago Cabarrouy.......... Cádiz....*....., JO® 1711 D. Juan Manuel de_PeraIta...................... Cádiz......... . 300 219 D. Antonio María Bajaguer........... ........... Alicante....... 3Q° 3</t>
  </si>
  <si>
    <t>Cabezón, Diego</t>
  </si>
  <si>
    <t>Diego Cabezón</t>
  </si>
  <si>
    <t>üenza: para el arcipresuzgo de S. Quirce, en el arzobispado de Burgos, vacante por fallecimiento de D. Diego Cabezón, á D. Rosendo Villalain, canónigo de la colegiata de Covarrubias , en el mismo arzobispado de Burgos ;, y para el préstamo de la parroquia del lujar de Avellanóla , en la abadía d</t>
  </si>
  <si>
    <t>Cabezón, Diego Antonio</t>
  </si>
  <si>
    <t>Diego Antonio Cabezón</t>
  </si>
  <si>
    <t>elona.... 0 0 : 803 D. Juan Saenz de Santa María.......................... Madrid........ 500 r25 5 D. Diego Antonio Cabezón, prior y canónigo. Burgos. ...... 600 •'394 •D. Josef Becerra, del comercio........................ Coruña........ 3co 908 -D. Joaquin de Ones............ .................. .....</t>
  </si>
  <si>
    <t>atagozáy!... 500 J997 D. Juan'Peáro Cantón..».»»»»..;:.i».,.»;;.;:./..».»!; 'Zapágóza..;;.! 600 254 D. Diego Antonio Cabezón, prior y canónigo. BtíVgós.u .;.. 5 00 565 D. Jóséf Nieto...................»....'....:..;. Madrid....... 3 00 *774 Doña María Teresa de Quesada..................... • ' Gádik!..</t>
  </si>
  <si>
    <t>Cabo, Antonio</t>
  </si>
  <si>
    <t>Antonio Cabo</t>
  </si>
  <si>
    <t>. ............ 190. D. Jos¿f del C-liado, del comercio, id................. .................. ^20. D. Antonio Cabo, oficial de la contaduría del duque de Uceda, 3 rs. diarios, por 3 meses........... ................. ........................... 27^* Doña A ntonia Martin Palomeque , en interese</t>
  </si>
  <si>
    <t>Cabrejano, Luis</t>
  </si>
  <si>
    <t>Luis Cabrejano</t>
  </si>
  <si>
    <t>rez Lomo y D.Juan Martínez de Pinillos, del comercio de quincalla, por upa vez».»..»•«*»..»..«6oooá D. Luis Cabrejano, presbítero, por una vefz...».„».....„. 320.D. Luis Valenciano, teniente coronel retirado, por una vez..... 40b. Manuel de,f C3astro, ,*por úliá véz............................. ,</t>
  </si>
  <si>
    <t>Cabrera, Antonio</t>
  </si>
  <si>
    <t>Antonio Cabrera</t>
  </si>
  <si>
    <t>. La Comisión de Hacienda trasladó oficio de este decreta al Sr. Intendente de exército y provincia D. Antonio Cabrera , y este al Sr.^ Asistente actual de esta Ciudad D. Joaquín Leandro de Solis , quien le ha dado cumplimiento en un edicto , mandando que los Administradores presenten ante Su Seño</t>
  </si>
  <si>
    <t>Cabrero, Miguel</t>
  </si>
  <si>
    <t>Miguel Cabrero</t>
  </si>
  <si>
    <t>... . 400. D. Marías Novella , por una vez............ ............................... ........ 60. D. Miguel Cabrero, confitero, por.agosto á 20 rs. mensuales... 20. D. J uan Bautista de Goitia, interventor de la factoría del tabaco, por agosto á 60 rs............................................</t>
  </si>
  <si>
    <t>CAbrios, Francisco</t>
  </si>
  <si>
    <t>Francisco CAbrios</t>
  </si>
  <si>
    <t>200. D. Domingo Garrido, id.............................. .................................... 500. D. Francisco CAbrios, criado de la marquesa de Paredes , en recibos de interese/? de vales reales, y 300 en efectivo, id........ 1022. Domingo Galota, id...... ......... ..............................</t>
  </si>
  <si>
    <t>Cáceres, Miguel</t>
  </si>
  <si>
    <t>Miguel Cáceres</t>
  </si>
  <si>
    <t>60 mensuales, 3 20. D. P. v., por agosto 20 rs. D. Francisco Antonio Martínez, por una vez 300 rs. D. Miguel Cáceres, ballestero principal honorario, por una vez foo rs. D. Francisco Vives, contador por S. M., por un tercio hasta fin de noviembre de 4400 rs. anuales durante la guerra , 1466. D.</t>
  </si>
  <si>
    <t>Cacerradá, Ramón</t>
  </si>
  <si>
    <t>Ramón Cacerradá</t>
  </si>
  <si>
    <t>........ .................. 120. D. Francisco Sejoman, agente de negocios, por una vez......... 40. D. Ramón Cacerradá, carpintero, por una vez............. ............. 100. D. Francisco-Rodríguez Maqueda, abogado del colegio, por una vez...;.».........,...&gt;......................................</t>
  </si>
  <si>
    <t>Cachapero, Nicolás</t>
  </si>
  <si>
    <t>Nicolás Cachapero</t>
  </si>
  <si>
    <t>ento de la Princesa; y,D. Nicanor Ricaud, id. del de Algarbe, secretarios del estado mayor general. D. Nicolás Cachapero, secretario del general en gefe, en Londres. El conde de Prado Castellano, coronel de milicias, agregado al estado mayor. D. Joaquín Laguna, vicario general. D. Josef González Dáv</t>
  </si>
  <si>
    <t>Cadenas, Antonio</t>
  </si>
  <si>
    <t>Antonio Cadenas</t>
  </si>
  <si>
    <t>en cada uno...,...... ....... . ................... ..................... .................. ¡ 40. D. Antonio Cadenas, mensualmente.¿........ ....... D. Josef Travieso , por una vez................... ......... ...................... 320. La comunidad de S. Cayetano a bandejas y, 4. candeleras de</t>
  </si>
  <si>
    <t>Cadenas, Juan Antonio</t>
  </si>
  <si>
    <t>Juan Antonio Cadenas</t>
  </si>
  <si>
    <t>....... ........... 1500. D. Manuel Míllana, por agosto á 20 rs. mensuales..................... 20. D. Juan Antonio Cadenas, por dos meses á 20 rs. cada uno..,. 40. Los 114 individuos de la contaduría general de Consolidación de vales reales ademas de sus ofertas particulares el 6 por 100 de sus sueldo</t>
  </si>
  <si>
    <t>Caedlas, Ramón</t>
  </si>
  <si>
    <t>Ramón Caedlas</t>
  </si>
  <si>
    <t>, exento de reales guardias de Corps..................................... i 1 ' _ „ .. f* cabezadas D. Ramón Caedlas........................................ 1 &lt; y 3 pares de \ * l cañoneras,. Donativos de otra especie. Los Sres. directores de la real compañía de la Havana presentaron al comision</t>
  </si>
  <si>
    <t>Caharroy, Santiago</t>
  </si>
  <si>
    <t>Santiago Caharroy</t>
  </si>
  <si>
    <t>..... Valencia..... 3°° 485 D. Domingo María de Laviesca....... ....... . Bilbao......... 1000 2001 D. Santiago Caharroy...... ...... ............. .......... Cádiz.......... 600 774 D. Pedro Gorras.............. ......... .......... .......... Madrid........ 3o o 802 D.'Carlos Simón Pon tero y sobr</t>
  </si>
  <si>
    <t>Cahrera, Ramón</t>
  </si>
  <si>
    <t>Ramón Cahrera</t>
  </si>
  <si>
    <t>rcio, en intereses de vales reales de 1808, y libramientos de vitalicios de i8of , id....... 20000. D. Ramon Cahrera, presbítero , 2 salvillas de plata con pesó de 104 onzasy una escribanía con 66 onzas, y ademas en efec*fiVó, id Sé #*'él'*'l'*«'é*B«é&gt;tl#**é«4 •••*••»• •4*»»t*»é •«.••** *«.» |.4</t>
  </si>
  <si>
    <t>Caire, Antonio</t>
  </si>
  <si>
    <t>Antonio Caire</t>
  </si>
  <si>
    <t>á teniente de granaderos al de fusileros D. Bernardo Orta; á teniente ^1..subteniente de granaderos D. Antonio Caire; á subteniente de granaderos, al de* fusileros D. Mariano Gariburu, y á subteniente de bandera al cadete 1L Rafael Camargo. En el regimiento provincial de dragones de Queretáro en</t>
  </si>
  <si>
    <t>Cal-, Lorenzo</t>
  </si>
  <si>
    <t>Lorenzo Cal-</t>
  </si>
  <si>
    <t>eino, para cuyo objeto, ,~ Jafox. r : fueron citados ?|odos los señores diputados presentes. Él Sr. D. Lorenzo Cal- en este real sitio, qué son mas de las dos terceras yo. * partes qoe deben componer la Junta de gobierno» Por Asturias y constan al margen por orden alfabético, se veriÉl Sr. D. Gas</t>
  </si>
  <si>
    <t>Calcraft</t>
  </si>
  <si>
    <t>s que no perdería ocasión de abrir negociaciones sobre bases seguras y honrosas. El dia 24 preguntó Mr. Calcraft en la cámara baxa á los ministros, si era verdad, como corria, que el almirante Strachan se había visto obligado por falta de víveres á abandonar su apostadero, dando ocasión con es</t>
  </si>
  <si>
    <t>de España y de Portugal. GRAN BRETAÑA. - . ' Londres j 6" de abril. El 3 del mes pasado fue quando Mr. Calcraft hizo en la cámara baxa la propuesta, que ya se habla anunciado anteriormente, sobre las causas que habían obligado a interrumpir el bloqueo de Rochefort, y dado ocasión á la salid</t>
  </si>
  <si>
    <t>ebía haber tomado las precauciones convenientes para un caso tan fácil de prever___ La propuesta de Mr. Calcraft ha sido desechada por 146 votos contra 69; pero á pesar de una pluralidad tan considerable, ni los sofismas de los parciales del almirantazgo, ni la decisión de la cámara podrán j</t>
  </si>
  <si>
    <t>Calixto Núñez</t>
  </si>
  <si>
    <t>utación del estad» eclesiárHco regular. Fr. Eugenio Arnoedo, abad del monasterio de S. Bernardo; P. D. Calixto Nuñez, abad de S. Basilio. Diputación del estado eclesiástico secular. Dr. D. Juan Antonio Irusta, teniente cura de la parroquia de S. Sebastian; D. Domingo Alvares, beneficiado de la d</t>
  </si>
  <si>
    <t>3 Ramón Policarpode Vitona.erFr. Eugenio Amoedo , abdd de San Bernardo-zrMateo de Norzagarai.=Padre D. Calixto Nuñez, abad de S. Basilio;=Euseb¡o María de ios: Hérosv==Siivério Peiez == Dr. t D. Juan Antonio de Irusta.rrD;-Domingo Alvaraz.=Juan de Ala-* ta lllana.erlgnacio García. =PoT¡ la diput</t>
  </si>
  <si>
    <t>Calixto Pérez</t>
  </si>
  <si>
    <t>vez........ ............ ......................... .......... .............................. . 6co* D. Calixto Perez, por una vez.................................... ................. 4°D. Vicente Perez , por una vez...... ..............•...................... 40. El marques de ios Llamos, genti</t>
  </si>
  <si>
    <t>Calleja González, Francisco</t>
  </si>
  <si>
    <t>Francisco Calleja González</t>
  </si>
  <si>
    <t>............. 20* D. Juan Bautista Ferrari, id........................ ........................ 6o. D. Francisco Calleja González, id............ ............. ...................... 200. Doña Manuela Martin Pintado, sirviente, en intereses de vales dei8oo,id......................... ........................</t>
  </si>
  <si>
    <t>Callejo de Alba, Manuel</t>
  </si>
  <si>
    <t>Manuel Callejo de Alba</t>
  </si>
  <si>
    <t>za... ..; 300 1946 D. Juan de Marticorena................................... Zaragoza.....: 500 7¿5 D. Manuel Callejo de Alba........................... . Madrid........ 500. 2243 Sres. Gandasegui, hijos y compañía............... Bilbao......... 300 1321 D. Juan Bautista Carrera................... ......</t>
  </si>
  <si>
    <t>Calvet, Juan</t>
  </si>
  <si>
    <t>Juan Calvet</t>
  </si>
  <si>
    <t>l: á D. Josef Llinas para una ración de coro y altar de Ja catedral de Ibiza, vacante por muerte de D. Juan Calvet; y á D, Martin Laencuentra para una ración de la parroquial, de la villa de Capelíá, diócesi de Lérida. El Reí se ha servido conferir en el regimiento de infantería de Cantabria c</t>
  </si>
  <si>
    <t>Calvet, Ramón</t>
  </si>
  <si>
    <t>Ramón Calvet</t>
  </si>
  <si>
    <t>os ayudantes generales al teniente coronel D. JuanMoscoso, capitán del real cuerpo de artillería, y D. Ramón Calvet, sargento mayor del real cuerpo de ingenieros, con 2 ayudantes seguhdos subalternos dedos ¡mismos cuerpos. Mayor general de infantería el brigadier D. Manuel Fabro, coronel del re</t>
  </si>
  <si>
    <t>Calvo García, Miguel</t>
  </si>
  <si>
    <t>Miguel Calvo García</t>
  </si>
  <si>
    <t>do dél provincial de Toledo, 240 rs. ppr 4 meses a 60 rs. mensuales,........................ . 240. D. Miguel Calvo García., escribano de cámara de lá Sala, 500 rs. por una vez, y 2*4,0 rs. por 4.’^neses i &amp; crt c^a uno...... 740. D. Esteban Cás^bon^ yr £&gt;. Antonio,Flqreüsá jf'Náda'! «*&lt;&gt; njercio , á</t>
  </si>
  <si>
    <t>Calvo, Lorenzo</t>
  </si>
  <si>
    <t>Lorenzo Calvo</t>
  </si>
  <si>
    <t>ase la Junta central suprema y guberIX Francisco Palafox. nativa del reino, para cuyo objeto fueron D. Lorenzo Calvo. citados todos los señores diputados- presentes Por Asturias. en el real sitio, que son mas de las dos terX&gt;. Gaspar Melchor de ceras partes de los que deben componer la Jovellano</t>
  </si>
  <si>
    <t>io mui apurado., mas ai iin pudo escapar, abandonando 8010 caballos. Madrid jo de setiembre. El Sr. D. Lorenzo Calvo, intendente del exéreito y reino de Aragón, y su diputado para la junta suprema gubernativa del reino, dirige aL noble y generoso pueblo de esta corte el siguiente escrito para ma</t>
  </si>
  <si>
    <t>crwvSr. D.. Pedro Cevallos. La sección de Hacienda se compone de los Excmos. Sres. D. Martin Garay, D. Lorenzo Calvo, D. Félix Ovalíe,. D¿ Luis de Funes, D.. Sebastian.de Jocano, D. Francisco de Paula Castañeda : su secretario el Exorno. Sr. D. Francisco Saavedra. La sección de Gracia y' Justici</t>
  </si>
  <si>
    <t>Calvo, Pedro</t>
  </si>
  <si>
    <t>Pedro Calvo</t>
  </si>
  <si>
    <t>el beneficio simple de Cilleruelo de arriba, en la diócesi de Burgos, vacante por fallecimiento de D. Pedro Calvo, á D. Francisco Antonio Sagarna y Urien; y para el beneficio simple servidero de S. Roque en él campo de Gibraltar, diócesi de Cádiz, vacante por muerte de D. Vicente Rodríguez Ig</t>
  </si>
  <si>
    <t>Lerma, vacante por muerte de D. Felipe Cotorro de Porras, él‘ afeipreítázgo de Roxas, por muerte de D. Pedro Calvo, ambos en lá diócesi'de Burgos; y el beneficio préstamo de Carrascal del Rio, en el obispado de Segovia, vacante por premoción de D. Franclco Orchell al arcedianato'titular de la</t>
  </si>
  <si>
    <t>Camaño, Juan Miguel</t>
  </si>
  <si>
    <t>Juan Miguel Camaño</t>
  </si>
  <si>
    <t>contarreglo al decreto de 2 y orden de 7 dé febrero de 1803 , empe-‘ éxércicio en él corriente año D. Juan Miguel Camaño. u ■* , Se ha presentado á S. A. I. y R. el Sermo. Sr. Gran Duque de Berg la orden de S. Juan de Jerusaíen, presidida por el Excmo. Sr. Bailíd Freí D. Francisco Gil y Lemus , como</t>
  </si>
  <si>
    <t>Cámara, Matías</t>
  </si>
  <si>
    <t>Matías Cámara</t>
  </si>
  <si>
    <t>i, D. Juan Jorge, D. Juan Vicente Vandeli, Don Andrés Alvarez de Toledo, D. Manuel Gestal y Castro, D. Matías Cámara: á los tenientes del cuerpo de patriotas de la Union D. Antonio Santiago 'Ulano, D. Juan: Pedro Zerpa'p D. Francisco Alvarez de Labraría, D. Juan Tornáguera, D. Manuel-Vidal; D. B</t>
  </si>
  <si>
    <t>os: D. Juan de la Vianca, D. Basilio Viola, D. Juan Viola, D. Pedro Nolasco Ximenez, D. Juan Jorge, D. Matías Cámara, tenientes urbanos; y D. Manuel de los Ríos, subteniente también de urbanos, que van comprehendidos en sus respectivas ciases para obtener las inmediatas graduaciones, ha resuelto</t>
  </si>
  <si>
    <t>Cambier</t>
  </si>
  <si>
    <t>isen, que era ministro 'del comercio,y de ,ls£ ¡colon,iasf pasa á ministro de la marina. d ; . v, &gt; Mr. Cambier, que tenia el ministerio de la' jtfsticia y de policía, pasa al de las colonias, y le sucede el consejero de estado VanrMaunen. ■&gt; Mr. Hogendorp, ministro de la guerra, ha sido no</t>
  </si>
  <si>
    <t>Camborda y Espinosa, Fernando</t>
  </si>
  <si>
    <t>Fernando Camborda y Espinosa</t>
  </si>
  <si>
    <t>l, tasado en 250018 rs. Quien quisiere hácer postura , lo executará por la escribanía que desempeña D. Fernando Camborda y Espinosa én Ciudad-Real; en inteligencia de que su remate se celebrará ai tercer dia siguiente pasados los 30, que principian á contarse desde el 24 de febrero próximo pasado. : * ' ¡.Está</t>
  </si>
  <si>
    <t>Camiio González Perea</t>
  </si>
  <si>
    <t>tivo.......................................... ............................................ 220 17. D Camiio González Perea, 2 rs. diarios , por un año................ 730. D. Alonso Bayo, 500 rs. por una vez, y 6 diarios, por 2 meses. 866, D. Isidoro Sanz Valles, 4 id................ ........... 284.</t>
  </si>
  <si>
    <t>Camilo Gutiérrez-de los Ríos</t>
  </si>
  <si>
    <t>... 300 1306 D. Josef ¡Caray.,...,....-.:...*............................... Valencia...... 300 Í58 D. Camilo Gutiérrez-de los Ríos....................... . Valencia. »».» 10000 • 734 0. Francisco González. Sánchez................. . Madrid....*.. 600 179 Doña Vicenta Guitarty Rabinezde Andren. Valencia..... 5</t>
  </si>
  <si>
    <t>Camilo Ruiz</t>
  </si>
  <si>
    <t>............. ........... 284. D. Juan Antonio García de García, 2 id. por 2meses............. 122. D. Camilo Ruiz, 20 rs. mensuales, por 2 meses....................... 40. D. Joaquín Blazquez , 60 id. id...................... ........................ 120. Doña María Faijo, por una vez........</t>
  </si>
  <si>
    <t>Campbeirse</t>
  </si>
  <si>
    <t>Trieste para tomarle á bordo, y baxo seguro dado por los mismos austríacos; Todo ha sido inútil ;vy Mr. Campbeirse ha llevado la presa. ' Habiendo barado estos últimos dias una fragata inglesa en el qmal de*</t>
  </si>
  <si>
    <t>Campesino, Ignacio</t>
  </si>
  <si>
    <t>Ignacio Campesino</t>
  </si>
  <si>
    <t>istóbal de Ronda, por agosto 30 rs. D. Francisco y Doña María Sánchez Corchero, por una vez 640 rs. D. Ignacio Campesino, 6 meses á 60 rs. durante la guerra, 360. D. Pedro del Rio, hacendado, un vale de 600 pesos por una vez, y 3 7 2 rs. por agosto á 12 rs. diarios durante la guerra, 9514 y 10 mrs.</t>
  </si>
  <si>
    <t>Campillo, Marcos</t>
  </si>
  <si>
    <t>Marcos Campillo</t>
  </si>
  <si>
    <t>id. a 2 rs. ja *• ••««««««, •«.« «•(«««•«••««««•t ,, \) 2 0 . N. Amhrana, por, agosto a real ,;3i. D. Marcos Campillo, comisario de guerra , por uña'vez...:.....:. " 300; ^ D. Bartolomé Gaseo, platero, id......í........'.V.......................... 100. „ D. Juan Miguel Sevillano’, abogado del co</t>
  </si>
  <si>
    <t>Campo y Chaparro, Francisco</t>
  </si>
  <si>
    <t>Francisco Campo y Chaparro</t>
  </si>
  <si>
    <t>rato, 30 ia.-id........ 30. D. Francisco Suria, abridor de láminas, 10 id. id.................. jo. D. Francisco Campo y Chaparro, 10 id. id....... 10. D. B. P. P., 40 id. por 2 meses.............. ....................................... 80. D. S. B. S., 60 id., por agosto............ .......................</t>
  </si>
  <si>
    <t>Campománes, Francisco</t>
  </si>
  <si>
    <t>Francisco Campománes</t>
  </si>
  <si>
    <t>o por el Sr. Presidente, y en seguida por los aemas ministros, cada uno de por sí, en manos del Sr. D. Francisco Campománes, honorario del Consejo, por ser el sacerdote mas antiguo de los que concurrieron; y dicho señor lo hizo en las del Sr. D. Esteban Queroi, procurador de la orden de Montesa, como e</t>
  </si>
  <si>
    <t>Campos, Juan Antonio</t>
  </si>
  <si>
    <t>Juan Antonio Campos</t>
  </si>
  <si>
    <t>Ignacio de Berriozabal............... . 2 2 t D. Bidro del Rio;............................... 2 2 D. Juan Antonio Campos.............. ......... . 2 . 2 •, ■ \ ■ JL^. ■ Ignacio*Irían...................«........'..^ t2/ ; 2r Josef D. Juan Nepomuceno dé Rosales.,..,.........;. 1 y 1 cabez¡4* ,D. Juan</t>
  </si>
  <si>
    <t>Camps, Ramón</t>
  </si>
  <si>
    <t>Ramón Camps</t>
  </si>
  <si>
    <t>Fr, Antonio Enanas, ministro de Trinitarios calzados. Fr. Nicolás Luengo, provincial de la Vitoria. D. Ramón Camps, diputado del barrio, de S. «Juan. D. Josef Flores id. D. Antonio Tabairaeh, alcalde de barrio id. D. Josef de Aldai, diputado de S. Cayetano. Fr. Andrés Duran , presidente del co</t>
  </si>
  <si>
    <t>Campuzano, Joaquín</t>
  </si>
  <si>
    <t>Joaquín Campuzano</t>
  </si>
  <si>
    <t>ones del exército entregaron émíügár.de 100 camisas Ofrecidas...........V:............ o. i manta y D. Joaquín Campuzano.......,.^............... 1 { r cincha. -1 1 * Donativos de otra especie. * i: .c La junta de la dirección general de correos y caminos,</t>
  </si>
  <si>
    <t>Can</t>
  </si>
  <si>
    <t>á confiado por el Emperador Napoleón, será de proteger las ciencias y artes del reino de Portugal.” Mr. Can ion de Nisas, oficial superior en el estado mayor del exército de Portugal, ha sido nombrado socio de la misma academia. ESPAÑA. Madrid 17 de mayo. Se han presentado por el orden</t>
  </si>
  <si>
    <t>Cañamero, Manuel</t>
  </si>
  <si>
    <t>Manuel Cañamero</t>
  </si>
  <si>
    <t>................ D. Josef Vitoriano Gallardo, 100 id. id....;................................. 100. D. Manuel Cañamero, 60 id. id.............. ................................. .... 60. Josef García, botillero, anualmente........................... .................... 400. D. Francisco López Nuñ</t>
  </si>
  <si>
    <t>Cañaveral y Ponce, Francisco</t>
  </si>
  <si>
    <t>Francisco Cañaveral y Ponce</t>
  </si>
  <si>
    <t>23 de diciembre de 1808</t>
  </si>
  <si>
    <t>Madrid 163</t>
  </si>
  <si>
    <t>estituido. Continúan Jas cartas interceptadas. N. 3.0 Aranjitfz 2$ de noviembre de 1808. Al coronel D. Francisco Cañaveral y Ponce, caballero de la orden de Santiago, Granada. Mi estimadísimo amigo y dueño: hace una porción de correos que pienso escribir á virad., y siempre me falta tiempo, porque en medio de</t>
  </si>
  <si>
    <t>Cañaveral, Joaquín</t>
  </si>
  <si>
    <t>Joaquín Cañaveral</t>
  </si>
  <si>
    <t>altasar Hidalgo de Cisneros , capitán general de este departamento, los señores tenientes generales D. Joaquín Cañaveral y D. Félix Marquina, el comandante del arsenal D.‘ Nicolás de Estrada, el de los/tercios navales de levante D. Josef Adorno, el capitán de la compañía de guardias marinas D. Juan Jose</t>
  </si>
  <si>
    <t>Candelaria de Herrera</t>
  </si>
  <si>
    <t>ronel de ingenieros........................ ................. .............. Málaga........ 500 411 Doña Candelaria de Herrera............................. Santander.... 300 2203 D. Ignacio Beltran Doria.................................. Barcelona,... 300 1086 D. Pedro del Rio.............................</t>
  </si>
  <si>
    <t>Cándida Irueta</t>
  </si>
  <si>
    <t>a Torre 4. D. Pedro Arnaiz una. Doña Isabel Andrea Huésterlíng 12. D. Manuel Martínez de Aedo y Do­ Doña Cándida Irueta, sirvienta, una. ña Bernarda Arnaiz una. Doña María Ramona deAguirre 100. Sres. Santibañez y Ximeno 20. Doña María del Pilar Martínez de Doña Saturnina Mexia 2. Murga 50. Doña Mar</t>
  </si>
  <si>
    <t>Cándida Orejón</t>
  </si>
  <si>
    <t>Gutiérrez 4. Doña Ana Rodríguez, sirvienta, 2. Doña Rafaela Martínez de Ariza 4. Doña María Ruiz 6. Doña Cándida Orejón 2. Una pobre sirvienta 4. D. Jaime Mateo 2 chaquetas y 2 gor-, La viuda de Espárza una sábana. ■ ras. D. Pascual Herrero 3 camisas. D. Lorenzo Cisneros Toledo 3 camiD. Isidro Viot</t>
  </si>
  <si>
    <t>Cándido</t>
  </si>
  <si>
    <t>.... .. Valencia........ 300 1317 D. Pedro Beveya, comte. y comisionado..... Valencia..... 300 2253 D. Cándido &amp;amon de Meave.......................... Bilbao........ . 600 1803 El brigadier D. Juan María de Lanne..... . Zaragoza...... 500 1677 D. Agustín de Izaguirre............... ......</t>
  </si>
  <si>
    <t>Cándido Ramón de Meave</t>
  </si>
  <si>
    <t>Números lotes til d** lclS acciones. Nombres de los Interesados. 1213 D. Cándido Ramón de Meave...................... Bilbao......... 500 279 D. Miguel de Pedro Arena..,............................ Burgos........ 600 1569 D. Francisco Xavier de Goycoechea.............. Bilba</t>
  </si>
  <si>
    <t>.. 300 2206 D. Nicolás López............................................... Coruña........ 300 2252 D. Cándido Ramón de Meave.................. . Bilbao........ . 500 1373 D. Juan Roca y Juan, de Orihuela............... Alicante...... 600 499 D. Juan Francisco de Abrisquieta................... Bilbao....</t>
  </si>
  <si>
    <t>........ 300 415 D. Victoriano Gallardo.................................... ■Santander.;.. loo 2254 D. Cándido Ramón de Meave............ ............ Bilbao......... 7^ 1026 D. Plácido Ortiz de Eléialde.................. ‘Madrid..... . C .**N 637 Excma. Sra. Doña Martina Castro................... Madrid</t>
  </si>
  <si>
    <t>Canga Arguelles, Felipe Ignacio</t>
  </si>
  <si>
    <t>Felipe Ignacio Canga Arguelles</t>
  </si>
  <si>
    <t>de la Inquisición de corte, en vales reales, id........................................... 2322 ii« D. Felipe Ignacio Canga Arguelles, ministro del consejo Real, 12 rs. diarios, y ha satisfecho 1464 por 4 meses, y ademas .. 1®, id 2464, D. Bernabé;,Canga Arguelles¡bibliotecario-archivero del departamento déí fom</t>
  </si>
  <si>
    <t>Canga, Felipe</t>
  </si>
  <si>
    <t>Felipe Canga</t>
  </si>
  <si>
    <t>su hermano Josef, inclusa la constituD. Juan de Morales. ción formada para esta monarquía en Bayona D. Felipe Canga. con fecha de 7 de julio próximo; la que se reD. Josef María Puig. cogerá por los tribunales, corregidores y jusD. Sebastian de Torres. ticias del reino, remitiendo sus exemplares</t>
  </si>
  <si>
    <t>Caning</t>
  </si>
  <si>
    <t>uda." Se ha nombrado una junta para examinar el proyecto ae Mr. Perceval. En, uqa nota de 4 de may° Mr. Caning ha avisado al cuerpo diplomático que S. Mf había teñidlo á. bien declarar rigurosamente bloqueados jei puerto ae Copenhague y demás de íaislatde Zelanda.. ,i,i Lía ha^iío ua terri</t>
  </si>
  <si>
    <t>Cañizares, Francisco Xavier</t>
  </si>
  <si>
    <t>Francisco Xavier Cañizares</t>
  </si>
  <si>
    <t>. Beltran Fabre, id............................................................................ 20. D. Francisco Xavier Cañizares, id............... ................................... 60. El gremio de esparteros de esta corte, id....................................... 2000. D. Antonio Hernández, cirujano de</t>
  </si>
  <si>
    <t>Canning</t>
  </si>
  <si>
    <t>moderación de S. M. I.” Monitor. El Emperador Alexandro ha debido darse por ofendido de la nota que Mr. Canning pasó á Mr. Rider, diciendo que estaba cierto de que la Rusia preservaría á la Dinamarca del justo enojo de la Francia ¿ si después de haber sido privada de su independencia, y dex</t>
  </si>
  <si>
    <t>5 de febrero de 1808</t>
  </si>
  <si>
    <t>Madrid 11</t>
  </si>
  <si>
    <t>s se han empezado á experimentar ya con notable perjuicio de lá industria y prosperidad nacional* ; Mr. Canning, secretario de estado y def despachó dé negocios extranjeros , pasó con fecha de 8 del corriente una nota á ios enviados dé todas las potencias amigas y-neutrales, previniéndoles</t>
  </si>
  <si>
    <t>.........Para aumentar el peso de estas consideraciones fue probablemente para lo que me dixo ayer Mr. Canning al tiempo de leerme su primer borrador del resumen de las preposiciones de esta corte, que había creído preciso indicar en el las consecuencias que podia traer para nosotros la ne</t>
  </si>
  <si>
    <t>200 pasar á otro destino...... Mr. Canning concluyo diciéndome, que deseaba me aprovechase de la partida de Mr. Merri para estrechar á mi corte á una com^posicion , cuya negativa producida infaliblemente el rompimiento con</t>
  </si>
  <si>
    <t>1 de ’ entero:' --"i ■ -'■ * , • - • t c. . ; Acabado él discurso de Mr. Whitbread, tomó la palabra Mr. Canning, y dixó.: ,,A1 oir lo, que han hablado varios vocales de la cámara oponiéndose al discurso de gracias , np parece sino que esperan documentos muí vólumínosos sobre las negociacion</t>
  </si>
  <si>
    <t>Francia, resolvió no exponer desde luego sino una parte de estas ordenes en una nota que dirigió á Mr. Canning cpn fecha de 20 de noviembre. El secretario de estaejb* respondió ciñéndose á repetir las mismas declaraciones que la Inglaterra había hecho ya al Austria desde el mes de abril de</t>
  </si>
  <si>
    <t>a de la correspondencia entre lord ColUngwood y los demás almirantes ingleses en el Mediterráneo. í Mr. Canning, después de haber hecho varias reflexiones sobre la ca-r 1 idad de los papeles que se pedian, dixo que se presentarían desdé luego todos aquellos cuya publicación no tuviese incon</t>
  </si>
  <si>
    <t>azón circunstanciada de Ja conferencia que tuvieron con él antes;de salir del Tajo con su esquadra. Mr. Canning contestó diciendo : que esta era la primera vez que se pedia en la cámara razón de las conferencias particulares con los Príncipes soberanos;'y que si una vez llegaba á adoptarse</t>
  </si>
  <si>
    <t>ha enviado á Suecia una considerable suma de dinero, y desearía yo saber si era cierto.” Respondió Mr. Canning: ,,No se ha dado cuenta á la cámara del tratado de que se habla por una razón mui sencilla ., y es que nos faltan 8 ú 10 correos de Gotemburgo. Sin embargo acaba dé llegar un avis</t>
  </si>
  <si>
    <t>bo en la cámara baxa con ocasión del mensage del Rei sobre el subsidio concedido al Rei ¿le Suecia, Mr. Canning pom-: deró muóho la fidelidad y constancia de este príncipe: dixo que su conducta no tenia exemplo en la historia, y comparo el tratado hecho con la Suecia con el que hizo la Ingl</t>
  </si>
  <si>
    <t>¡Monarca hubiese recobrado la posesión de sus estados ?’* - ’ En el discurso de los debates aseguro Mr. Canning que el enviado sueco está autorizado para hacer un ajuste,, por el qual se obligará la Suecia á coadyuvar por su parte para que se executen las providencias tomadas por el gobiern</t>
  </si>
  <si>
    <t>del estado, porque vendrán otros príncipes y princesas pidiéndonos pensiones. El 4 de mayo dirigió Mr. Canning una nota á los'ministros de las potencias neutrales y amigas, comunicándoles que el Rei habia declarado á Copenhague y la Zelandia en estado de bloqueo el mas riguroso, i. Las tro</t>
  </si>
  <si>
    <t>Madrid 144</t>
  </si>
  <si>
    <t>*493 mensajero del Reí; y una hora déspues de medio día salid Mr. Shau cort despachos de Mr. Canning, que contenían (según dicen) la respuesta á la abertura y proposiciones de paz que el Emperador de Rusia y Bonaparte hacían al gobierno británico. Todavía no se ha traslucido en q</t>
  </si>
  <si>
    <t>Cannirig</t>
  </si>
  <si>
    <t>ra ha respondido á. la oferta dé la. mediación hecha por la Rusia. Dicha nota, que está firmada/por Mr. Cannirig, contiene^en sustancia, que S. M. británica Kabria aceptado con gustó la mediación de la Rusia, sí se le hubieran hecho saber las bases sobre qué .el. médtádoc esperaba restablece</t>
  </si>
  <si>
    <t>Cano Manuel, Antonio</t>
  </si>
  <si>
    <t>Antonio Cano Manuel</t>
  </si>
  <si>
    <t>egarán en el despacho de la imprenta real. AVISOS. Estándose siguiendo autos por el juzgado del Sr. D. Antonio Cano Manuel, alcalde de casa y corte, y escribanía de provincia que exerce D. Julián Alonso y Estrada, por D. Pedro Josef de Celayeta, presbítero, cura rector de Ja villa de Maya, reino de Na</t>
  </si>
  <si>
    <t>diarios, por 3 meses......................... ............................ .................. 552. D. Antonio Cano Manuel, alcalde de corte, en vales reales, por una vez..— ................ ........................ .......... ......... 9128 27. La real congregación del"ilustre cuerpo de Arquitectos d</t>
  </si>
  <si>
    <t>Cano, Antonio</t>
  </si>
  <si>
    <t>Antonio Cano</t>
  </si>
  <si>
    <t>de granaderos D. Juan Montoya y D. Francisco los Cobos; tenencias á los subtenientes de granaderos D. Antonio Cano , D. Rafael Gutiérrez Monge y D. Manuel de Ciria,y subtenencias de bandera á los cadetes Don Francisco Viguera y D. Antonio los Cobos: en el de Málaga compañía al teniente de gran</t>
  </si>
  <si>
    <t>Cano, Matías</t>
  </si>
  <si>
    <t>Matías Cano</t>
  </si>
  <si>
    <t>brisquieta, por id. á id., 62 rs. D. Manuel Vallejo, por agosto y setiembre á 15 rs. mensuales, 30. D. Matías Cano, empleado en la fábrica de aguardientes, por una vez 300 rs. D. Bernardo González Alvarez, por una vez 640 rs. D. Matías Brieva, por una vez 100 rs. D. Mateo Ortiz de la Iglesia,</t>
  </si>
  <si>
    <t>Cano, Pedro María</t>
  </si>
  <si>
    <t>Pedro María Cano</t>
  </si>
  <si>
    <t>.. . Málaga.....*... 300 1609 Sres. D. Nicolás de Sarachaga y compañía..... Bilbao....... . 300 933 D. Pedro María Cano................................... , Madrid JOO 776 Sres. Alba y Colomer................................... Madrid....... 300 2133 D. Francisco Aparicio...........................</t>
  </si>
  <si>
    <t>Cantarero, Francisco</t>
  </si>
  <si>
    <t>Francisco Cantarero</t>
  </si>
  <si>
    <t>0 id. id... 3oD. Joaquín de Vila, 40 id. id.................................................... 40. D. Francisco Cantarero, .20 id. id........................ ....................... 20. D. Manuel d^ la Peña y Padura, arquitecto, 120 id. por agosr 240. D. Josef Junco,.portero de S, M., 90 id. por agos</t>
  </si>
  <si>
    <t>Canteas y Pons, Ramón Antonio</t>
  </si>
  <si>
    <t>Ramón Antonio Canteas y Pons</t>
  </si>
  <si>
    <t>as en; 1 5-9,074 rs&gt; 1 mrs. Quien quisiere .hacer postura, lo executará ponía escribanía que exérce'D. Ramón Antonio Canteas y Pons, escribano real y del nú* mero de la ciudad de Solsona. ,'V Por providencia de D. Francisco Xavier de Aranguren y Urrutia, juez subdelegado en el departamento de Perineo, señorío</t>
  </si>
  <si>
    <t>Cantero, Joaquín Bernardo</t>
  </si>
  <si>
    <t>Joaquín Bernardo Cantero</t>
  </si>
  <si>
    <t>V 1 ' .7' G D. Ventura de la Peña.........5....... .........X............. ............. . . ■ '■ . D. Joaquín Bernardo Cantero , abogado’ d el co l eg i o.... ........... ......... .1.... . D. Antonio Martínez, de Tesorería mayor....... ........ ....j....... ............ I...................oí;: E^l conde</t>
  </si>
  <si>
    <t>Cantón, Juan Pedro</t>
  </si>
  <si>
    <t>Juan Pedro Cantón</t>
  </si>
  <si>
    <t>NAmeros Lotes * de las en acciones. Nombres de los interesados. Comisionados. Rs vn. 1998 D. Juan Pedro Cantón...... ................................ Zaragoza..... 5QOO 608 D. Santiago Neviet...........,................................. Madrid........ 1)00 270 D. Manuel y D. Mateo Martínez</t>
  </si>
  <si>
    <t>Capponi</t>
  </si>
  <si>
    <t>1 de agosto de 1808</t>
  </si>
  <si>
    <t>Madrid 104</t>
  </si>
  <si>
    <t>ya habia venido Mr. Omodeo, gefe de batallón, y ayudados uno y otro de las tropas que mandan y $Íe Mr. Capponi, subdelegado del gobierno, pondrán mui pronto esta isla en</t>
  </si>
  <si>
    <t>Cár, Archiduque</t>
  </si>
  <si>
    <t>Archiduque Cár</t>
  </si>
  <si>
    <t>27 de junio de 1808</t>
  </si>
  <si>
    <t>Madrid 69</t>
  </si>
  <si>
    <t>un regimiento de infantería,1 3.divisiones de granaderos y 2 de coraceros. S. M. iba acompañado del Archiduque Cár.lc-3,, de otros Archiduques y de los Príncipes Antonio y Alberto de Saxonia. El gran Duque de Vürtzburgo se halla desde el 22 de este mes en su hacienda en Bohemia. El Príncipe' J</t>
  </si>
  <si>
    <t>Cara, Juan</t>
  </si>
  <si>
    <t>Juan Cara</t>
  </si>
  <si>
    <t>al de 300 pesos de la creación de i.° de setiembre de 1807, núm, 5°°97'- el segundo endosó estaba a D. Juan Cara vallo y Vera, quien en 1 2 de noviembre lo endosó en Sevilla á D, Josef Sarríera y Quinquer. Quien supiere de su paradero, se servirá avisar a D. Josef Padros en esta corte , o en</t>
  </si>
  <si>
    <t>Caracol, Juan</t>
  </si>
  <si>
    <t>Juan Caracol</t>
  </si>
  <si>
    <t>la compañía de S. Fdiu de Guixols, compuesta de 50 hombres; y solo con ellos, el ayudante de orden D. Juan Caracol, y el ayudante del tercio del Vallés jD. Joseí Moran, volví á atacarles de noche, obligándoles á hacer fuga, y meterse en el lugar de Sant Andreu , donde permanecen. Hahiendo sali</t>
  </si>
  <si>
    <t>Caragol, Juan</t>
  </si>
  <si>
    <t>Juan Caragol</t>
  </si>
  <si>
    <t>lidad se ha portado con la mayor bizarría con la tropa de su mando; y habiéndose distinguido el Sr. D. Juan Caragol, le he nombrado mLayudante.’” Ayer recibió la junta de esta ciudad un oficio del general en gefe Duhesme, en qúe*le dice: ,,Que habiendo recibido de S. M. D. Josef&gt; Rei de España</t>
  </si>
  <si>
    <t>Caraso, Juan Antonio</t>
  </si>
  <si>
    <t>Juan Antonio Caraso</t>
  </si>
  <si>
    <t>....... 500 295- Fernando de Osorno.......... ............................ Málaga....... . 500 1735 D. Juan Antonio Caraso.................................... Cádiz......... 500 1002 D. Pascual f.e de Ardanaz............................ . Bilbao....... . 3 00 1950 D. Josef María Jalor.................</t>
  </si>
  <si>
    <t>Carbonell, Ventura</t>
  </si>
  <si>
    <t>Ventura Carbonell</t>
  </si>
  <si>
    <t>n Basilio Viola, D. Julián Viola , D. Juan Viola, D. Mauricio Xaplaneta, D. Pedro Nicolás Ximenez , D. Ventura Carbonell , D. Félix Victoriano Gómez, D. Juan Godoi, D. Juan Jorge, D. Juan Vicente Vandeli, Don Andrés Alvarez de Toledo, D. Manuel Gestal y Castro, D. Matías Cámara: á los tenientes del</t>
  </si>
  <si>
    <t>Carbonero, Luis</t>
  </si>
  <si>
    <t>Luis Carbonero</t>
  </si>
  <si>
    <t>lmente....................................................... ....... ....................... 1 ao. D. Luis Carbonero, por agosto á 15 rs. mensuales......,............. 15. D. Sebastian López Olivares, mensualmente................................ 20. D. Francisco Ramos, mensualmente..............</t>
  </si>
  <si>
    <t>CarD</t>
  </si>
  <si>
    <t>osef de Vil- la corona de España, firmados en Francia por ches. los señores Reyes D. Fernando vii y D. CarD. Manuel de Lardizabal. los ív, los dados á su consecuencia por esté D. Antonio Villanueva. Monarca, por el Emperador de los franceses D. B;¿retardo Riega. y por su hermano Josef,</t>
  </si>
  <si>
    <t>Cáríos Tictet</t>
  </si>
  <si>
    <t>r general de los establecimientos de, instrucción pública en Francia, llegó á Berna en compañía^ 4é Mr. Cáríos Tictet,t sugeto bien conocido por sus vastos conocimientos en la á¿ticultura. Traían comisión deí ministro de lo Interior del imperio francés para-ver y examinar el establecimiento forma</t>
  </si>
  <si>
    <t>Cariota de Baviera, Princesa</t>
  </si>
  <si>
    <t>Princesa Cariota de Baviera</t>
  </si>
  <si>
    <t>6j8 Stuttgafdjt, de donde lia p#rtídp:sin detenerse a Munich. El casamiento de S. A. con ¡a Princesa Cariota de Baviera se efectuará el día 8 de( próximo mes de julio. í ; El difunto cardenal arzobispo de París ha dispuesto en su testamento que después de muerto no se le separe de su clero , y que</t>
  </si>
  <si>
    <t>Cárlcs de Reding</t>
  </si>
  <si>
    <t>e promovido á teniente general el mariscal de campo D. Pedro Rodríguez de la Buria; y á brigadieres D. Cárlcs de Reding , marques de Casa-Palacio, y D. Carlos de rreux, coroneles el 1* y 3.° de los regimientos suizos de sus apellidos, y el 2.0 del de voluntarios de estado: y en 27 siguiente lo fue</t>
  </si>
  <si>
    <t>Carlos María</t>
  </si>
  <si>
    <t>de Calvo, frente al pasadizo de la fonda d* la calle de Atocha. r Verdadero retrato del Sermo. Sr, D. Carlos María, Infante de España,. dibuxado por D. Antonio Carnicero, y grabado por D. Juan Bruneti. Se hallará,.con el. de S. M. el Sr. D. Fernando vii, de igual tamaño, iluminados, en la libr</t>
  </si>
  <si>
    <t>Carlos, Archiduque</t>
  </si>
  <si>
    <t>Archiduque Carlos</t>
  </si>
  <si>
    <t>o de ocupar y morir en -el trono de mis antepasados.irrLuis. Se asegura por cartas de Genova que el Archiduque Carlos marcha á {calía al irente de 200'A hombres: el Austria decíara. la..guerra, al Emperador de Jos franceses por sus inicuaspretensiones á la corona de España, de que es heredera</t>
  </si>
  <si>
    <t>artas de Madrid anuncian la paz *de la Rusia .con la Suecia y la Puerta otomana, y una invasión del Archiduque Carlos en la Baviera. Las mismas dic¿n que</t>
  </si>
  <si>
    <t>20 de julio de 1808</t>
  </si>
  <si>
    <t>Sevilla 15</t>
  </si>
  <si>
    <t>familia responsable de los Barbees, declarando, que si atenta contra sus vidas, elegirán por Rey al Archiduque Carlos; y finalmente defluncran como traydores á los que tomen parte en las tramas de Bayona.^ Por carta recibida de Murcia por uno de dos diputado* Españoles se sabe, que en dicha ciuda</t>
  </si>
  <si>
    <t>Carlota Barric</t>
  </si>
  <si>
    <t>Anexo, p. 17</t>
  </si>
  <si>
    <t>diz.......... 300 ,2444 .P&lt; Pedro Miguej de Goycoechea.................... Zaragoza..... 300 &lt;. 403 Doña Carlota Barric.......................................... Coruña....... 600 224 D. Vicente Gómez y Frías............................. Alicante...... 600 .1421 Matías y Juan Koops.................</t>
  </si>
  <si>
    <t>Carlota de Baviera, Princesa</t>
  </si>
  <si>
    <t>Princesa Carlota de Baviera</t>
  </si>
  <si>
    <t>guerra. ‘ Se asegura que está ya ajustado el casamiento del Príncipe heredero de Vurtemberg con la Princesa Carlota de Baviera, y que el conde de Gü&gt;er</t>
  </si>
  <si>
    <t>Carlota, Princesa</t>
  </si>
  <si>
    <t>Princesa Carlota</t>
  </si>
  <si>
    <t>á de, pasar,, según asegu-1 raban, á.Pari’sr ]"0' Ad iy:' 'A .'v ':*A Algunos diários. dicen que la Princesa Carlota dé. Baviéra casará con nuestro Príncipe heredero, y uña de íás hermariás deí Emperador de Ru-* sia con el Príncipe Real de BaVierá. / ¿ O J ’:í ! r¿ La guarnición francesa de Braunai</t>
  </si>
  <si>
    <t>23 de junio de 1808</t>
  </si>
  <si>
    <t>Madrid 65</t>
  </si>
  <si>
    <t>y las mugeres de los empleados públicos y otras señoras se presentaron igualmente á la Reina y á la Princesa Carlota; ? : El buen tiempo que hace ha proporcionado al Rei y á los -Principes los medios de -recorrer estas inmediaciones, y de ¿gozar de los sitios pintoresco» que hai en ellos. Anteay</t>
  </si>
  <si>
    <t>Carmelet, Francisco</t>
  </si>
  <si>
    <t>Francisco Carmelet</t>
  </si>
  <si>
    <t>tes del regimiento de Irlanda D. Juan Monet y D. Josef Moreno, con ei subteniente del mismo cuerpo -D. Francisco Carmelet, lo haa sido también el dia 19 del corriente....... .... En el mismo dia 19 fueron muertos eri la acción el coronel del regimiento de Jaén, de línea, D. Antonio Moya,-y su ayudant</t>
  </si>
  <si>
    <t>Carmelo Gil</t>
  </si>
  <si>
    <t>d....... 300 181 D. Joaquin Costa........... .............................. Alicante...... 500 *333 D. Carmelo Gil........................................... . Valencia..... 3OO 540 D. Esteban Fernandez de León.................. Madrid....... : 5 00 1716 Lie. D. Josef María de Castro..........</t>
  </si>
  <si>
    <t>Carmona, Manuel Salvador</t>
  </si>
  <si>
    <t>Manuel Salvador Carmona</t>
  </si>
  <si>
    <t>. Damian Lorenzo, id........................ ;.............. .................................. 40. D. Manuel Salvador Carmona, grabador de cámara de S. M., en vales reales id............................... ................... .......................... 2324. D. Antonio Xavier de Herrera, en intereses de</t>
  </si>
  <si>
    <t>Carnicero, Antonio</t>
  </si>
  <si>
    <t>Antonio Carnicero</t>
  </si>
  <si>
    <t>lle de Atocha. r Verdadero retrato del Sermo. Sr, D. Carlos María, Infante de España,. dibuxado por D. Antonio Carnicero, y grabado por D. Juan Bruneti. Se hallará,.con el. de S. M. el Sr. D. Fernando vii, de igual tamaño, iluminados, en la librería de Esparza, puerta del Sol, á &gt;20 rs. r MUSICA. Ca</t>
  </si>
  <si>
    <t>Carnicero, Juan</t>
  </si>
  <si>
    <t>Juan Carnicero</t>
  </si>
  <si>
    <t>, por una vez.......,»»,,.».»..,.»»........ ....,».............. ,......í».....»v....í»..í.»-» 300. D. Juan Carnicero,-confitero, por una vez....................... ...... .. 200* Doña Rosa Lemí y Betarini, viuda, por una vez......».....»»..... 240* D. Rodrigo Zorrilla y Monroy, consejero de Haci</t>
  </si>
  <si>
    <t>Carnicero, Manuel</t>
  </si>
  <si>
    <t>Manuel Carnicero</t>
  </si>
  <si>
    <t>Números lores tic lsts en acciones. Nombres de los interesados. Comisíonadcs. Rs. vn. 533 D. Manuel Carnicero......................................... Madrid....... 500 780 D. Lorenzo Gómez de Acedo........................... Madrid....... 600 573 D. Manuel de Barajas.....................</t>
  </si>
  <si>
    <t>Carnicero, Martín</t>
  </si>
  <si>
    <t>Martín Carnicero</t>
  </si>
  <si>
    <t>..... 160. Doña M. R. M........... ........................................ ................ , 300. D. Martin Carnicero en un recibo de intereses de dos vales de setiembre de la renovación de este año..... 180... 17. D. D. G. F................................................................ .........</t>
  </si>
  <si>
    <t>Cárnico, Fernando</t>
  </si>
  <si>
    <t>Fernando Cárnico</t>
  </si>
  <si>
    <t>oña María Gertrudis Tamayo 2400 Agustina Pinillos 8, , en efectos de estado. Facundo Méndez 21. . . D. Fernando Cárnico 300. D. Josef Bonilla 160. r d: f. m. 75. D. Josef Viñas 20. . D. M. F. 30. D. Manuel de Roxas 80. ' D. Pedro Barbería 200. D. Juan Gil de Arana 60, . * D.; £.; B. 1$. I D ña Just</t>
  </si>
  <si>
    <t>Caro, Francisco Xavier</t>
  </si>
  <si>
    <t>Francisco Xavier Caro</t>
  </si>
  <si>
    <t>isión, son : el Sr. D. Tomis Veri,, para Catalufía.=Ei Sr. D. Francisco PaíáFox, Áragon.z^Los Sres. D. Francisco Xavier Caro, y D. Manuel María Avalle, Asturias y Galicia.— El Sr. Barón de Sabasoná, Valencia.a=ÉÍ Sr. Marques de ¿ampo-sagrado, Granada, Córdoba y Jaen.=:Él Sr. Marques de la Puebla, Sevill</t>
  </si>
  <si>
    <t>Caro, Ventura</t>
  </si>
  <si>
    <t>Ventura Caro</t>
  </si>
  <si>
    <t>9 de mayo último falleció, á los 71 años de edad, en la ciudad de Valencia su patria, el Excmo. Sr. D. Ventura Caro , caballero gran cruz de la real y distinguida orden de Carlos m, gentilhombre de cámara de S. M. con exercicio, y capitán general de los reales exércitos----- Comenzó su carrera</t>
  </si>
  <si>
    <t>Carrácero, Manuel</t>
  </si>
  <si>
    <t>Manuel Carrácero</t>
  </si>
  <si>
    <t>............. .................... . i*u. Doña María Laguna dé Várgas, id........;............ 120. D. Manuel Carrácero¿ empleado en Correos, por id. á 20 id.... 20. D. Matías Zapater-, del comercio,* por 2 meses á ‘4o id.......¿.... '80. D. Mariano González ,*por agosto-á 20 rsi id‘..*.u..v..sí.)i</t>
  </si>
  <si>
    <t>Carralon, Manuel</t>
  </si>
  <si>
    <t>Manuel Carralon</t>
  </si>
  <si>
    <t>.................. 200. mud Antonio de Acero, 6 id. por agosto.................. ............... 6. D. Manuel Carralon , 15 id. por 4 meses................60. D. Miguel de*Lauda, oficial del archivo general de Rentas, 45</t>
  </si>
  <si>
    <t>Carranzo, Estéban</t>
  </si>
  <si>
    <t>Estéban Carranzo</t>
  </si>
  <si>
    <t>ierto de plata. D. Santiago Palacios, 1© rs. anuales......................................... 1000. D. Estéban Carranzo, 20 rs. mensuales,por 2 meses................ 40. D. Domingo González de Santa Marta,io id.id......................... 20. D. Carlos Muñoz, 60 id. por un mes......................</t>
  </si>
  <si>
    <t>Carrasco, Juan Vicente</t>
  </si>
  <si>
    <t>Juan Vicente Carrasco</t>
  </si>
  <si>
    <t>íd,/traducido al francés por Dumas.y Petit-Darson, y dfe este al castellano por Juan Vicente Carrasco , médico de los reales hospitales General y Pasión de esta corte. La frecuencia con que de algún tiempo á esta parte se han visto reinar en las ciudades mas populosas de España, y señalada</t>
  </si>
  <si>
    <t>Carrascon, Matías</t>
  </si>
  <si>
    <t>Matías Carrascon</t>
  </si>
  <si>
    <t>ientos del propio real cuerpo D. Josef Soler y D. Antonio del Barrio para las compañías de Almería; D. Matías Carrascon para la de S. Sebastian, y D. Juan García para la de Ceuta. ^E1 Reí se ha servido conferir el empleo de teniente dé Rei de la plaza de Gerona al coronel D. Juan Bolívar, capitán d</t>
  </si>
  <si>
    <t>Carrasquilla, Gerónimo</t>
  </si>
  <si>
    <t>Gerónimo Carrasquilla</t>
  </si>
  <si>
    <t>e -granaderos al de -fu-sileros EX.-Juan- -de Dios del Gordo, y á subteniente ¡de-bandera al cadete D. Gerónimo Carrasquilla:- en;el batallón Jixo'de Panamá á. sargento, mayor, al. capitán de,granaderos , graduado de teniente coronel, D. Juan Aldrete; á esta resulta al de fusileros D. Pedro Santaná ;á,</t>
  </si>
  <si>
    <t>Carreño y Atienza, Francisco Xavier</t>
  </si>
  <si>
    <t>Francisco Xavier Carreño y Atienza</t>
  </si>
  <si>
    <t>de aritmética y paleografía á 0. Manuel Montesinos y Otomendi; y el áz gramática y bellas letras á D. Francisco Xavier Carreño y Atienza, como sobresalientes en los puntos señalados para su consecución,. y se les entregaron las correspondientes certificaciones de honor y medallas de plata ofrecidas por un caballero</t>
  </si>
  <si>
    <t>Carreño, Francisco</t>
  </si>
  <si>
    <t>Francisco Carreño</t>
  </si>
  <si>
    <t>do de S. Nicolás. D. Agustín Michel, diputado de la Huerta del Bayo. D. Andrés Grande, diputado id. D. Francisco Carreño , alcalde del &gt; barrio del Amor de Dios. D. Luis Gii Fernandez , del del Hospital general. ) D. Francisco Josef Ofer, diputado del Amor de Dios. D. Francisco Perez de las Muelas,</t>
  </si>
  <si>
    <t>Carrer y Mas, Pablo</t>
  </si>
  <si>
    <t>Pablo Carrer y Mas</t>
  </si>
  <si>
    <t>Rs. vn. 193 2 D. Antonio Martínez.......................................... Zaragoza..... 3000 ii85 D. Pablo Carrer y Mas..................................... Barcelona.... 600 1042 D. Manuel de Goycoechea................................ Madrid........ 500 848 D. Domingo González.....................</t>
  </si>
  <si>
    <t>Carrera, Francisco</t>
  </si>
  <si>
    <t>Francisco Carrera</t>
  </si>
  <si>
    <t>á la salida de calle Genova en casa de los Sres. Berard, y á la entrada de la misma calle en la de D. Francisco Carrera: los ¡dias siguientes se venderá en la imprenta de Hidalgo. La subscripción en lo succesivo para dentro de la Ciudad será á 24. rls* por quatrhnestre , y para fuera, á. .36. rls*</t>
  </si>
  <si>
    <t>Carrera, Juan Bautista</t>
  </si>
  <si>
    <t>Juan Bautista Carrera</t>
  </si>
  <si>
    <t>.... Zaragoza..... 300 1757 Doña María Martina de Herrea y Ripa.......... Cádiz........... 300 1340 D. Juan Bautista Carrera................................... Valencia..... 1000 470 D. Miguel de Laca................................. ............. Bilbao.......... 1)03 1523 D. Pedro Josef de Manzanal...</t>
  </si>
  <si>
    <t>Madrid........ 500. 2243 Sres. Gandasegui, hijos y compañía............... Bilbao......... 300 1321 D. Juan Bautista Carrera................... ............ Valencia..... 3°° 485 D. Domingo María de Laviesca....... ....... . Bilbao......... 1000 2001 D. Santiago Caharroy...... ...... ............. .....</t>
  </si>
  <si>
    <t>Carrera, Julián Rafael</t>
  </si>
  <si>
    <t>Julián Rafael Carrera</t>
  </si>
  <si>
    <t>de Estado, en recibos de intereses de vales ei importe de 2 mesadas, id.................... 11600. D. Julián Rafael Carrera, ea 2 recibos de réditos del real Empréstito y pico, id........... .............................. ........................ ........ 460. D. Alfonso Cortes, id.....................</t>
  </si>
  <si>
    <t>Carretero, Manuel</t>
  </si>
  <si>
    <t>Manuel Carretero</t>
  </si>
  <si>
    <t>adrid....... 500 1211 D. Juan Josef Villodas Bilbao....... ................ Bilbao»....... 300 1470 D. Manuel Carretero................. -.............. ....... &gt; Málaga........ IOOO 2429 D. Pedro Matamoros y Pacheco...... ............. Cádiz........... 500 236) Doña Josefa Vivanco.................</t>
  </si>
  <si>
    <t>isca ds••*•••*•»•♦• ¡ S ilbao o 5po 603 D. Mateo Agüero Marcos........... . hladrid....... 300 1455 D. Manuel Carretero.................................. 3o® 1832 D. Francisco de. Toledo. 300 2166 D. Josef Antonio de Ap.eri.bayt t dP® 1853 D. LopejMaría Romillo,..............., Zaragoza...f. ; 3°P</t>
  </si>
  <si>
    <t>Carrillo, Francisco</t>
  </si>
  <si>
    <t>Francisco Carrillo</t>
  </si>
  <si>
    <t>iria y Don Pascual Canut, en Hamburgo: nombrados por el regimiento para el citado convite. Teniente D. Francisco Carrillo; subtenientes D. Josef Alvarez Nava y Don Ramón Corrales, en id.: con la guardia de honor del príncipe de Pontecorvo. Teniente D. Josef de Prada, en id.: enfermo. Subteniente'de g</t>
  </si>
  <si>
    <t>Carrion y Manso, Joaquín</t>
  </si>
  <si>
    <t>Joaquín Carrion y Manso</t>
  </si>
  <si>
    <t>po Gil. Asimismo se ha dignado S. M. conceder plaza de oidor de la audiencia de Sta. Fe de Bogotá a D. Joaquín Carrion y Manso, abogado de los rea-, les consejos; y para el empleo de teniente de gobernador auditor de guerra y asesor del gobierno é intendencia dé Mérida de Yucatán á D. Juan Josef . Flores</t>
  </si>
  <si>
    <t>Carrion, Pedro</t>
  </si>
  <si>
    <t>Pedro Carrion</t>
  </si>
  <si>
    <t>Sevilla 6 (extraord.)</t>
  </si>
  <si>
    <t>PDF p. 3</t>
  </si>
  <si>
    <t>sobre todo , oyendo la voz de la Patria que los llamaba en su defensa, reunida en casa del Ayudante D. Pedro Carrion, y habiendo reconocido el documento de comisión del Sr. Vargas, resolvió en el momento y sin bacilar, marchar á España a toda costa. Se mandó tocar á la orden , se tomó la bandera</t>
  </si>
  <si>
    <t>Carrol</t>
  </si>
  <si>
    <t>Madrid 88</t>
  </si>
  <si>
    <t>igo de S. Sulpicío. Celebróse después un sínodo, en que se resolvió pedir al Papa un coadjutor para Mr. Carrol, proponiéndole á Mr. Leonardo Neale, jesuíta; y habiendo sido confirmado por el Papa, fue consagrado con el título de obispo de Gor* tina. El arribo de muchos eclesiásticos france</t>
  </si>
  <si>
    <t>Carta, Diego</t>
  </si>
  <si>
    <t>Diego Carta</t>
  </si>
  <si>
    <t>dante D. Manuel dé Goya , ambos graduados de Capitán'; ayudantía al teniente , graduado de capitán, D. Diego Carta; tenencias á los subtenientes dé granaderos f). Roque y D. Antonio Almunia , y subtenencias de bandera al sargento' primero O. Manuel Ruiz, y al cadete D. Benito Llórente y Ferraz</t>
  </si>
  <si>
    <t>Cás, Esteban</t>
  </si>
  <si>
    <t>Esteban Cás</t>
  </si>
  <si>
    <t>ano de cámara de lá Sala, 500 rs. por una vez, y 2*4,0 rs. por 4.’^neses i &amp; crt c^a uno...... 740. D. Esteban Cás^bon^ yr £&gt;. Antonio,Flqreüsá jf'Náda'! «*&lt;&gt; njercio , á 1 oo rs‘. mensuales por agestó:.... ............... IOO. D. Manuel’Mii^ndez, platero dé oró , póif '¿ígost6 á. 6 rs. mensua</t>
  </si>
  <si>
    <t>Casado, Ignacio AlexandrO</t>
  </si>
  <si>
    <t>Ignacio AlexandrO Casado</t>
  </si>
  <si>
    <t>: P&lt; FraHci^cphporti t lbo. Doña Angela Reclopdo, sirvienta, jé* D. Antonio fíenriquezRoldan 80 rs. D. Ignacio AlexandrO Casado “tío... en metáljcp y,90 rs. 8f mrs. en D. Antonio Abella 361 rs. en efectos .^qtqsjde estado. ^ ■&lt; y- de estado.' " "¿V,.. D. Manuel Gutiérrez de Rozps 30Q. Doña Francisca Pueyo</t>
  </si>
  <si>
    <t>Casado, Juan</t>
  </si>
  <si>
    <t>Juan Casado</t>
  </si>
  <si>
    <t>cuerpo: en el de. cazadores voluntarios de España compañías á los ayudantes, graduados de capitán, D. Juan Casado y D. Juan de Vergara , y empleo de teniente al alférez D. Josef Valdes; y en el de cazadores de Olivencia ayudantía ai capitán D. Josef Barrera, teniente del mismo cuerpo. En América.</t>
  </si>
  <si>
    <t>Casado, Sebastián</t>
  </si>
  <si>
    <t>Sebastián Casado</t>
  </si>
  <si>
    <t>1$. I D ña Justa Rutina de la Puente 20¿ D. Manuel Olivares 100. Doña Margarita Cabrero 10. . . .i D. Sebastian Casado 20. D. Francisco Ximenez Panlagua 40i D. Antonio Gay oso 10. D. M. F. A. 40, í D.. Antonio y D, Josef Zayas 100. Doña María «Carrascal 8q. 1, ; Doña María García 30. D. Josef Teod</t>
  </si>
  <si>
    <t>Casáju, Vicente</t>
  </si>
  <si>
    <t>Vicente Casáju</t>
  </si>
  <si>
    <t>Zaragoza..... 500 2086 D. Francisco Arráfañy Múñóz.l.......... i......... Cádiz........... 300 1995 D. Vicente Casáju». ..i.........;...:..................... Zaragoza..... 300 1787 D. Rafael Patero........ ......................................... Cádiz.......... 500 2412 D. Henrique Sd Hilaire.</t>
  </si>
  <si>
    <t>Casajus, Vicente</t>
  </si>
  <si>
    <t>Vicente Casajus</t>
  </si>
  <si>
    <t>combate^ Esta Suprema Junta ha nombrado sus Secretarios con destino al ramo de Hacienda á los Sres. D. Vicente Casajus, Secretario de esta Intendencia, y D. Ventura Ruia Huidobro , Escribano mayor de este Ayuntamiento. Con superior permiso. EN LA IMPRENTA DE LA VIUDA DE HIDALGO Y SOBRINO.</t>
  </si>
  <si>
    <t>Cásamayor, Pedro</t>
  </si>
  <si>
    <t>Pedro Cásamayor</t>
  </si>
  <si>
    <t>............... Málaga 300 2?✓ 2 D. Juan de Urruchi-...... ....................... BurgoSi 500 2063 D. Pedro Cásamayor. .................. Cádiz.. i :3'00 *32 9 D. Juaíi Blot.................................... Valencia...., ••'•«i •300 2362 D: Joaquín Escudero. ........................... Zaragoz</t>
  </si>
  <si>
    <t>Casaña, Luis</t>
  </si>
  <si>
    <t>Luis Casaña</t>
  </si>
  <si>
    <t>rid....... 300 2133 D. Francisco Aparicio................................... Zaragoza..... 1500 4i7 D. Luis Casaña............................................... Santander.... ÓOO 7* D. Joaquin de Urrutia................. ................ , Barcelona.... 3OÓ 1768 D. Guillermo Leonardo.........</t>
  </si>
  <si>
    <t>Casanova, Tomás</t>
  </si>
  <si>
    <t>Tomás Casanova</t>
  </si>
  <si>
    <t>Romillo,..............., Zaragoza...f. ; 3°P 2187 D. Juan Antonio Várela, Corufía. QOO .... v 1948 D. Tomas Casanova, alcalde de casa y cor te- Zaragoza..... IOOO 810 Doña María Juliana de Lapuente y Vargas... Madrid... IOOO 1730 D, Julián Negrete...................................i....... . Cád</t>
  </si>
  <si>
    <t>regidor D. Julián Fuentes, S. Justo, Sta. Cruz y la Panadería. Quartel de S. Francisco. El alcalde D. Tomas Casanova hará la de los barrios de S. Andrés , Humilladero y la Latina. El regidor D. Ramón Vitoria, la de los de la puerta de Toledo, San Francisco y las Vistillas. Quartel de S. Isidro.</t>
  </si>
  <si>
    <t>Casanovas, Juan</t>
  </si>
  <si>
    <t>Juan Casanovas</t>
  </si>
  <si>
    <t>........ 300 J077 D. Joaquín Ibañez......................................... . Madrid....... 300 37 D. Juan Casanovas................ ........... ........... ...... Barcelona.... 600 2303 D. Vicente DufFoo.......... .................................. Cádiz........... 300 761 D. Tomas García Priet</t>
  </si>
  <si>
    <t>Casariego Villaanill, Ramón</t>
  </si>
  <si>
    <t>Ramón Casariego Villaanill</t>
  </si>
  <si>
    <t>..... 300 2209 -D* Antonio Mayone............................. ............ Coruña........ 600 2174 D. Ramón Casariego Villaanill........................ Coruña....... 500</t>
  </si>
  <si>
    <t>Casas, Miguel</t>
  </si>
  <si>
    <t>Miguel Casas</t>
  </si>
  <si>
    <t>la cámata » por agosto á 100 rs. mensuales.......... ......................................... 100. D. Miguel Casas,, oficial de la sala, por 2 meses á 20 rs. en cada uno...,...... ....... . ................... ..................... .................. ¡ 40. D. Antonio Cadenas, mensualmente.¿...</t>
  </si>
  <si>
    <t>Casaus, Juan</t>
  </si>
  <si>
    <t>Juan Casaus</t>
  </si>
  <si>
    <t>Don Julián González Saez, AVISOS. El dia 24 de marzo último se entregó en la ciudad de Zaragoza por D. Juan Casaus, oficial de aquella contaduría de exército, á Luis Andrea, ordinario de Castejon de las Armas, partido de Calatayud, para D. Indalecio Poiiao, vecino de esta dicha villa, un paque</t>
  </si>
  <si>
    <t>ncia..... 600 1003 Doña Josefa Susana Seropp................................ Madrid....... 500 1953 D. Juan Casaus..................................................... Zaragoza..... v 500 489 D. Juan Antonio de Landesa............................. Bilbao.......... 500 1312 D. Agustín de Ubeda,</t>
  </si>
  <si>
    <t>Casaviella, Agustín</t>
  </si>
  <si>
    <t>Agustín Casaviella</t>
  </si>
  <si>
    <t>e la administración general de rentas de.esta provincia, por agosto á 60 rs. mensuales......... 60. D. Agustín Casaviella, oficial de la real negociación del giro, á 6 rs. diarios , por agosto...................... ............... ........ ................ 186. D. Tomas Gerónimo Barreda, contador gen</t>
  </si>
  <si>
    <t>Casiano de Yanguas</t>
  </si>
  <si>
    <t>, por una yez...uf......... 000. D. Andrés León Vázquez, á cuenta de 720 rs. por una vez...... i8ó. D. Casiano de Yanguas, corredor de número de la real aduana, 3® rs. por una vez, y 368 rs. por 3 meses á 4 rs. diarios..... 33 68. D. Luis de Sojo, dependiente del comercio, por una vez.......... 1*600</t>
  </si>
  <si>
    <t>Casilda Mollinedoy Grijalba</t>
  </si>
  <si>
    <t>de Canillas, 24; :i • D. Damián de Isási una. r D. Juan Pie 4. * ‘ D. Ped ro Morerio1 Lombardo ti? Doña Casilda Mollinedoy Grijalba 2 D. N. 28 capotes de paño nuevos. y un pantalón. D. Joaquín Manrique 3 camisas. Doña N. N. una camisa. D. L. D. A. 3 , 2 pares de calcetas / Dos señoras hermanas viudas 2. ¡ un p</t>
  </si>
  <si>
    <t>Casimiro Antón Monten</t>
  </si>
  <si>
    <t>.. 300 1090 D. Pedro del Rio............................ ................... Madrid........ 2CO 771 D. Casimiro Antón Monten.............................. Madrid..... . 3°° 2015 Doña María Magdalena Sánchez.................... Cádiz........... 300 2071 D. Juan de Aguiiar.................................</t>
  </si>
  <si>
    <t>Casimiro Antonio Goinez</t>
  </si>
  <si>
    <t>nsejo de Castilla,de 12 a una de su mañana. Quien quisier re hacer postura.acuda á la escribanía de D. Casimiro Antonio Goinez. AVISOS. Para el segundo remate en esta corte de los frutos y rentas de la encomienda de Biedma, orden de Santiago, que se arriendan por 3 años, contados desde 7 de noviembre últi</t>
  </si>
  <si>
    <t>Casimiro Antonio Gómez</t>
  </si>
  <si>
    <t>6 de agosto de 1808</t>
  </si>
  <si>
    <t>Madrid 109</t>
  </si>
  <si>
    <t>nte el Sr. D. León de Sagasta , teniente corregidor de esta villa ? por la escribanía del número de D. Casimiro Antonio Gómez; adviniéndose se ha señalado el 17 del presente para su remate. Se vende una escopeta bien tratada, su autor Antonio de San Martin, con llave y guardamonte de Antonio Navarro, de</t>
  </si>
  <si>
    <t>, un vale de 150 / v pesos por una vez.................................................. . 2346 28. D. Casimiro Antonio Gómez, escribano del número, á cuenta * de 2400 rs. por una vez................ ......................... *........ 8po¿ IX Manuel de Torres, maestro carpintero, por tina vez,...... 60.</t>
  </si>
  <si>
    <t>Casimiro Bonavia</t>
  </si>
  <si>
    <t>. . 8. Gregorio Moreno , id..................... ............................ .................. 8, D. Casimiro Bonavia, consergedel reai palacio de Aranjuez, en una boleta de su mesada de agosto, id........... ........................ 458 II. El general de la religión de S. Juan de Dios, en intere</t>
  </si>
  <si>
    <t>Casimiro Flores Canseco</t>
  </si>
  <si>
    <t>sto á 6o rs. mensuales........... ............................................................. 6o. D. Casimiro Flores Canseco, ídem, á 6o rs. cada mes........ . 6o* D. Adriano Fernandez, portero del gabinete de máquinas, por agosto á 40 rs. cada mes........................................................</t>
  </si>
  <si>
    <t>Casimiro Gómez Ortega</t>
  </si>
  <si>
    <t>00. D. Josef Fernandez, id...... ......... ............. ................. .................... 30. D. Casimiro Gómez Ortega, en intereses de vales reales, id..... 1263 17. D. Antonio Valoneen intereses de 1800, id................................ .90.2 17. La Sra. Doña María de Cuenca, en acciones,rid..</t>
  </si>
  <si>
    <t>Casimiro Izquierdo</t>
  </si>
  <si>
    <t>Fondo vitalicio, id.......... ..................... ............................. ......... . 4joo. D. Casimiro Izquierdo, fiel dei abasto de carnes, id 500. D. Rafael Sánchez de Aguilera, librero, id............. . 60. Eugenio Sanz, maestro vidriero, id............................ 100. D. J. A. V. y</t>
  </si>
  <si>
    <t>Casimiro Loy</t>
  </si>
  <si>
    <t>l tercer batallón del de Ultonia : llevaban la vanguardia los húsares al mando de su sargento mayor D. Casimiro Loy, y cubrían la retaguardia 1 ó o hombres del escuadrón ligero dé Cataluña , al-í ¡mandó de su capitán Don Ramón Armenta. " Asegurado el general Caldagués de hallarse los enemigos e</t>
  </si>
  <si>
    <t>s militares. De nuestra parte tuvimos 8 muertos, 38 heridos, inclusos, el sargento mayor de húsares D. Casimiro Loy, y el cadete de Soria D. Martin Hormaechea, y 12 extraviados; 10 caballos muertos y 11 heridos. N v Encarece por igual el general Caldagués el valor y entusiasmo de toda la oficia</t>
  </si>
  <si>
    <t>Casimiro Navarro</t>
  </si>
  <si>
    <t>pez 2. Dia D. Simón de Antepara Luceta, vecino de Alcalá de Henares, 240 pares de calcetas. Dia ro. D. Casimiro Navarro, en nombre de sus hijas, 13 camisas. D. Antonio Lezaica, maestro de sombrerero, 200 sombreros redondos armados. D. Miguel Quesada 20 pares de zapatos. Doña Antonia Millano D* Pedr</t>
  </si>
  <si>
    <t>Casou, Juan</t>
  </si>
  <si>
    <t>Juan Casou</t>
  </si>
  <si>
    <t>ada en la real aduana, y en las provincias á los comisionados siguientes: ^ En Alicante............ D. Juan Casou y compañía. En Avila............... . D. Josef Piqueras Gómez. •' En Badajoz........... D. Francisco Fernandez de la Peña y San Miguel* En Barcelona...... . D. Ramón de Llordella é</t>
  </si>
  <si>
    <t>Madrid 102</t>
  </si>
  <si>
    <t>93° En Albacete,........ D. Mariano Melgosa. En Alicante.......... D. Juan Casou y compañía. En Avila............... D. Josef Piqueras Gómez. En Badajoz.......... D. Francisco Fernandez de la Peña y de San Miguel* En Barcelona....... Sres. D. Ramón de Llordella</t>
  </si>
  <si>
    <t>tuada en la real aduana, y en las provincias á los comisionados siguientes: ' En Alicante.......... D. Juan Casou y compañía. En Avila........ ...... D. Josef Piqueras Gómez. En Badajoz......... D. Francisco Fernandez de la Peña y San Miguel* En Barcelona...... . D. Ramón de Llordella é hijo ,</t>
  </si>
  <si>
    <t>Casou, Pedro</t>
  </si>
  <si>
    <t>Pedro Casou</t>
  </si>
  <si>
    <t>OO 2004 D. JosefUrquiaga..........................i........ Cádiz..................... *... 300 196 D. Pedro Casou............................Alicante................................. 300 926 D. Diego de Barrera......• Mardíid..-..*.-.. 300 2093 D. Santiago de"l-»atorre...............*.«.««.«G</t>
  </si>
  <si>
    <t>Casset, Miguel</t>
  </si>
  <si>
    <t>Miguel Casset</t>
  </si>
  <si>
    <t>para otra capellanía, vacante en. la parroquia de Sta. María del Mar de Barcelona por promoción de D. Miguel Casset á un beneficio de aquella catedral: á D. Josef Llinas para una ración de coro y altar de Ja catedral de Ibiza, vacante por muerte de D. Juan Calvet; y á D, Martin Laencuentra para</t>
  </si>
  <si>
    <t>Cassola, Bernardo</t>
  </si>
  <si>
    <t>Bernardo Cassola</t>
  </si>
  <si>
    <t>Sevilla 40</t>
  </si>
  <si>
    <t>iempos de, ilusión y miedo pasaran ^ v tu p &gt;d=*’' tiránico serí destruido. í&gt;. Bernardo Cassola, vecino de Ellin ^ en él rey no de Mu reía , remitió 4 vales reales de á 150 pe¿QS, creación de 1. 0 de Enero, á D, Juan Isnardo , vecino eje Morata\la\ y no habiendo llegado á sus manos</t>
  </si>
  <si>
    <t>Cassou, Pedro</t>
  </si>
  <si>
    <t>Pedro Cassou</t>
  </si>
  <si>
    <t>.600 564 D. Josef Nieto.................................. ............ . ... Madrid....... 1000 197 D. Pedro Cassou................................... ........ ... Alicante..... 300 5&amp;2 D. Marcelo de Áyenza...... . ... Madrid........ 300 3^1 D. Angel Ximenez de Diego................ i...... ...</t>
  </si>
  <si>
    <t>Casta'fiada, Francisco</t>
  </si>
  <si>
    <t>Francisco Casta'fiada</t>
  </si>
  <si>
    <t>casa, solicita su colocación: tiene personas de satisfacción que la abonen su conducta, entre ellas D. Francisco Casta'fiada, cirujano en esta corte, que vive en la caite de la Reina, frente de las niñas de Leganes, quarto segundo, en donde darán razón de dicha cocinera. alquiler. * En las inmediaciones</t>
  </si>
  <si>
    <t>Castalio, Luis</t>
  </si>
  <si>
    <t>Luis Castalio</t>
  </si>
  <si>
    <t>or un mes............... 93. Zoilo Saenz de Langarica, uno id. durante un año, por 4 meses.... 122. D. Luis Castalio, canónigo de S. Isidro, 4 id. por 2 id........... 244. Gregorio Sánchez Madrid, maestro de dibuxo del real seminario de Nobles, 2 id. id................................ ..........</t>
  </si>
  <si>
    <t>Castañeda, Fernando</t>
  </si>
  <si>
    <t>Fernando Castañeda</t>
  </si>
  <si>
    <t>de............. ................. ........................ . 2072. Los correes de gabinete de S. M. D. Fernando Castañeda , D. Alfonso Alazorra .y.D. Josef España, por sí y por los demas empleados en igual clase, jubilados y en exercicio, naturales del valle de C¿rriedo, han entregado, con destino á</t>
  </si>
  <si>
    <t>........;......... 2 El marques de Valdecarzana......... I El marques de Cilleruelo.............. I D. Fernando Castañeda, corleo de gabinete ....?..........;&lt;..................... I I I El iriQíQuae Tturfcieta.............. .ti 1 • • D. García Gómez Xara.................. 2 2 2 D. Juan Antonio Villa</t>
  </si>
  <si>
    <t>Castáñeda, Julian</t>
  </si>
  <si>
    <t>Julian Castáñeda</t>
  </si>
  <si>
    <t>iente D* Josef Marín; y subtenencia de bandera en el de la R eina al sargento primero de granaderos D. Julian Castáñeda. En América, o. M. se ‘ha servido nombrar auditor dé guerra de la pla¿a* dé“Ia “Havana a D. Domingo Santibáñéz abogado de los" f¿ales'contéjos y del colegio de Cáidiz; á quién se</t>
  </si>
  <si>
    <t>Castaños, Francisco Xavier</t>
  </si>
  <si>
    <t>Francisco Xavier Castaños</t>
  </si>
  <si>
    <t>en pagarse. Números Lotes de las en acciones. Nombres de los interesados* Comisionados. Rs vn. 2052 D. Francisco Xavier Castaños.................... . Cádiz........... 500 1449 D. Adrián Hernaez............................................. Málaga....... . JOO 419 P- Francisco Galindo..... ..................</t>
  </si>
  <si>
    <t>a..... 3 00 1611 D. Nicolás de Sarachaga..................................... Bilbao...... 500 2049 D. Francisco Xavier Castaños........................... Cádiz........... 600 631 D. Hipólito Manuel de Quanda....................... Madrid....... 5 000 2337 Coronel D; Ignacio de la Justicia......... .......</t>
  </si>
  <si>
    <t>.... 600 ?8ti P, NarOiso Heredia............ .............................. ■ Zaragoza.... 300 2048 D. Francisco Xavier Castaños......................... ; Cádiz................ 1000 2397 I)*. Matías Perez , presbítero.............. • •• ••••*• •Zaragoza..*-.. 300 g-31?4 D, Santos de Allende....*...... . .</t>
  </si>
  <si>
    <t>. Juan Manuel de Peralta................... ............................. . Cádiz......... 500 2053 D. Francisco Xavier Castaños................ ......... Cádiz.......... 300 259 Doña Paula Saez de Tejada.............................. Burgos........ 500 357 D. Domingo de Hormache............................</t>
  </si>
  <si>
    <t>4 de junio de 1808</t>
  </si>
  <si>
    <t>Sevilla 2</t>
  </si>
  <si>
    <t>las noticias que con fecha de 31. Mayo íu recibido esta Suprema Junta comunicadas por el Excmo. Sr. D. Francisco Xavier Castaños, se ha sabido quain dispuesto se halla este fiel Comandanta general ¿. «seguir, -i2*</t>
  </si>
  <si>
    <t>ente parte de las tropas que ya estaban embarcadas para Sevilla. Sevilla 11 de Junio. El Excmo. Sr. D. Francisco Xavier Castaños, salió el 9 de e-cta Capital á tomar el inando en Xefe de nuestro exército , y la tarue anterior habían partido al misino lqs Generales</t>
  </si>
  <si>
    <t>ión., 1 * 1 * , • - * Córdoba 1. de Julio* ' Ayer por la mañana entró en esta ciudad el Excmo#. Sr. D. Francisco Xavier Castaños, comandante General de nuestro exército, y á la tarde salió al; puente de las Ventas. La posición de nuestro exércitor es ventajosísima, como Incómoda la de los enemigos, por la d</t>
  </si>
  <si>
    <t>Suprema Junta para: la villa de Utrera , desde donde reunido con- el General en Xefe el Excmo* Sr* D. Francisco Xavier Castaños, se dirigió á la posición que ocupa el exército- nuestro, sobre: Córdoba, el Carpió y Aldea del Rio*. Diario de Badajoz 2?. de Jumo¿ De Mérida escriben con fecha del 23. la notici</t>
  </si>
  <si>
    <t>t43 Con fecha de 24. del corriente comunican los Exentos* Sres. D. Francisco Xavier Castaños, Capitán General del Ejército de Andalucía, y el Conde de Tilly, Vocal de esta Suprema Junta, /os partes siguientes• Serenísimo Señor: Incluyo á V, A. la Capitulación original cel</t>
  </si>
  <si>
    <t>3 de agosto de 1808</t>
  </si>
  <si>
    <t>Sevilla 19</t>
  </si>
  <si>
    <t>nes próximo pasado á las 10 de la mañana llegaron i esta capital JosJJxcrnos. Sres.Conde de Tilly y D. Francisco Xavier Castaños , Capitán General de Exércko y general fn acfe del nuestro. Ai estruendo de las descargas del parque, y entre los vivas y aclamaciones de todo el pueblo,que había concurrido á ver</t>
  </si>
  <si>
    <t>de campo D. Teodoro Reding, con fecha de 22 del corriente, ha dado el parte que sigue al Excmd. Sr. D. Francisco Xavier Castaños; generalfen gefe del exército de operaciones de Andalucía. k Excmo.PSr.:: En consecuencia del parte que dirigí á V. E. en 17 del corriente , con motivo del ataque dado por la divi</t>
  </si>
  <si>
    <t>responden.^: Firmada , Esteban Coterell. rCon fecha de 24 del corriente comunican tos Excmos. Sres. D. Francisco Xavier Castaños, capitán general del exércitó de Andalucía, / el conde de Tilti, vocal de esta suprema junta, los partes siguientes. ,, Serenísimo Señor: incluyo á V. A. la capitulación original</t>
  </si>
  <si>
    <t>se, cumplió en nuestra Iglesia catedral el religioso voto de nuestro general en xefa el Exento. Sr. D. Francisco Xavier Castaños , quien había ofrecido su victoria del campo de Baylen ó nuetíro conquistador San Fernando ; función que se anunció la víspera con repiques en la matriz y ?a!va de artillería, A l</t>
  </si>
  <si>
    <t>descubierto el cuerpo de nuestro glorioso conquistador , ante cuyo sepulcro ofreció al Exorno* Sr. D. Francisco Xavier Castaños le corona de laurel &gt; con que se le había condecorado j y dichas las preces , volvió la procesión á la capilla mayor, donde comenzó la misa de pontifical , en la que estuvo de may</t>
  </si>
  <si>
    <t>la victoria conseguida entre Bailen y Andujar por el exéreito de Andalucía al mando del Excmó. Sr; D. Francisco Xavier Castaños, han abierto uña suscripción para costear un premio correspondiente y digno del objeto al pintor que mejor desempeñare un quadro, á lo menos de 4 varas de ancho y 3 de largov en q</t>
  </si>
  <si>
    <t>ba descubierto el cuerpo de nuestro glorioso conquistador, ante cuyo sepulcro ofreció eL Excmo. Sr. D. Francisco Xavier Castaños la corona de laurel con que se le habia condecorado; y dichas las preces, volvió la procesión á la capilla mayor, donde comenzó ia misa de pontifical, ea la que estuvo de mayor asist</t>
  </si>
  <si>
    <t>Augusto Laporta,destinados á ella, y á su frente el capitán general de aquel exército el Excmo. Sr. D. Francisco Xavier Castaños. No es posible explicar con palabras la celebridad de la entrada de estas tropas tan grande y tan colmada. En vanoj apuraríamos , las i expr esiones con que se puede pintar el júb</t>
  </si>
  <si>
    <t>y D. Josef Augusto Laporta, y á su frente ei capitán general y xefe de aquel exército el Excmo. Sr. D. Francisco Xavier Castaños. Las tropas del exército de Valencia y Murcia con su general el Excmo. Sr. D. Pedro González de Llamas, se apostaron en el paseo del Prado para reci* bir á los aguerridos campeone</t>
  </si>
  <si>
    <t>10 de septiembre de 1808</t>
  </si>
  <si>
    <t>Madrid 122 (extraord.)</t>
  </si>
  <si>
    <t>Núm. 122. it 51 GAZETA EXTRAORDINARIA DE MADRID ©EL SABADO! O DE SETIEMBRE DE 1808. El Excmo. Sr. D. Francisco Xavier Castaños se ha servido pasar al limo. Sr. decano gobernador interino del Consejo, con fecha de ayer, el oficio que dice así: limo. Sr.: Incluyo á V. I. para su noticia los adjuntos documen</t>
  </si>
  <si>
    <t>gímiento que estaba en Jutland haya escapado para Langeland por el canal de poniente. El Excmo. Sr. D. Francisco Xavier Castaños, capitán general del exército de Andalucía, ha recibido copia de los oficios siguientes, relativos al mismo asunto, que le ha remitido !a junta suprema de Sevilla. ,,Sermo. Sr.: A</t>
  </si>
  <si>
    <t>ción. Dios guarde á V. E. muchos años. Badajoz 10 de setiembre de 1808. = Josef Galluzo.=Excmo. Sr. D. Francisco Xavier Castaños.” La copia del oficio que se cita en el anterior es la siguiente: S, Antonio de Foxal 4 de setiembre. „Acusando el recibo de la carta de V. E., tengo la mayor satisfacción en comu</t>
  </si>
  <si>
    <t>Sr. D. Fernando vri: el 2.0 á España: el 3.0 al Excmo. Sr.!D. Josef Paláfbx; y el 4.0 al Excmo* Sr. D. Francisco Xavier Castaños; Se hallarán á real én íá imprenta de Justo Sánchez, calle de las Veneras; y en la librería de Campins cálle de las Carretas. Continúan</t>
  </si>
  <si>
    <t>alcázar de Sevilla 7 de setiembre de 1808. = Excmo. Sr. P. I..D. 3. P.. Vicente Hore. = Excmo. Sr. D. Francisco Xavier Castaños. P. D. 5 Como. ésta, junta suprema piensa? en remitir al exército otros 3 millones luego que vengan caudales de Cádiz, servirá esta noticia de gobierno á V. E. para suspender las</t>
  </si>
  <si>
    <t>muchos años. Real alcázar de Sevilla 11 de setiembre de 1808. = Francisco de Saávedra. = Excmo. Sr. D. Francisco Xavier Castaños.” La. junta de Sevilla pues desea eficazmente contribuir al bien universal de todo el reino; y siendo recíproca y general la conducta de las demas.provincias , ¿quién desconfiará</t>
  </si>
  <si>
    <t>estro amado Rei Fernando vii, poniendo la banda i nuestra Señora de Atocha, y la otra al Excmo. Sr. D. Francisco Xavier Castaños, ofreciendo la victoria de Bailen al santo Reí D. Fernando, grabadas por Blanco, Se hallarán en Jas librerías dé Perez, calle de las Carretas, y de González, frente de los Gremios</t>
  </si>
  <si>
    <t>Sevilla 39</t>
  </si>
  <si>
    <t>e 5. M. L R,y /Apostólica en la corte de Madrid , hecha al Exorno. Sr• Capitán general de exército, D. Francisco Xavier Castaños^ General en xefe del de Andalucía^ y manifestada á esta Junta Suprema ; de órden de ella se hace insertar a la letra la siguiente nota. ry j . ■* ,, dfin da vGazsta de Sevilla de</t>
  </si>
  <si>
    <t>9 de 'agosto , iiúm: i t i , en que sé insertó’cí parte dé la batalla de Bailen dado al Excmo. Sr.;D. Francisco Xavier Castaños por el mariscal de campo P. Teodoro de Rédihg, y se expresan al folio 990 los nombres de los regimientos y comandantes que entre otros se distinguieron por su valot y constancia,</t>
  </si>
  <si>
    <t>s1 uaa Junta genera! da Guerta » compuesta del Eximo. Sr. general en xefe del exército ¡ del centro D. Francisco Xavier Castaños , Presidente, ÍLUsente por seguir su exército. sEl Excmo. Sr. D. Toxnas de Moría , vice*presidente y director general de a*</t>
  </si>
  <si>
    <t>sta quedar enterado de la orden que en oficio del dia 8 se le dirigía igualmente ai capitán genera! D. Francisco Xavier Castaños sobre la importancia de reunir á la mayor brevedad todas las fuerzas posibles para arrojar á los enemigos antes que consigan reforzarse. Y añade que nada omitirá de quanto pueda s</t>
  </si>
  <si>
    <t>ns.= Mui ilústre junta de gobierno de la ciudad de Manresa.*5 Aranjuez 23 de octubre. El Fxcmo. Sr. D. Francisco Xavier Castaños ha dirigido al Sermo. Sr. Presidente de la Junta central suprema y gubernativa del reino el oficio siguiente: ,,Sermo. Sr.: Por varios partes que me ha dirigido á mi llegada á&lt;ést</t>
  </si>
  <si>
    <t>V. E. muchos años. Calahorra 2 de noviembre de 1808. = Excmo Sr. = Pedro de Grimarest. = Excmó. Sr. D. Francisco Xavier Castaños, general en gefe del exército del centro. Con fecha de 8 recibió la suprema Junta de gobierno del reino las si"guíentes'nóticias de personas fidedignas, que han sido testigos pres</t>
  </si>
  <si>
    <t>Sevilla 48</t>
  </si>
  <si>
    <t>ESINTERES GRACIAS Y UNION ETERNA MURCIA Y SU REYNO. Zaragoza 2p de Octubre* Queriendo el Excmo. Sr. D. Francisco Xavier Castaños, capitán general de exército y xef'e del de Andalucía, viiitar las gloiiosas ruinas de esra ciudad , se presentó en ella la tarde del 18, é inmediatamente pasó á visitar á Nra Sra</t>
  </si>
  <si>
    <t>Castaños, General</t>
  </si>
  <si>
    <t>General Castaños</t>
  </si>
  <si>
    <t>11 de diciembre de 1808</t>
  </si>
  <si>
    <t>Madrid 151 (extraord.)</t>
  </si>
  <si>
    <t>. Sr.: Las ocurrencias del día, reducidas á que nuestro exércitode la Navarra y Rioja, ai mandó del General Castaños, se halla en precipitada fuga, transitando la mayor parte por la carrera de Zaragoza á esa cortey muchos por esta villa y sus inmediaciones, dimanado de dos ataques que se dice ha</t>
  </si>
  <si>
    <t>o. Sr.: Sin embargo de quanto expongo á V. E. en consulta de este dia , acaban de asegurarme que el General Castaños ha si lo preso en el palacio del Obispo de Sigiienza , y que se le conduce á esa corte con bastante escolta: como el correo solo llega hasta dicha ciudad, he remitido las cartas á</t>
  </si>
  <si>
    <t>Castaúon Rodríguez, Andrés</t>
  </si>
  <si>
    <t>Andrés Castaúon Rodríguez</t>
  </si>
  <si>
    <t>Andrés Yebra y Rio? mol, á D. Luis María Ramos, canónigo de la de Salamanca; para esta re-, sulta á D. Andrés Castaúon Rodríguez, pomo haber teñido efecto el nombramiento que S. M. tuvo á bien hacer en él para otra canongía de la propia catedral de Salamanca, por decreto de 12 de octubre del año próximo pas</t>
  </si>
  <si>
    <t>Cástelereagli, Lord</t>
  </si>
  <si>
    <t>Lord Cástelereagli</t>
  </si>
  <si>
    <t>Madrid 60</t>
  </si>
  <si>
    <t>ara decidió por una mui pequeña pluralidad que se difiriese la cuestión á otro tiempo. CAMARA BAXA. Lord Cástelereagli. „Sé bien, que la cámara debe tratar en primer lugar. de la organización de las tropas regladas; pero en las circunstancias actuales ios ciudadanos que sé exercitan voluntariament</t>
  </si>
  <si>
    <t>Castellanos, Miguel</t>
  </si>
  <si>
    <t>Miguel Castellanos</t>
  </si>
  <si>
    <t>e Larena, id. 500 rs. D. Juan Laví y Zavala, id. 1100 rs.. D. Josef López de la Iglesia, id. 40 rs. D. Miguel Castellanos, id. 640 rs. D. Matías. Robles, arcediano de Toledo, por sí y su familia por agosto á 10 rs. diarios, 310. D. Carlos Rodrigo, por una vez 60 rs. D. Josef Francisco Lema, por 6 mes</t>
  </si>
  <si>
    <t>Castelli, Carlos</t>
  </si>
  <si>
    <t>Carlos Castelli</t>
  </si>
  <si>
    <t>l teniente coronel Suter, de Zoiñgen. REINO DE ITALIA. Milán 16 de mayo. El Sr. Carlos Castelli, canónigo de esta iglesia metropolitana, y profesor jubilado de física , ha tenido en dias pasados la honra de presentar á S. A. I. el Príncipe Virei un bellísimo modelo en cobre de su vent</t>
  </si>
  <si>
    <t>Castiiion, Francisco</t>
  </si>
  <si>
    <t>Francisco Castiiion</t>
  </si>
  <si>
    <t>o de Cádiz, se servirán presentar.,.ó harán constar.'SuLdocumsmos.'en el término1 de 10 meses, ante D. Francisco Castiiion , dei coiñéroío de Cádiz , primer, síndico en dicha quiebra. . - ' En la villa de Belvis. de Motiroy, obispadóóde’Plasencia, está vacanteiá cate-., dra de latinidad, dotada con 30</t>
  </si>
  <si>
    <t>Castillo, Antonio</t>
  </si>
  <si>
    <t>Antonio Castillo</t>
  </si>
  <si>
    <t>........ 500 1897 D. Francisco del Campo.................................... Zaragoza..... 600 2409 D. Antonio Castillo............................................ Zaragoza..... 600 1566 D. Francisco y D. Ramón de Mazarredo....... Bilbao.......... 300 1222 D. Francisco Narzagaray...................</t>
  </si>
  <si>
    <t>Castillo, Lorenzo Alonso</t>
  </si>
  <si>
    <t>Lorenzo Alonso Castillo</t>
  </si>
  <si>
    <t>.... 500 2381 D. Miguel Peyro................................................. Zaragoza..... 300 47 D. Lorenzo Alonso Castillo, presbítero.......... Barcelona.... 500 2066 D. Eulogio del Rosal......................................... Cádiz..... 300 1968 D. Manuel Chianfi...................................</t>
  </si>
  <si>
    <t>Castillo, Pedro</t>
  </si>
  <si>
    <t>Pedro Castillo</t>
  </si>
  <si>
    <t>.,*... 300 1866 D. Mariano Blanco........ ................................ . Zaragoza..... coo 239° D. Pedro Castillo, presbítero............................ Zaragoza..... 500 2179 D. Ramom Alsorre............................................... Coruña....... 500 2443 Sres. D.í Pablo Fernando ,y D</t>
  </si>
  <si>
    <t>Castor García de Castro</t>
  </si>
  <si>
    <t>Vicenta Martínez Vállelo...... ............. ............................. . Valencia..... 360 553 D. Castor García de Castro.............. •......... . Madrid........ Jóo 2370 D. Santiago Arnedo...................... ..................... Zaragoza..... 300 469 D. Manuel de Sarachaga.....................</t>
  </si>
  <si>
    <t>Números Lotes de las en acciones. Nombres de los Interesados. - Comisionados. Rs. vn. 554 D. Castor García de Castro...... ....................... Madrid.....í, 300 769 D. Felipe Salcedo y compañía.......................... Madrid....... JOO 24 )S D. Carlos García Velarde........................</t>
  </si>
  <si>
    <t>Catalina Germán y Hugalde</t>
  </si>
  <si>
    <t>............ . D. Josef Rio del Pino. En Málaga............ D. Juan Ximeno.4 En Mahon.............. Doña Catalina Germán y Hugalde. En Murcia............. Sres. Moreda y Ladalid. En Oviedo......... . D. Manuel Rubiano y Nieto. En Palenda.... D. Josef María Calonge. En Palma....... . D. Martin Mayol. En Pamplo</t>
  </si>
  <si>
    <t>L eon................. D. Gerónimo Gómez. En Malaga....... . D. Juan Ximeno. En Mahon............. Doña Catalina Germán y Hugalde. En Murcia............ Sres. Moreda y Ladalid. En Oviedo............. D. Manuel Rubiano y Nieto. En Patencia.......... D. Josef María Calonge. En Palma............. D. Martin Mayo</t>
  </si>
  <si>
    <t>León....... . D. Francisco Pió del Pino. £n Málaga........... . D. Juan Ximeno. £n Mahon......... . Doña Catalina Germán y Hugalde. £n Murcia.............. Sres." Moreda y Ladalid. £n Oviedo.......... . D. Manuel Rubiano y Nieto, F JEPatencia........... D. Josef María Caíonge. £n Palma............ D. Lorenzo</t>
  </si>
  <si>
    <t>Catalina Mexía, Máríá</t>
  </si>
  <si>
    <t>Máríá Catalina Mexía</t>
  </si>
  <si>
    <t>... Coruña........ 300 360 D.- Manuel dé Irazaval...»............ . ... Cádiz........... 600 265 6 Doña Máríá Catalina Mexía ... Cádiz..... . "500 2 ¿99 D-. Juan de Dios de Elias............ ... Cádiz....... 500 108 j D.- -Braulio González Peré..........i. ... Madrid........ 500 10944 D.- Manuel Ruíz...</t>
  </si>
  <si>
    <t>Catalina Quartero</t>
  </si>
  <si>
    <t>D.iLuis de Mata 100. . Doña M. F. 20.: D. Manuel de Salazar 300. Un caballero que ocultó su nombré Doña Catalina Quartero 20. un juego de hebillas de oro para zal^1 J* A'.i0‘;24»? •„ j¿ t ■ . , patos, charreteras y corbatín pata El P. Antonio iqi^i.les, de Portace- que sé rifen. . * ‘ I¡ , 40. . T ;•</t>
  </si>
  <si>
    <t>Catalina Villa</t>
  </si>
  <si>
    <t>icolasa Montero 2. Doña María Rodríguez 1. El colegio de S. Antonio 3. Doña Faustina Bustarviejo 3. Doña Catalina Villa 3. Doña Joaquina Alberto de Zülueta 2 camisas y 2 pares de calcetas. Dia 13. Doña María. Petra Pastor 47 varas de lienzo. D. Tadeo Bravo de Rivero hechura de 24 vestidos completos</t>
  </si>
  <si>
    <t>caudillo Josué</t>
  </si>
  <si>
    <t>res beneficios que le ha dispensado V. E.? Dirá lo que el pueblo escogido de su caudillo Josué, de que V. E. es verdaderamente grande tanto en la paz como en la guerra, y que merece este renombre con mayor razón que el que se lo ha usurpado. Admita V. E.</t>
  </si>
  <si>
    <t>Cauíaincourt</t>
  </si>
  <si>
    <t>sucesos de grande importancia. ~ ■-'"'Vr " ....; 'r-"'Ví» RUSIA. Petersburga. jjj de enero. Quando Mr. Cauíaincourt, embajador de Francia en esta corté, Ilegd á la frontera del imperio, salió á recibirle el gobernador de la provincia, y dio disposiciones para que le acompañase una escolta de co</t>
  </si>
  <si>
    <t>Caulaincourt</t>
  </si>
  <si>
    <t>2 de diciembre de 1808</t>
  </si>
  <si>
    <t>Sevilla 54</t>
  </si>
  <si>
    <t>andro pasó el iR pór K.onigsberg eij' su viage k Erfütt : le preceden e! gran duque CónStantiV no y Mr. Caulaincourt. El regimiento 15 de dragones Mgéros ,• que estaba er* te clonado en Goüford , marchó el 20 k Porcsmotith k rm&lt;* báhea'rse para España» La última' división del 10 de dra^ gonési s</t>
  </si>
  <si>
    <t>Cause, Juan</t>
  </si>
  <si>
    <t>Juan Cause</t>
  </si>
  <si>
    <t>........ 6c. N., por 2 meses á 12 rs. diarios......... ............... ....................... . 73*D. Juan Cause» platero de oro , por agosto á reai diario............ 3l* D. Josef Agustín Larramendi, comisario de la inspección general de caminos y .canales, por ag°sto á 20 rs.. diarios.....</t>
  </si>
  <si>
    <t>Cavaniües, Antonio</t>
  </si>
  <si>
    <t>Antonio Cavaniües</t>
  </si>
  <si>
    <t>s sobre la historia natural, geografía, agricultura, .población y frutos del reino de Valencia, por D. Antonio Cavaniües. Dos tomos á 84 rs. en rústica , y á 7 5 en papel cada tomo. Curso de matemáticas, por D. Tadeo Lope, 3 tomos en 4.0: el i.° contiene la aritmética universal: en papel á 20 rs,, y</t>
  </si>
  <si>
    <t>Cavanon, Pedro Bernardo</t>
  </si>
  <si>
    <t>Pedro Bernardo Cavanon</t>
  </si>
  <si>
    <t>..... 3 00 9-56 D. Ramón Bertrán.......................................... . Madrid........ 300 372 D. Pedro Bernardo Cavanon................... ....... Cádiz........... 300 830 D..Miguel de Isusi............................ ................. Madrid........ 300 1826 0..Felipe de la Calle............... .</t>
  </si>
  <si>
    <t>Cavarrbuy, Santiago</t>
  </si>
  <si>
    <t>Santiago Cavarrbuy</t>
  </si>
  <si>
    <t>encia..... 300 %y\ 2 D. Hipólito' Fernandez de Retana.................... Cádiz........... 300 2002 D. Santiago Cavarrbuy...... ...................... . Cádiz........... 6co 1797 D. Esteban Tuquien y D. Juan Montapan.... Cádiz........... 6co 1885 D. Angel Ramírez de Arellano.........................</t>
  </si>
  <si>
    <t>Cavia y Diez</t>
  </si>
  <si>
    <t>......... .—............................................ 1500* D.oCÍeinents d.§ Cavia y Diez , secretario del secreto de la Inquisición de corte, en vales reales, id........................................... 2322 ii« D. Felipe Ignacio Canga Arguelles, ministro del consejo Real, 12 rs</t>
  </si>
  <si>
    <t>Cbavarría, Juan</t>
  </si>
  <si>
    <t>Juan Cbavarría</t>
  </si>
  <si>
    <t>....... . 3 20. D. Josef Rossi, correo dé gabinete, id....................................... icco. D. Juan Cbavarría ,* rd.V„..............;................................ 750. D. Gregorio García j id............................... ................................... icco.: D. Juan Fernandez Fá</t>
  </si>
  <si>
    <t>Cbbeña, Juan</t>
  </si>
  <si>
    <t>Juan Cbbeña</t>
  </si>
  <si>
    <t>........................... 20; D. Pedro Cubero, tapicero, por agosto 40 rs. mensuales......... 40. D. Juan Cbbeña, por agosto á 30 rs. mensuales........................ D. Juan Josef Díaz, id...,.,,......,............................. ....... ........ . 3°. D. Francisco Morales Ramírez, por a</t>
  </si>
  <si>
    <t>Cbrnel, Pedro</t>
  </si>
  <si>
    <t>Pedro Cbrnel</t>
  </si>
  <si>
    <t>..!../ 300 1041 D. Juan Antonio Menguez..........................i...... Madrid../...;, iboo 24 él D. Pedro Cbrnel • Zaragoza.../ 21 $7 D. Juan Antonio Curbera........... ..... ..... -..... *, Gorunk. .I.í.v 300. 1049 D¿ Franciscd Xavier de.M^ndoza^-f...»*..-.-^..*.' MsSdricb/...;/ J^OO' 5 28</t>
  </si>
  <si>
    <t>Ce, Pedro</t>
  </si>
  <si>
    <t>Pedro Ce</t>
  </si>
  <si>
    <t>istencia de su cabildo, y de las secretarías de estado y del despacho, presididas por el Excmo. Sr. D. Pedro Ce val los. El dia 10 en la iglesia de padres trinitarios descalzos se cantó también Misa, Te Deum y Salve, con asistencia del supremo consejo de Marina, Con fecha de 9 de agosto se</t>
  </si>
  <si>
    <t>Junta en sus operaciones. Y concluf aña— diendo, que habiendo preguntado yo voluntariamente al Sr. D. Pedro Ce— vatios al despedirme de 5. E. si prevendría: algo i Ja Junta sobre Ja epn-dñeta quedebiera observar con los franceses; me respondió» que aunque la comisión no comprehendia este p</t>
  </si>
  <si>
    <t>Ce, Ramón</t>
  </si>
  <si>
    <t>Ramón Ce</t>
  </si>
  <si>
    <t>onferir el empleo de coronel del regimiento de dragones provinciales de S. Carlos en Nueva España á D. Ramón Ce vatios, teniente coronel del propio cueipo. El Reí se ha dignado conceder la tenencia coronela del regimiento de milicias disciplinadas de‘dragones; de Lima al comandante del terc</t>
  </si>
  <si>
    <t>Cecilia</t>
  </si>
  <si>
    <t>s id. Doña María del Carmen de Velasco 2 libras de hilas, 2 de paños y 12 vendas con sus cabezales. Doña Cecilia de... 4 libras de hilas y 7 vendas. Las monjas Capuchinas del convento de Pinto 12 libras de hilas. Doña María Collado y hermanas presentaron 2 baúles para la conducción de hilas ai</t>
  </si>
  <si>
    <t>Cecilia Manriquet</t>
  </si>
  <si>
    <t>Vitoriano Eusebia, id......................................................................... 60. Doña Cecilia Manriquet en intereses de Vitalicio, id................... 330. Andrés Velasco, arriero, id............................................................... 100. Juan Altares, ganadero, id.....</t>
  </si>
  <si>
    <t>Cecilia Simancas</t>
  </si>
  <si>
    <t>bera y. Doña Juliana Barraficd y pares de caL* compañía 36 camisas. : .. ¡ srdqtasl' í-r;? - \ • •• Doña Cecilia Simancas tina. - : rBb Juan Ahtopk) de Urraza 6 camisas. D. Gregorio Azpeltia y su5 hijo 4.: « D. J uan Bu rruezo 4. ‘ ' Doña María Rita de Ibargtiéñ úna. D. Diego Panlagua 6. i.rr -i.; D.</t>
  </si>
  <si>
    <t>Cecilia, María</t>
  </si>
  <si>
    <t>María Cecilia</t>
  </si>
  <si>
    <t>an Antonio Campos, individuo del cuerpo de nobleza de Madrid, presentó á su nombre , ai de su muger Doña María Cecilia deMéndilibar, al de ; , sus j hijos D. Manuel Antonio ¿y :P. Xino¡ de i * Campos4 y.al ¡del Sr, P. Manuel de;Estrada&gt;, juez r { - u -mayor, de Vizcaya;, aco pares deeortesdebotas ¡ •</t>
  </si>
  <si>
    <t>Cecilio Saez Gordoa</t>
  </si>
  <si>
    <t>ez, administrador del real Noveno; D. Juan Antonio Leonardo, D. Tomas de ia Torre, D_ Felipe Garai, D. Cecilio Saez Gordoa, D. Manuel López Tufiño y D. Pedro de Ribera; y estando asi congregados se volvió á ver y leer á la letra el citado exemplar de la real provisión del Consejo, y en cumplimiento de</t>
  </si>
  <si>
    <t>Cefeiriño</t>
  </si>
  <si>
    <t>........... »»». Madrid, i»». 6gó 640 Doña María Merino de Segovia...»....... Madrid...... 500 2207 D. Cefeiriño^Arias..................................-........«. Coruña.».». 1500 244 D. Ambrosio de la Quadra, sargento mayor.. Burgos......... 300 2151 D.. Antonio González Viejo.............</t>
  </si>
  <si>
    <t>Ceferino Sánchez</t>
  </si>
  <si>
    <t>Rs. Mr*. D. Ceferino Sánchez, id................ ............................................. . 200. D. Domingo Garrido, id.............................. .................................... 500. D. Francisc</t>
  </si>
  <si>
    <t>Ceferlna</t>
  </si>
  <si>
    <t>D. Ramón Perez y Qrteá 2354 xs. D. AngefSolano 60. y iplsmrs., en vales reales. Juan de García 19. Doña Ceferlna* Ramonel 200.. Francisco Villoría 30. D. Juan de.Berriiezo 30. Ramón González X rs. y 8 Jnrf. ; D. F. J. S. C. 200. •' D. Ramón Jaulin 80. &gt; D. J. I. J. D. S. $1?o. . Pedro de Aqu</t>
  </si>
  <si>
    <t>Cehrian, Miguel</t>
  </si>
  <si>
    <t>Miguel Cehrian</t>
  </si>
  <si>
    <t>;. '500 1330 Doña Rosa Salvador....................................... .... -Valencia;.... 600 *339 D. Miguel Cehrian, del comercio...... í..... ».w. -Valencia..... 300 159 D. Vipente Haedo Pico».»»............................ • Valencia..... 300 2138 .D. Jban Vicente Tinao......... ............</t>
  </si>
  <si>
    <t>Ceiaya, Juan Bautista</t>
  </si>
  <si>
    <t>Juan Bautista Ceiaya</t>
  </si>
  <si>
    <t>Jo— sef Ferrer, D. Josef Beruti , D. Josef Zerero; á D. Francisco Osoro , Dop Juan Abundante Boqúi,&lt;D. Juan Bautista Ceiaya.-y D. Jósef María Coitia, ayudante mayo?, y tenientes del cuerpo de maestranza establecida en la fortaleza, grados,de teniente de milicias urbanas; A D. Carlos Baneti , Don Marian</t>
  </si>
  <si>
    <t>Celedonio</t>
  </si>
  <si>
    <t>.. Bilbao., 3000 1465 D. Bernardo Unzaga....................... ................... Málaga, 300 881 D. Celedonio y D: Francisco de López......... Madrid 500 1568 D. Josef Manuel de Urterte.......................... Bilbao., 300 513 D. Antonio Rufino de Aranguren............. . Bilbao., 500 65 5</t>
  </si>
  <si>
    <t>os....,..* 300 614 D. Francisco de Bouligni.................................. Madrid....... 500 880 D. Celedonio y D. Francisco de López...... . Madrid........ 300 285 El Convento de Sta. Cruz de Granada......... Málaga........ 500 405 D. Nicolás Hernández, contador de marina... Coruña....... .</t>
  </si>
  <si>
    <t>Celedonio de Lope</t>
  </si>
  <si>
    <t>D. Josef García............................................................................ , oco. D. Celedonio de Lope..................................................................... 640. Doña Rosa Aguado ae Larena........................................................ 500. D. Antonio Guardi</t>
  </si>
  <si>
    <t>Celedonio Floria</t>
  </si>
  <si>
    <t>e Amat y D. Juan Dalmansa ; y subtenencias de bandera al cadete D. Félix Amat y al sargento primero D. Celedonio Floria. Igualmente ha concedido el Reí ayudantía en el regimiento de infantería de España al teniente D. Joaquin Navarro. ; S. M. se ha servido conferir .la comandancia del tercer batall</t>
  </si>
  <si>
    <t>Celedonio Rosado</t>
  </si>
  <si>
    <t>rema del Tabaco en la ciudad d$ Burgos , por una vez............................ .......... . 2000. D. Celedonio Rosado, id....................................... ............... .......... ^ 60. 4 La compañía*de óperas de los Caños del Peral, id...................... 6848. ' (Se continuará.) EN LA</t>
  </si>
  <si>
    <t>Celerier</t>
  </si>
  <si>
    <t>21 de diciembre de 1808</t>
  </si>
  <si>
    <t>Madrid 161</t>
  </si>
  <si>
    <t>ntes de Paris por los insignes beneficios que habían recibido de su mano. S. E. mandó al arquirecto Mr. Celerier que manifestase el plan y el modelo de la fuente que había de construirse en dicha plaza. Su forma será la de un elefante, que sostendrá sobre sí una torre de la hechura antigua,</t>
  </si>
  <si>
    <t>Celestino</t>
  </si>
  <si>
    <t>ádiz.......... 1 y 09 . Bilbaó;..,..... 390 1549 D. Blomíaoio de ’l'osnitos.*.v.*v.v«....v.v^. 1207 D. Celestino í Bilbao....... .* 500 912 D. Fernando de Ximeno.,..„...,—&lt;..... ............... Madrid....... yoo 1004 D. Genaro Faustino Rincón..,......... Madrid....... .300 2300 D», .Josef de</t>
  </si>
  <si>
    <t>sPdiarios.ii/.-.vs *• **••**♦ •**iiv««*l#*#**«ieÍ«#***Ve***#*»«*»*^***M••(•••í*^****»,*»»*•« 'v : 5 D. Celestino* de Molina- y Fernandezoficial de la- díredeion de 1V^ reáleá provisiones ^ .un - real- éiario..*.*«*tA.««»tiv.i....iía«it»**^.u.Mjw**# * 3*1* D. Pedio Catalina Iglesias, domador</t>
  </si>
  <si>
    <t>Celestino Carrasco, Manuel</t>
  </si>
  <si>
    <t>Manuel Celestino Carrasco</t>
  </si>
  <si>
    <t>Perez, muñidor de la congregación de S. Nicolás, por 3 meses á 12. rs. mensuales....;,^............ D. Manuel Celestino Carrasco., por agosto á 60 id.......... * OO., D. .Francisco .García., por agosto á 4 id 4- &gt;; D. Juan Lolli, por id. á 40 id................................................ 40. o Genaro N</t>
  </si>
  <si>
    <t>Celestino Ciosson</t>
  </si>
  <si>
    <t>25 de diciembre de 1808</t>
  </si>
  <si>
    <t>Madrid 165</t>
  </si>
  <si>
    <t>ero ha sido siempre rechazado por las guardias nacionales. IMPERIO FRANCES. Lieja 1,° de diciembre. Mr. Celestino Ciosson , natural de Lieja, cabeza del departamento del Oarte, fue coronado éste año en el instituto por haber llevado el primer premio de medicina práctica en la escuela de París; y se a</t>
  </si>
  <si>
    <t>Celestino de la Madrid, Miguel</t>
  </si>
  <si>
    <t>Miguel Celestino de la Madrid</t>
  </si>
  <si>
    <t>e abril. S. M. se ha servido nombrar para una ración de la catedral dé Avila, vacante por muerte de D. Miguel Celestino dé la Madrid , á D. Fernando Hernández: para el beneficio de la villa de Cañetedelas Torresyen el obispado de Córdoba, vacante por fallecimiento de D. Diego Caballero , y el arcíprestazgo bene</t>
  </si>
  <si>
    <t>Celestino Paredes</t>
  </si>
  <si>
    <t>quín María de Carvajal; y en el de voluntarios de Estado subtenencia de bandera al sargento primero D. Celestino Paredes. El oficial comisionado para cumplimentar al general en gefe del exército francés que viene marchando por el camino de Somosierra , y acordar el dia y modo de entrar en Madrid, ha</t>
  </si>
  <si>
    <t>Celma, Antonio</t>
  </si>
  <si>
    <t>Antonio Celma</t>
  </si>
  <si>
    <t>...................... . , D. Leon Pablo Blanco ,. platero,, por 6 meses a 2 rs.- diarios..... 368, D. Antonio Celma ,. agente de negocios , por agosto á reai diario* 31.; D. Ignacio Sainz de Rozas , oficial des archivo general dé Rentas, por agosto; 4 rs. diarios D. Francisco Roquelias ,.músÍco</t>
  </si>
  <si>
    <t>Cendeja, Pedro</t>
  </si>
  <si>
    <t>Pedro Cendeja</t>
  </si>
  <si>
    <t>o, D. Félix GHman, cadete de reales guardias Valonas, D. Félix Palacios, D. Manuel Entramfbasaguas, D. Pedro Cendeja , D. Josef Manuel del Valie, D. Josef María Bassoco, D. Matías de la Torre, D, Francisco Xavier Vidarte, D. Josef María Bretón, D. Fermín de Labastrda y D. Juan Josef de Zulaica.</t>
  </si>
  <si>
    <t>Cenon Alonso</t>
  </si>
  <si>
    <t>. id. 20. Datnaso González, 20 id. id.......................................................... 20. D. Cenon Alonso, del consejo de Indias, 100 id. id................. ico. D. Fernando Martínez de Viergol, gefe de las casas de campo y jardines de S. M., 120 id. id...............................</t>
  </si>
  <si>
    <t>Centurión, Manuel</t>
  </si>
  <si>
    <t>Manuel Centurión</t>
  </si>
  <si>
    <t>.. Zaragoza..... 000 *97 2 D. Jacinto Uria Nafarrondo................. . ... Zaragoza..... 600 1822 D. Manuel Centurión.................... ............ ... Zaragoza..... 300 539 D. Manuel Isidro de Mier y Teran............ ... Madrid........ 500 159o Sres. Segura Costazar y Baciola................</t>
  </si>
  <si>
    <t>ínez de Viergol..... ... Madrid....... 388 D-. CayetanoTJrbina y Mayorga.. ^ Coruña....... )CO 1823 D. Manuel Centurión..... ............... ... Zaragoza..... 600 349 Junta de gobierno de la reai com] la Havana ...............v....... ..........;.¡» ... Cádiz......... 600 2098 D« Josef Saravia ....</t>
  </si>
  <si>
    <t>ta. Cruz y Gil.. Santander;.,&lt;; iOO, 1440 D. Pablo Antonio Caballero...... .• i• f»*y • 3°Q- : *9&gt;9 D. Manuel Centurión.............. JOZ^.S., 600 I751 D. Tomas Ruiz de Sorzano....... Cádiz • ••»i»- ^00 1883 D. Manuel Mareen.... . Zaragoza....* 500 1463 D. Josef Lizalde.............................</t>
  </si>
  <si>
    <t>.. 1500. M. S., 20 id. por 5 meses.......................... ................................. 100. D. Manuel Centurión, ademas de otros quantiosos donativos que ha hecho en las provincias 5C0 id, por 2 meses.......... . icoo. D. Josef Beltran, 30 id. por agosto.....................................</t>
  </si>
  <si>
    <t>Cerezal, Manuel</t>
  </si>
  <si>
    <t>Manuel Cerezal</t>
  </si>
  <si>
    <t>con efecto, pasó én posta alquarfél general del Excmo. Sr. D. Gregorio de la Cuesta, en compañía de D. Manuel Cerezal, que hada: á la'sazón secretario de la junta. Lu^go que didho Excmo. Sr. iue informado del servicio tan impor</t>
  </si>
  <si>
    <t>Cerrillo, Mateo</t>
  </si>
  <si>
    <t>Mateo Cerrillo</t>
  </si>
  <si>
    <t>Malnero, criado de los señores infantes, por id. 320 rs. Doña Agustina Lozano, por una vez 100 rs. D. Mateo Cerrillo, id. 60 rs. D. Vicente Romero, oficial de la secretaría de Hacienda de Indias , por agosto á 300 rs. mensuales durante la guerra, 300. p. Simón de Ansótegui, por agosto á 12 rs. d</t>
  </si>
  <si>
    <t>Cerro, Santiago</t>
  </si>
  <si>
    <t>Santiago Cerro</t>
  </si>
  <si>
    <t>Gerónimo Agüdélo, D. Aparicio Vidaurraga:, I&gt;. Manuel Rodrifuez Saludua, E). Josef María Rodríguez, D. Santiago Cerro, y Zamudie, &gt;. Biego Estanislaor Imaces, Xbr josef fiaría; AgU&amp;tini,! D, Gaystano Stairla, D. Gaspar Sampier; y á los capitanes del cuerpo de patriotas 0. Mi</t>
  </si>
  <si>
    <t>Certini, Príncipe</t>
  </si>
  <si>
    <t>Príncipe Certini</t>
  </si>
  <si>
    <t>rda de un instante á ©tro en París. ^ Una diputación de la nación toscana, compuesta de los señores Príncipe Certini, marques Corsi, conde Bardi , senador Venturi ¿ conde, Guido del la Gherardesca, y Aldini j, tuyo la honra de presentarse al Emperador en Milán, y ofrecerle el respetuoso hómenage</t>
  </si>
  <si>
    <t>Cervantes, Tomás</t>
  </si>
  <si>
    <t>Tomás Cervantes</t>
  </si>
  <si>
    <t>!£..■•».... Burgos. ..... 3:-° 892 D. Miguel Martínez y ‘Nudez............... Madrid.!..... 300 800 D. Tomas Cervantes -y- Famada.......... Madrid......; 300 Í427 Josef Garrido.................... Málaga....... 300 835 D. Felipe-de Urriza-y-compañía.!.;..Madrid. 3°° 199 D.-Pablo JqVer y Plací es,</t>
  </si>
  <si>
    <t>Cervino, Domingo</t>
  </si>
  <si>
    <t>Domingo Cervino</t>
  </si>
  <si>
    <t>teniente general D. Josef Mazarredo; y por lo respectivo si exérclto de tierra el teniente general D. Domingo Cervino; el mariscal de,campo D. Luis Idiaquez; el brigadier D. Andrés-de Errasti, comandante del primer batallón de reales guardias Españolas; el coronel D. Pedro de Porras, capitán de r</t>
  </si>
  <si>
    <t>Cerviño, Domingo</t>
  </si>
  <si>
    <t>Domingo Cerviño</t>
  </si>
  <si>
    <t>........... 3 3 . f «Excmo. Sr.¿ marques de ^as Hormazas.....*..; . * 16 10nuevas. , . • Excmo. Sr. D. Domingo Cerviño.».;.......;.... ; 1 1 • . Jixcoio. ‘Sr.? eonde de &lt;"íalara. * *4 2 ,r r ExCmo. SrtiD. BártóloméSanabria.........;.;: 2 ? 4 2 Excino. Sr. D. Pédró Cévallos.................... 6 6</t>
  </si>
  <si>
    <t>Cesáreo Bastarrechea</t>
  </si>
  <si>
    <t>cuenta de 300 rs., id. 200. D. N. N. en cartas de pago contra Tesorería generalid.......... 10000. D. Cesáreo Bastarrechea, 20 rs. mensuales............ ...................... 20. D. Rufino Fernandez, 15 rs. mensuales, por 2 meses................ 30. D. Francisco Valdivielso y Varona, mayordomo del co</t>
  </si>
  <si>
    <t>Cesaría Estella</t>
  </si>
  <si>
    <t>a arroba de hilas. Dia 12. D. M. A. I. 10 camisas. D. Jaime Dot 83 varas de paño pardo dieziocheno. Doña Cesaría Estella una camisa y un par de calcetas. Dia /j. D. Josef Manuel de Izaguirre 6 camisas. D. Luis Fernandez Gonzalo del Rio 281 varas de paño pard¿&gt; para capotes. Francisco Sánchez 2 camis</t>
  </si>
  <si>
    <t>Cevadet, Matías</t>
  </si>
  <si>
    <t>Matías Cevadet</t>
  </si>
  <si>
    <t>. Antonio Martínez, grado de teniente coronel de infantería. : :_ .• s A los subtenientes del mismo D. Matías Cevadet , con grado de teniente, y D. Diego Solano, al primero grado de capitán dé infantería, y al.según-* do de teniente. . -• ■&gt; ■- A D. Ambrosio Agustini, cadete del regimiento de inf</t>
  </si>
  <si>
    <t>Cevailos, Pedro</t>
  </si>
  <si>
    <t>Pedro Cevailos</t>
  </si>
  <si>
    <t>e este mespdé la Júita central suprema y gubernativa del reino, qué la1 ha comunicado el Excmo. Sr. D. Pedro Cevailos, primer secretario de Estado y del Despacho &amp;c., hace saber que se halla vacante la plaza de practicante mayor del real hospital de S. Carlos del real sitio de Aranjúez,'la qué se</t>
  </si>
  <si>
    <t>Cevalíos, Pedro</t>
  </si>
  <si>
    <t>Pedro Cevalíos</t>
  </si>
  <si>
    <t>familia y vuestro amor. Dado en mi palacio real de Aranjuez á 16 de marzo de i8o8; = yo el réy.==A D. Pedro Cevalíos.” El Reí se ha servido conferir la tenencia coronela del regimiento de infantería de Jaén al comandante del tercer batallón del de voluntarios de Castilla D. Antonio Fermín Perez;</t>
  </si>
  <si>
    <t>Cevalios, Pedro</t>
  </si>
  <si>
    <t>Pedro Cevalios</t>
  </si>
  <si>
    <t>1189 Rs. Ms. En efectivo y vales reales» El Excmo. Sr. D. Pedro Cevalios ha dispuesto se entreguen al Excmo. Sr. D. Gregorio de la Cuesta treinta mil reales en efectivo para las urgencias de su exército; y al.comisionado en esta corte D. Antonio de Aba</t>
  </si>
  <si>
    <t>a de España, y ios medios que el imperador de los franceses ha .puesto en obra para realizarla; por D. Pedro Cevalios, primer secretario de Estado y del despacho de S. M. católica Fernando vii. Se hallará á 8 rs. en el despacho de la im-' prenta rea!. Introducción parafixar el servicio de ios est</t>
  </si>
  <si>
    <t>Cevallos, Pedro</t>
  </si>
  <si>
    <t>Pedro Cevallos</t>
  </si>
  <si>
    <t>para su cumpiimiento^=r Señalado de la real inano de S. M. = En Aranjuez á 3 de enero de 1808. = A D. Pedro Cevallos.” S. M. se ha servido conferir la tenencia coronela del regimiento de infantería de Africa al comandante del tercer batallón del de Córdoba , graduado de coronel, D. Manuel Armeii</t>
  </si>
  <si>
    <t>Madrid 24 (supl.)</t>
  </si>
  <si>
    <t>E MARZO DE 1808. Con fecha de ayer se ha servido S. M. expedir el Real decreto siguiente: ,, Aunque D. Pedro Cevallos, mi primer secretario de estado y del despacho, ha hecho en mis manos renuncia de este encargo por varias razones que me ha expuesto, no he venido en admitírsela, pues me consta m</t>
  </si>
  <si>
    <t>eis al consejo y demas á quienes corresponda. Dado en Aranjuez á 19 de marzo de i8o8.=Yo Elrei. = A D. Pedro Cevallos,^ ET Reí nuestro Señor D. Fernando Séptimo se ha servido expedir los siguientes reales decretos: 1 ,, Como* por la abdicación que mi venerado Padre Ha, hecho en Mí* de su real cor</t>
  </si>
  <si>
    <t>Tendreislo entendido, y publicareis este mi real decreto. = En Arahjuez á 22 de marzo de 1808. = A D. Pedro Cevallos.” ^- 5.° „En consideración á que los individuos de mi consejo de estado, y el ^secretario de estado y de gobierno, de mi dicho consejo D. Josef García de León y Pizarró necesitan</t>
  </si>
  <si>
    <t>0 2200 D. Francisco Montes..................................... . Coruña....... 300 1837 Excmo. Sr. D. Pedro Cevallos.......................... Zaragoza..... 300 305 Rafael Medina y Lafita...................... ................ Málaga........ 300 48 D. Angel García y Romero....... ...............</t>
  </si>
  <si>
    <t>Madrid 85</t>
  </si>
  <si>
    <t>ayona á 7 de julio de i8o8.=A D, Sebastian Piñuela, Excmo. Sr.: El Rei se ha servido nombrar al Sr. D. Pedro Cevallos ¡ministro de Negocios extrangeros; al Sr, D. Gaspar Melchor de Jovellanos ministro del Interior; al Sr. D. Miguel Josef de Azanza ministro de Indias: ha confirmado al Sr. D. Gonza</t>
  </si>
  <si>
    <t>estos mui estropeados. (Diario de Lérida núm* 36*) Madrid 7 de setiembre. Exposición del Excmo. Sr. D. Pedro Cevallos sobre el modo con que el gran duque de Berg sorprehendió d la Junta de gobierno para que le mandase entregar eípreso D* Manuel Godoi. Desde que el gran duque de Berg, lugar-tenien</t>
  </si>
  <si>
    <t>Cévallos, Pédró</t>
  </si>
  <si>
    <t>Pédró Cévallos</t>
  </si>
  <si>
    <t>r.? eonde de &lt;"íalara. * *4 2 ,r r ExCmo. SrtiD. BártóloméSanabria.........;.;: 2 ? 4 2 Excino. Sr. D. Pédró Cévallos.................... 6 6 nuevas. * Sr. conde de Polen tí nos.............. ...1 2 * ■; Sr, donde dé Nobléj^....Vvv**»y**r***1 . 1 nueva. \V %^'¡»atqufesí'4e'ííll,rWe^!?'^**:-,*',^,</t>
  </si>
  <si>
    <t>deh de la suprema Junta gubernativa', instalada enConde de Montarcó. Aranjuez, del tenor siguiente: D. Pedro Cevallos. „Por la conformidad de votos de casi todósdo£ Fr, D. Francisco Gil. vocales , que representan lor reinos de España , se hizo la instalación de la Junta central;del gobierno de el</t>
  </si>
  <si>
    <t>etiembre de 1808.= Palafox.” La dirección general de correos y caminos, presidida por e! Excmo. Sr. D, Pedro Cevallos, ademas de los donativos de dinero y otros efectos que tiene ya hechos para acudir á las necesidades del exército, y á pesar de la escasez de fondos con que se halla por la falta</t>
  </si>
  <si>
    <t>Cévallos, Pedro</t>
  </si>
  <si>
    <t>Pedro Cévallos</t>
  </si>
  <si>
    <t>ino, en sesión de 13 del corriente se ha servido nombrar secretario dé Estado y del Despacho al Sr. D. Pedro Cévallos; deL de Gracia y Justicia al Sr. D. Benito Hermida; del de Guerra al Sr. D. Antonio Cornel; del de Marina al Sr. D. Antonio Escaño; del de Hacienda, al Sr. D. Francisco Saavedra;</t>
  </si>
  <si>
    <t>ones de que se ha valido para preparar la usurpación de la corona de España. Es obra del Excmo. Sr. D. Pedro Cevallos»que ha sido sucesivamente primer secretario de Estado de Carlos iv y de Fernando vii, y aun lo fue también del intruso Josef Bonaparte, hasta que logró el deseado momento de hacer</t>
  </si>
  <si>
    <t>a, y los mismos afectos ocuparon á todos los Sres. vocales de la Junta suprema.' \ ;¿ El Excmo. Sr- D. Pedro Cevallos, primer secretarip de Estado y del despacho, ha comunicado á los demas Sres. secretarios de Estado y del despacho la real orden siguiente: Por un efecto del predominio que exercia</t>
  </si>
  <si>
    <t>Cfraddócfe, Juan</t>
  </si>
  <si>
    <t>Juan Cfraddócfe</t>
  </si>
  <si>
    <t>s preparativos . y. que* estos cíá¡s mú* cho cuidado en- nuestros- establecimientos dé lá India/—í_ Sir Juan Cfraddócfe volvía á Europa con lá flota del ibes de Octubre. El general Hewett y él lord Minto había» llegado á Madras; el primero vá á reemplazar al lord Xake en la comandancia general de l</t>
  </si>
  <si>
    <t>Chaiborro, Manuel</t>
  </si>
  <si>
    <t>Manuel Chaiborro</t>
  </si>
  <si>
    <t>17 de julio de 1808</t>
  </si>
  <si>
    <t>Madrid 89</t>
  </si>
  <si>
    <t>ne personas que le abonen. Darán razón en la calle de Hortaleza, núm. 18, quarto principal, casa de D. Manuel Chaiborro, administrador de reales provisiones. En la calle de Cantarranas, núm. 5, quarto segundo, frente á las Trinitarias, darán razón de un maestro de sastre, que tiene el gusto de ir á</t>
  </si>
  <si>
    <t>Chambobet, Miguel</t>
  </si>
  <si>
    <t>Miguel Chambobet</t>
  </si>
  <si>
    <t>.... Madrid....... 300 2305 R. P. Fr. Andrés Arguelles de S. Juan de Dios. Cádiz.......... 500 2103 D. Miguel Chambobet....................................... Cádiz...... 600 229 D. Juan Roca y Juan........................................ Alicante...... 300 1750 D. Juan Francisco Muro..............</t>
  </si>
  <si>
    <t>Chamorro, Francisco Sebastián</t>
  </si>
  <si>
    <t>Francisco Sebastián Chamorro</t>
  </si>
  <si>
    <t>nado S. M. nombrar para la alcaldía mayor de Es-, cuintla y Guazacapan, en el reino:de Guatemala, á D. Francisco Sebastian Chamorro; y para dos plazas -de agentes del número de Indias, vacantes por fallecimiento de D. Angel Escudero y D. Pédro^Aicántara López, á b; Santiago Fernandez y á D. Blas de Gortabarruu</t>
  </si>
  <si>
    <t>Chamorro, Juan Manuel</t>
  </si>
  <si>
    <t>Juan Manuel Chamorro</t>
  </si>
  <si>
    <t>180 17. D. Juan de Dios Ortiz, id............ ................................... ............ 60. D. Juan Manuel Chamorro, 50XS. mensuales, por 6 meses...... 300. Doña S. de V. , 60 id. por 2 id.....,............ ..................... ......... 120. D. Juan Manuel de Valle, 40 id. id.................</t>
  </si>
  <si>
    <t>Champagñi</t>
  </si>
  <si>
    <t>a partida de la Emperatriz,será el 7 , y que .llegará á Burdeos el 10. - El príncipe de Neufchatel, Mr. Champagñi, ministro de negocios ex-v irangeros, y Mr. Maret, ministro secretario de estado, .han salido también en seguimiento.¡del Emperador. El mayordomo mayor, Duroc acompaña igualmente</t>
  </si>
  <si>
    <t>Champagni</t>
  </si>
  <si>
    <t>se leyeron en la sesión que celebró el senado conservador el día % del corriente fue el informe de Mr. Champagni dirigido al Emperador. Este papel importantísimo pone á la vista de Europa y del mundo entero el plan de Napoleón respecto de los asuntos de España, y explica parte de los admirab</t>
  </si>
  <si>
    <t>sistían (según las noticias mas validas) en 2 cartas dirigidas y escritas á Mr. Canning, la una por Mr. Champagni, y la otra por Mr. Romanzou. Lo que contienen en substancia es, que el Emperador de Rusia y Bonaparte, igualmente ansiosos de poner fin á las calamidades de la guerra, han encarga</t>
  </si>
  <si>
    <t>as horas ha estado en París Mr. Snaw, y la contestación que trae, qualquiera que sea, se la ha dado Mr. Champagni. Han salidíT ya con destino á España los 3 regimientos de dragones que se embarcaron en Portsmout-----El lunes en la tarde dieron la vela, con viento favorable, los transportes de</t>
  </si>
  <si>
    <t>Champagni'ai</t>
  </si>
  <si>
    <t>Sevilla 20</t>
  </si>
  <si>
    <t>deliras. u Esta carta hecho aquí una gran sensación, A pecar de la que anteriormente había escrito Mr. Champagni'ai general Armscrong , fecha en París á 1.5 de Enere. GRAN BRETAÑA, Londres 6 de Julio* Se sabe ya por qué la expedición inglesa , que e$t£ en Gothemburgo » ha permanecido en inacció</t>
  </si>
  <si>
    <t>Champagny</t>
  </si>
  <si>
    <t>po que el Emperador saldría también pocos dias después para el exército, lord Lauderdale preguntó á Mr. Champagny si el Emperador Napoleón consentiría en suspender lá marcha de sus tropas contra Prusia .caso que la Inglaterra hiciese la paz. El Emperador mandó responderle afirmativamente. He</t>
  </si>
  <si>
    <t>Charmanr</t>
  </si>
  <si>
    <t>a dei obispo que se hallaba enfermo. Los discursos pronunciados por el prefecto r el previsor y por Mr. Charmanr, profesorado bellas letras, han sido mui aplaudidos. Sobre todo se han notado en las palabras que el prefecto ha dirigido á los jóvenes alumnos las ideas sabias, pro^ fundas y úti</t>
  </si>
  <si>
    <t>Chartea, Rafael</t>
  </si>
  <si>
    <t>Rafael Chartea</t>
  </si>
  <si>
    <t>sco dé S. Josef, prior del Carmen descalzo. Fr. Celedonio Urrutia , rector de Doña María dé Aragón. D. Rafael Chartea, diputado de Santa Isabel. D. Rafael Pascual, diputado de S. Plácido» D. Antonio Santa María, alcalde de dicho. D. Fe ipe Duró, presbítero , diputado de S. Basilio. D. Juan Manriq</t>
  </si>
  <si>
    <t>Chatan, Lord</t>
  </si>
  <si>
    <t>Lord Chatan</t>
  </si>
  <si>
    <t>se sabia en Lóndres á la salida del último paquete la erección del nuevo gobierno. =55 Se decía que Lord Chatan , hermano de Pit , venia á España , para cuyas costas se preparaba una expedición de 2o9 hombres. Sir Arturo WeJlesl^y salió el 7 de Inglaterra , y así espero encontrarlo en las a</t>
  </si>
  <si>
    <t>Chatrusa, Juan</t>
  </si>
  <si>
    <t>Juan Chatrusa</t>
  </si>
  <si>
    <t>. 300 2005 D. Quirico Puyo............................... 1............. Cádiz........... IOCO 2310 D. Juan Chatrusa*................. ........................... Cádiz........... 3C0 2395 D. Ramón Aguado............................................ Zaragoza..... 3 00 934 Sra. Condesa de Jaruco..</t>
  </si>
  <si>
    <t>Chavarrí, Domingo</t>
  </si>
  <si>
    <t>Domingo Chavarrí</t>
  </si>
  <si>
    <t>....................... 200. D. Miguel de Sorron, presbítero, por una vez..... ............... 100. D. Domingo Chavarrí, del comercio de lienzos, por una vez.... icooo. D. Josef Grosoley, gefe del ramillete........................................... 20a. D. Josef Lesé, ídem, por una vez............</t>
  </si>
  <si>
    <t>Chavarri, Domingo</t>
  </si>
  <si>
    <t>Domingo Chavarri</t>
  </si>
  <si>
    <t>ntonio García 200. ger Doña Josefa López 206 rs. 12 D. Francisco García* de Arias 12a. r nirs&gt; • -y D. Domingo Chavarri 400. D. Isidro Velazquez 1263 rs. 17 mrs. D. Domingo García 60. ‘ en efectos de estado. ; ; D; Pedro Martin 60. D. Fermín María de Uria NafarroaD. Sebastian del Conde 200. ; ; - .</t>
  </si>
  <si>
    <t>Chavarrí, Francisco Antonio</t>
  </si>
  <si>
    <t>Francisco Antonio Chavarrí</t>
  </si>
  <si>
    <t>e, 500 rs. por una vez, y 732 por 4 meses á 6 rs. diarios.......... .........;................. I23*D. Francisco Antonio Chavarrí, del comercio de sedas, por un año....................................................................................... 21900. D. Josef de Arce , por agosto á. 4 rs. diarios....</t>
  </si>
  <si>
    <t>Cheloni, Carlos</t>
  </si>
  <si>
    <t>Carlos Cheloni</t>
  </si>
  <si>
    <t>a en la fortaleza, grados,de teniente de milicias urbanas; A D. Carlos Baneti , Don Mariano García, D. Carlos Cheloni, subtenientes del nominado cuerpo de maestranza ; y á B. Isidro Castellano, abanderado de dicho cuerpo, grado de subteniente de milicias urbanas. ’:AD; Domingo'Ugalde,'. alférez d</t>
  </si>
  <si>
    <t>Chenier</t>
  </si>
  <si>
    <t>, Domergue , Lacretelle, Laujon , Ray-, nouard y Picard, presentada por el ministro de lo interior. Mr. Chenier pronuncio Un discurso en que resumió el informe mandado hacer por S. M. sobre los ramos de literatura enjargados á la clase, y señaladamente sobre el estado y progresos de la leng</t>
  </si>
  <si>
    <t>Cherami</t>
  </si>
  <si>
    <t>ha formado, el general y los gefes del cuerpo se expresan en estos términos: ,,Somos de parecer que Mr. Cherami ha hecho un servicio importante á lá artillería, y que su método debe adoptarse en lugar del que se ha usado hasta ahora.” París 27 de junio. 1 Escriben de Viena lo siguiente: ,*H</t>
  </si>
  <si>
    <t>Cherif, Nicolás</t>
  </si>
  <si>
    <t>Nicolás Cherif</t>
  </si>
  <si>
    <t>on valor, siendo digna de recóliiendacion, como sus oficiales, señaladamente su denodado comándente D. Nicolás Cherif, que por desgracia ha sido gravemente herido: sórt también beneméritos los voluntarios de caballería de Utrera, por el honroso servicio que han prestado en las ocasiones que se le</t>
  </si>
  <si>
    <t>Sevilla 25</t>
  </si>
  <si>
    <t>exército han adquirido mucho mérito» como también la compañía de lanceros de Xerez á las órdenes de D. Nicolás Cherif y la de voluntarios de Utrera a la de D. Josef Sanabria^ El teniente general D. Manuel de la Peña con su cuerpo de reserva , y el mariscal de campo D. Félix Jones , comandante de la terce</t>
  </si>
  <si>
    <t>urrir en una difusión agena de un parte militar. La compañía de lanceros de Xerez, á las órdenes de D. Nicolás Cherif, y la de voluntarios de Utrera, i la de D. Josef Sanabria , han hecho servicios mui distinguidos. Si la conducta de los generales Reding y Coupigni es digna del mayor elogio, no l</t>
  </si>
  <si>
    <t>Chevarria, Antonio</t>
  </si>
  <si>
    <t>Antonio Chevarria</t>
  </si>
  <si>
    <t>Felipa Estuaila y Doña Rita Vada 3. D. Ventura López 2. Don Rodrigo Rocas 6 camisas, hilas y paños. D. Antonio Chevarria 18 vendas. El alcalde del barrio de las descalzas Reales 8 camisas finas. Doña Felipa Pascual una libra de hilas. Las niñas de Legaftes 6 libras de hilas, paños y verdas. D. Migue</t>
  </si>
  <si>
    <t>Chianfi, Manuel</t>
  </si>
  <si>
    <t>Manuel Chianfi</t>
  </si>
  <si>
    <t>lona.... 500 2066 D. Eulogio del Rosal......................................... Cádiz..... 300 1968 D. Manuel Chianfi............................................... Zaragoza 3 co 1439 Josef Soto y Manteli................ ............. . Málaga... 3 00 925 D. Agustin Aguilar.......................</t>
  </si>
  <si>
    <t>Chinard</t>
  </si>
  <si>
    <t>14 de junio de 1808</t>
  </si>
  <si>
    <t>Madrid 57</t>
  </si>
  <si>
    <t>erraban la marcha un escuadrón de; gendarmes y un destacamento de la guardia de París. oí-.-..;:; . Mr. Chinard , célebre-estatuario, ha conducido deCarraraá. León .¿.en* iré otras obras, el busto; cplosaldel gerteyal pe$$aix, que viepe, paraser colocado en el palacio del Louvre. Los inteli</t>
  </si>
  <si>
    <t>Chiríbella, Vicente</t>
  </si>
  <si>
    <t>Vicente Chiríbella</t>
  </si>
  <si>
    <t>de Doña María de Aragón. D. Juan Soto, alcalde de id. D. Melchor Gómez de la Torre, diputado id. P. D. Vicente Chiríbella, prepósito de S. Felipe Neri. D. Estéban de la Torre, por el cuerpo del comercio. Don Gabriel Vales, diputado del barrio de lá Cruz. D. Jorge Ancos , secretario de la de Santa Mar</t>
  </si>
  <si>
    <t>Cholvi, Sebastián</t>
  </si>
  <si>
    <t>Sebastián Cholvi</t>
  </si>
  <si>
    <t>Sta. Mar ría y S. Juan de ía parroquial de Pego, diócesi, de Valencia, vacante poj fallecimiento de D. Sebastian Cholvi; y á D. Felipe Antonio Blasco para una ración de ía colegial de Daroca, diócesi de Zaragoza. El Reí se ha servido conferir la comandancia del tercer batallón del regimiento de inf</t>
  </si>
  <si>
    <t>Ci, Jacinto</t>
  </si>
  <si>
    <t>Jacinto Ci</t>
  </si>
  <si>
    <t>D. Ramón de Haro 12 camisas. Doña Isabel Aguilera ó. D. Tomas de Arsu 12. Doña Teresa Clemente una. D. Jacinto Ci!a de Riofrío 2. D. Isidro Marcelo 4. D. M. J. 6 id. 12 vendas, unos caDoña M. L. F. 2. bezales y 2 libras de hilas. D. Josef García Alvarez 6. D. Antonio Sainz de Rozas 6, D. Jose</t>
  </si>
  <si>
    <t>Ciaran, Ramón</t>
  </si>
  <si>
    <t>Ramón Ciaran</t>
  </si>
  <si>
    <t>Isidro Gaspar de Aranzazuj. D. Leandro Sandoval y su escribienDoñá María Nicolasa .Montero 2. v te D. Ramón Ciaran 5. 4 Doñ$.Míc.aéU, Rapftqn’á‘'Nicolási2.y im D. Domingo Ibarrolá 6. r • par 'de- calcetas'. _ ‘ ‘ y ''/ * j- * D. v ■ - ; -• ' - ¡l T D. Gregorio Bañares 6 camisas. ' D. Bernardin</t>
  </si>
  <si>
    <t>Ciaros, Juan</t>
  </si>
  <si>
    <t>Juan Ciaros</t>
  </si>
  <si>
    <t>s de Vich, Manresa» Granollers y Tarragona, pintamente con las que se hallaban al mando de! capitán D. Juan Ciaros, apostado hacia tiempo para incomodar los distintos . convoyes que de Figueras y Francia conducían los enemigos á Gerona. A su arribo ál pueblo de Castellá supo que podia contar c</t>
  </si>
  <si>
    <t>Cibat, Antonio</t>
  </si>
  <si>
    <t>Antonio Cibat</t>
  </si>
  <si>
    <t>Borbon, y ayudante de campo del general en gefe, en Odensé: no abrazó la resolución de la división. D. Antonio Cibat, cirujano mayor, en Langeland: sequedó en Langeland, * habiendo seguido la división desde Nieborg hasta esta isla.' D. Bernabé Rapun, comisario de guerra, se sabe extra judicialme</t>
  </si>
  <si>
    <t>Cien, Francisco Xavier</t>
  </si>
  <si>
    <t>Francisco Xavier Cien</t>
  </si>
  <si>
    <t>illa mayor, donde comenzó la misa de pontifical , en la que estuvo de mayor asistente el Excmo. Sr. D. Francisco Xavier Cien fuegos , vocal de la Suprema Junt a , y cantaron el evangelio y epístola los canónigos Dr. D. Manuel María de Caraza y Dr. D. Nicolás Briseñó , doctoral de esta Sta. Iglesia. Pred</t>
  </si>
  <si>
    <t>Cienfuegos, Francisco Xavier</t>
  </si>
  <si>
    <t>Francisco Xavier Cienfuegos</t>
  </si>
  <si>
    <t>r permanecerá descubierto hasta la conclusión de nuestra honrada y cristiana empresa, el Excmo. Sr. D. Francisco Xavier Cienfuegos, canóaigo de esta Patriarcal é individuo de la Junta, habiéndola oficiado la capilla de música de nuestra Catedral, y predicó el Dr. D. Manuel María Rodríguez y Romero, capelían m</t>
  </si>
  <si>
    <t>sen á sus vocales los fíxcmos. Sres. P. Mro. Manuel Gi!, su vicepresidente y O. Francisco Xavier Cienfuegos, canónigo de esta iglesia, quienes le hicieron presente el respeto con que la Junta miraba su sagrada persona, y el amor con que se ocuparla en quaoto fuese de su agrado y satisfacción, pue</t>
  </si>
  <si>
    <t>Cifuentés, Jorge</t>
  </si>
  <si>
    <t>Jorge Cifuentés</t>
  </si>
  <si>
    <t>, y con la misma libertad de salir de apelación. Los pretendientes dirigirán sus memoriales al Lie. D. Jorge Cifuentés, abogado de la reai chancillería de Valladolid y alcalde ordinario en ella; en la inteligencia que la vacante de médico se proveerá en el dia 23 de julio de este año, y la del de</t>
  </si>
  <si>
    <t>Ciríaco Martín de la Peña</t>
  </si>
  <si>
    <t>0. B. M. G. H., id.......................................................................... 15 00. D. Ciríaco Martin de la Peña, id................................................ 160. D. Mateo Recio , id...................................................................... 300. F1 marques de Melgarejo, id</t>
  </si>
  <si>
    <t>Ciríaco Ximeno</t>
  </si>
  <si>
    <t>. D. Juan García, id. id...................... .............................. ................ 100. D. Ciríaco Ximeno, id. id.......................... 1................................. roo. D. Josef Nafria, id. id............. ............... .............. ......... ............... 100. D. Est</t>
  </si>
  <si>
    <t>Cirilo Nenin</t>
  </si>
  <si>
    <t>........ Zaragoza.,... IOOO 57 D. Armengol Dalmau y de Cubells...... ....... Barcelona,i,. 500 1217 D. Cirilo Nenin y D. Francisco Chavarri.... Bilbao........ ; 300 2023 D- Juan de Dios Iracheta................................. Cádiz....,,.... 500 2306 R. P. Fr. Andrés Arguelles de S. Juan de Dios.</t>
  </si>
  <si>
    <t>Cirios</t>
  </si>
  <si>
    <t>o retirar de q.1 :i ios franceses* Aid El instrumento de renuncia de Fernando VIL y de los Infantes D. Cirios y D. Antonio expresa bien á las claras la violencia que se les hacia. ,, En consideración, ,, dice, ai estado de la España, y de ia familia real, y á los males que padecerían los espa</t>
  </si>
  <si>
    <t>Cirios Blagden</t>
  </si>
  <si>
    <t>según resulta de la comparación hecha entre núes-; tros experimentos, los del Dr. Fordice, y los de Sir Cirios Blagden* ,,En igual temperatura es mucho mas fuerte la sensación causada por el aire carghdo de vapores , que por el aire seco;, lo que hemos probado por nosotros mismos para corroborar u</t>
  </si>
  <si>
    <t>Cirios Febrer</t>
  </si>
  <si>
    <t>e hacer postura, acudirá á la escribanía que desempeña D. Claudio Constanzo. 1 * Por providencia de D. Cirios Febrer, juez comisionado regio en la diócesi de Tortosa, se ha señalado el día 30 del presente para el remate de un molino harinero, con sus tierras átoexas, sito en el término de la vil</t>
  </si>
  <si>
    <t>Cirios Montero</t>
  </si>
  <si>
    <t>118 nes del de AméricítD. Pedro AMmer, del de Cantabria D. Cirios Montero, del de Africa D. Pedro Labastida, del mismo de Toledo D. Nicolás Darctmrt, del expresado de Mallorca D. Antonio Hernando, del propio de Irlanda D. Patricio Kearney, del inmemoria</t>
  </si>
  <si>
    <t>Cirios, Archiduque</t>
  </si>
  <si>
    <t>Archiduque Cirios</t>
  </si>
  <si>
    <t>as de la grande águila de_honor, destinadas para S. M, el Emperador de Austria, para SS. AA .RR. el Archiduque Cirios y el Archiduque Juan, para los condes de Stadionyoe Wrbna, y para el general Meerfeld. , , El Emperador ha expedido un decreto en que manda hacer el censo de la población-del ducado d</t>
  </si>
  <si>
    <t>Cisnero y Toledo, Lorenzo</t>
  </si>
  <si>
    <t>Lorenzo Cisnero y Toledo</t>
  </si>
  <si>
    <t>arios...... ............................................ ......... ........................... 124. D. Lorenzo Cisnero y Toledo, agente de negocios, 1® rs. por una vez, y 3 diarios..................... ................................................ 1000* D. Andrés Romero y Valdés, alcalde de corte, 1500</t>
  </si>
  <si>
    <t>Cisneros Toledo, Lorenzo</t>
  </si>
  <si>
    <t>Lorenzo Cisneros Toledo</t>
  </si>
  <si>
    <t>me Mateo 2 chaquetas y 2 gor-, La viuda de Espárza una sábana. ■ ras. D. Pascual Herrero 3 camisas. D. Lorenzo Cisneros Toledo 3 camiD. Isidro Viota 20 varas de lienzo. sas y 3 chalecos. Real compañía de la Havana 3 40 va­ D. Francisco Garrido, presbítero, 3 ras de barragan. camisas. D. J. A. 10 varas y m</t>
  </si>
  <si>
    <t>Cisneros, General</t>
  </si>
  <si>
    <t>General Cisneros</t>
  </si>
  <si>
    <t>1 de junio de 1808</t>
  </si>
  <si>
    <t>Sevilla 1</t>
  </si>
  <si>
    <t>he de este dia ha habido iluminación general. Se ha formado una Junta de Guerra presidida por dicho General Cisneros siendo su segundo Ciscar, y compuesta de todos los Generales y Comandantes de cuerpos militares, los Auditores y varios Regidores. Han salido diferentes Oficiales para Granada, Va</t>
  </si>
  <si>
    <t>Cisneros, Lorenzo</t>
  </si>
  <si>
    <t>Lorenzo Cisneros</t>
  </si>
  <si>
    <t>illas de cinturón. Dia itT. D. Bernardino Gómez 6 camisas de coruña. Un incógnito 6 de coruña fina. D. Lorenzo Cisneros 6 pares dé calcetas , 2 sábanas y 2 camisas, usadas. D Juan Bert 5 pares de zapatos. D. Santiago Miguel de Haedo 6 camisas. D. Fernando Soria ^platero, 22 varas de lienzo y 6 pare</t>
  </si>
  <si>
    <t>Cisneros, Teniente General</t>
  </si>
  <si>
    <t>Teniente General Cisneros</t>
  </si>
  <si>
    <t>rto , y la conduxese á Tolon ; mas se impidió semejante operación , depositando aquella órden en el Teniente General Cisneros ; y la noche de este dia ha habido iluminación general. Se ha formado una Junta de Guerra presidida por dicho General Cisneros siendo su segundo Ciscar, y compuesta de todos los G</t>
  </si>
  <si>
    <t>Cito, Francisco</t>
  </si>
  <si>
    <t>Francisco Cito</t>
  </si>
  <si>
    <t>regimiento de Granada y demas, y de los capitanes D. Antonio Marín y D. Juan Casanova, del teniente D. Francisco Cito, y del subteniente D. Juan de Arista, que rodeados por una partida de enemigos, se defendieron con solos 7</t>
  </si>
  <si>
    <t>Citters</t>
  </si>
  <si>
    <t>io. , . Nuestro Soberano permanece aún en el sitio de Loo, donde el dia 13: recibió el juramento de Mr. Citters, que ha sido nombrado secretario del director\general de la tesorería. * l Creese que á fines de este mes irá S. M. á revistar las tropas de los campamentos de Vasdorp y de Amerfo</t>
  </si>
  <si>
    <t>Civaldos, Francisco</t>
  </si>
  <si>
    <t>Francisco Civaldos</t>
  </si>
  <si>
    <t>guida at^cacOÓ 40 dél regimiento citado ae cazadores voluntarios de España , al triando?del alférez D. Francisco Civaldos, habiendo desordenado al enemigo juy muerto ia de los que se presentaron. Por nuestra parte no tuvimos mas que un caballo herido del sargento de la partida. El denuedo de la tropa</t>
  </si>
  <si>
    <t>CJarebout, Joaquín</t>
  </si>
  <si>
    <t>Joaquín CJarebout</t>
  </si>
  <si>
    <t>8 de junio de 1808</t>
  </si>
  <si>
    <t>Sevilla 3</t>
  </si>
  <si>
    <t>s valerosas , sino que se han creado 5. nuevos de infantería, de los quales son Coroneles los Sres. D. Joaquín CJarebout, D. Josef Medina y Cabailías, D. Juan María Maestre, Caballeros maestrantes de la Real de Caballería de esta Ciudad , D. Gonzalo Ramírez Delor , Comisario Ordenador , y D, Pedro P</t>
  </si>
  <si>
    <t>Clara Sexti y Badan</t>
  </si>
  <si>
    <t>iembre 26. Doña María Soria 2 camisas. D. Dámaso Santos Martínez 2. Doña Micaela Ramona Nicolasa 2. Doña Clara Sexti y Badan 6. Don Antonio Ribera 6 camisas de coruña. Las religiosas de las Vallecas 10. D. Josef Benitez 6. Doña Gertrudis Padella de Cano una. Doña María Ricarte 2. Día 27. D. Manuel Gonzá</t>
  </si>
  <si>
    <t>Clarkc, Juan</t>
  </si>
  <si>
    <t>Juan Clarkc</t>
  </si>
  <si>
    <t>ica. El Reí se ha servido conceder la comandancia del batallón de la Concepción de Chile al coronel D. Juan Clarkc, sargento mayor del mismo cuerpo; y esta resulta á D. Plácido de Silva, capitán del regimiento de infantería'de Murcia. En el regimiento provincial dé dragones de Mechoacan , en N</t>
  </si>
  <si>
    <t>Claró, Juan</t>
  </si>
  <si>
    <t>Juan Claró</t>
  </si>
  <si>
    <t>os en* Palata* Sabardéra.” ,, Del 8. = Alyer mañana, quandb2 aclaró el diarsalió eíteniente coronel D. Juan Claró» con su división y somatenes á atacar al enemigo , que^ se puso a tiro»de canon de la plaza, y di ó principio el tirctéo reí fuego-fue basante? vivo por ambas partes. Al medio dia</t>
  </si>
  <si>
    <t>Claros, Francisco</t>
  </si>
  <si>
    <t>Francisco Claros</t>
  </si>
  <si>
    <t>madre, le dividieron en dos partes de una cuchillada. Recomienda Claros el valor del sargento mayor D. Francisco Claros, de sñ segundo D. Ramón Bai, capitán del segundo de infantería ligera de Barcelona, y al gobernador de Figueras, y comandante de la tropa inglesa, y al capitán O. Narciso Cordech,</t>
  </si>
  <si>
    <t>Claros, Juan</t>
  </si>
  <si>
    <t>Juan Claros</t>
  </si>
  <si>
    <t>erona era inevitable: inmediatamente dispuso y mandó el ataque para el dia siguiente en esta forma. Don Juan Claros, apostado en los Angeles con 2500 hombres entre miqueletes y paisanos, debía salir de su posición, y atacar la ermita de S. Miguel, ocupada por los franceses luego que avistase la</t>
  </si>
  <si>
    <t>el mismo cuerpo, que ha sido herido ; D. Juan Baget, coronel y comandante de Jos tercios de Lérida; D. Juan Claros, capiran retirado; Don Manuel Bodet, capitán de granaderos del regimiento de Soria; D. Manuel Montesinos, capitán de infantería de Extremadura; D. Manuel Antunez, alférez de guard</t>
  </si>
  <si>
    <t>en su precipitada fuga de Gerona tomó e.! camino de Figueras, fue perseguida con el mayor tesón por D. Juan Claros y por las compañías de miqueletes que tenia á su mando; y luego dispuso el general conde de Caldagués que pasase al mismo destino el tercio completo de aguerridos miqueletes de esta</t>
  </si>
  <si>
    <t>Clarós, Juan</t>
  </si>
  <si>
    <t>Juan Clarós</t>
  </si>
  <si>
    <t>a los franceses con tanto furor, que es preciso detenerlos por no exponer tanto sus vidas. El mismo D. Juan Clarós, hablando de la función de la Junquera* tenida el 3 , dice, que merecen ¡articular elogio los Italia* nos y napolitanos que le siguen, los quiles con una resolución admirable atac</t>
  </si>
  <si>
    <t>con carta del 15, resulta que los enemigos se han dirigido á la plaza de Rosas. El teniente coronel D. Juan Claros, nombrado para sostenerla y defenderla, fue atacada* las 4 de la tarde del día 6 en el lugar de* Pa</t>
  </si>
  <si>
    <t>,’ como por vlvesa y buen acierto úe la aiiillería y de los buqoes ingleses. En fin, la guarnición, D. Juan Claros con su g¿nte, y nuestros aliados mani Testaron su entusiasmo, haciendo al enemigo común el estrago posible, y desbaratando su proyecto contra el pueblo v la plaza.” * * * • „ Ahor</t>
  </si>
  <si>
    <t>, pues estaba apuesta' con motivo de haber caído un pedazo de muralla de un costado : que el famoso D. Juan Clarós sigue Lie Ludo dé las suyas, como siempré % y qué habiendo la bombárdera inglesa dirigido sus tiros á una casé, en dondé había un general francés1 cón' 12 oficiales, y topé acampa</t>
  </si>
  <si>
    <t>Clavija, Luis</t>
  </si>
  <si>
    <t>Luis Clavija</t>
  </si>
  <si>
    <t>ndo. vii. Se hace saber al público para que los que quieran alistarse en él se presenten en casa de D. Luis Clavija, calle de la Reina, casa núm. 2, quarto principal, á la derecha entrando por la calle de Hortaleza, desde las 7 y media á 9 por la mañana ,y por la tarde desde 4 á 6-----A los que</t>
  </si>
  <si>
    <t>Clavijo, Luis</t>
  </si>
  <si>
    <t>Luis Clavijo</t>
  </si>
  <si>
    <t>... . , . X2íj seedor en metálico, El cjue quisiere tratar de ¿juste podrá acudir á D. Luis Clavijo, que vive en lá!cállb dé la Reina, núm. 2, quaito principal. ' - ' ‘ LIBROS. ; &lt; i . Origen, .progresos y estado de las jejntas de la corona de España, sü gobierno y adsnini!&gt;trác</t>
  </si>
  <si>
    <t>Clemente López Miranda</t>
  </si>
  <si>
    <t>ico , id................................. .................................................... 600. D. Clemente López Miranda , id....... .............................................. 200. Un ayuda de furriera del quarto y servidumbre de S. M., id... 500* D. Jorge Martin, sastre de cámara, una boleta de</t>
  </si>
  <si>
    <t>Clemente Reguero</t>
  </si>
  <si>
    <t>. D. Angel González 3 eamisas. El marques de Campo-Villar 12 caD, Antonio Martínez Alonso 2. misas. D. Clemente Reguero 6.' D. T. A. O. 28 varas de lienzo. La Alcaldesa de la cárcel de la Co? D. Diego Blas una camisa, £ vendas roña 4. ¿J con cabezales.</t>
  </si>
  <si>
    <t>Clemente Uribarren</t>
  </si>
  <si>
    <t>parroquia de S. Lorenzo. Entraron después D. Esteban Rodríguez , del barrio de Guardias Españolas; D. Clemente Uribarren, id. D. Francisco, Redondo y D. Pedro Barcenas, id. Juntos asi en las casas consistoriales, sien—1 do la hora de la una , se hizo presente por el señor corregidor , que ia vi-* li</t>
  </si>
  <si>
    <t>Clemente, Juan</t>
  </si>
  <si>
    <t>Juan Clemente</t>
  </si>
  <si>
    <t>*4 4 44 44 4-4-4 4 4 4 4 44 4 4*4 44 44 4 4 4 D„,AJexo.Pemer.,.preshítero, 20 rs. mensuales.... 20 D. Juan Clemente, 20 rs. mensuales.................... 20*</t>
  </si>
  <si>
    <t>Clinton</t>
  </si>
  <si>
    <t>de los Estados. Mr. Madisson tuvo 83 votos para la presidencia: Mr. Monroe tuvo 3 , y otros tantos Mr. Clinton. Este último fue elegido unánimemente para la vice-presidencia» El enviado ingles Mr. Rose ha propuesto que antes de darse principio á la negociación se revoque el embargo puesto</t>
  </si>
  <si>
    <t>Clinton, Jorge</t>
  </si>
  <si>
    <t>Jorge Clinton</t>
  </si>
  <si>
    <t>presidente de los EstadosUnidos, han dado'88 Votos á Sir James Madisson para laipresidencia, y 79 á Sir Jorge Clinton para la vicei presidenciaif En eonscaoencia, su? n &gt; ubre# se han presentado al pueblo, con un decreta diírtado unánimemei te,en que lorreptesentantes de ia nación exponen los sen</t>
  </si>
  <si>
    <t>Cochrane, Almirante</t>
  </si>
  <si>
    <t>Almirante Cochrane</t>
  </si>
  <si>
    <t>Sevilla 17</t>
  </si>
  <si>
    <t>2f. DE JULIO DE 1808. GRAN BRETAÑA. Londres 22.de Junio• Oficios del Almirantazgo^Caxto. dirígUa al Almirante Cochrane, Comandante en xefe en las islas de Barlovento por W. Selby, comandante de expedición. A bordo del Cerbero, en María .Galante 3 de Marzo, Tengo el honor de comunicaros la rendició</t>
  </si>
  <si>
    <t>Cockon</t>
  </si>
  <si>
    <t>olemne de premios en la academia imperial de pintura de esta ciudad. Malouet, prefecto marítimo , y Mr. Cockon, prefecto del departamento, asistieron á la ceremonia con los principales gefes políticos y militares. El prefecto del departamento pronunció un discurso sobre la emulación, y se</t>
  </si>
  <si>
    <t>Col</t>
  </si>
  <si>
    <t>que el principio de su poder depende de otras causas inseparables de la constitución de este reino. Mr. Col q hou n, autor de una excelente obra sobre la policía ¿de Londres, que ha sido traducida ya en varias lenguas, está componiendo otra, sobre las casas de los pobres , y sobre los m</t>
  </si>
  <si>
    <t>Colas, Antonio</t>
  </si>
  <si>
    <t>Antonio Colas</t>
  </si>
  <si>
    <t>.... 600 1561 D. Apolinar de Iguazan...................................... Bilbao......... 300 1947 D. Antonio Colas....................... ........................ Zaragoza..... 300 2406 D. Segundo Torres....................... ...................... Zaragoza..... óoo 1753 D. Antonio Manuel Tri</t>
  </si>
  <si>
    <t>Colchero, María</t>
  </si>
  <si>
    <t>María Colchero</t>
  </si>
  <si>
    <t>0. Rafael Acosta 3. 0. Antonio Villascñor 2. Doña María González 2. Las monjas de Sta. Catalina 2. Doña María Colchero 2. Doña Encarnación Latís 2. 0. Manuel López 1. Las monjas de la Encarnación 4. El conde Galvez 3. 0. Diego Erran 1. 0. Simón Ortiz 2. Doña Pascuala Trijueque 2. Doña Teresa Moren</t>
  </si>
  <si>
    <t>Coleta, Manuel</t>
  </si>
  <si>
    <t>Manuel Coleta</t>
  </si>
  <si>
    <t>......... Cádiz.......... 500 412 P. Jo¡sef Francisco Odria de Escoriaza..... Santander.... 500 738 D. Manuel Coleta......... .................. ........... Madrid........ 500 481 D. Leandro González de Lafuente............ Bilbao......... 500 759 D. Josef de Riquena..................... . Madri</t>
  </si>
  <si>
    <t>ColiiagMrood, Lord</t>
  </si>
  <si>
    <t>Lord ColiiagMrood</t>
  </si>
  <si>
    <t>de la insurrección » se había iateruado hasta Córdoba » donde esperaba refuerzos. Los despachos del Lord ColiiagMrood describen la rendición de la esquadra francesa y los felices efectos producidos por las operaciones de Spencer. Los del almirante Catión no son menos satisfaceos ios* Cuenta cois mas</t>
  </si>
  <si>
    <t>Coliinwood, Lord</t>
  </si>
  <si>
    <t>Lord Coliinwood</t>
  </si>
  <si>
    <t>Junta se ha publicado el siguiente decreto de S. MY Británica, que acaba de comu^' nicarle S. E. el Lord Coliinwood. %</t>
  </si>
  <si>
    <t>Coll y AÍsina, Pedro Martín</t>
  </si>
  <si>
    <t>Pedro Martín Coll y AÍsina</t>
  </si>
  <si>
    <t>ances, contrata de compañía, cartas &amp;c. que para gobierno de un hijo suyo joven comarcíante compuso D. Pedro Martin Coll y AÍsina-. un tomo en 4.0 Se hallará en la librería de Martínez, frente á S. Felipe el Real, y en Barcelona en las de Gaspar y Casas. MUSICA. En la librería de Dávíla, calle de las Carretas</t>
  </si>
  <si>
    <t>Coll, Juan Bautista</t>
  </si>
  <si>
    <t>Juan Bautista Coll</t>
  </si>
  <si>
    <t>Silva, del comercio de esta corte, un vale de 15,0 pesos, creacicn de i.° de enero, níím. 341199, á D. Juan Bautista Coll, de Matare, con epdoso á favor de este; y no habiendo llegado á su destino, si alguno le hubiese retenido, se servirá remitirlo adicíio Jaime, ó al expresado Coll. * . * LIBROS. ■</t>
  </si>
  <si>
    <t>Collado, María</t>
  </si>
  <si>
    <t>María Collado</t>
  </si>
  <si>
    <t>de... 4 libras de hilas y 7 vendas. Las monjas Capuchinas del convento de Pinto 12 libras de hilas. Doña María Collado y hermanas presentaron 2 baúles para la conducción de hilas ai exército. El Sr. D. Andrés Romero Valdes , alcalde de la real Casa y Corte. 24 pares de zapatos nuevos para la tropa.</t>
  </si>
  <si>
    <t>Collin</t>
  </si>
  <si>
    <t>15 de julio de 1808</t>
  </si>
  <si>
    <t>Madrid 87</t>
  </si>
  <si>
    <t>literarias no hai que extrañar .que no se haya hablado nada sobre lasrtragedias huevas. dé&gt; un ta! Mr. Collin, que no es de ningún partido; y que tal vez podrá .ser el gefe de uno .nuevo. Su Zenobia es uña buena tragedia por la regularidad del plan, y por ¡su estilo noble y puro: el asunt</t>
  </si>
  <si>
    <t>Collingwood, Almirante</t>
  </si>
  <si>
    <t>Almirante Collingwood</t>
  </si>
  <si>
    <t>risioneros franceses de la esquadra. ¡ ' Por un aviso,, que ha llegado de Lóndres á la esquadra del Almirante Collingwood, se. saben las ventajosas disposiciones del gobierno ingles á nuestro favor, que se ha env* barcado ya la legión alemana y otras tropas en número de 16$. hombres con ioo9. fusiles</t>
  </si>
  <si>
    <t>to de Cádiz al de Piimouth ó Falinouth en Inglaterra : entre tanto habrá una maleta en el navio del Almirante Collingwood para recibir las cartas, que se enviarán con los pliegos 6 despachos del mismo Almirante. Da Junta Suprema ha comisionado á dos vocales suyos los Excmos. Sres. D. Andrés de Miñano</t>
  </si>
  <si>
    <t>Collins</t>
  </si>
  <si>
    <t>Madrid 78</t>
  </si>
  <si>
    <t>ué después dan á sus iñugerés. Todas llevan en sus cabezas señales bien sensibles de ésta crueldad. Mr. Collins, arrebatado de un movimiento'de sensibilidad, dice con efeté motivo: ,,.E$ tan infeliz la suerte’de estás múgeres, qué habiendo visto á'una niña, á quien su madre llevaba sobre la</t>
  </si>
  <si>
    <t>Colomar, Bartolomé</t>
  </si>
  <si>
    <t>Bartolomé Colomar</t>
  </si>
  <si>
    <t>leto de las enfermedades sifilíticas ó venéreas de F. Svediaur, traducido con notas y adiciones por D. Bartolomé Colomar, médico de número de los reales exércitos, de los hospitales General y Pasión, de la academia médica de Madrid &amp;c.: tomo 3.0 y último, que contiene los remedios no mercuriales cel</t>
  </si>
  <si>
    <t>Colomer y Girald, Juan</t>
  </si>
  <si>
    <t>Juan Colomer y Girald</t>
  </si>
  <si>
    <t>bay D. Manuel «de íaHóz 2. Gdrvea una silla para caballo y i Dtejiiín «Matméi Lopéz-una. sables. r: D. Juan Colomer y Girald 2. * '•* D. Manuel González dé 'Lobera y. Doña Juliana Barraficd y pares de caL* compañía 36 camisas. : .. ¡ srdqtasl' í-r;? - \ • •• Doña Cecilia Simancas tina. - : rBb Juan Ahto</t>
  </si>
  <si>
    <t>Colomer, Juan</t>
  </si>
  <si>
    <t>Juan Colomer</t>
  </si>
  <si>
    <t>diario..... 183. D. Francisco Antonio Sainz,.por .una vez.............. ......... ,........... 5°°* D. Juan Colomer ,iid.......... .1................................... ............. ......... 4°9D. Josef Clemente Zabarte, médico, idT................ *................ •••• 600. D. Francisco Rox</t>
  </si>
  <si>
    <t>Colomer, Pedro Antonio</t>
  </si>
  <si>
    <t>Pedro Antonio Colomer</t>
  </si>
  <si>
    <t>OTICIAS PECULIARES DE MADRID. S. León //, papa.^Quarenta horas en la parroquia de S. Pedro. AVISOS. D. Pedro Antonio Colomer continúa las operaciones de extraer las cataratas, y Curar las enfermedades de los ojos con su acostumbrado y singular acierto, noticiando que no solo asistirá á los enfermos que</t>
  </si>
  <si>
    <t>Colomina, Agustín</t>
  </si>
  <si>
    <t>Agustín Colomina</t>
  </si>
  <si>
    <t>a D. Antonio’ Vicénte Fernandez: la del de América al del de Saboya, graduado de teniente coronel , D. Agustín Colomina: la del de Nápoles ál del propio cuerpo D. Felipe Baídorioti; y la del de Sevilla ai capitán primero del batallón de voluntarios de Campo mayor D. Ramón Alvarez de E^ria.,' ; El.</t>
  </si>
  <si>
    <t>Colominas, Santiago</t>
  </si>
  <si>
    <t>Santiago Colominas</t>
  </si>
  <si>
    <t>600 gruesas de botones de ballena labrados. D. Francisco Antonio Sainz 164 varas y media de estopa. D. Santiago Colominas 20 pares de zapatos. Doña Isabel Cantora 12 camisas de vivero. Dia 14. Ds Libinio Stuyck y Vandergoten 189 varas de lienzo de vara y tercia. D. Domingo Alber 2 chaquetas, 2 chalec</t>
  </si>
  <si>
    <t>Colon, Félix</t>
  </si>
  <si>
    <t>Félix Colon</t>
  </si>
  <si>
    <t>el mismo juramento en el tribunal el secretario de él por lo perteneciente al ramo de la caballería D. Félix Colon, que no Ha podido concurrir el citado dia 28. Y ha acordado el Consejo lo ponga en la superior noticia de V. E. para su inteligencia y de la suprema Junta. Dios guarde á V. E. muc</t>
  </si>
  <si>
    <t>Colonnr, Bartolomé</t>
  </si>
  <si>
    <t>Bartolomé Colonnr</t>
  </si>
  <si>
    <t>4 i6 cido por D. Bartolomé Colonnr, médico de n'imero de los reales exércitos, de loa hospitales General y de la Pasión, individuo de la academia médica de Madrid: tomo 2.°, que contiene un discurso preliminar sobr</t>
  </si>
  <si>
    <t>Colorainas, Santiago</t>
  </si>
  <si>
    <t>Santiago Colorainas</t>
  </si>
  <si>
    <t>os. Una Sra. viuda 3 camisas, D. Francisco, D. Julián, D. Juan y D. Joaquín Diez 12 camisas de crea.D. Santiago Colorainas 2j pares/de zaparos. D. Pedro Mendez 2 2 varas 'pañp/fflcgro;; ¿#4#$ Aljnsqnjeta 88 camisas de yiy^ro. D. P-5A. R.i 1,2 pares demedias deJanabjincas.La Excma. Sra. marquesa, de S.</t>
  </si>
  <si>
    <t>Columbano de Ponz</t>
  </si>
  <si>
    <t>del convento de S. Bernardino. D. Josef Perez Vázquez* diputado eclesiástico dei barrió de S. Juan. D. Columbano de Ponz, cura de S. Lorenzo. D. Juan Josef Barrios, cura de Santa María. Fr. Miguel de Herrín, guardián de S. Gil. D. Francisco Ignacio Muñoz, cura de Santa Cruz. D Blas de Lera y Caño, c</t>
  </si>
  <si>
    <t>Columbano Ponz</t>
  </si>
  <si>
    <t>.................. 1000. p. Josef Diaz Hidalgo, cadete de los. mismos..... '.................. jo®. D. Columbano Ponz, cura párroco de S. Lorenzo, ofreció presentar de pronto................................................................. 400. El mismo ofreció para fin del presente mes igual can</t>
  </si>
  <si>
    <t>Columbie, Francisco</t>
  </si>
  <si>
    <t>Francisco Columbie</t>
  </si>
  <si>
    <t>Luí? Arrue, el capitán comandante de dichas milicas D.Hsidro Franco, el subteniente de: las mismas D. Francisco Columbie, el de granaderos de la Havana D. Francisco Escribas, ei artillero Simón: Djiiatte, y los capitanes y tripulación de 2 corsarios franceses, Dominico! Yóux y Ciaudio Soñé, que tuvi</t>
  </si>
  <si>
    <t>Coma, Ignacio</t>
  </si>
  <si>
    <t>Ignacio Coma</t>
  </si>
  <si>
    <t>ial de obra prima, mensualmente... 8. Juan Provanzal, mensualmente............................. 60. D. Ignacio Coma , por f meses á 20 rs......................................... 100. D. Cristóbal Gómez y Güernes 500 rs. por una vez, y 733 rs. 10 mrs. poma .tercio .¿..6 ¿s. diarios mientras dur</t>
  </si>
  <si>
    <t>comandante Chavardes</t>
  </si>
  <si>
    <t>19 de diciembre de 1808</t>
  </si>
  <si>
    <t>Madrid 159</t>
  </si>
  <si>
    <t>es de brigada Montseras, d ’Estrées y el Príncipe Pignarelli, y á los ayudantes comandantes Tomas y Chavardes. Las embarcaciones de transporte iban protegidas por una Taata, una corbeta, y 26 barcas cañoneras. La travesía fue corra y feliz. f .os ingleses reputaron la</t>
  </si>
  <si>
    <t>comandante Cruz</t>
  </si>
  <si>
    <t>23 de julio de 1808</t>
  </si>
  <si>
    <t>Sevilla 16</t>
  </si>
  <si>
    <t>Kmre tanto el comandante Cruz maro liaba á los Bailen , para proteger los movimieatos de nuestras divisiones ; y el * Coronel Vaídecaíias tenia órden de ocupar á Despeña Perros, que estaba</t>
  </si>
  <si>
    <t>comandante Dombrowski</t>
  </si>
  <si>
    <t>stillo de la Trinidad ( Rosas 5 de Diciembre de 1808 ) *4 Entre Mr. el ayudante comandante Dombrowski, gefe del estado * ma* yor. de la división mandada por el general Pino, y Mr. el caballero Pia, coronél mayor del segundo regimiento trances de infantería de l</t>
  </si>
  <si>
    <t>comandante Gautier</t>
  </si>
  <si>
    <t>Asimismo ha sido apresado el bergantín imperial francés nombrado el .Grifón,su comandante Gautier, teniente de navio, con 4 carroñadas de 24 libras, y 2 piezas de á 6, siendo su tripulación de 105 hombres. El gobierno ha recibido pliegos de sir Sidnei Sniit</t>
  </si>
  <si>
    <t>Comandante General</t>
  </si>
  <si>
    <t>io na pop eso se detiene h actividad de este Comandante General, &gt; - Para mas anjmar al Pueblp, y darle idea de la justicia con que toma las armas, ha publicado la siguiente Proclama* CÓRDOBA A SUS HABITANTES. 1 ■ •• ■ ....</t>
  </si>
  <si>
    <t>comandante General</t>
  </si>
  <si>
    <t>por la mañana entró en esta ciudad el Excmo#. Sr. D. Francisco Xavier Castaños, comandante General de nuestro exército, y á la tarde salió al; puente de las Ventas. La posición de nuestro exércitor es ventajosísima, como Incómoda la de los enemigos, por la difi</t>
  </si>
  <si>
    <t>comandante Lago</t>
  </si>
  <si>
    <t>os deseos, alaba mucho el valor de sus tropas, y recomienda á los dos nombrados comandantes Presas y Lago: no da relación exácta de la pérdida de! enemigo y sus despojos: dice ser grande, y la ofrece para quando tenga mas exácta noticia; pero de su parte no ha teni</t>
  </si>
  <si>
    <t>Comandante Militares</t>
  </si>
  <si>
    <t>siten, dirigiéndolos á las Justicias de los respectivos distritos, ó á nuestros Comandantes Militares mas inmediatos, quienes* ios enviarán á esta Suprema Jnnta, ó al Capitán General de nuestro exército, si se hallase mas cerca, por quien se les destinará en la</t>
  </si>
  <si>
    <t>comandante Mladen-Millowanowitsch</t>
  </si>
  <si>
    <t>12 de abril de 1808</t>
  </si>
  <si>
    <t>Madrid 34</t>
  </si>
  <si>
    <t>causado perjuicio alguno. í El gobernador de Belgrado Milloje-Petrowitsch y el comandante Mladen-Millowanowitsch, dos de los oficiales servios mas distinguidos, estar! ambos enfermos de viruelas, y mui de peligro. ' El sínodo servio ha publicado un reglamento dirigido al</t>
  </si>
  <si>
    <t>comandante Mr</t>
  </si>
  <si>
    <t>o. . ^ En el combate naval que hubo el dia 6 en las aguas jdéjf^h'ia, flues.tró comandante Mr. Corréale no tenia baxo su mandó mas qué ¡p canceras "y una bómbárdéra; y los enemigó* tenían nada menos áo¡é‘ ünii ‘■fragata:'fo cánones, dos de 40,3 corbetas</t>
  </si>
  <si>
    <t>n una comisión particular. REINO DE ITALIA. Lossini 17 de junio. La llegada del comandante Mr. Dembouski á esta isla, encargado de organizar la defensa de nuestras costas, ha causado la mas viva alegría en los habitantes, quienes en adelante estarán ya</t>
  </si>
  <si>
    <t>comandante Presas</t>
  </si>
  <si>
    <t>comandante Tomás</t>
  </si>
  <si>
    <t>en tierra fueron los granaderos reales y los cazadores corsos, con el ayudante comandante Tomas á su cabeza; en seguida desembarcaron todos nuestros valientes ; pero efectuado ya el desembarco, se presentaron nuevas dificultades, pues era indispensable lo</t>
  </si>
  <si>
    <t>comandante Vasallo</t>
  </si>
  <si>
    <t>as de artillería, se retiraron: á este tiempo, ,que ya era de noche, recibió el comandante Vasallo dos órdenes mías, que desde la tarde lehabia enviado, para que se retirase al quartel general,porque si crecía ebrio podían ser perdidos. Mi previsión fue pronósti</t>
  </si>
  <si>
    <t>Combé, Lorenzo</t>
  </si>
  <si>
    <t>Lorenzo Combé</t>
  </si>
  <si>
    <t>o de infantería de Ñapóles se ha servido el Reí conceder subtenencia de bandera al sargento primero D. Lorenzo Combé. Para una plaza de ministro togado, vacante en el supremo consejo de la Guerra, se ha servido el Reí nombrar á D. Guillermo de Vargas, oidor honorario de la chancillería de Vallad</t>
  </si>
  <si>
    <t>Comenge, Juan Andrés</t>
  </si>
  <si>
    <t>Juan Andrés Comenge</t>
  </si>
  <si>
    <t>2 de un mes á 2 diarios......*................. ..................................... ....... 1062. D. Juan Andrés Comenge, tesorero de los reales alimentos de S. M., por agosto á 4 rs. diarios................................................ 124. D. Basilio Boulet, por agosto á 4 rs. diarios..........</t>
  </si>
  <si>
    <t>Comercn, Vicente</t>
  </si>
  <si>
    <t>Vicente Comercn</t>
  </si>
  <si>
    <t>de Lecanda.............. Madrid..... . 3 00 1821 D. Josef Navarro y Marcos. Zaragoza..... 500 1063 D. Vicente Comercn.......... . Madrid.»..... 500</t>
  </si>
  <si>
    <t>Concepción de Salazar y Alendelagua, María</t>
  </si>
  <si>
    <t>María Concepción de Salazar y Alendelagua</t>
  </si>
  <si>
    <t>.. Zaragoza...... 1500 766 D. Josef Mateo Abad y compañía.................... Madrid....... 600 466 Doña María Concepción de Salazar y Alendelagua. ..*............................................. Bilbao......... 500 1722 Doña Josefa González y Alamos.¿.....¿1......... Cádiz.......... 300 1984 D. Antortio Palamar............</t>
  </si>
  <si>
    <t>Concepción Rodríguez, María</t>
  </si>
  <si>
    <t>María Concepción Rodríguez</t>
  </si>
  <si>
    <t>-moneda , libramientos ; del Fondo vitalicio y pico ea efectivo, id.......................... fooo. Doña María Concepción Rodríguez, id....................................... 50. Una señora viuda, id......... ...................... ................................. .............. 300. Doña Angela Rodrigo , id.</t>
  </si>
  <si>
    <t>Concepción Royo, María</t>
  </si>
  <si>
    <t>María Concepción Royo</t>
  </si>
  <si>
    <t>.. 30a 1585 D. Ruperto de Mugabazu.................................. Wiu-r" Xíi i- •••••••» 500 207 Doña María Concepción Royo...„!!:::;¡¡ii........ A t:__ jiiitaiac...... 3 00 142 Sra. viuda de Bague y Llano............................. Valencia..... 5 OG 330 Micaela Ramos................................</t>
  </si>
  <si>
    <t>Condé, Tomás</t>
  </si>
  <si>
    <t>Tomás Condé</t>
  </si>
  <si>
    <t>dicho. D. Fe ipe Duró, presbítero , diputado de S. Basilio. D. Juan Manrique de Lara, diputado id. D Tomas Condé, eclesiástico, diputado de los Angeles. D. Mariano Ibargnen. D. Ventura Mandujo, eclesiástico, D. Francisco Escarlati, Don Angel Tadei, D. Ramón Sanjueso, secretario, diputación d</t>
  </si>
  <si>
    <t>Conesa, Pedro</t>
  </si>
  <si>
    <t>Pedro Conesa</t>
  </si>
  <si>
    <t>onor su bandera en lá mencionada batalla, en la que tanto los oficiales y soldados, como su coronel D. Pedro Conesa, se portaron como verdaderos españoles: señaladamente este digno xefe, cuya buena fama y opinión es notoria. Lo que se publica en esta Gazeta de órden de la Suprema Junta. Por car</t>
  </si>
  <si>
    <t>Congreve</t>
  </si>
  <si>
    <t>/a y Lavinia. Acompaña á la expedición un baxel cargado de cohetes incendiarios, de la invención de Mr. Congreve. Si se ha de Juzgar por las provisiones y víveres que llevan los buques, tanto de guerra qomo de transporte , la expedición va destinada á países remotos. Se ha dado orden para ar</t>
  </si>
  <si>
    <t>Conninx</t>
  </si>
  <si>
    <t>l tribunal administrativo en Magdeburgo, al barón de Vitz.eben, • montero mayor qué fue en Hesse, á Mr. Conninx, presidente de la regencia de Paderborn, á Mr. Bidersee, presidente de la de Háiberstadty al ba</t>
  </si>
  <si>
    <t>Considerando</t>
  </si>
  <si>
    <t>á 8 de agosto de 1808. = A L. P. de V. I. = D. Lorenzo del Est^l Ballesteros. = Juan de Yuste. = P. D. Considerando las críticas circunstancias en que se halla el supremo consejo de Castilla, suplicamos a;V. I. se digne mandar que se publique^ en ía gazeta la desgraciada situación dé estos infelice</t>
  </si>
  <si>
    <t>Consranzo, Claudio</t>
  </si>
  <si>
    <t>Claudio Consranzo</t>
  </si>
  <si>
    <t>a K tasada en 111650 rs. Quien quisiere hacer postura, lo executará por la escribanía que desempeña D. Claudio Consranzo. Por D. Francisco López Pelegrin, juez subdelegado de Los departamentos de Checa y Setiles en el señorío de Molina, diócesi de Siguenza, se hurí rematado por ante D León Arauz, es</t>
  </si>
  <si>
    <t>Constando, Claudio</t>
  </si>
  <si>
    <t>Claudio Constando</t>
  </si>
  <si>
    <t>adura, tasada en 6a9 rs. Quien quisiere hacer postura, Jo executará por la escribanía que desempeña D. Claudio Constando. ; / Por providencia de D. Pedro Ruiz de Amoraga, juez comisionado regió en el Obispado dé Cqrdoba, se ha señalado el dia $0 del corriente para el remate de dos cortijos que nombr</t>
  </si>
  <si>
    <t>Constantino, Príncipe</t>
  </si>
  <si>
    <t>Príncipe Constantino</t>
  </si>
  <si>
    <t>da y en muerte con la mayor distinción y** miramiento. Los regimientos de guardias, mandados por el Príncipe Constantino, han asistido, á los funerales, y el Emperador fue á caballo cerran-, do ei acompañamiento desde el palacio en que vivía ia difunta hasta el puente de AnískoC* El Príncipe Kurakin</t>
  </si>
  <si>
    <t>a es formidable , que continuamente se levantan nuevas baterías en las costas inmediatas , y que el Príncipe Constantino dirige por sí mismo todas estas obras. Si se ha de dar crédito á los diarios ministeriales, la isla de la Madera debe devolverse al gobierno del Brasil; pero la moderación de nues</t>
  </si>
  <si>
    <t>Constanzo, Claudio</t>
  </si>
  <si>
    <t>Claudio Constanzo</t>
  </si>
  <si>
    <t>a, tasada en 10,243 rs. 30 mrs. Quien quisiere hacer postura, acudirá á la escribanía que desempeña D. Claudio Constanzo. 1 * Por providencia de D. Cirios Febrer, juez comisionado regio en la diócesi de Tortosa, se ha señalado el día 30 del presente para el remate de un molino harinero, con sus tier</t>
  </si>
  <si>
    <t>Constnnzo, Claudio</t>
  </si>
  <si>
    <t>Claudio Constnnzo</t>
  </si>
  <si>
    <t>5 2,083 rs. 1 i|- :ms. Quien quisiere hacer postura, lo cxecutará .por la escribanía que desempeña Don Claudio Constnnzo. Por providencia de D. Francisco López Pelegrin, juez subdelegado en los departamentos de Checa y Seti'es, en el señorío de Molina, diócesi de Sigó’enza, so í¡a señalado ei día 28</t>
  </si>
  <si>
    <t>cónsul Leveux</t>
  </si>
  <si>
    <t>31 de julio de 1808</t>
  </si>
  <si>
    <t>Madrid 103</t>
  </si>
  <si>
    <t>dados.) y ver enarbolados juntamen—! te los pabellones de Francia y América. El cónsul Leveux y sus compatriotas han brindado á la salud de SS. MM. el Emperador y la Emperatriz) a la de los Reyes de España) de Holanda y de Vestfalia) á la de los exércitos</t>
  </si>
  <si>
    <t>Contreras, Ignacio</t>
  </si>
  <si>
    <t>Ignacio Contreras</t>
  </si>
  <si>
    <t>de Valladolid en Nueva-España se ha servido el Reí promover á capitán de granaderos at de fusileros D. Ignacio Contreras; á capitán de fusileros al teniente de granaderos D. Manuel González de Cosío; á teniente de granaderos al de fusileros D. Domingo Malo; á tenientes al subteniente de granaderos D</t>
  </si>
  <si>
    <t>Contucci</t>
  </si>
  <si>
    <t>vigorosa que ha hecho uno de nuestros corsarios Mnmiáo Vengadori mandado por el teniente de fra^átá Mr. Contucci, contra una fragata inglesa que vino dándole caza en sú travesía desde Corfú á Anconi. El combate se empeñó á la vista de este puerto, y duró cerca de 2 horas, sosteniéndole el co</t>
  </si>
  <si>
    <t>Copons y Navia, Francisco</t>
  </si>
  <si>
    <t>Francisco Copons y Navia</t>
  </si>
  <si>
    <t>dro Gri mares t, que con su actividad y zelo ha desempeñado noblemente sus funciones» como asimismo D. Francisco Copons y Navia. Los capitanes de zapadores D. Gaspar de Goicocheay D. Pascual Mauduit, y demas oficiales pertenecientes a este cuerpo, se han distinguido al lado de la artillería, y durante la a</t>
  </si>
  <si>
    <t>o y me han rendido los coroneles D. Juan de Villalba, comandante que fue de las tropas de Carear, y D. Francisco Copons y Navia, comandante de las de Sesma y de su batallón de tiradores de España, cuyos dignos oficiales, obrando cori madurez y prudencia militar , y atemperándose á mis instrucciones, que er</t>
  </si>
  <si>
    <t>Coquais</t>
  </si>
  <si>
    <t>Madrid 38</t>
  </si>
  <si>
    <t>y de varios piquetes de la guardia nacional y de artillería, na entregado con la mayor solemnidad á Mr. Coquais, administrador dé la aduana dé aquel puerto, una medalla que le ha enviado el gobierno por haber salvado con gran riesgo de su vida á 7 marineros del corsario Esperanza que habia</t>
  </si>
  <si>
    <t>Coral, Nicolás</t>
  </si>
  <si>
    <t>Nicolás Coral</t>
  </si>
  <si>
    <t>ha servido S. Mi conceder ; tenencia al alférez D. Andrés Miguel ; esta- resulta al portaestandarte D. Nicolás Coral; y empleos de portaestandarte al sargento primero 0* Nicasío</t>
  </si>
  <si>
    <t>Corbera, Julián</t>
  </si>
  <si>
    <t>Julián Corbera</t>
  </si>
  <si>
    <t>s subtenientes del cuerpo de patriotas; D. Miguel Mugra, D. Vicente Bordas, D. Juan Bautista Viton, D. Julián Corbera, D. Juan Pedro Macharen! , D. Roque Laurel, D. Ramón Urien , D. Angel Ubac; á los cadetes del expresado cuerpo de patriotas , con grado de subteniente, D. Juan Jo— sef Ferrer, D.</t>
  </si>
  <si>
    <t>Corcin, Francisco Xavier</t>
  </si>
  <si>
    <t>Francisco Xavier Corcin</t>
  </si>
  <si>
    <t>.......... . 80. D. Pablo Alvarez Enciso , 40 id. id..... ................................... . 8ov D. Francisco Xavier Corcin, 2 rs. diarios, por 3 meses............ 184. Antonio López, traginero, 3 id. por 12 id.......... . .................. *°95D. Josef Gutiérrez de Rumazo, 9 id. por 5 id........... .</t>
  </si>
  <si>
    <t>Cordero, Tomás</t>
  </si>
  <si>
    <t>Tomás Cordero</t>
  </si>
  <si>
    <t>icente Ambrosio Águirre, director, su compañero. Fr. Ildefonso Paz, prior del convento del Rosario. D. Tomas Cordero, diputado de la, puerta de Toledo. D. ^Manuel de Ribacoba id. Don Francisco Román Galindo, eclesiástico de dicha. D. Tomas del Cano Goicochea, secretario del barrio del Hospicio.</t>
  </si>
  <si>
    <t>Cormes, Estéban</t>
  </si>
  <si>
    <t>Estéban Cormes</t>
  </si>
  <si>
    <t>-dicha. D. Josef Aldave , de Sta. Isabel. D. Antonio Ramón Fernandez, secretario de la Buená-dicha. D. Estéban Cormes, diputado de id. D. Francisco Martínez, diputado. D. Juan Antonio Aiicedo, alcalde.,D..Roque Antonio Lema, diputado de .Mosteases. D. Alfonso Luceño, diputado. D. Josef Lamano, al</t>
  </si>
  <si>
    <t>Corne, Antonio</t>
  </si>
  <si>
    <t>Antonio Corne</t>
  </si>
  <si>
    <t>el conde de Tii'jy,- |): Tomas de Bcrry y D. Josef García de la Torre: su secretario el Exorno..Sr. D. Antonio Corne!. En fin, la secciónde. marina, consta de ios Excmos. Sres.,D. Josef Zanglada de..</t>
  </si>
  <si>
    <t>Cornel, Antonio</t>
  </si>
  <si>
    <t>Antonio Cornel</t>
  </si>
  <si>
    <t>o al Sr. D. Pedro Cévallos; deL de Gracia y Justicia al Sr. D. Benito Hermida; del de Guerra al Sr. D. Antonio Cornel; del de Marina al Sr. D. Antonio Escaño; del de Hacienda, al Sr. D. Francisco Saavedra; y por secretario de Estado y general de la misma junta en propiedad á su vocal el Sr. D. Ma</t>
  </si>
  <si>
    <t>Cornil, Pedro</t>
  </si>
  <si>
    <t>Pedro Cornil</t>
  </si>
  <si>
    <t>oza..... 300 307 .Rafael Medina y Lafita................................... Málaga........ 300 2461 D. Pedro Cornil.................... .......................... Zaragoza..... 300 . &gt; 973 P. Ceferino de. la Lusa , ayudante de la Plaza. Madrid....... 300 .1056 D-.Claudio Antonio Jourdan........</t>
  </si>
  <si>
    <t>Corralero, Manuel</t>
  </si>
  <si>
    <t>Manuel Corralero</t>
  </si>
  <si>
    <t>una vez... too. D. Gabriel Balez , cambiante, por una vez.............. ....... ............. 5000. D. Manuel Corralero, maestro cotillero, por una vez................. 500. D. Bernardo Baquer, por una vez».......... . 200. Antonio Casajuana , zapatero, por una vez................... ......... .. 3</t>
  </si>
  <si>
    <t>Correa y Guevara, Miguel</t>
  </si>
  <si>
    <t>Miguel Correa y Guevara</t>
  </si>
  <si>
    <t>a la* comandancia de las compañías de infantería veterana y de milicias dé la provincia de Cumana á D. Miguel Correa y Guevara, sargento likyor veterano^dié lás expresadas milicias. • r En el regimiento de infantería íixo de Puerto-Rico sé ha servido el Reí conferir compañía á D. Juan Viñáls, ayudante del</t>
  </si>
  <si>
    <t>Corréale</t>
  </si>
  <si>
    <t>1 de julio de 1808</t>
  </si>
  <si>
    <t>Madrid 73</t>
  </si>
  <si>
    <t>ntas para sostener otro combate. Hemos tenido 12 heridos y 5 muertos. Del número de los heridos es. Mr. Corréale: este esforzado, oficial ha conducido la escuadrilla á Ischia, no obstante su granie y peligrosa herida. Durante el combate el general Lanchatin habla corrido á Sant-Angelo con un</t>
  </si>
  <si>
    <t>sto esposo. . ^ En el combate naval que hubo el dia 6 en las aguas jdéjf^h'ia, flues.tró comandante Mr. Corréale no tenia baxo su mandó mas qué ¡p canceras "y una bómbárdéra; y los enemigó* tenían nada menos áo¡é‘ ünii ‘■fragata:'fo cánones, dos de 40,3 corbetas , un Bergantín, ió canpn'érá'</t>
  </si>
  <si>
    <t>Corta, María</t>
  </si>
  <si>
    <t>María Corta</t>
  </si>
  <si>
    <t>utación del barrio de las Des- Doña María la Oiancia 8 varas de calzas Reates ^53;. — T „ lienzo. ■ Doña María Corta^aTífla^i- ■ t La diputación del barri&lt;y de las Salé* Doña María lgnácia Tejada yLabu- sas 3 camisas. 5 ría 12. * ?í ' ; Doña-N/media libra de hilas. 1 ‘ Doña María dé Lóréto Hurta</t>
  </si>
  <si>
    <t>Cortés del Valle, Antonio</t>
  </si>
  <si>
    <t>Antonio Cortés del Valle</t>
  </si>
  <si>
    <t>ragoza..... 000 50 D. Juan Manuel Ocerin..............».................... Bilbao......... 300 516 D. Antonio Cortés del Valle»,......................... Bilbao......... IOOO 1061 Doña Vicenta María de Guzman.................... Madrid....... 3 00 183 D. Josef María de Salazar, mayor general de la esquadr</t>
  </si>
  <si>
    <t>pany, oficial de la secretaria de Hacienda, por ahora 1 joo rs. D. Juan Aran , por una vez 1500 rs. D. Antonio Cortés del Valle, oficial primero de la comisión general de Consolidación de esta provincia, por una. vez feo^rs. ., D. Antonio Almeida Mendoza, por id. 1200 rs. J:-¡ i Doña Joaquina López, por ag</t>
  </si>
  <si>
    <t>Cortés y Coll, Antonio</t>
  </si>
  <si>
    <t>Antonio Cortés y Coll</t>
  </si>
  <si>
    <t>........... 500 1904 D, Francisco Amezua.............. ................... . Zaragoza.*... -3co 5i •D. Antonio Cortés y Coll..................... ........... Barcelona.... 3 00 302 Ramón Fcnt de Spcna.............. .................... . Málaga....... 600 c 3^9 Jaynbe Setta..............................</t>
  </si>
  <si>
    <t>Cortes, Pedro</t>
  </si>
  <si>
    <t>Pedro Cortes</t>
  </si>
  <si>
    <t>opio cuerpo; -áb tenientes al subteniente, de. granaderos D. Josef Ai i re íes. yrítl dé fusileros -D, Pedro Cortes; á subteniente de granaderos ai de fusileros EH Gabriéh Aíanuel delturbe é .Iraeta, y á subteniente de bandera á D. Ramón Fernandez. , i‘ - .. VENTAS JUDICIALES. i; Por el juzgado</t>
  </si>
  <si>
    <t>Cortier, Pablo</t>
  </si>
  <si>
    <t>Pablo Cortier</t>
  </si>
  <si>
    <t>cuerpo del cxórcito. ra El nombrado D. Juan D&amp;rmasit , su amo, le dixo en presencia de su confesor D. Pablo Cortier , capellán del regimiento de infantería de Borbon : ,, Clau„ dio , mira que la guerra , que hace Napoleón h la España , es injusta , segúntodas las leyes divinas y ha„ manas , y a</t>
  </si>
  <si>
    <t>Cosíais, Francisco</t>
  </si>
  <si>
    <t>Francisco Cosíais</t>
  </si>
  <si>
    <t>Cretas, en Aragón: para una ración de la parroquial de la villa de Benavarre, diócesi de Lérida, á D. Francisco Cosíais: para el beneficio segundo de los santos quatro evangelistas, vacante en la catedral de Gerona por fallecimiento de D. Antonio Boix , á D. Miguel Mata: para otro, también segundo,</t>
  </si>
  <si>
    <t>Cosido, Manuel</t>
  </si>
  <si>
    <t>Manuel Cosido</t>
  </si>
  <si>
    <t>............. ......... . 631, D. Ramón Ramos y Pereda, agente de Indias, id................ . 500. D. Manuel Cosido, comisionado de reales Provisiones, en intereses de vales reales del año de 1800 id......... . ..................... . 992* D. Antonio Mollinedo, id................ ,,....... ....</t>
  </si>
  <si>
    <t>Cosío, Manuel</t>
  </si>
  <si>
    <t>Manuel Cosío</t>
  </si>
  <si>
    <t>z, que se halla pintado y con cortos muebles. Qualquiera que lo necesite podrá tratar de ajuste con D. Manuel Cosío, que vive en la plazuela de S. Esteban, núms. y y 8, quarto segundo, que es el encargado. nodrizas. María Alonso, viuda, de edad de 30 años, solicita una cría para la casa de los</t>
  </si>
  <si>
    <t>Cosme</t>
  </si>
  <si>
    <t>de Toledo Doa Antonio Moya; y el de Ñapóles al teniente coronel del de Soria, graduado descorone! , D. Cosme. Alvarez y Rosárt. ’ , El Reí se ha.servido conferir la sargentía mayor del regimiento de infantería de Nápoles al capitán D. Felipe Baldoriotti: tenencia en el de la Corona al su</t>
  </si>
  <si>
    <t>Cosme de Miguel García</t>
  </si>
  <si>
    <t>2 varas1 y medía lar 12 camisas. ^ ' - ' ; •'; ; ' de lienzo. • f : : D. Josef María de Egüren i. ' D. Cosme de Miguel García 6 cá* D. Franciscos Blanco112. misas. La diputación del barrio de las Des- Doña María la Oiancia 8 varas de calzas Reates ^53;. — T „ lienzo. ■ Doña María Corta^aTífla^i- ■ t La d</t>
  </si>
  <si>
    <t>Cosme de Miguel Garcíj</t>
  </si>
  <si>
    <t>...... 3000. D. Cristóbal de Rlpa y Jaureguizar, comisario de Guerra jubilado, por una vez. «■ 600. D Cosme de Miguel Garcíj , oticial mayor de la: escribanía de cámara de Castilla,’ por una.vez • •»•»***•**•• « «^»41 *,M «A*■•«••••♦ 640. Doña Rita López . Corona &gt; su,. mnger, por una 320. Doña Tabel Mi</t>
  </si>
  <si>
    <t>Cosme Echavarrí</t>
  </si>
  <si>
    <t>4 rs. diarios..... 33 68. D. Luis de Sojo, dependiente del comercio, por una vez.......... 1*600. % D. Cosme Echavarrí, por una vez.......... ............... ............ ...... y 200. Doña María y D. Josef Manuel de Lema, de 12 y 9 años de edad, por una vez', é importe de los juguetes de ferias (</t>
  </si>
  <si>
    <t>Cosme García</t>
  </si>
  <si>
    <t>Montesinos, capitán de infantería de Extremadura; D. Manuel Antunez, alférez de guardias Españolas; D. Cosme García, capitán graduado del regimiento de infantería de Borbon, y D. Tomas García , comandante de las fuerzas de la Veguda: todos merecen la gratitud de la nación, y son dignos de la co</t>
  </si>
  <si>
    <t>Cosme Miel de las Guas</t>
  </si>
  <si>
    <t>todas las personas que se consideren con derecho á los bienes que han quedado por fallecimiento de D. Cosme Miel de las Guas, vecino que fue de esta corte, de estado soltero, natural de la parroquia de Sta. Olalla de Fregulce , en el obispado de Mondoñedo, reino de Galicia, hijo de D. Martin Miel de las</t>
  </si>
  <si>
    <t>Cosme Montanaro</t>
  </si>
  <si>
    <t>ii37 tes D. Vicente S. Pedro, D. Cosme Montanaro, D, Felipe Alvarez, y los cadetes D. Mariano Buendica, D. Tomas Monroi y D. Joaquín Clavijo, con la tropa, se reunieron, sin saber aquella determinación por haber estado algunos d</t>
  </si>
  <si>
    <t>Cosme Sánchez, Juan</t>
  </si>
  <si>
    <t>Juan Cosme Sánchez</t>
  </si>
  <si>
    <t>.... 10. D. Francisco Nicola, por id. á 60 rs. id............... I.,............. —......... - -Ao. D. Juan Cosme Sánchez, presbítero, por id- á 30 rs. id........... 30. . í JuaYi de Orquiota, oficial de cantero, por- id. á 20 rs&lt; id........... 2QÍ , Doña María Narcisa Rodríguez, viuda, por id. á 30</t>
  </si>
  <si>
    <t>Costa, Antonio</t>
  </si>
  <si>
    <t>Antonio Costa</t>
  </si>
  <si>
    <t>ítndQg /"Antonio Daban, grado de teniente dé milicias urbanas de su color. , ' ■ A D. Salvador Ros, D. Antonio Costa,, D. Cayetano Sturla, D. Ramón Alcántara , D. Gerónimo Rabasa, D. Ramón Antonio San Fuertes, capitanes urbanos: D. Juan de la Vianca, D. Basilio Viola, D. Juan Viola, D. Pedro Nol</t>
  </si>
  <si>
    <t>Costa, Joaquín</t>
  </si>
  <si>
    <t>Joaquín Costa</t>
  </si>
  <si>
    <t>lbao....... .. 300 939 E&gt;. J osef López de la Iglesia........... ............ Madrid....... 300 181 D. Joaquin Costa........... .............................. Alicante...... 500 *333 D. Carmelo Gil........................................... . Valencia..... 3OO 540 D. Esteban Fernandez de León...</t>
  </si>
  <si>
    <t>Cotorro de Porras, Felipe</t>
  </si>
  <si>
    <t>Felipe Cotorro de Porras</t>
  </si>
  <si>
    <t>el préstamo de la parroquia del lujar de Avellanóla , en la abadía de Lerma, vacante por muerte de D. Felipe Cotorro de Porras, él‘ afeipreítázgo de Roxas, por muerte de D. Pedro Calvo, ambos en lá diócesi'de Burgos; y el beneficio préstamo de Carrascal del Rio, en el obispado de Segovia, vacante por prem</t>
  </si>
  <si>
    <t>Cotton</t>
  </si>
  <si>
    <t>son el 29.0, el 32.% el 5o.0 y el 82.°, y íos.\batallones 3.% 4.0, 6;° y 8.° de la legión alemana. Sir Cotton monta el navio Minotauro , de 74 cañones, al que se agregarán, según dicen, el Saturno, de 74, y las fragatas Boadkea , JNin/a y Lavinia. Acompaña á la expedición un baxel cargado</t>
  </si>
  <si>
    <t>Cotton, Carlos</t>
  </si>
  <si>
    <t>Carlos Cotton</t>
  </si>
  <si>
    <t>de Portsmouth refieren que estaba próxima á dar la vela la expedición mandada por el vice-álmiránté Sir Carlos Cotton y el mayor general Spencer. Los regimientos que van en ella son el 29.0, el 32.% el 5o.0 y el 82.°, y íos.\batallones 3.% 4.0, 6;° y 8.° de la legión alemana. Sir Cotton monta el navi</t>
  </si>
  <si>
    <t>n sobre las armas, y guarnecían la carrera. GRAN BRETAÑA. Londres 11 de enero de 18o£. El almirante Sir Carlos Cotton, que monta el Minotauro , y unos 20 transportes de la expedición del general Spencer, se han visto obligados por los temporales que han corrido dias pasados á entrar en Falmouth.</t>
  </si>
  <si>
    <t>se acordó que se presentasen los documentos pedidos sobre la escuadra del almirante Strachan. La de Sir Carlos Cotton , que cruza delante de Lisboa, consta de 10 navios y 2 fragatas. Dentro del puerto hai 9 navios rusos y otro turco, todos 10 de línea. La escuadra inglesa ha padecido mucho de res</t>
  </si>
  <si>
    <t>ón el 22 por la mañana en la fragata Gloria, y que al medio dia se hizo á ía vela para juntarse con Sir Carlos Cotton, que está enfrente Je Lisboa. Ei Litle-Rclt salió también de aquel puerto escoltando un convoi destinada para las costas de Africa. El mismo dia 22 salió de Piimouth el Spettcerf</t>
  </si>
  <si>
    <t>Cou, Luis</t>
  </si>
  <si>
    <t>Luis Cou</t>
  </si>
  <si>
    <t>. C. C. Stuvmdadas á luz- metódicamente en ii anees con el título de Lecciones-de la naturaleza por Mr. Luis Cou.sin IDespréaux , y traducidas al castellano: tercera impresión, corregida y aumentada. Aunque la general aceptación que ha logrado en España ia obra de Sturm, la rapidez de.su ven</t>
  </si>
  <si>
    <t>Cousin</t>
  </si>
  <si>
    <t>utilidad, y exime recomendar nuevamente su lectura, con todo no dele omitirse., qiuí a l, pasó que Mr. Cousin, sin se pararse; un punto de las sólidas y y fadoms njáxímas; de aquel,-ha coordinado Jas materias de que trata, ha ampliado ¡amblen varios artículos, y puesto otros nuevos, valié</t>
  </si>
  <si>
    <t>Coutenot</t>
  </si>
  <si>
    <t>y hubiera perecido infaliblemente á no haber acudido á su socorro un labrador de Ruffei llamado Mr. Coutenot, que estaba trabajando en una tierra inmediata. Este honrado labrador se 'arrojó, al. rio; pero por mas diligencias que hizo no pudo, sádar al admiñistfador^ j^él'misitío tuvo que</t>
  </si>
  <si>
    <t>Creagh, Juan</t>
  </si>
  <si>
    <t>Juan Creagh</t>
  </si>
  <si>
    <t>-c6rón«i D.’ «Miguel de Harog sargento!mayor D.’Salvador Guerrero: fuerza' Í4©o. DeAlmería, coronel D. Juan Creagh, teniente co4 rdnet D. Josefa González, sargento mayor D. Matías García *, fuerza 2400. Total fuerza 7209 hombres.? 3 :.; &gt; Regimiento de Caballería húsares reales dé/ Granadas co</t>
  </si>
  <si>
    <t>Crespo de Iizauspea, Bernardo</t>
  </si>
  <si>
    <t>Bernardo Crespo de Iizauspea</t>
  </si>
  <si>
    <t>....... Málaga........ 500 405 D. Nicolás Hernández, contador de marina... Coruña....... . 300 1310 D. Bernardo Crespo de Iizauspea................... Valencia..... 6oo 1338 D. Silvestre Jordán para D. Luis López........ Valencia..,.. 30® 2332 D. Pedro Bringas Marroquin........ .................. Zaragoza.....</t>
  </si>
  <si>
    <t>Crespo de San Fernando, Miguel</t>
  </si>
  <si>
    <t>Miguel Crespo de San Fernando</t>
  </si>
  <si>
    <t>300 2282 D. Josef Floranes..................................... ;........ Cádiz......... 5001 1048 D. Miguel Crespo de San Fernando................ Madrid....... 300 622 D. Francisco de Irusta...................................... Madrid....... 300 2153 D. Genaro Fontenla.............. ........................</t>
  </si>
  <si>
    <t>Crespo de Tejada, Diego</t>
  </si>
  <si>
    <t>Diego Crespo de Tejada</t>
  </si>
  <si>
    <t>. . 54c. D. Diego Hernández, id............................................ ............... . JCCC. D. Diego Crespo de Tejada, cambiante, id........... .............. ..... 3000. D. Pedro Benito y Losada, á cuenta de }qq rs., id................. 2 ¿O. IO</t>
  </si>
  <si>
    <t>Crespo Gil, Francisco</t>
  </si>
  <si>
    <t>Francisco Crespo Gil</t>
  </si>
  <si>
    <t>l al capitán de granaderos D. Pedro García de Acevedo, y á teniente coronel al capitán de fusileros Don Francisco Crespo Gil. Asimismo se ha dignado S. M. conceder plaza de oidor de la audiencia de Sta. Fe de Bogotá a D. Joaquín Carrion y Manso, abogado de los rea-, les consejos; y para el empleo de ten</t>
  </si>
  <si>
    <t>Crespo, Diego</t>
  </si>
  <si>
    <t>Diego Crespo</t>
  </si>
  <si>
    <t>ro. D. Ignacio Guerra. D. Mam e) Ramos. D. Pedro Ezquerra, secretario de la diputación de S. Gines. D. Diego Crespo, diputado de Santa Cruz. D. Andrés Ortiz id. D. Feliciano Gómez id. D. JusnDuarez, secretario. Fr. Fíánéisco dé S. Josef, prior del Carmen descalzo. Fr. Celedonio Urrutia , rector</t>
  </si>
  <si>
    <t>Crespoí, Vicente</t>
  </si>
  <si>
    <t>Vicente Crespoí</t>
  </si>
  <si>
    <t>rágoza...» 1500 591 D. Josef Moreno Martínez................... !........... Madrid.....» 1500 471 D. Vicente Crespoí...»»;;»»»»»...»..... •............ Bilbao......... 500 *444 D. Gerónimo Herrera.......................................... Santander.... 300 1626 D. Ramón‘de Sta.* Gruz*...........</t>
  </si>
  <si>
    <t>Cretet</t>
  </si>
  <si>
    <t>eto de 13 de febrero levantar en sus estados la conscripción de 1808.. . El jueves 24 del corriente Mr. Cretet, ministro de lo interior, pondrá solemnemente la primera piedra del edificio que se .destina para bolsa y tribunal del co^nerdo. Su forma será rectangular, y todo su adorno exteri</t>
  </si>
  <si>
    <t>Creux, Pedro</t>
  </si>
  <si>
    <t>Pedro Creux</t>
  </si>
  <si>
    <t>A las 9 de la maSana el Xefe de Esquadra D. Enrique Mac-Donnell, y el Oidor de esta Real Audiencia D. Pedro Creux pasaron á parlamentar con el Almirante de la Esquadra inglesa, que bloqueaba á Cádiz, para entablar conferencias ; y á las 8 ¿ de la noche volvieron con la respuesta satisfactoria</t>
  </si>
  <si>
    <t>Criado, Francisco</t>
  </si>
  <si>
    <t>Francisco Criado</t>
  </si>
  <si>
    <t>................ 4589... 22. D. Santiago de Aramburu , id............................. ...... 1500. D. Francisco Criado, corredor de lonja............ ...... . 1000. D. Santiago Larramendi........................................ . " 500. D. Francisco Xavier Martínez Remon....................... . 5</t>
  </si>
  <si>
    <t>r 4 meses á 40 rs. cada mes......................i............................................ 160. D. Francisco Criado, corredor, 1® rs. por una vez, y 800 por 4 meses a 200 rs. cada uno............... ........................................... 1800. 5 D. Julián Martínez de Torres, contador de la</t>
  </si>
  <si>
    <t>o del Valle, secretario de dich;í. D Juan Bautista Nieto, diputado de id. Dan Lázaro Sanz, alcalde. D. Francisco Criado, diputado id. D. Andrés Beni— tez , eclesiástico, del barrio del Ave María. D* Ventura López, alcalde del barrio Je Sta. María. D. Manuel Négueruela% secretario de S Juan. Don Jua</t>
  </si>
  <si>
    <t>Cris</t>
  </si>
  <si>
    <t>Sevilla 34</t>
  </si>
  <si>
    <t>r de Correos de Xerez de la Frontera, en Falencia en la oficina de la Gazcta, y en Ronda en casa de D. Cris 6bal Zeron. En la librería de JJidalgo se venden las .Gazetas de Va* leticia todos los correos. &gt; CON SUPERIOR PERMISO. '^■r.w'naiea.-jpaMHgmw*-..... . ... ■■■•-* 'en la imprenta</t>
  </si>
  <si>
    <t>Crisóstomo de la Llave, Juan</t>
  </si>
  <si>
    <t>Juan Crisóstomo de la Llave</t>
  </si>
  <si>
    <t>Sta. Cruz de Marcanedo, cuyos ilustres progenitores han defendido siempre gloriosamente la Patria. D. Juan Crisóstomo de la Llave, nombrado por el Duque de Berg y Junta de Gobierno de Madrid, en la Comandancia militar de la c osta del Principado, de que acababa de tomar posesión, ha abdicado este empleo, que</t>
  </si>
  <si>
    <t>Crisóstomo Peñalver y Bárreto, Juan</t>
  </si>
  <si>
    <t>Juan Crisóstomo Peñalver y Bárreto</t>
  </si>
  <si>
    <t>s casas .de habitación de los regidores y síndico procurador general condecide^Sta. María de Loreto D. Juan Crisóstomo Peñalver y Bárreto y d&gt;; Torrias ?de'la Cruz Muñoz, entregando desde luego en ellas las alhajas, frutos y demas efectos que tengáis por conveniente ,?y enda tesorería general las cantidades eó numerar</t>
  </si>
  <si>
    <t>Crisóstomo Santander, Juan</t>
  </si>
  <si>
    <t>Juan Crisóstomo Santander</t>
  </si>
  <si>
    <t>.............. 80. D. Pablo González, empleado en la lotería................................... 60* D. Juan Crisóstomo Santander, relator del consejo de Castilla, por una vez.......................................... ........................................ 120* La secretaría de Nueva España ademas de los d</t>
  </si>
  <si>
    <t>Cristian Brockmann</t>
  </si>
  <si>
    <t>¿.....I..1, Cádiz......... .500 376 0. Josef Fraile Xorro................ . Cádiz......... 300 2292 D. Cristian Brockmann................... Cádiz,.*...:..- 300 13 31 D. Francisco Tabares, canónigo., .............. Valencia....v 13 00 964 0. Valentín de. XJrí&gt;uegma.*.*«.«....v».í;» Madrid.....;.; 300</t>
  </si>
  <si>
    <t>Cristiano Augusto, Príncipe</t>
  </si>
  <si>
    <t>Príncipe Cristiano Augusto</t>
  </si>
  <si>
    <t>NISTERIAL DE SEVILLA 1&gt;ÉL MIERCOLES 2Q. DE JUNIO DE 1808. DINAMARCA. Copenhague 17. de Mayo. •3L-41 Príncipe Cristiano Augusto, General mayor de nuestro exército en Noruega, avisa con fecha de 2. de Mayo, que el deshielo ha imposibilitado hasta ahora las operaciones militares por ser impracticable el tran</t>
  </si>
  <si>
    <t>Cristiano Federico Augusto, Príncipe</t>
  </si>
  <si>
    <t>Príncipe Cristiano Federico Augusto</t>
  </si>
  <si>
    <t>dlá r6 de este mes falleció á los 3 años de edad, de resultas de una inflamación en la garganta, el Príncipe Cristiano Federico Augusto , hijo de S. A. R. el duque Federico Guillermo de Vurtemberg. Los habitantes del ducado de Anhalt-Dessau habian pedido licencia para^ celebrar el quinquagésimo año del reinado de</t>
  </si>
  <si>
    <t>Cristiano, Príncipe</t>
  </si>
  <si>
    <t>Príncipe Cristiano</t>
  </si>
  <si>
    <t>_ El 4 del corriente entraron cOn felicidad en este puerto los dos navios de línea Lilisa Augusta y Príncipe Cristiano, &lt;jue estaban en Noruega á las órdenes defícj caájtar^s, Snedorfpr Je&amp;en, y íqn'Ips unidos que nos hai* quedado de nu^stralriiTiiia* En su^travesíá por el Categat fian dado caza i</t>
  </si>
  <si>
    <t>orresponde 5 cfo dónde puede venirse en conocimiento de quan interesada venia. El navio de línea él Príncipe Cristiano ha sal ido de este puerto con gian cantidad de' dinero para Noruega &gt; ¡donde escasea rñuchó el'numerar lo. Con-este motivo parece que volverán á beneficiarse allí las minas de pla</t>
  </si>
  <si>
    <t>de marzo. Escriben de Copenhague que el capitán Jessen ha llegado felizmente á Noruega con el navio Príncipe Cristiano. En su travesía no ha encontrado ningún buque enemigo, y se confirma que la esquadxa inglesa apostada cerca de Gotemburgo está cogida por lds hielos sin poder moverse. Copenhague</t>
  </si>
  <si>
    <t>Jessen lixa en fin de un modo auténtico el numero de hombres que hemos perdido abordo del navio, el Príncipe Cristiano en el combate glorioso que sostuvo. Hubo 3 oficiales-y ói marineros muertos, 3 oficiales y 80 marineros gravemente heridos, y 2 oficiales y 40 marineros heridos de poco cuidado. Se</t>
  </si>
  <si>
    <t>Cristiano-Fe, Príncipe</t>
  </si>
  <si>
    <t>Príncipe Cristiano-Fe</t>
  </si>
  <si>
    <t>s qúe S^ráha mui :prbhtp éf teatro de la guerra. Lá noticia del desastre deí navío dinaifiarqueV el Príncipe Cristiano-Fe derico, es úna prueba de que si* él enemigo no había reunido aun fuerzas suficientes para proteger la Suecia, á lo inénos había enviado á los Belts algunas fragatas destinadas á impe</t>
  </si>
  <si>
    <t>CristianprJre, Príncipe</t>
  </si>
  <si>
    <t>Príncipe CristianprJre</t>
  </si>
  <si>
    <t>co de Hélsihgborg uri"bergantín , que irla á informar de ía salida del navio delinea dinamarqués el Príncipe CristianprJre,derico .porcia, ,tqrde. ,$$ aqercqNjtro bergantín á los buques ingleses, y se observo que los navios dieron la vela inmediatamente. Luego que partieron los. 2 , navios , .alguno^</t>
  </si>
  <si>
    <t>Cristóbal de Buenacasa</t>
  </si>
  <si>
    <t>á dichas fincas, juntas ó separadas, acuda ante el citado alcalde, por el escríban* de la comisión Don Cristóbal de Buenacasa. ~ AVISOS. Para el segundo remate en esta corte de los frutos y rentas de la encomienda de Moraleja, orden de Alcántara, que se arriendan por 3 años contados desde 29 de abril de</t>
  </si>
  <si>
    <t>Cristóbal de Góngora</t>
  </si>
  <si>
    <t>cienda». por una vez..»...... ............ ............ ......... .......................... ,-foa. D. Cristóbal de Góngora ,.oficial, de la. misma, por ahora..,.,.,..; 60o. 1^. ■, An tomo. .Aguas,- por ■ una vez........ ,•#................. .v,....««...#*. ,_« ■ 320. D. Francisco Magan 500.rs. por una</t>
  </si>
  <si>
    <t>Cristóbal de Loide</t>
  </si>
  <si>
    <t>manifestadas por dicho difunto en cierto papel de comunicato, que dexó á favor de ios sucesores de D. Cristóbal de Loide, capitán de fragata que fue de la real armada; y á consecuencia del aviso dado en la gazeta del viernes 28 de febrero de 1806 se presentaron varios interersados , habiéndose decla</t>
  </si>
  <si>
    <t>Cristóbal de Mechei</t>
  </si>
  <si>
    <t>. Seria de desear que este exémplo de' humanidad y Je Justicia fuese imitado por nuestros enemigos. Mr. Cristóbal de Mechei ha publicado poco hace, en Berlín; d-ís, estampas mui curiosas: La una presenta las diferentes aiturús; de los. pnntqs mas elevados de la tierra, con arreglo á las observaciones d</t>
  </si>
  <si>
    <t>Cristóbal de Rlpa y Jaureguizar</t>
  </si>
  <si>
    <t>os, por una i &gt; 5OO. D. Antonio Gil. y Arriba, por una vez................ .................. 3000. D. Cristóbal de Rlpa y Jaureguizar, comisario de Guerra jubilado, por una vez. «■ 600. D Cosme de Miguel Garcíj , oticial mayor de la: escribanía de cámara de Castilla,’ por una.vez • •»•»***•**•• « «^»41 *,M «A*■•</t>
  </si>
  <si>
    <t>Cristóbal de Ronda</t>
  </si>
  <si>
    <t>3 D. Cristóbal de Ronda, por agosto 30 rs. D. Francisco y Doña María Sánchez Corchero, por una vez 640 rs. D. Ignacio Campesino, 6 meses á 60 rs. durante la guerra, 360. D. Pedro del Rio, hacendado, un v</t>
  </si>
  <si>
    <t>Cristóbal Gómez y Güernes</t>
  </si>
  <si>
    <t>........... 60. D. Ignacio Coma , por f meses á 20 rs......................................... 100. D. Cristóbal Gómez y Güernes 500 rs. por una vez, y 733 rs. 10 mrs. poma .tercio .¿..6 ¿s. diarios mientras dure la guerra. 1233 10. D. Martin Lalande, presbítero, 1® rs. por una vez, y 93 por agosto á 3.rs.</t>
  </si>
  <si>
    <t>Cristóbal Lusardi</t>
  </si>
  <si>
    <t>á montar, de bu©* na calidad, ó e cambiaran por uno de montar. Al sugeto que le acomoden acudirá i D. Cristóbal Lusardi, cirujano oculista, que vive en la calle de Juanelo: se le hallará en su casa desde las 10 hasta las 4. Se vende un caballo tordo, andaluz, y de sobresalientes brazos, ya cerrado;</t>
  </si>
  <si>
    <t>ARES DE MADRID. " •%. Sta. Praxedesvirgen- Quarenta horas en la iglesia det Carmen calzado* Avrsos. D. Cristóbal Lusardi, cirujano oculista, de nación italiana, que habitaba en la calle de Jluanelo, nún&gt;. 11, quarto baxo, portal de nuestra señora de la Soledad, previene que se ha mudado á la calle d</t>
  </si>
  <si>
    <t>Cristóbal Luzardi</t>
  </si>
  <si>
    <t>’ NOTICIAS PECULIARES DE MADRID. AVISO. D. Cristóbal Luzardi, cirujano oculista, cusa y. opera todas las enfermedades dé? los, qjos; hace la operación de, la tatarata por depresión y por extracción Scc. No lleva interes á los .pohres;. Se p</t>
  </si>
  <si>
    <t>Cristóbal Magríñá</t>
  </si>
  <si>
    <t>iiiera de los su* jetos citados. u En i,° de junio de leste anó se le han extraviado en Barcelona á D. Cristóbal Magríñá 4 vales de 300 pésos de la''creación de i.° de setiembre, números 42740,</t>
  </si>
  <si>
    <t>Cristóbal Olmedo</t>
  </si>
  <si>
    <t>mas Sanz de Ibarrola, de id. Don Ramón Royo Pueyo, alcalde. D. Luis Naranjo, diputado de la Latina. Don Cristóbal Olmedo, de id. D. Pedro Acevedo id. D. Rafael Guerra, eclesiástico de dicha. D. Juan Hermoso Dara,-alcalde. D. Bernardino Quirós, cura de Santiago. D. Miguel Wanderbick, diputado de la B</t>
  </si>
  <si>
    <t>Cristóbal Qotdori</t>
  </si>
  <si>
    <t>rzobispado: para elarciprestazgo de Madrid, en la diócesi de; Toledo, vácante por ‘fallecimiento de D. Cristóbal Qotdori!, á D. Jórge Migúer dé Górdon 5 y para el beneficio^ servidero de la parroquia de S. Pedro' de la •ciudad' dé Carmoña, én la diócesi de Sevi-r. llaVnuevamente' erigido pbr'el plan</t>
  </si>
  <si>
    <t>Cristóbal Rodríguez</t>
  </si>
  <si>
    <t>ez Bustamante, bibliotecario de S M.__Biblioteca universal de la poligrafía española, compuesta por D. Cristóbal Rodríguez, y publicada por Don Blas Antonio Nassarre, bibliotecario mayor de S. M---- Sinopsis histórica acronólógica de España-, - por D. Juan de Perreras, bibliotecario mayor de S.M., aña</t>
  </si>
  <si>
    <t>Cristóbal Tomás</t>
  </si>
  <si>
    <t>y reumáticas, por el célebre P. J.Barthez, médico de Napoleón i &amp;c., compendiado en castellano por D. Cristóbal Tomas, médico de número de los reales exércitos &amp;c. Esta obrita contiene todo lo escrito hasta el dia, y su crítica acerca de la gota y del reumatismo, y ademas sus muchas complicacione</t>
  </si>
  <si>
    <t>Cristóbal Valero</t>
  </si>
  <si>
    <t>üma en vales reales. Quien quisiere hacer rmcjóra, :1o lexch cutara por la escribanía que desempeña D. Cristóbal Valero ,y Arc^s." , - i / . Por providencia dé D. Josef RafaeLFernandez Cid, subdelegad^ en- el depara tamento de Sobrado del juez comisionado reglo en las diócesis de Tuy y Orense, se,</t>
  </si>
  <si>
    <t>Cristóbal Valero y Arcas</t>
  </si>
  <si>
    <t>uien quisiere hacer qaal esquí era de dichas mejoras, lo executará por la, escribanía del cargo de; D. Cristóbal Valero y Arcas. Hn virtud de real facultad se vende un inoiino harinero, llamado de Moyarniz,' situado en termino yjurisdicción de U villa de'Cabanillis del Campo , solaré eí rloí Narres; que 't</t>
  </si>
  <si>
    <t>Cristóbal Ximenez</t>
  </si>
  <si>
    <t>D. Gregorio de Cáceres y 0. Juan Nuñez, el primero graduado de capitán ; tenencias á los alféreces D. Cristóbal Ximenez , T D.; Miguel Rave y D. Antonio Perez, teniente agregado al mismo cuerpo: en el de. cazadores voluntarios de España compañías á los ayudantes, graduados de capitán, D. Juan Casad</t>
  </si>
  <si>
    <t>Crodey, Francisco</t>
  </si>
  <si>
    <t>Francisco Crodey</t>
  </si>
  <si>
    <t>................. 500. D. Benito García, 20 rs. mensuales, por agosto.......................... 20. D. Francisco Crodey , 60 id. id.............. ......................... ............. 60. D. Estanislao Gaya , 60 id. id.................................................... 60. D. Hipólito del Valle,</t>
  </si>
  <si>
    <t>Cruz de Talles, María</t>
  </si>
  <si>
    <t>María Cruz de Talles</t>
  </si>
  <si>
    <t>.............. Málaga....... 300 805 D. Francisco López Moya y compañía.......... Madrid....... fOO Doña María Cruz de Talles............................. Madrid..... .. 500 D. Diego Izquierdo, canónigo....................... Zaragoza..... . 500 2426 D. Juan Manuel de Peralta...,................ . Cádiz.</t>
  </si>
  <si>
    <t>Cruz de Villaté, María</t>
  </si>
  <si>
    <t>María Cruz de Villaté</t>
  </si>
  <si>
    <t>ría de Uria Nafarrondo 12 id. Doña Josefa de la Cueva y Velarda 24 id. D. Diego de la Bastida 2 id. Doña María Cruz de Villaté,^ viuda, y D. Agustín Ballesteros su hijo, 2 camisas y 2 vendas. D. T. M. 2 camisas. D. Fernando y D. Manuel García de la Prada 59 camisas finas. D. Pedro de la Puente, arquitecto</t>
  </si>
  <si>
    <t>Cruz Sanz de la Torre, Juan</t>
  </si>
  <si>
    <t>Juan Cruz Sanz de la Torre</t>
  </si>
  <si>
    <t>l.. D. Miguel Recio. En Cuenca....... . Los Sres. viuda de Escolar y Noriega. En Toledo............ D. Juan Cruz Sanz de la Torre. En Avila.............. D. Fernando Echepare y sobrinos* En Quadalaxara. D. Isidro García Plaza. El Excmo. Sr. D. Pedro González Llamas, general en gefe del exército de defensa de</t>
  </si>
  <si>
    <t>Cubas, Andrés</t>
  </si>
  <si>
    <t>Andrés Cubas</t>
  </si>
  <si>
    <t>s sirvientes, 2 meses de sus salarios por una vez, 240 rs. El marques de Moneada por una vez 2© rs. D. Andrés Cubas, por ó meses á 30 rs. durante la guerra, 180. D. Antonio de Ugarte Larrazabal 3© rs. por una vez, y 186 por agosto á 6 rs. diarios por dicho tiempo, 3186. D. Francisco Ignacio de</t>
  </si>
  <si>
    <t>Cubero, Pedro</t>
  </si>
  <si>
    <t>Pedro Cubero</t>
  </si>
  <si>
    <t>es........ ..................... .............................................................. 20; D. Pedro Cubero, tapicero, por agosto 40 rs. mensuales......... 40. D. Juan Cbbeña, por agosto á 30 rs. mensuales........................ D. Juan Josef Díaz, id...,.,,......,.....................</t>
  </si>
  <si>
    <t>...... ............ iooo. Julián Martínez Leganes, en intereses de vales reales, id........... 361. D. Pedro Cubero, id......................... ....................................... ........... 40. D. Manuel de Granda, contador del duque de Osuna, 120 rs. mensuales por espacio de un año, por</t>
  </si>
  <si>
    <t>Cucarella, Antonio</t>
  </si>
  <si>
    <t>Antonio Cucarella</t>
  </si>
  <si>
    <t>rancisco Rodríguez ¿ diputado del Ave María. D. Manuel Onofre Martínez, diputado de la Encarnación. D. Antonio Cucarella, diputado de S. Ildefonso. D. Tomas Sanz de Ibarrola, de id. Don Ramón Royo Pueyo, alcalde. D. Luis Naranjo, diputado de la Latina. Don Cristóbal Olmedo, de id. D. Pedro Acevedo i</t>
  </si>
  <si>
    <t>Cuen, Manuel</t>
  </si>
  <si>
    <t>Manuel Cuen</t>
  </si>
  <si>
    <t>*4*f9*MM •&gt;,*.* • * • * • • • ;; - 6oo. D. Manuel Tiburcio Martínez de Novales, por una vez... 400, D. Manuel Cuen de, por una. vez D. Joaquín de £!izalde, portero, de la.secretaria.de Hacienda». por una vez..»...... ............ ............ ......... .......................... ,-foa. D. Cristób</t>
  </si>
  <si>
    <t>Cuende, Pedro</t>
  </si>
  <si>
    <t>Pedro Cuende</t>
  </si>
  <si>
    <t>.,................... 1900. Juan Hoya , pelriqueroy por una yer.....».».» ........»»..-....... 200. D. Pedro Cuende, escribano de cámára del conseja de Hacienda , por una vez..................... ..................................................... 120. D. Domingo* Cabezoir, escribiente del mo</t>
  </si>
  <si>
    <t>Cuesta, General</t>
  </si>
  <si>
    <t>General Cuesta</t>
  </si>
  <si>
    <t>y 8$ Madrid 21. de Junto. Valladolid ha sido reconquistada el Miércoles 15. por el General Cuesta con i82h hombres de los. exércitos gallego y asturiano, que llegaban ya á Rioseco , sin que se'haya escapado un francés de los 3®. que parece habían dexado en aquel ponto. Se pued</t>
  </si>
  <si>
    <t>Cuesta, Santiago</t>
  </si>
  <si>
    <t>Santiago Cuesta</t>
  </si>
  <si>
    <t>sita, por una vez... 120. D. Manuel Barco, del comercio de libros , por una vez.............. 35 o* D. Santiago Cuesta, médico de familia, por una vez............... 320. D. Juan Antonio Yangues, fabricante de cal y ladrillo, por una vez.................. ..........................................</t>
  </si>
  <si>
    <t>Cuevas de Pedro, Manuel</t>
  </si>
  <si>
    <t>Manuel Cuevas de Pedro</t>
  </si>
  <si>
    <t>-"M-. ■ ' • • ■ j v„ • 1 ' •&gt;. .• • • •- * •. Tomellosa, provincia de Guad&amp;láxaror2-0 jde febrero. Don Manuel Cuevas de Pedro , cirujano de .esta villa, deseando prepagar el beneficio de la vacuna, pidió á .Madrid el pus, y 1 consiguió vacunar 203 niños en el mes de diciembre;anterior, eñ esta forma: 129</t>
  </si>
  <si>
    <t>Cuevas, Manuel</t>
  </si>
  <si>
    <t>Manuel Cuevas</t>
  </si>
  <si>
    <t>... . 300 2177 D. Pedro Hernández...................................... ... Coruña........ ifoo 66) D. Manuel Cuevas.......................................... ... Madrid....... 1500 2000 Doña María del Rosario Barcia y Camacho ,.. Zaragoza..... 300 336 Doña María de Jesús Perez..................</t>
  </si>
  <si>
    <t>Cunegunda, Princesa</t>
  </si>
  <si>
    <t>Princesa Cunegunda</t>
  </si>
  <si>
    <t>0 de junio. Esta mañana ha salido de aqui S. A. R. el antiguo elector de Tréveris, acompañado de la Princesa Cunegunda, su hermana; pasará por Munich á Saltzburgo , donde encontrará á su hermano primogénito el duque Alberto de Saxonia Teschen. SS. AA. vivirán juntos algunas semanas en el palacio M</t>
  </si>
  <si>
    <t>Curbera, Juan Antonio</t>
  </si>
  <si>
    <t>Juan Antonio Curbera</t>
  </si>
  <si>
    <t>uez..........................i...... Madrid../...;, iboo 24 él D. Pedro Cbrnel • Zaragoza.../ 21 $7 D. Juan Antonio Curbera........... ..... ..... -..... *, Gorunk. .I.í.v 300. 1049 D¿ Franciscd Xavier de.M^ndoza^-f...»*..-.-^..*.' MsSdricb/...;/ J^OO' 5 28 D. Miguel de Laca..,«.w«iM.«*................</t>
  </si>
  <si>
    <t>Custodio Alcaide</t>
  </si>
  <si>
    <t>. El marques de Pontejos, id..... .......................................................... I2000. D. Custodio Alcaide, vidriero de la casa real, en un vale real, id............. ............................................. ,........ .................................... 2261. D. Antonio de Neira</t>
  </si>
  <si>
    <t>Custodio Alcalde</t>
  </si>
  <si>
    <t>Fuentes Lopéz 60. D.í Pedro Nalda 240/ : ,.. D. Mariano Sancho, 100., Doña Manuela Moron 160. ' £ : D. Custodio Alcalde.y su hijo Don D. Antonio Ramón Gome? 60. Sebastian 4537 rs. 5 mrs. en vafói D. Ramón de Angulo 3©..... - , reales. D-1 Ramón de Basualdo 640a «• Dos bienhechores 2©. D. Bernardino</t>
  </si>
  <si>
    <t>Cuvier</t>
  </si>
  <si>
    <t>la clase, leyó la relación de los progresos de las ciencias matemáticas en el periodo señalado , y Mr. Cuvier, otro de ios secretarios, leyó la descripción de los adelantamientos en las ciencias físicas. Ambos informes están llenos de ideas grandes y luminosas, y de miras útiles á l®s pro</t>
  </si>
  <si>
    <t>Sever® López, por D. T. G. Suelto; unas reflexiones sobre la clasificación de los huesos fósiles de Mr. Cuvier, y utilidades de la anatomía comparada; y el artículo de variedades, en que se incluyen las modas &amp;c. Este número lleva una lámina de los trages del reino.de Valencia, correspondi</t>
  </si>
  <si>
    <t>Cuviet</t>
  </si>
  <si>
    <t>or Mrs. Gall y Spurzheim, doctores en medicina, quienes habiendo presentado á la clase por medio de Mr. Cuviet ?a-obra qué 'sobre este asunto han hecho, acaba esta de darse á tconoóé’r al' publico: lie a^úi los principales resultados. Por de pronto no 'se hábla -en ia memoria dé los anatóm</t>
  </si>
  <si>
    <t>Cxaciliabo AfóUzo</t>
  </si>
  <si>
    <t>a, vacante por la promoción de Jfr. Andrés de Arbélos á la dignidad de maestrescuela-de la misma, á Don Cxaciliabo AfóUzo| F jpaira él beneficio de Sta* Colaina é» la parroquiade</t>
  </si>
  <si>
    <t>D- Antonio Aguado</t>
  </si>
  <si>
    <t>so Benito, uno id. id...................................................... 6t. D- Antonio Aguado, teniente arquitecto mayor de esta villa, 4 id. por 2 .meses...................................................... 244. D. Ainonio Fernandez, portero de cámara de S. M., 1277 7s. y 17 mrs.</t>
  </si>
  <si>
    <t>Dacier</t>
  </si>
  <si>
    <t>e un breve discurso que Mr. Levesque, presidente de la clase, pronunció $1 presentar la diputación, Mr. Dacier* su secretario perpetuo, leyó el resumen del informe sobre el estado y progresos de los ramos de literatura de que está la clase encargada. S. M. respondió, manifestandó elrapreei</t>
  </si>
  <si>
    <t>Dainian, Joaquín</t>
  </si>
  <si>
    <t>Joaquín Dainian</t>
  </si>
  <si>
    <t>Isidoro Damian 2, Venceslao Burgos 2. Josef Ramos 6. Calixto Simón una. León Martin de Loeches una. D. Joaquín Dainian un par de calzones, un chaleco de ante, 2 pares de calcetines, y un vestido que se dexó un*soidsdo en dicha villa de Torrejon, todo entregado por el teniente cura y alcalde. Doña</t>
  </si>
  <si>
    <t>Dairymple</t>
  </si>
  <si>
    <t>Sevilla 33</t>
  </si>
  <si>
    <t>ción concedida al exército francés de Portugal, de resultas del sangriento combate del 2t; estipuló Mr. Dairymple, general en xefe del exército ingles, que los españoles detenidos prisioneros por Jnnot, volverían á su patm sin, condición alguna. Así veremos en breve á estos valerosos soldados</t>
  </si>
  <si>
    <t>Dalí</t>
  </si>
  <si>
    <t>endencia dé su país. La comisión encargada del fondo patriótico ha votado un premio consiv derableá Mr. Dalí, capitán del navio de S. M. et Cometd, por el valor y zelo, que manifestó en la destrucción de los almacenes de S. Salvador y Fortsedra á la entrada del puerto de Santander, quand</t>
  </si>
  <si>
    <t>Dalmau, Manuel</t>
  </si>
  <si>
    <t>Manuel Dalmau</t>
  </si>
  <si>
    <t>.... 300 2106 D. Patricio Kearney... .......... ............................ Cádiz.......... 600 69 D. Manuel Dalmau............................................ Barcelona.... 300 1903 D. Juan Benito Reúaga.................................... Zaragoza..... 600 .297 Luis Antonio García............</t>
  </si>
  <si>
    <t>Damasieres, Miguel</t>
  </si>
  <si>
    <t>Miguel Damasieres</t>
  </si>
  <si>
    <t>av 3c° 772- IX. j Vidente García .Diez,................................ Madrid....... 3 Qo i i 01 ■D. Miguel Damasieres............................i.*,... . Madrid...... 3 co i 6J 4 ■D.* Santiago de Lar.ramendi......... ....... . Madrid........ 300 1062 D. Juan Arnaez y Bringas....... .............</t>
  </si>
  <si>
    <t>Dámaso Joaquín de Sanpelayo</t>
  </si>
  <si>
    <t>al Sr. D. Manuel de Michéo, síndico personero, para trasladarse cerca de la Junta central; y al Sr. D. Dámaso Joaquín de Sanpelayo cerca de la Junta Suprema de * Sevilla. Las cartas de Galicia aseguran, que el exeVcito de aquel reyno recibe cada dia numerosos refuerzos. El valeroso1 marques de- S. Simón es un</t>
  </si>
  <si>
    <t>Dámaso López</t>
  </si>
  <si>
    <t>diario......................................................................................... 31. D. Dámaso López, pintor, 40 rs. por una vez, y 61 por 2 meses á un reai diario............ .............. ........................................... 10r. D. Antonio Barra, criado de S. M., por 3</t>
  </si>
  <si>
    <t>meses.....,,.45. Z. J. de F.,‘3© id. por 2¡ id................................................. ¿o, D. Dámaso López, un real, diario, por 2 meses..,.......-,...........» 61. Doña María la. Cruz Ximeñez Barreras, por una vez............ 4. D. Luis Melgarejo, ministrOídel pojist jo jeaf de Jas Or</t>
  </si>
  <si>
    <t>Dámaso Machuca</t>
  </si>
  <si>
    <t>....... Cádiz........... 500 1291 D. Francisco Antonio Herrero, procurador... Valencia.... 39° *739 D. Dámaso Machuca........................................... Cádiz......... 600 2275 Doña María Pilar de Atristain............... ...... . Bilbao..... . 500 1078 D. Mateo de la Quintana............</t>
  </si>
  <si>
    <t>Dámaso Mexía</t>
  </si>
  <si>
    <t>.......................... x D. Julián López Zerna, vecino de Velez-rubio...................... 1 X D. Dámaso Mexía, vecino de Seseña.. 1 El marques de Santiago y de Monreal. 1 x i cabezid* ! ' ; ■ i D. Julián de León Martínez, vecino de Alcobendas.................................. 1</t>
  </si>
  <si>
    <t>Dámaso Santos Martínez</t>
  </si>
  <si>
    <t>vos para vestir el exército, y otros usos titiles a este. Setiembre 26. Doña María Soria 2 camisas. D. Dámaso Santos Martínez 2. Doña Micaela Ramona Nicolasa 2. Doña Clara Sexti y Badan 6. Don Antonio Ribera 6 camisas de coruña. Las religiosas de las Vallecas 10. D. Josef Benitez 6. Doña Gertrudis Padell</t>
  </si>
  <si>
    <t>...................... 918. D. Luis Gil Naranjo, en rédiros de vales reales, por una vez... 361 ij, D. Dámaso Santos Martínez, id....... ................................................ 60. •'£ D. Josef Badan, un vale de 150 pesos y un libramiento de esta moneda,.id......... .............................</t>
  </si>
  <si>
    <t>Damian de Isasi</t>
  </si>
  <si>
    <t>autorizar este acto, y con asistencia del escribano de diligencias de los mismos, cupo la suerte á D. Damian de Isasi, vecino de esta corte, que habita baxada de los Angeles, núm. 2, quarto entresuelocomo resulta del asiento en el libro n de esta rifa, al folio 84 vuelto: lo que se anuncia al púb</t>
  </si>
  <si>
    <t>Damián de Isási</t>
  </si>
  <si>
    <t>temayor ó^ CaLa marquesa de Pesadilla , condesa misas;. " ’ 0 ' : • -"• t ’;i de Canillas, 24; :i • D. Damián de Isási una. r D. Juan Pie 4. * ‘ D. Ped ro Morerio1 Lombardo ti? Doña Casilda Mollinedoy Grijalba 2 D. N. 28 capotes de paño nuevos. y un pantalón. D. Joaquín Manrique 3 camisas. Doña N.</t>
  </si>
  <si>
    <t>Damian Martín</t>
  </si>
  <si>
    <t>» Hemeterio González, id....... .................... ......................................... IOO. D. Damian Martin, maestro ebanista, id.......... ............................. 256. Damian Lorenzo, id........................ ;.............. .................................. 40. D. Manuel Salv</t>
  </si>
  <si>
    <t>Damiana de Otaolá, María</t>
  </si>
  <si>
    <t>María Damiana de Otaolá</t>
  </si>
  <si>
    <t>sef Ortiz 1 f varas de lienzo. D. Francisco de Moya y Cortés 6. Doña Juana María del Val 2 camisas* Doña María Damiana de Otaolá 6 Doña Francisca Arroteta, su criada. Doña Nicolasa Perez de Castro 2, una. D. Vicente Diratigo 3. D. Francisco Torres 4. D. Benito García Perez de Castro D. Severo Andrés García</t>
  </si>
  <si>
    <t>Damor, María</t>
  </si>
  <si>
    <t>María Damor</t>
  </si>
  <si>
    <t>l consejo de los Sres. infantes D. Carlos y Don S. M.» 60. Francisco de Paula 361. D. M. L. S. una. Doña María Damor 2. D. Josef Ortiz 1 f varas de lienzo. D. Francisco de Moya y Cortés 6. Doña Juana María del Val 2 camisas* Doña María Damiana de Otaolá 6 Doña Francisca Arroteta, su criada. Doña</t>
  </si>
  <si>
    <t>Dannecker</t>
  </si>
  <si>
    <t>nto de Keppler tardará poco tiempo en acabarse. El 28 de mayo se puso el baxo relieve trabajado por Mr. Dannecker, en Stuttgardt; representa un genio levantando una extremidad del velo con que está envuelta la astronomía. No falta mas para concluir el monumento que colocar el busto de Keppler</t>
  </si>
  <si>
    <t>Danzi</t>
  </si>
  <si>
    <t>vo de su desposorio con la princesa Cariota. En seguida se executó un oratorio nuevo, compuesto por Mr. Danzi, maestro de capilla de esta capital. Luego hubo un gran banquete, en que se manifestó un gran júbilo general. Hoi ha salido de aqui S. M. para su palacio de Louisbourgo, en donde</t>
  </si>
  <si>
    <t>Dapont, General</t>
  </si>
  <si>
    <t>General Dapont</t>
  </si>
  <si>
    <t>del tratado. En consecuencia ayer á mi presencia, y por medio de mis tropas desfiló ia división del General Dapont en nilmero de ocho mil hombres que rindió sus armas á quatrocientas toesas del campo, quedando en nuestro poder la Artillería, Aguilas, municiones, carros, equipages, en una palabra</t>
  </si>
  <si>
    <t>Dáraasa Izquierdo</t>
  </si>
  <si>
    <t>a ¡villa dfe Budi a , un i eal -diaa 10, * .por. 2: n j e se s.... • .«-■■ .■..¿..i . .«.• ^ t. . ¿ Doña Dáraasa Izquierdo , por una.,vez........................ . t6,o. D. Artcnio dei Gi'mbernat, cirujano de cámara de S. M.,en va- , les reales, y. en intereses de ésta moneda, id............. ........</t>
  </si>
  <si>
    <t>Darctmrt, Nicolás</t>
  </si>
  <si>
    <t>Nicolás Darctmrt</t>
  </si>
  <si>
    <t>ro AMmer, del de Cantabria D. Cirios Montero, del de Africa D. Pedro Labastida, del mismo de Toledo D. Nicolás Darctmrt, del expresado de Mallorca D. Antonio Hernando, del propio de Irlanda D. Patricio Kearney, del inmemorial del Rei D. Carlos de los Ríos , y del de Ñapóles D. Manuel Masoauta. JEn</t>
  </si>
  <si>
    <t>Darracq, Pedro</t>
  </si>
  <si>
    <t>Pedro Darracq</t>
  </si>
  <si>
    <t>.... Burgos........ 300 958 D. Manuel Abad de Aparicio..................... . Madrid...... 3°° 2020 D. Pedro Darracq........................................... . Cádiz.......... 300 163 D. Francisco Xavier Sánchez....................... . Valencia..... 300 1071 D. Juan Andrés Fascio.............</t>
  </si>
  <si>
    <t>Dartnasit, Juan</t>
  </si>
  <si>
    <t>Juan Dartnasit</t>
  </si>
  <si>
    <t>corre : dice así* Claudio ]ousé , francés de nación , prisionero de guerra , y asistente que era de D. Juan Dartnasit, capitán francés , también prisionero, que falleció ayer en el hospital real , católico , apostólico , romano de religión , pide se le admita en un cuerpo del cxórcito. ra El nomb</t>
  </si>
  <si>
    <t>Dasel</t>
  </si>
  <si>
    <t>baron, Barette y Morin, dependientes de la aduana, ^e me» tieron en un bote, y baxo la dirección de Mr. Dasel, capitán de una embarcación de Fecamp , se encaminaron adonde guiaban los clamores de lols náufragos. A pesar de lo alborotado de las olas, y de que se creyeron perr didos muchas</t>
  </si>
  <si>
    <t>Dastis Cádiz, Lorenzo</t>
  </si>
  <si>
    <t>Lorenzo Dastis Cádiz</t>
  </si>
  <si>
    <t>. Zaragoza..... 500 1859 D. Julián de Fuentes, regidor.^.......i............ Zaragoza»..' 30CÜ 2099 D. Lorenzo Dastis Cádiz»!»».» 6ód 1012 D.&lt; Cárlos Josef Conrote........ &amp;..........«......... Madrid..»». 500 825 Viuda de Aldea-Nueva................................... 1 Madrid...... 500 2244 D. Marcos</t>
  </si>
  <si>
    <t>Daurris, Juan</t>
  </si>
  <si>
    <t>Juan Daurris</t>
  </si>
  <si>
    <t>.... 15 có. D. Mariano Zalles, por una vez................................................... 1500. D. Juan Daurris, del comercio de quincalla , por una vez........ IOCO. D. Juan Isidoro Perez, abogado del colegio, por ahora...... .... 500. Antonio Rodríguez, calesero, criado de Julián Ruiz, po</t>
  </si>
  <si>
    <t>Davi</t>
  </si>
  <si>
    <t>lebrado el hecho de este digno y respetable eclesiástico. Se ha hablado mucho del descubrimiento de Mr. Davi, químico ingles, que por medio del galvanismo ha conseguido descomponer la potasa y la ¿rosa, y extraer el metal que contienen. Mrs. Thenardy Gai-Lussac acaban de dar parte al ins</t>
  </si>
  <si>
    <t>David</t>
  </si>
  <si>
    <t>como por la reputación, tari' bien merecida en mi opinión, de que goza en Francia el sabio artista Mr. David. Asique, no es de extrañar que .á todas las horas del dia esté lleno de inmenso gentío el salón en donde se ha colocado-provisionalmente esta preciosa producción de las artes, á p</t>
  </si>
  <si>
    <t>a misma naturaleza, la misma verdad , y etmayor esfuerzo que se puede esperar de este arte creador. Mr. David da pruebas nada equívocas en este quadro de los. profundos conocimientos que posee en el arte divino que profesa; pues aunque correctísimo en el dibuxo , se conoce que no es sola est</t>
  </si>
  <si>
    <t>to á vmd. que aunque ya hace algunos meses que me hallo en esta capital de ja Francia, no conozco a Mr. David sino por sus obras; asique, solo la justicia , la yerdad y lá razón son das que me han dictado los elogios que acabo de hacer de esta preciosísima producción de la pintura. Amigo</t>
  </si>
  <si>
    <t>David Baird</t>
  </si>
  <si>
    <t>tropas todas las ventajas de la disciplina. Coruña de octubre. ( Extracto de una carta particular.) Sir David Baird, los generales Mannirgham, Warde y Crauford asistieron ayer al teatro, donde se representó una pieza, en la qual Fernando vil y el Rei Jorge ni se abrazaban much-as veces. Dicha p</t>
  </si>
  <si>
    <t>24 de octubre. Yo no sé qué fatalidad persigue á nuestras expediciones. Aquí está muchos días hace Sir David Baird con cerca de 13©.hombres; ha venida sin que le h^yan llamado los españoles; no había preparativo ninguno para recibirlos , de suerte que las tropas todavía están á bordo de las em</t>
  </si>
  <si>
    <t>Dávíd Bair’d</t>
  </si>
  <si>
    <t>Sevilla 44</t>
  </si>
  <si>
    <t>ne dé 136 velas, y conduce horríhreíS de ibfébteua y 732 cábatlos , al mando del teniénfe géhé'fiái Sir Dávíd Bair’d. Hoy ha desembarcado róuché paité de la oficialidad ; y á las 4 de la tarde enaltó en esta bahía el tercer batallón del regimiento de Maullóte a. Msdrid 2 1 de Octubre• Hábifehdo</t>
  </si>
  <si>
    <t>David Humiréis</t>
  </si>
  <si>
    <t>21 de junio de 1808</t>
  </si>
  <si>
    <t>Madrid 63</t>
  </si>
  <si>
    <t>os Estados-Unidos, después de la sociedad filosófica de Fiiadelfia, que es la mas antigua de todas. Mr. David Humiréis, que ha sido ministro plenipotenciario de los Estados-Unidos en Madrid, ha dado recientemente á luz una colección de poesías, sueltas, que ha sido recibida del público con aceptac</t>
  </si>
  <si>
    <t>Dbzó, Juan de Dios</t>
  </si>
  <si>
    <t>Juan de Dios Dbzó</t>
  </si>
  <si>
    <t>o Terrada, D. Juan /Ramos, D. Bernabé San Martin, D. Bernardo Mateo Ximenez, D. Manuel Pintos’, y á D. Juan de Dios Dbzó , capitán y sargento mayor interino del referido cuerpo de patriotas, grado de teniente coronel de milicias urbanas. A los tenientes de dichas milicias D. Juan de Viatica, D. Anto</t>
  </si>
  <si>
    <t>Ddlz, Miguel</t>
  </si>
  <si>
    <t>Miguel Ddlz</t>
  </si>
  <si>
    <t>rtes , quedándoles libré su. derecho po* ra demandar autor de. ellas dónde corresponda. .&lt; = - .* * Don Miguel Ddlz \Vprofesor de matemáticas V á cuyó cargo , y baxo la!, ptbtécbion dél Sf. Di Díelzó'Gí í l^érn^áhdez » 4ej consejo de Si M., y. alcaldéü de su casa y corte, se hWl| T4$Íablécída,</t>
  </si>
  <si>
    <t>de Abad, Manuel</t>
  </si>
  <si>
    <t>Manuel de Abad</t>
  </si>
  <si>
    <t>el Fernandez; gefes de sala D; Josef Martínez, D. Manuel de* lá Cámara, D. Josef Ramón Fernandez, y D. Manuel de Abad; gefes de trozo D. Manuel Ferrando, D. Sebastian Fernandez Navarrete, D. Pedro Sánchez Pavón, Di Pablo línda , Di Bonifacio Otiveuda, D. Francisco; Martínez , y D. Pablo Ferrando,</t>
  </si>
  <si>
    <t>de Abarratfcgui, Santiago</t>
  </si>
  <si>
    <t>Santiago de Abarratfcgui</t>
  </si>
  <si>
    <t>. Cádiz......... . 300 219 D. Antonio María Bajaguer........... ........... Alicante....... 3Q° 363 D. Santiago de Abarratfcgui.,...................... ^3&lt;icÍ 1 S5««•«t • * *4 « &lt;400 3 71 Fr... .Pedro Yepes. 3°° 2280 Pona Gregaria de Parrar!. 300 I 8 07 D,. .Eusebio, .Bardaxi .y Azara. •. r Zaragoza..... j</t>
  </si>
  <si>
    <t>de Abascal y Bringas, Manuel</t>
  </si>
  <si>
    <t>Manuel de Abascal y Bringas</t>
  </si>
  <si>
    <t>na vez............ ............................... ........ .................................. 400* D. Manuel de Abascal y Bringas, portero de la secretaría de estado, por una vez........ ............................... ........... ............... 1000. D. Pedro García y Piniilos, del comercio de joyería , po</t>
  </si>
  <si>
    <t>de Abaurre, Antonio</t>
  </si>
  <si>
    <t>Antonio de Abaurre</t>
  </si>
  <si>
    <t>émas prendas necesarias á dicho cuerpo, encargó al capitán del regimiento de caballería de la Reina D. Antonio de Abaurre, comisionado en esta corte, que excitase de parte de S. E. los ánimos de algunos señores grandes y particulares, para que de sus guadarneses se sirviesen contribuir al remedio de</t>
  </si>
  <si>
    <t>rsonas, nduya moderación ha exigido rio se hagan públicos sus nombres, han entregado a! comisionado D. Antonio de Abaurre 10 caballos con sus correspondientes monturas y arreos. El Excmo. Sr. marqüesdcl Sobroso ha presentado 2 caballos con el mismo objeto. ....... A fin de proporcionar la’Hlayór segu</t>
  </si>
  <si>
    <t>ta treinta mil reales en efectivo para las urgencias de su exército; y al.comisionado en esta corte D. Antonio de Abaurre se han entregado, por disposición del mismo Sr. Cevalios, catorce millas con todos sus arreos correspondientes al servicio de tiros........ 30000. Ei Excmo. Sr. comisario general</t>
  </si>
  <si>
    <t>ón del ¿Excmo. §r.. marques de Astorga,; ,.. conde de Altamira » sé hatn entregado al comisionar do D. Antonio de Abaurre, para servicio de dicho exército de Castillada vieja, 14 caballos y 9 sillas; . . &gt; habiéndose asimismo contribuido reservadamente, / por dispésicion dél ¿mismo señor * con otros</t>
  </si>
  <si>
    <t>de Abavsrre, Antonio</t>
  </si>
  <si>
    <t>Antonio de Abavsrre</t>
  </si>
  <si>
    <t>s. - . El Excmó. Sr. marques de Branchifort mandó en- * - ^ tregar al comisionado de dicho exército D. Antonio de Abavsrre: 24 monturas nuevas, adamas ^ r. - ;* ^ de 7oS) rs. con que S. E&lt;rhab¡a&lt;jyíi contribuido en r i'! - . ,t&gt;b ^ Cabilla.para las urgencias del mismo ^4 - 24 El Sr. D. Antonio de Gimb</t>
  </si>
  <si>
    <t>de Abril, Ángel</t>
  </si>
  <si>
    <t>Ángel de Abril</t>
  </si>
  <si>
    <t>de Espolios y .Vacantes * id..................1.............................................. 5 00. D. Angel dé Abril;, administrador del Tabaco en esta corte, id. rooo. D. Josef Escribano Montoya* presbítero, id........................... ...... 320^ Manuel Montenegro, tendero, id...............</t>
  </si>
  <si>
    <t>de Abrisquieta, Juan Francisco</t>
  </si>
  <si>
    <t>Juan Francisco de Abrisquieta</t>
  </si>
  <si>
    <t>. Bilbao........ . 500 1373 D. Juan Roca y Juan, de Orihuela............... Alicante...... 600 499 D. Juan Francisco de Abrisquieta................... Bilbao........ 300 1988 D. Juan Lurbe...,............. ................................ Zaragoza..... 1500 231 D. Juan González de Latorre......................</t>
  </si>
  <si>
    <t>de Acedo y Loyda, Manuel María</t>
  </si>
  <si>
    <t>Manuel María de Acedo y Loyda</t>
  </si>
  <si>
    <t>rid....... 300 &lt;21:29 .DoñaiMaría Francisca Blancas......i.,.............. Zaragoza..... 500 &lt;1571 ^D. Manuel María de Acedo y Loyda........... Bilbao...... 300 0:895 ,P..Josef Fontana.............................. .............. Madrid....... IOOO 865 D. Gregorio de Echeverría.............. .............. Madr</t>
  </si>
  <si>
    <t>de Acédó, Juan</t>
  </si>
  <si>
    <t>Juan de Acédó</t>
  </si>
  <si>
    <t>encia del Sr. D. León de Sagásta', teniente corregidor ce esta villa, y juez de lá testamentaría de D. Juan dé Acédó^Braro, se ha señalado país junta de sus acreedores el dia 28 &lt;|el corriente,.’ á las1 fo dé su mañanáV^dh ebqlTaíto habitación principal que tier.e*IX7Jijlin AntóhibTTrrazá i estr</t>
  </si>
  <si>
    <t>de Ácevédo, Vicente María</t>
  </si>
  <si>
    <t>Vicente María de Ácevédo</t>
  </si>
  <si>
    <t>Sevilla 29</t>
  </si>
  <si>
    <t>o Vil con las ceremonia»* acostumbradas , de itado lo qual did parte con fecha del 6 al Excnro. Sr. D. Vicente María de Ácevédo^ general'en «efe de este e'xércirm. El Sr. D. Juan Húnter, comisionado dé Sx M.-íbrká* nica », en oficio dirigido al procurador general del Prin* ñipado» con fecha * tz t del que</t>
  </si>
  <si>
    <t>de Acevedo, Vicente María</t>
  </si>
  <si>
    <t>Vicente María de Acevedo</t>
  </si>
  <si>
    <t>de su pertenencia; pero distribuyendo de todos modos su importe á las tropas. Parte del Excmo. Sr. D. Vicente María de Acevedo, capitán general del exército de Astúrias. Señor: Con fecha de 28 de junio la junta suprema del principado de Asturias tuvo á bien nombrarme capitán general de su exército; y con</t>
  </si>
  <si>
    <t>Sevilla 52</t>
  </si>
  <si>
    <t>4X2 Oviedo de Noviembre. El Excmo. Sr. D. Vicente María de Acevedo,. con* -fecha del 28, de Octubre desde su quartel de Villaró en Vizcaya, participa i esta Suprema Junta lo siguiente. ,, Por orden del General en xefe del exércjto de la izquierda</t>
  </si>
  <si>
    <t>de Acha, Domingo</t>
  </si>
  <si>
    <t>Domingo de Acha</t>
  </si>
  <si>
    <t>........................... 180. Francisco Antonio Muñoz, mayoral del abasto de carnes, id.... 120. D. Domingo de Acha, id........... ..................................................... 1100. D. Gregorio Rubio Escudero, dependiente de la real fábrica de sombreros de S. Fernando, en un libramient</t>
  </si>
  <si>
    <t>de Achutegur, Juan Antonio</t>
  </si>
  <si>
    <t>Juan Antonio de Achutegur</t>
  </si>
  <si>
    <t>za..... 300 1848 ,p. Lorenzo Villanueva...................... .............. Zaragoza..... 300 479 ,D. Juan Antonio de Achutegur...................... Bilbao......... 300 ,2298 ,Poñá Francisca Xaviera Sologuren.................. Cádiz.......... , 300 2203 Sres. Llam, Gay te y compañía......................</t>
  </si>
  <si>
    <t>de Adurriaga, Ramón</t>
  </si>
  <si>
    <t>Ramón de Adurriaga</t>
  </si>
  <si>
    <t>or id;, idv,&lt;2o. D. Marcelo de Ondarza, oficial' de la secretaría de Hacienda, por una vez 1100 rs. D. Ramón de Adurriaga, por id. 200. D. Pedro Madrid, por agosto á 2 rs. diarios ,62. i</t>
  </si>
  <si>
    <t>de Agreda, Estéban</t>
  </si>
  <si>
    <t>Estéban de Agreda</t>
  </si>
  <si>
    <t>setiembre á 2 dia» ci: . .i ríos, y 1624 rs. y 16 mrs. por una vez.................í..1 iJjqjSiiGí D. Estéban de Agreda, director de la galena de escultura de. v , ,1 la.real fabrica de- porcelana, 6® id. id..........«.bi.. ...O lio.- .&lt; l D. R. P. X., ico rs. por una vez, y 30 mensuales desde octu</t>
  </si>
  <si>
    <t>de Agreda, Juan Manuel</t>
  </si>
  <si>
    <t>Juan Manuel de Agreda</t>
  </si>
  <si>
    <t>ses...... ......................................... ............. ......................... I2t 22. D. Juan Manuel de Agreda, presbítero, uno id. ,por 2 meses.... 60. D. Mariano de Llanderal, tesorero del reino, 6 -id. por 6 meses. 1100. D- Juan.Pujalriu , del comercio, 3 id. por 2 meses................</t>
  </si>
  <si>
    <t>de Agreda, Simón</t>
  </si>
  <si>
    <t>Simón de Agreda</t>
  </si>
  <si>
    <t>se maridó satisfacer, como se verificó , ba-xo fianza de acreedor de me jor derecho, facilitada por D. Simón de Agreda, también vecino y del comercio de dicha plaza, que después se subrogó en cierta finca perteneciente al referido convento. Y últimamente, por providencia de 28 de abril próximo se</t>
  </si>
  <si>
    <t>de Aguiiar, Juan</t>
  </si>
  <si>
    <t>Juan de Aguiiar</t>
  </si>
  <si>
    <t>. Madrid..... . 3°° 2015 Doña María Magdalena Sánchez.................... Cádiz........... 300 2071 D. Juan de Aguiiar............................................. Cádiz......... . 500 2143 D. Nicolás de Arujo y Losada.................... Coruña....... 500 629 Doña Ignacia Arto....................</t>
  </si>
  <si>
    <t>Vargas ,- catedrático y7 recto* que ha sido de esta real Univer-sidad 5 y para esta media ración* a D. Juan de Aguiiar* cu*</t>
  </si>
  <si>
    <t>de Aguilar y Noguera, Ramón</t>
  </si>
  <si>
    <t>Ramón de Aguilar y Noguera</t>
  </si>
  <si>
    <t>as tropas de Madrid. Don Pedro Martínez -Retuerta 3 vestidos completos para soldados de infantería. D. Ramón de Aguilar y Noguera un vestido completo para soldado de ídem. D. Gregorio de; Arce 240 pares de calcetas. La condesa de Villapaterna 12 libras de hilas. D. Antonio Gámiz 2. La condesa de Vallencourt</t>
  </si>
  <si>
    <t>de Aguilár, Juan</t>
  </si>
  <si>
    <t>Juan de Aguilár</t>
  </si>
  <si>
    <t>de julio de este año nos dice lo que sigue: . ; &gt; ,;En el día 17 del corriente llegó á este puerto D. Juan de Aguilár, intendente de exércitb y de:fea! hacienda en esta isla: tanto por lo que dixo él mismo, como por varios papeles impresos que me entregó, me impuse de estar el Rei nuestro señor F</t>
  </si>
  <si>
    <t>de Aguilar, Manuel</t>
  </si>
  <si>
    <t>Manuel de Aguilar</t>
  </si>
  <si>
    <t>número de sus Secretarios de Guerra y Estado; y en conseqüencia ha nombrado como tales á los Sres. D. Manuel de Aguilar, Al fe rez del Regimiento de caballería de Santiago, D. Julián Seríeseos, Subteniente del Regimiento Infantería de la Rey na, D. Francisco de Checa y Xixon, Capitán de Exército ag</t>
  </si>
  <si>
    <t>de Aguirre y Castellanos, Ignacio</t>
  </si>
  <si>
    <t>Ignacio de Aguirre y Castellanos</t>
  </si>
  <si>
    <t>id,...... - fOO 500 1593 D. Francisco Salvador de Estarta.................... Bilbao.......... 1070 D. Ignacio de Aguirre y Castellanos............. Madrid....... 3°° 1446 D. Henrique Disiier........................ . Málaga....... 300 1221 D. Francisco Narzagaray........ . Bilbao,.;...... 3°° 536 D. Félix Bustilí</t>
  </si>
  <si>
    <t>de Aguirre, Juan Antonio</t>
  </si>
  <si>
    <t>Juan Antonio de Aguirre</t>
  </si>
  <si>
    <t>.. Alicante...... 300 369 Doña Juana. Gutiérrez y Cevallos.................. Cádiz........4 300 488 D. Juan Antonio de Aguirre............ ............... Bilbao.;.... 300 1747 D. Josef Molla................................... ............ Cádiz.......... 500 985 Sres. Zorrilla hermanos...................</t>
  </si>
  <si>
    <t>de Aguirre, Juan Bautista</t>
  </si>
  <si>
    <t>Juan Bautista de Aguirre</t>
  </si>
  <si>
    <t>. . »• O^dlZ* • •• mu* •&gt;»:«««•• 300 623 D. Angel Abril »• Madrid» ; 500 ,. Bilbao...,;... 300 &gt;&gt;39 D. Juan Bautista de Aguirre.... 3°o 1728 D. Joaquín Rodríguez................. .. Cádiz......... 664 D. Tadeo Rico y Arnedo.......... .. Madrid....... 300 1282 Excmo. Sr. D. Félix Berenguer .. Valencia....,</t>
  </si>
  <si>
    <t>de Aguirre, Juan Fernando</t>
  </si>
  <si>
    <t>Juan Fernando de Aguirre</t>
  </si>
  <si>
    <t>Madrid 31</t>
  </si>
  <si>
    <t>mero de D. Juan López Fando. ■'~í% /i',! • - ‘■■■ ■ '' AVISO. i • En virtud de ¡providencia del Sr. D. Juan Fernando de Aguirre, oidor de la *cal- audiencia de¡ Sevilla ,, por ante el escribano público de ella Diego de León y los autos, del concurso á los bienes del señor conde de Fuente el Salce, ^jfun^y</t>
  </si>
  <si>
    <t>de Aguirre, Vicente Ambrosio</t>
  </si>
  <si>
    <t>Vicente Ambrosio de Aguirre</t>
  </si>
  <si>
    <t>e los Heros , D. Benito de Prado y Ulloa. Diputación de los cinco gremios mayores. D. Pedro Rubio , D. Vicente Ambrosio de Aguirre. Por las 6~4 diputaciones de los barrios que componen los ro quarteles de Madrid. D. Silverio Perez. por el quarrel de Avapies; D. Juan de Mata Iliana, Palacio; D. Ignacio García,</t>
  </si>
  <si>
    <t>de Aiuruaga, Juan</t>
  </si>
  <si>
    <t>Juan de Aiuruaga</t>
  </si>
  <si>
    <t>Risel, ....v^U*&gt;. Madrid*;...;*. 5 ÓO 2330 D. Josef Reta y Miguel........ .. Cádiz........ oóo i2if D. Juan de Aiuruaga,....................... ............... Bilbao........ 500 2452 D, Hilario Ximenez................ . Zaragoza.—. ; : fO® 2090 D, Manuel de Zafra Gal legos.. ........' ■*#••• • 39®</t>
  </si>
  <si>
    <t>de Alanza, Pedro</t>
  </si>
  <si>
    <t>Pedro de Alanza</t>
  </si>
  <si>
    <t>154^ 55^59» 57^4* y 70178 , cen el endoso á su favor, y dados por D. Pedro de Alanza. El que sepa de su paradero lo avisará á dicho Magriñá en Montblanch , donde se halla, y eti esta corte á D. Juan Alebesque, plazuela de Matute, núm. 21. A D. Miguel Angli ¿ vecin</t>
  </si>
  <si>
    <t>de Alava, Ignacio</t>
  </si>
  <si>
    <t>Ignacio de Alava</t>
  </si>
  <si>
    <t>nistro del consejo de las Indias: D. Manuel Vicente Torres Cónsul, fiscal del consejo de Hacienda : D. Ignacio de Alava, teniente general, y ministro del consejo de Ma-4 riña: D. Joaquín María Sotelo, fiscal del citado consejo de la Guerra: Don. Pablo Arribas, fiscal de la sala de alcaldes de casa</t>
  </si>
  <si>
    <t>de Alava, Ignacio María</t>
  </si>
  <si>
    <t>Ignacio María de Alava</t>
  </si>
  <si>
    <t>l y director general de la real armada, y decano del supremo consejo de Marina, al teniente general D. Ignacio María de Alava, inspector general de arsenales, con las funciones y facultades que le declara la ordenanza de este ramo, y á las órdenes del director general; y al gefe dé escuadra D. Francisco</t>
  </si>
  <si>
    <t>de Albuerñé, Manuel</t>
  </si>
  <si>
    <t>Manuel de Albuerñé</t>
  </si>
  <si>
    <t>reteras y corbatín pata El P. Antonio iqi^i.les, de Portace- que sé rifen. . * ‘ I¡ , 40. . T ;• /í D. Manuel de Albuerñé 2 263 t&amp;J i 9J D. Vicente Lozqno 60. mrsi en vales ‘reales. 1 D. Domingo Fernandez de Palacios El brigadier D. Antonio de Castilla 300 4585 rs. 22 mrs. en id. D. Juan de Mata Duqu</t>
  </si>
  <si>
    <t>de Aldai, Ramón</t>
  </si>
  <si>
    <t>Ramón de Aldai</t>
  </si>
  <si>
    <t>id. y 2 libras D. Josef García Cater, su muger y de hilas. hermano 6. D. Felipe Salcedo 2 camisas. D. Ramón de Aldai 48 pa res de cal* D.-Manuel María de Valdés 2. cetas. D. Plácido Martin Sanz una. D. J. J. B. R. 12 camisas. D. Martin 4e Olazabal 4.. D. Juan López y sú muger 6. D. Juan Lumbrera</t>
  </si>
  <si>
    <t>de Aldanav, Martín</t>
  </si>
  <si>
    <t>Martín de Aldanav</t>
  </si>
  <si>
    <t>... ........ Zaragoza..... 300 1335 Doña Antonia Rodríguez, viuda de Delgado. Valencia..... 300 473 D. Martin de Aldanav.......................... Bilbao..300 2125 D. Josef Patricio Sorgoyen........... . Zaragoza.... 20000 1862 D. Francisco Tornos Zaragoza.,.;. jpo 1570 Doña Juliana de Jáuregui.....</t>
  </si>
  <si>
    <t>de Aldáy, Ramón</t>
  </si>
  <si>
    <t>Ramón de Aldáy</t>
  </si>
  <si>
    <t>...... ....... «... 100. Joaquín Callejo , dél gremio de polleros, por una vez................ 100. D. Ramón de Aldáy; del comercio de lienzos, por una vez..... 2000. D. Ramón del Abellarialsu dependiente , por una vez......... . joo. D. N. N., á cuenta de 6co rs......... ........ ........... 120</t>
  </si>
  <si>
    <t>de Alfaro, Antonio</t>
  </si>
  <si>
    <t>Antonio de Alfaro</t>
  </si>
  <si>
    <t>pital de París, enriquecido con oportunas notas por Francisco Blchat, y traducido al castellano por D. Antonio de Alfaro, ayudante de embarco de la real armada. Se hallará en la librería de Escamilla, frente á las gradas de S. Felipe; y ¿n Cádiz en la de Pajares. El Marco real de fanegas de tierra,</t>
  </si>
  <si>
    <t>de Alvarellos, EstéBan</t>
  </si>
  <si>
    <t>EstéBan de Alvarellos</t>
  </si>
  <si>
    <t>,,,,,,,•,.**•.••••Madrid;.. ...i 300 i JO 7 D. Pedro¡Bfergeixe.v.v,•■••77*,. Valencia..// 3000 1388 D. EstéBan de Alvarellos ............... Burgos 300 *5£9 Si es. BengOa, bermanos.......&lt;.....A.....A.^^.vsí.y/..^ &gt; Bilbao .;..../. •:30o 1792 Doña Maríá Josefa de, Aguilar....„s......»...«^..;7; Cádiz...</t>
  </si>
  <si>
    <t>de Alvarellos, Estéban</t>
  </si>
  <si>
    <t>Estéban de Alvarellos</t>
  </si>
  <si>
    <t>500 322 D. Adrián Hernaez.............. ...........i—-............. ..... Málaga......... 00o 1387 D. Estéban de Alvarellos....................................... Burgos......... y 00 967 D. Miguel? Antonio Ruiz................................... . Madrid....... 300 1898 D. .Francisco del Campo..• Zara</t>
  </si>
  <si>
    <t>de Amandi, Francisco</t>
  </si>
  <si>
    <t>Francisco de Amandi</t>
  </si>
  <si>
    <t>. ............ 100. Doña Isabel de S. Martin Cueto, viuda, id.......................i......... 320. D. Francisco de Amandi, un vale de 300 pesos, id................... 4582. D. N. N. en un libramiento contra la caxa de comercio de 6263 rs., que con sus intereses importa 6$66, y ademas 732 rs. por 2 me</t>
  </si>
  <si>
    <t>de Amandi, Miguel</t>
  </si>
  <si>
    <t>Miguel de Amandi</t>
  </si>
  <si>
    <t>20. D. Manuel Rufon, id...................................................................... 160. D. Miguel de Amandi, del comercio de joyería, 2© rs. en efectivo, y 722 en intereses de. vales,del año de 1800, por una vez........................... .............................. .................</t>
  </si>
  <si>
    <t>de Amandi, Miguel Antonio</t>
  </si>
  <si>
    <t>Miguel Antonio de Amandi</t>
  </si>
  <si>
    <t>de calcetas. Doña María Teresa Escoiz y Trigo 6 camisas, 6 pares de calcetas y 2 pares de zapatos. D. Miguel Antonio de Amandi 27 corbatines negros de seda. D. Pedro Marcelino Blanco 100 camisas de vivero para tambores. D. F. N. 2. Un capellán de un convento de monjas 2. Juan Hoy, zapatero , 5 pares de za</t>
  </si>
  <si>
    <t>de Ambarro, Bartolomé</t>
  </si>
  <si>
    <t>Bartolomé de Ambarro</t>
  </si>
  <si>
    <t>niente general............................................................... Valencia..... 300 921 D, Bartolomé de Ambarro....... Madrid*........ 500 2247 D, Agustín Antonio de Lequerica. ................ Bilbao,.,..... 3 00 de continuara.</t>
  </si>
  <si>
    <t>de Amírola, Alexandro</t>
  </si>
  <si>
    <t>Alexandro de Amírola</t>
  </si>
  <si>
    <t>105 quales no han llegado á su destino. Quien supiere su paradero se servirá avisar en esta corte á D. Alexandro de Amírola, agente del señorío de Vizcaya, ó en Bilbao al capitán retirado Don Luis Power. LIBROS. Tratado completo de las enfermedades sifilíticas ó venéreas de F. Svediaur, traducido con n</t>
  </si>
  <si>
    <t>de Andechaga, Félix</t>
  </si>
  <si>
    <t>Félix de Andechaga</t>
  </si>
  <si>
    <t>.. 60;. D. Manuel Ga.yoso , 20 id. id...................... .................................. 40.. D. Félix de Andechaga , oficial, de lat extinguida dirección de *Jientas^»a.*rs»«d,iarios.4ÍuraRte &amp; meses., por agasto Pedro García de Cojrdiáq.^iao .idi ;por ‘.iaimeses.|..^i?^.......... 65</t>
  </si>
  <si>
    <t>de Andrés, Andrés</t>
  </si>
  <si>
    <t>Andrés de Andrés</t>
  </si>
  <si>
    <t>ez............ . 60. Ramón Diaz, Ídem, por una vez................................ .......... . 50. D. Andrés de Andrés, constructor de instrumentos de cirugía, por una vez................................ ..................... ............................ . 50.: D. Josef Alguacil, reloxero, por una</t>
  </si>
  <si>
    <t>de Anduaga, Joaquín</t>
  </si>
  <si>
    <t>Joaquín de Anduaga</t>
  </si>
  <si>
    <t>muchos años. Londres 23 de agosto de i8o8. = Sermo. Sr. = Adrián Jácome.= Juan Ruiz de Apodaca.”=P. D. Don Joaquín de Anduaga, de camino de su comisión á Rusia, se dirigirá en un navio de fuerza ingles á la escuadra del almirante Saumarez con el encargo de este gobierno de pedir al marques de la Romana v</t>
  </si>
  <si>
    <t>de Andujar, Juan</t>
  </si>
  <si>
    <t>Juan de Andujar</t>
  </si>
  <si>
    <t>y 120 por agosto................................................................. .......... 1620. D. Juan de Andujar, presbítero, por agosto á $ 00 rs. mensuales. joo. 4</t>
  </si>
  <si>
    <t>de Anguita Ortega, Miguel María</t>
  </si>
  <si>
    <t>Miguel María de Anguita Ortega</t>
  </si>
  <si>
    <t>tasadas en 54,640 rs, Quien quisiere hacer postura, lo execu.7 tara por la escribanía que desempeña D. Miguel María de Anguita Ortega. Por providencia de D. Juan López de Vínuesa, juez comisionado regio en 1* diócesi de Coria, se ha señalado el día 28 del presente para el remate de una partida de yerba en la deh</t>
  </si>
  <si>
    <t>de Angulo, Bartolomé</t>
  </si>
  <si>
    <t>Bartolomé de Angulo</t>
  </si>
  <si>
    <t>20 de diciembre de 1808</t>
  </si>
  <si>
    <t>Madrid 160</t>
  </si>
  <si>
    <t>alguna tropa con el mismo ánimo. Su afectísimo hijo Q. S. M. B.= Alvaro de Angulo. =s Padre y señor D. Bartolomé de Angulo. .. ' N. 11. Herencia y diciembre 12 de 1808. Amado tío: aunque no en el todo, le participo á V. lo que me ha ocurrido desde que venimos retirándonos de los franceses: me hallaba</t>
  </si>
  <si>
    <t>de Angulo, Isidoro</t>
  </si>
  <si>
    <t>Isidoro de Angulo</t>
  </si>
  <si>
    <t>D. Benito y D. Josef de Murga , de Castrourdiales........................ Bilbao........ 3 00 2314 D. Isidoro de Angulo.................. ............. Cádiz.......... 3oa 768 D. Josef Ignacio Macazaga,... ^ &lt;•••# 000 Valencia..... 500 139 D. Pascual Mora............. Málaga........ $QQ 1457 D. Ant</t>
  </si>
  <si>
    <t>de Angulo, Manuel</t>
  </si>
  <si>
    <t>Manuel de Angulo</t>
  </si>
  <si>
    <t>ia natural, por «agosto a 4 rs. alarios.......... ........... . • &amp;.•«.« *•••»»••» • #.# 14 #4 124. D. Manuel de Angulo , director de minas, por ahora una mesada ,de su sueldo......... .............. ........................... ........................ 1294. IX Ramón Prieto y Ortega, por una.vez...</t>
  </si>
  <si>
    <t>de Angulo, Ramón</t>
  </si>
  <si>
    <t>Ramón de Angulo</t>
  </si>
  <si>
    <t>1231 Rs. MrsL D. Ramón de Angulo, del comercio........ ............. . 3000. D. Antonio Leza y compañía, id., en un vale r¿al de 300 pesos de mayo , valor de.................................. 4589... 22. D. Santi</t>
  </si>
  <si>
    <t>£ : D. Custodio Alcalde.y su hijo Don D. Antonio Ramón Gome? 60. Sebastian 4537 rs. 5 mrs. en vafói D. Ramón de Angulo 3©..... - , reales. D-1 Ramón de Basualdo 640a «• Dos bienhechores 2©. D. Bernardino de Prades 12a, Dpña María Ursula de Torres 100. HI.^iíBs í*ui| Marine? 6q. D. Bernardo Tomé 7p</t>
  </si>
  <si>
    <t>de Anivarro, Bartolomé</t>
  </si>
  <si>
    <t>Bartolomé de Anivarro</t>
  </si>
  <si>
    <t>1 ih^adrid.*..**»" 5©P 1712 D. Manuel González. ................... ....*. Cádiz.:.*...*.*. 300 920 D. Bartolomé de Anivarro............................ . Madrid!...*!. ifód 2398 D. Pedro Bernardo de Lapeña.............. ....... . Zaragoza..*.'. 500 17 77 D. Juan Josef Sánchez......... .*.**........ Cád</t>
  </si>
  <si>
    <t>de Anlillon, Isidoro</t>
  </si>
  <si>
    <t>Isidoro de Anlillon</t>
  </si>
  <si>
    <t>convento de la Merced, y en casa de Escribano. Noticias históricas sóbrelos amantes de Teruel, por D. Isidoro de Anlillon* Esta disertación consta de 7 artículos: el 1.® contiene la historia manuscrita de los amantes, documento mui singular y curioso, qiie por primera vez se publica, copiada de la qu</t>
  </si>
  <si>
    <t>de Ansu, Tomás</t>
  </si>
  <si>
    <t>Tomás de Ansu</t>
  </si>
  <si>
    <t>.... Madrid.. 300 3467 D. Juan López del Rincón.............................. Málaga....... 300 841 D. Tomas de Ansu ....... ............................... . Madrid...,.,,. 300 2077 D. Juan Manuel de Peralta...,.... ...................... Cádiz,, i...... 300 1795 Doña María Josefa de Soto y Ola</t>
  </si>
  <si>
    <t>de Antepara Luceta, Simón</t>
  </si>
  <si>
    <t>Simón de Antepara Luceta</t>
  </si>
  <si>
    <t>chicofradía sacramental de S. Cines 100. Doña Joaquina Navarro 4. Doña María Facunda Lo^ pez 2. Dia D. Simón de Antepara Luceta, vecino de Alcalá de Henares, 240 pares de calcetas. Dia ro. D. Casimiro Navarro, en nombre de sus hijas, 13 camisas. D. Antonio Lezaica, maestro de sombrerero, 200 sombreros redo</t>
  </si>
  <si>
    <t>de Antillon, Isidoro</t>
  </si>
  <si>
    <t>Isidoro de Antillon</t>
  </si>
  <si>
    <t>. j -c - *. i Elementos de la geografía astronómica , natural y política de España y Portugal, por D. Isidoro de Antillon. Este libro, destinado a la instrucción de la juventud, contiene la descripción de cada provincia de ambos reinos en particular, suponiendo que él lector las va recorriendo en un</t>
  </si>
  <si>
    <t>rs. LIBROS. i Principios de la geografía astronómica, natural y política de España y Portugal, por D. Isidoro de Antillon: un tomo en 8.° mayor, acompañado dé su correspondiente mapa de la península, con el lema dulcís amor patrias. En esta obra se conduce al lector desde Madrid como centro por todas</t>
  </si>
  <si>
    <t>de Aoedos Bravo, Juan</t>
  </si>
  <si>
    <t>Juan de Aoedos Bravo</t>
  </si>
  <si>
    <t>término de 15 días contados desde el 7 del presente, una viña que corresponde á la testamentaria de D. Juan de Aoedos Bravo sita en término de la real casa de Gozquez, jurisdicción de ,a villa de San Martin de la Vega, de cabida de 4388 cepas, valuada cada una a 2$ rs.; y hallándose puesta en el import</t>
  </si>
  <si>
    <t>de Apeztegui, Juan Ventura</t>
  </si>
  <si>
    <t>Juan Ventura de Apeztegui</t>
  </si>
  <si>
    <t>.................. . 60. D. Fernando Queipo de Llano, 200 id. por agosto.................... 200. . D. Juan Ventura de Apeztegui, 500 rs. por una vez, y 1100 por 6 meses.................................................................................... 1600. D. Bernardo Alvarez Acero, maestro de música en</t>
  </si>
  <si>
    <t>de Apezteguia y Lozano, Nicolás</t>
  </si>
  <si>
    <t>Nicolás de Apezteguia y Lozano</t>
  </si>
  <si>
    <t>áquinas, por agosto á 40 rs. cada mes.......................................................... 40. D. Nicolás de Apezteguia y Lozano, agente general de Consolidación, la tercera parte de su sueldo ó 172 rs. y 11 mrs. por cada pies............................... ................. ................ ............. 1</t>
  </si>
  <si>
    <t>de Apezteguia, Nicolás</t>
  </si>
  <si>
    <t>Nicolás de Apezteguia</t>
  </si>
  <si>
    <t>Bilbao......... 500 246 D. Manuel Gutiérrez y Arroyo....................... Burgos........ $co 979 D. Nicolás de Apezteguia.................................. Madrid....... 300 1135 D. Pablo Sahun y Palacin................................ Zaragoza..... |oo 1181 Mr. de Fraguies...........................</t>
  </si>
  <si>
    <t>..... ................ ............. 2000. D. C. C. E......................................... 100. D. Nicolás de Apezteguia, agenté de la consolidación. 300. D. Miguel Sancho Larrea, en un vale de 300 pesos de mayo, el valor de............... .................... .............. 4589... 22. D. Miguel de</t>
  </si>
  <si>
    <t>de Apodaca, Juan</t>
  </si>
  <si>
    <t>Juan de Apodaca</t>
  </si>
  <si>
    <t>vienen el Excmo. Sr. D. Adrián Jácome, vocal de la junta suprema de Sevilla, y el general de marina Don Juan de Apodaca, enviados por aquella á S. M. británica. Hoi se esperan aqui. Parece que en Italia hai también síntomas de insurrección contra los franceses. 21 de julio, S. E. el lord Mayor, los</t>
  </si>
  <si>
    <t>de Aragón y Álvarez, Ángel</t>
  </si>
  <si>
    <t>Ángel de Aragón y Álvarez</t>
  </si>
  <si>
    <t>ega 122 rsi El conde de N. 270 rs. y 25 § mrs. y 7 mrs. en efectos de estado. Doña Luisa Benito'80. D. Angel de Aragón y Alvarez 20o D. Manuel Galan 20. . ¿ en cédulas. , D. Francisco Fernandez Bellido 60; D. Manuel de Escudero ico. Josef Saavedra 30. * :• ¡ ‘ Doña María Gertrudis Tamayo 2400 Agustina Pinil</t>
  </si>
  <si>
    <t>de Aragón, María</t>
  </si>
  <si>
    <t>María de Aragón</t>
  </si>
  <si>
    <t>olás, santa Marta y S. Juan á los Caños del Peral. El señor corregidor, barrios de la Encarnación y Doña María de Aragón. El regidor D. Rafael Reynaite la de los barrios de la puerta de Scgovia y Sacramento. Quartel del Barquillo. El alcalde D. Manuel María Junco hará la de los barrios de S. Pascual</t>
  </si>
  <si>
    <t>tonio Martínez, médico de familia, id.......... ...i....... 200. Ocho religiosos de la comunidad de Doña María de Aragón, id. 700. Ramón de Subíza, maestro peluquero, id...... .............................. 40. Juan* de; Dios Ballesteros, id.......................... .............................. 1</t>
  </si>
  <si>
    <t>secretario. Fr. Fíánéisco dé S. Josef, prior del Carmen descalzo. Fr. Celedonio Urrutia , rector de Doña María dé Aragón. D. Rafael Chartea, diputado de Santa Isabel. D. Rafael Pascual, diputado de S. Plácido» D. Antonio Santa María, alcalde de dicho. D. Fe ipe Duró, presbítero , diputado de S. Basi</t>
  </si>
  <si>
    <t>de Arambide, Juan Miguel</t>
  </si>
  <si>
    <t>Juan Miguel de Arambide</t>
  </si>
  <si>
    <t>de la tropa de la guarnición de Madrid y sus inmediaciones, á que está hecha postura por 5 años por D. Juan Miguel de Arambide en 42 mrs. por cada ración de 24 onzas. Quien quisiere hacer postura, y enterarse del plan de condiciones, baxo las quales se ha de celebrar el asiento , acuda á la escribanía del n</t>
  </si>
  <si>
    <t>de Aramburu, Domingo</t>
  </si>
  <si>
    <t>Domingo de Aramburu</t>
  </si>
  <si>
    <t>.... -.- iocoo *447t IX. ^ lien r ique N-cuniíiun. Zaragoza. 3P01817 IX Josef Lav iña y Pra t. 2094 D. Domingo de Aramburu......?&gt;..i«ht ••« 290 Pauljn......' li r,'lagav...... 506 617 D. Josef María Bel idiez, ; Madrid....... i-oop 500 D. Juan* Jo^ef de. Ya r raga.l* • • • « • •« Bilbao......... 1000</t>
  </si>
  <si>
    <t>de Aramburu, Santiago</t>
  </si>
  <si>
    <t>Santiago de Aramburu</t>
  </si>
  <si>
    <t>id., en un vale r¿al de 300 pesos de mayo , valor de.................................. 4589... 22. D. Santiago de Aramburu , id............................. ...... 1500. D. Francisco Criado, corredor de lonja............ ...... . 1000. D. Santiago Larramendi........................................ . "</t>
  </si>
  <si>
    <t>en un libramiento del Fondo vitalicio........................................................ 4?ogu D. Santiago de Aramburu» del comercio, id..,............................. 2200? Juan Manuel Rodríguez, oficial de albañil, 6 rs. mensuales, por 2 meses....,...... ........................................</t>
  </si>
  <si>
    <t>de Arana, Manuel Antonio</t>
  </si>
  <si>
    <t>Manuel Antonio de Arana</t>
  </si>
  <si>
    <t>■ compañía. Zaragoza..... 3 00 1996 Doña Maríá Josefa Espinosa ........ ... " Zaragoza.... 500 24! D. Manuel Antonio de Arana..... ... Burgos....... IOCO i©í4 D. Pedro Xavier de Vera....... . ... Madrid........ t;co * 1192 D. -Félix Lleo ................ ................ ... Barcelona.... 0 0 181 ¿ D.--J</t>
  </si>
  <si>
    <t>de Aranda, Antonio</t>
  </si>
  <si>
    <t>Antonio de Aranda</t>
  </si>
  <si>
    <t>za, duque de Sedavi, marques de Tolosa, y. los señores marques de Ovieco , marques de Fuerte Híjar, D. Antonio de Aranda, D. Luis Gacel, D. Ignacio Abadía, y el secretario D. Tomas Lobo ; no habiéndolo podido hacer los señores D. Josef García de León y Pizarro y D. Luis de, Onis y González por halla</t>
  </si>
  <si>
    <t>de Aranguren y Urrutia, Francisco Xavier</t>
  </si>
  <si>
    <t>Francisco Xavier de Aranguren y Urrutia</t>
  </si>
  <si>
    <t>narriz. . . . ——»•" - ■ •- • . , ■ — •-----------------' ' ' .VENTAS JUDICIALES. Por providencia de D. Francisco Xavier de Aranguren y Urrutia, subdelegado en-eí departamento de la villa de Bermeo del juez comisionado regio en la diócesi de Calahorra, se ha señalado el 26 del corriente para el remate de las caserías Sait</t>
  </si>
  <si>
    <t>tonio Canteas y Pons, escribano real y del nú* mero de la ciudad de Solsona. ,'V Por providencia de D. Francisco Xavier de Aranguren y Urrutia, juez subdelegado en el departamento de Perineo, señorío de Vizcaya, del juez, comisionad® regio de la diócesi de Calahorra, se ha señalado el día zp def corriente para el re-: ma</t>
  </si>
  <si>
    <t>de Aransai, Andrés</t>
  </si>
  <si>
    <t>Andrés de Aransai</t>
  </si>
  <si>
    <t>................. 5000. Ei Sr. D. Manuel Sánchez Toscano.............................. 5000. El Sr. D. Andrés de Aransai , capellán de honor de S. M., en un vale real de 300 pesos de mayo, por su íntegro valor hasta el día de la entrega............... 4584..... y. El Sr. D. Andrés Caballero, del com</t>
  </si>
  <si>
    <t>de Aranzabal, Juan</t>
  </si>
  <si>
    <t>Juan de Aranzabal</t>
  </si>
  <si>
    <t>acional de S, Carlos. R*. Mrs. D. Fernando Tomas, por 4 meses á 120 rs,?cada uno..»........... 480. D. Juan de Aranzabal, oficial de la administración general de rentas de.esta provincia, por agosto á 60 rs. mensuales......... 60. D. Agustín Casaviella, oficial de la real negociación del giro, á 6 r</t>
  </si>
  <si>
    <t>de Arauna, Vicente María</t>
  </si>
  <si>
    <t>Vicente María de Arauna</t>
  </si>
  <si>
    <t>a postura, con la puja del quarto, en 500 rs. en cada uno, acuda á la secretaría de ayuntamiento de D. Vicente María de Arauna; y para su remate se ha señalado el 21 del presente, á las 12 de su mañana, en las casas consistoriales. Medio seguro y experimentado para matar las chinches de las camas ó dormit</t>
  </si>
  <si>
    <t>.................. 40. Antonio Gueimonde , sirviente, 15 id. id.......... ....................... . D. Vicente María de Arauna , secretario de ayuntamiento, 2 rs. diarios, por 2 meses..... .................. .................................. ........ 122. ‘ D. Vicente Puruaga, uno id. id....,.......... .</t>
  </si>
  <si>
    <t>de Arce, Antonio</t>
  </si>
  <si>
    <t>Antonio de Arce</t>
  </si>
  <si>
    <t>ñía de estudiantes , á cuya frente se pliso el caballero gobernador de la misma él temiente coronel D. Antonio de Arce, acompañado de algunos regidores y nobles de "a misma ciudad, que siguiendo el heroico exemplo de . su gefe, -quisieron dbr^uti Auténtico ¡tes ti moni© de- so moble patriotismo; j</t>
  </si>
  <si>
    <t>de Arce, Gregorio</t>
  </si>
  <si>
    <t>Gregorio de Arce</t>
  </si>
  <si>
    <t>...... 500 441 D. Francisco Barangot...... .................................. Santander.... 600 436 D. Gregorio de Arce............................................ Santander.... 300 21 Excmo. Sr. Marques de las Amarillas.............. Zaragoza..... 1000 2198' D. Bartolomé de Casas.......... .......</t>
  </si>
  <si>
    <t>de Arce, Manuel María</t>
  </si>
  <si>
    <t>Manuel María de Arce</t>
  </si>
  <si>
    <t>94242. También remitió á dicho Sr. Bustamante 11 vales de mayo de 300 pesos, renovados en cabeza de D. Manuel María de Arce, sin ningún endoso, números 432658, 443556, 446510, 446578 , 44723 2» 4473251 447459 , 447650, 448156, 480050 y 491014. Y no habiendo llegado á su destino, quien ios retuviese se</t>
  </si>
  <si>
    <t>de Arechaga, Joaquín Luis</t>
  </si>
  <si>
    <t>Joaquín Luis de Arechaga</t>
  </si>
  <si>
    <t>500 2021 D. Pedro Laffore................................................ Cádiz.......... 300 2259 D. Joaquin Luis de Arechaga......................... Bilbao......... 300 465 D. Meliton de Cafranga.................!....?........... Bilbao......... 00o. 1337 D. Antonio Royo, del comercio..................</t>
  </si>
  <si>
    <t>de Arias, Gregorio</t>
  </si>
  <si>
    <t>Gregorio de Arias</t>
  </si>
  <si>
    <t>. . dia¥io¿.....}¿4. i* t* . . r 90. D. Domingo de Urniela, por 4 meses á f rs, diarios.....í-6 id* D. Gregorio de Arias, procurador. de villa, por medio año á 3 . , ✓ rsPdiarios.ii/.-.vs *• **••**♦ •**iiv««*l#*#**«ieÍ«#***Ve***#*»«*»*^***M••(•••í*^****»,*»»*•« 'v : 5 D. Celestino* de Molina- y Fern</t>
  </si>
  <si>
    <t>de Arista, Juan</t>
  </si>
  <si>
    <t>Juan de Arista</t>
  </si>
  <si>
    <t>os capitanes D. Antonio Marín y D. Juan Casanova, del teniente D. Francisco Cito, y del subteniente D. Juan de Arista, que rodeados por una partida de enemigos, se defendieron con solos 7</t>
  </si>
  <si>
    <t>de Aristizabal y Reut, Gabriel</t>
  </si>
  <si>
    <t>Gabriel de Aristizabal y Reut</t>
  </si>
  <si>
    <t>..... 1000 2019 Doña María Josefa Laffore................................ Cádiz........... 300 1810 D. Gabriel de Aristizabal y Reut............... . Zaragoza..... 5000 2369 D. Miguel Julián Vivanco................................ Zaragoza..... 300 1863 D. Pascual Foz, presbítero................................</t>
  </si>
  <si>
    <t>de Arístizabal y Segura, Gabriel</t>
  </si>
  <si>
    <t>Gabriel de Arístizabal y Segura</t>
  </si>
  <si>
    <t>rrilla 7 Miera...................... ................................. ». Bilbao......... 1500 1804 D. Gabriel de Arístizabal y Segura............. Zaragoza..... IOOO 435 P. Prudencio Tomé....................................... Santander.... IOOO</t>
  </si>
  <si>
    <t>de Arizaleta, Juan Ignacio</t>
  </si>
  <si>
    <t>Juan Ignacio de Arizaleta</t>
  </si>
  <si>
    <t>timian los donativos y ofertas voluntarias que constan en el bmicv nacional de S~ Cdrías. Rs. Mr*.. D. Juan Ignacio de Arizaleta, oficial de la secretaría de la cámara, por 6 meses á 8o rs. cada uno........... ....................... ..... je o. D. Pedro Martin Fernandez de Gragera, oficial de la dirección</t>
  </si>
  <si>
    <t>de Armendariz, Pedro Ignacio</t>
  </si>
  <si>
    <t>Pedro Ignacio de Armendariz</t>
  </si>
  <si>
    <t>n de setiembre, nú'.n. 50277, se dio escrito últimamente por dicho D. Pedro solicitando se citase á D. Pedro Ignacio de Armendariz, quien presentó á la renovación de setiembre de 807 el citado vale, á fin de que acudiese á usar de su derecho dentro del término que se le asignase; y por providencia del Sr. D.</t>
  </si>
  <si>
    <t>de Armenio y Qüiroga, Antonio</t>
  </si>
  <si>
    <t>Antonio de Armenio y Qüiroga</t>
  </si>
  <si>
    <t>es de. S. M., .30 id. id................................... ................................... 30. D. Antonio de Armenio y Qüiroga, oficial de la Consolidación, ademas de la oferta que hizo con sus compañeros, 60 rs. mensuales, por 2 meses........ ........................................................... 12</t>
  </si>
  <si>
    <t>de Arméstó y Quiroga, Antonio</t>
  </si>
  <si>
    <t>Antonio de Arméstó y Quiroga</t>
  </si>
  <si>
    <t>...................... 500. D. Jüan Antonio de Goftabarría.................................... 500. D. Antonio de Arméstó y Quiroga, agente de la consolidación .....á..... ............................................................ 160. Doña M. R. M........... ........................................ ........</t>
  </si>
  <si>
    <t>de Áróstegui, Manuel</t>
  </si>
  <si>
    <t>Manuel de Áróstegui</t>
  </si>
  <si>
    <t>una vez.................. ......................................... ............. ............ 10. D. Manuel de Áróstegui, fiscal de la superintendencia general de azogues, por una vez.»................................ .......................... 1583 10. D. Domingo Ibarroía, individuo de los 5 gremio</t>
  </si>
  <si>
    <t>de Arquiano, Sebastián</t>
  </si>
  <si>
    <t>Sebastián de Arquiano</t>
  </si>
  <si>
    <t>.... Zaragoza...... 3,00 936 Juan Josef-de la Iglesia,.................... Madrid....... ioqo&gt; 1071 D. Sebastian de Arquiano................... ............. S. Sebastian. 600 1808 El conde de Casa-Valencia. Zaragoza.,... 1000 5.5 2 D. P&amp;blo Villa Madrid....... 300 2439 Sres. D. Pablo Fernando y D, Juan</t>
  </si>
  <si>
    <t>de Árratabe, Manuel</t>
  </si>
  <si>
    <t>Manuel de Árratabe</t>
  </si>
  <si>
    <t>s............................ ."íyiy.11 Jaai^ Fraile Rico, posadero, por úna vez.... ——...... 300., D. Manuel de Árratabe, por una Vez .1^...__ 150.4 Jt«?,.iiyraPjes^yiuda de Ja Lapilla y Monesterto, id........................ 1500, D. Manuel de £guía« por una ve? ““ i «v.,.</t>
  </si>
  <si>
    <t>de Arriaga, Juan Simón</t>
  </si>
  <si>
    <t>Juan Simón de Arriaga</t>
  </si>
  <si>
    <t>.. Cádiz......... 500: 2461 D. Josef Lizalde».................. ............. Málaga...... 300 3613 D. Juan Simón de Arriaga , viuda de Bengoa, y D. Antonio Gaubeca.................................. Bilbao........ . 50a 2S83 D. Francisco Tamariz y Ribera............... ....... Cádiz.......... IOOO 206 D</t>
  </si>
  <si>
    <t>de Arriaza, Juan Bautista</t>
  </si>
  <si>
    <t>Juan Bautista de Arriaza</t>
  </si>
  <si>
    <t>xpresará en el abonaré, que volverá á dicha oficina. ■ La Profecía del Pirineo: 2.a edición: oda de D. Juan Bautista de Arriaza. Se hallará en las librerías de Perez, calle de las Carretas, y de Castillo, frente á las gradas de S. Felipe. -‘ • Continúan</t>
  </si>
  <si>
    <t>de Arribas, Pablo</t>
  </si>
  <si>
    <t>Pablo de Arribas</t>
  </si>
  <si>
    <t>Martínez de Villela, á D. Manuel Romero, á D. Antonio Ranz Romanillos, á Don Estanislao de Lugo, á D. Pablo de Arribas, á D. Francisco Angulo, á D. Juan Antonio Llórente, y á D. Antonio de la Cuesta y Torre^Mi ministro secretario de Estado queda encargado de la execucion del presente decreto, y de</t>
  </si>
  <si>
    <t>de Arríeta, Francisco Ignacio</t>
  </si>
  <si>
    <t>Francisco Ignacio de Arríeta</t>
  </si>
  <si>
    <t>u criada D. Andrés de Tejada 6 camisas. Isabel García 6. D. Antonio García Roa 12. Doña R. F. L. 2. D. Francisco Ignacio de Arríeta 6. Doña María Sánchez Badillo 2 id. y Doña Francisca Ramirez una. una. libra de hilas. Doña Joaquina Blanco una. D. Mariano Blanco 6 camisas. Doña Manuela Martínez Carranza 6* D.</t>
  </si>
  <si>
    <t>de Arroyo, Ignacio Marcos</t>
  </si>
  <si>
    <t>Ignacio Marcos de Arroyo</t>
  </si>
  <si>
    <t>á quien se enviaban para la renovación. Quien supiere de su paradero, se servirá avisar en Madrid á D. Ignacio Marcos de Arroyo, calle del Mesón de Paredes, núm. 6, frente á la botica , y en Cádiz á los Sres. Elias y Romero, del comercio de aquella ciudad, calle de Juan de Andas. Por providencia del Sr. D.</t>
  </si>
  <si>
    <t>de Arsu, Tomás</t>
  </si>
  <si>
    <t>Tomás de Arsu</t>
  </si>
  <si>
    <t>320. ■ D. Antonio Josef de Marcos , id....................................................... 500. D. Tomas de Arsu, en un vale de 300 pesos de mayo, y un crédito contra Tesorería ¿id...».'...... .............................................. 4750 26. D. Josef Pío Santos, oficial de la secretar</t>
  </si>
  <si>
    <t>e calcetas. La Excma. Sra. duquesa deHíjar 21. D. Ramón de Haro 12 camisas. Doña Isabel Aguilera ó. D. Tomas de Arsu 12. Doña Teresa Clemente una. D. Jacinto Ci!a de Riofrío 2. D. Isidro Marcelo 4. D. M. J. 6 id. 12 vendas, unos caDoña M. L. F. 2. bezales y 2 libras de hilas. D. Josef García Alv</t>
  </si>
  <si>
    <t>de Arujo y Losada, Nicolás</t>
  </si>
  <si>
    <t>Nicolás de Arujo y Losada</t>
  </si>
  <si>
    <t>300 2071 D. Juan de Aguiiar............................................. Cádiz......... . 500 2143 D. Nicolás de Arujo y Losada.................... Coruña....... 500 629 Doña Ignacia Arto.......................... ....... ........... Mídrid........ 300 17 73 D. Juan de Dios de Quesada....... ;...... . Cádi</t>
  </si>
  <si>
    <t>....... Zaragoza..... 500 2108 D. Ramón Larue....... .................. . Cádiz........... 500 2142 D. Nicolás de Arujo y Losada................... . Coruña........ 1000 2320 D. Fermín Ramón Barrera................................ Cádiz.-fvitaff-1 5000 . leía dej 1543 D. Felipe Luz, comerciante.............</t>
  </si>
  <si>
    <t>de Ascárgortá y Ramírez, Manuel María</t>
  </si>
  <si>
    <t>Manuel María de Ascárgortá y Ramírez</t>
  </si>
  <si>
    <t>storia natural. Obra elemental, coordinada^ publicadá en francés por J. F. Dubroca, y traducida por D. Manuel María de Ascárgortá y Ramírez: 4 tomos en 8.® mayor, con un impá-mtmdí y 12 estampas que representan 17^ figuras pertenecientes a la historia natural, á 40 rs. en rústica y, 52 en pasta. Se hallaran en la libr</t>
  </si>
  <si>
    <t>de Ascargorta, Manuel</t>
  </si>
  <si>
    <t>Manuel de Ascargorta</t>
  </si>
  <si>
    <t>nes del real Empréstito, id............................................ ................... . 8000. D. Manuel de Ascargorta, un libramiento del Fondo vitalicio, id. 332. DrFelipe Ferrero., en intereses de vales de 1800, id............. . 541 D. Francisco Arriyas, .en intereses de vales y efectivo , id.</t>
  </si>
  <si>
    <t>de Astiz, Joaquín</t>
  </si>
  <si>
    <t>Joaquín de Astiz</t>
  </si>
  <si>
    <t>ragoza..».. 5 ©o 82 D. Gabriel de Zavala................. .................. Tortosa...... 300 189* D. Joaquin de Astiz.......................................... Zaragoza..... 50o 1708 D. Juan Manuel de Peralta............. ............ . Cádiz.......*:. 300 24If D. Domingo Gaspar Perez....... . Za</t>
  </si>
  <si>
    <t>de Atristain, Francisco</t>
  </si>
  <si>
    <t>Francisco de Atristain</t>
  </si>
  <si>
    <t>... Bilbao.... 1500 856 D. Manuel de Santayana........... ;..... ................ Madrid.. 500 2277 D. Francisco de Atristain................................. Bilbao..-.. 6co 2116 D. Felipe Ramirez..................................... Zaragoza • •••• 600 244 5 Doña Luisa Latovre de Peñalver............ .</t>
  </si>
  <si>
    <t>de AUer, Manuel</t>
  </si>
  <si>
    <t>Manuel de AUer</t>
  </si>
  <si>
    <t>Flores 300^ D. Carlos Soldevilla 8o. &gt; \r fr I). josef Ru iz dé la Azuela 2323’rS. • ~ ¿ * r; •- • D. Manuel de AUer ioo/;. , , » ,, .1; 11 mrs. en viales reales. f D.iLuis de Mata 100. . Doña M. F. 20.: D. Manuel de Salazar 300. Un caballero que ocultó su nombré Doña Catalina Quartero 20. un ju</t>
  </si>
  <si>
    <t>de Austria, Luis (príncipe)</t>
  </si>
  <si>
    <t>Príncipe Luis de Austria</t>
  </si>
  <si>
    <t>.el'Príncipe Luis de Austria, nombrado director general de las trepas en ias fronteras austríacas por el lado de Turquía, ida á Sem in; tres servios de distinción, uno de elios el secretario íntimo de Jorge P</t>
  </si>
  <si>
    <t>de Austria, María</t>
  </si>
  <si>
    <t>María de Austria</t>
  </si>
  <si>
    <t>ue el de la herencia y transmisión por su descendencia de la misma Reina Doña Juana y de la infanta Doña María de Austria ha podido ahora renunciar y traspasar la corona de España al Emperador Napoleón, y privar de todos sus derechos, no solo á sus hijos, sino á sus hermanos y á todas las otras augus</t>
  </si>
  <si>
    <t>de Avila y Zúñtga, Luis</t>
  </si>
  <si>
    <t>Luis de Avila y Zúñtga</t>
  </si>
  <si>
    <t>uan de Guzman, de quién se han añadido algunas obras sueltas sacadas de su Retorica.—.Comentario de D. Luis de Avila y Zúñtga de la guerra de Alemania, hecha por Cirios v, Rei de España, en el año de 1546 y 1547..».Directorio catequístico y parroquial , por el Dr. D. Josef Qrtíz Cantero. —La Ulixéa de Homero,</t>
  </si>
  <si>
    <t>de Ayesa, Gabriel</t>
  </si>
  <si>
    <t>Gabriel de Ayesa</t>
  </si>
  <si>
    <t>ndo S. ; camisas, 4 pares de calcetas , 2 al­ DoñarFV F: ‘2t; ■■ millas y un chaleco , un pantalón, D. Gabriel de Ayesa &lt;*&gt;. : un par de calzones de mahon, uñó D. Manuel Perez 2. \ ' dicho de paño negror un par de D. Santos Sánchez Molero 2. medias botas nuevas , y un par de D. Manuel González Salm</t>
  </si>
  <si>
    <t>de Aza, Miguel</t>
  </si>
  <si>
    <t>Miguel de Aza</t>
  </si>
  <si>
    <t>... 320. Paulino Moreno, por una vez.......................................................... 140. D. Miguel de Aza, por uña vez....... ............................................. 160. D. Pedro López Labraña, confitero , por una vez....................... 2CO* D. Miguel Ignacio Villacastin, o</t>
  </si>
  <si>
    <t>de Azaguinotaza, Pedro</t>
  </si>
  <si>
    <t>Pedro de Azaguinotaza</t>
  </si>
  <si>
    <t>Málaga...... i'500 ¡té 1.2 D. Nicolás de Sarachágá..!.......................... _ Bilbáo. 300 •' 14 D. Pedro de Azaguinotaza..».!....................... Zaragoza...;! 600 1088 D. Pedro del Rio................. ........................... Madrid.; 300 1093 D.- Francisco Xavier de Balmís...Madrid.,....! 5</t>
  </si>
  <si>
    <t>de Azanza, Miguel</t>
  </si>
  <si>
    <t>Miguel de Azanza</t>
  </si>
  <si>
    <t>12 de junio de 1808</t>
  </si>
  <si>
    <t>Madrid 56 (extraord.)</t>
  </si>
  <si>
    <t>ndes de España, presidida por el duque del. Infantado , fue presentada á nuestro Monarca por el Sr. D. Miguel de Azanza, ministro de Hacienda, y pronunció el discurso siguiente: „ séSor. : Presentándonos áV. M., nos hallamos penetrados de los mas vivos sentimientos de alegría: los españoles esperan</t>
  </si>
  <si>
    <t>de Azpiroz, Miguel</t>
  </si>
  <si>
    <t>Miguel de Azpiroz</t>
  </si>
  <si>
    <t>Manuel de Peralta........................................................ Cádiz........... 500 1047 D. Miguel de Azpiroz...................................... Madrid......... 500 1574 D. Josef Antonio de Izarra.............................. Bilbao.......... 3 co 613 Doña Ines Neviet.................</t>
  </si>
  <si>
    <t>de Balanzátegui, Manuel Antonio</t>
  </si>
  <si>
    <t>Manuel Antonio de Balanzátegui</t>
  </si>
  <si>
    <t>00. Pascual Daros, id......................................................................... 300. D. Manuel Antonio de Balanzátegui, beneficiado de la parroquia de S. Lorenzo, id............................. ..................... ........... 320. Pedro Galea, panadero, id................. ............. .......</t>
  </si>
  <si>
    <t>de Baños, Miguel</t>
  </si>
  <si>
    <t>Miguel de Baños</t>
  </si>
  <si>
    <t>Málaga......... 300 2081 D. Josef María Gadeine...... ............... . ... Cádiz......... 300 1464 D. Miguel de Baños................... ........ ............... Málaga....... icoo 324 Bernardo Loustaunau.............................. . ... Málaga. ..¡i.-. 300 2350 D. Ignacio Vázquez Somoza......</t>
  </si>
  <si>
    <t>de Barajas, Manuel</t>
  </si>
  <si>
    <t>Manuel de Barajas</t>
  </si>
  <si>
    <t>.. Madrid....... 500 780 D. Lorenzo Gómez de Acedo........................... Madrid....... 600 573 D. Manuel de Barajas......................................... Madrid....... 1000 1473 D. Tomas Martínez............................................ Málaga....... . 600 2068 D. Manuel Gallardo.........</t>
  </si>
  <si>
    <t>de Barbería, Manuel</t>
  </si>
  <si>
    <t>Manuel de Barbería</t>
  </si>
  <si>
    <t>generales, 2 id., por 5 meses............................... ....... ........................ 306. D. Manuel de Barbería, del comercio, 8 id., por 4 id..*....... . 976. •D. Manuel García de la Hoz, oficial de gremios, 4 id., por agosto..................................... ...........................</t>
  </si>
  <si>
    <t>de Barcena, Fernando</t>
  </si>
  <si>
    <t>Fernando de Barcena</t>
  </si>
  <si>
    <t>. D. Manuel Martínez, id........................................ .............................. 20. D. Fernando de Barcena, id........ ................ ................................... 100. D. Manuel de Nicolás, id............... ......................... ......................... 200. D. Josef Bro</t>
  </si>
  <si>
    <t>de Barcena, Manuel</t>
  </si>
  <si>
    <t>Manuel de Barcena</t>
  </si>
  <si>
    <t>rocurador de los reales Consejos, en intereses de vales reales de 1800, id.................. . 722. D. Manuel de Barcena, del comercio* en vales reales, id........ . 4)41 22Í Francisco Perez, id.......................................................................... 8. D. Joaquín González de la Ve</t>
  </si>
  <si>
    <t>de Bárcenilla, Julián</t>
  </si>
  <si>
    <t>Julián de Bárcenilla</t>
  </si>
  <si>
    <t>un reai diario, por 2 meses.................. ................................................. 61. D. Julián de Bárcenilla, arquitecto, 6 id. por 6 id,..,.,,....1100. D. Antonio y D. Josef Escudero, joo rs, por una vez, y 186</t>
  </si>
  <si>
    <t>de Barrencochea, Martín</t>
  </si>
  <si>
    <t>Martín de Barrencochea</t>
  </si>
  <si>
    <t>... 300 843 D. Domingo Bañares......... ............................... . Madrid....... . 3 00 2384 D. Martin de Barrencochea............................... Zaragoza..... 500 2141 D. Pedro del Barco..................... ....................... Coruña......... 3 00 2007 D. Pablo Dujourdain................</t>
  </si>
  <si>
    <t>de Barrera, Diego</t>
  </si>
  <si>
    <t>Diego de Barrera</t>
  </si>
  <si>
    <t>300 196 D. Pedro Casou............................Alicante................................. 300 926 D. Diego de Barrera......• Mardíid..-..*.-.. 300 2093 D. Santiago de"l-»atorre...............*.«.««.«Gadiz......#..* 300 169 D. Manuel Abrien y Oconor Valencia.*..! 3 Ó3 2346 Excmo. Sr. Marques de Vi</t>
  </si>
  <si>
    <t>de Barric, Pedro</t>
  </si>
  <si>
    <t>Pedro de Barric</t>
  </si>
  <si>
    <t>... . Cortina. • .. ■ ■ 300 2379 D. Francisco Soler y Solanes y compañía....... Zaragoza..... ' 407 D. Pedro de Barric........................ Coruña* ...1L . '300 ■ &gt; t . 1 ■ -f U): y 2437 Sres. D. Pablo' Fernando y D. Juan Manuel dé Peralta...!....................................... ......... .</t>
  </si>
  <si>
    <t>de Basaguren, Diego Antonio</t>
  </si>
  <si>
    <t>Diego Antonio de Basaguren</t>
  </si>
  <si>
    <t>o CéválíosOéEl principé de Castel-Francoi — Migúel jóséf de Azanza. ■ ■ ■ ' JQ. Diego Antonio de Basaguren, secretario de gobierno de este M. N. -Li'se'fioríif-dé^SHzcei^á'y'ú ' ’i*&gt; * ' ‘ -- '' \,Certifico que en diputación general, celebrada este dia por los señores del universal gobierno’dé est</t>
  </si>
  <si>
    <t>de Basualdo, Manuel</t>
  </si>
  <si>
    <t>Manuel de Basualdo</t>
  </si>
  <si>
    <t>taría de Hacienda, por una vez............................... ............... ............... 3000. D. Manuel de Basualdo, corredor de cambios , por una vez...... 3000. D. Romualdo García, á cuenta de 120 rs. poruña vez.*......... 20. D. Josef de Albert, notario mayor dé la visita, por una vez... 120</t>
  </si>
  <si>
    <t>, por' agosto á 3 rs. diarios........... ................... ................................ . 93. D. Manuel de Basualdo, corredor de camjbios, por 2 meses á 4 ■ rs. id ...... • • • ••.........,.4*•*•••*.&lt;^. *44&lt; D. Tomas María Sacristán, clérigo menor,, por agosto 4o2r,s» ídVl 62. '? D. Pascual.Rom</t>
  </si>
  <si>
    <t>. Manuel García de la Prada 59 camisas finas. D. Pedro de la Puente, arquitecto, 24 camisas nuevas. D. Manuel de Basualdo, corredor de cambios, 6 id. D. Pedro Pjerez Llanos 3 id. D. M. F. del C. 3 camisas y 3 pares de calcetas nuevas. La: viuda de D. Josef de Resa ¿camisas id., 12 pañuelos de faltriq</t>
  </si>
  <si>
    <t>....................... . 24. El R, obispo de Caristo, auxiliar de Madrid, 1© id. por agosto, 1000. D. Manuel de Basualdo, corredor de cambios, 4 rs. diarios por 8 meses, que ha satisfecho en intereses de vales reales y pico en dinero.......... ........................ .................. ............</t>
  </si>
  <si>
    <t>de Baulini, Francisco</t>
  </si>
  <si>
    <t>Francisco de Baulini</t>
  </si>
  <si>
    <t>Cádiz...... . 300 1725 Lie. D. Josef María de Castro..................... Cádiz........... 3^o 531 D. Francisco de Baulini................................... Madrid....... 1500 602 Excmo. Sr. D. Vicente Joaquin Osorio de Moscoso.......................... .................................. Madrid......</t>
  </si>
  <si>
    <t>de Bedoya, Francisco Manuel</t>
  </si>
  <si>
    <t>Francisco Manuel de Bedoya</t>
  </si>
  <si>
    <t>1528 6 camisas , 2 casacas y 2 paresde cithsnes, DoááAgustina Picos 2 camisas. D. Francisco Manuel de Bedoya r2^id. D. Magin Gonia 5. -Dia évoManuel ¿Ferroc.4^ gorrosmgevos de'^uartel y fr bayotí€Ú*¿'&amp;Q~ ña¡ MamPatrdlCaroufl'par dé cal$whs.y 6í«(apüla¥ioV-La -rea! hermané dadcdj2 auxeatr</t>
  </si>
  <si>
    <t>de Beitia, María</t>
  </si>
  <si>
    <t>María de Beitia</t>
  </si>
  <si>
    <t>3 id. La Sra. Doña María Blasa Nieto de Paz y Centurión 12 camisas nueras y 7 quarterones de hilas. Doña María de Beitia y su hermana 2 camisas finas, 2 libras de hilas y 6 vendas. Doña María del Cármen Moreno una camisa y 2 libras de hilas. Doña F. una camisa, 4 pares de calcetas y 2 libras de hilas.</t>
  </si>
  <si>
    <t>de Béjar, Manuel</t>
  </si>
  <si>
    <t>Manuel de Béjar</t>
  </si>
  <si>
    <t>2. D. Miguel de Bu&amp;tinaga y Lastiri, comisario ordenador honorario, por agosto ¿ 4 rs. diarios 124. D. Manuel de Béjar, por id* id.................. ................ . 124. La comunidad de clérigos menores del Espíritu Santo, por id. á 6 rs. id .... »»•»•*•*•»« ............ .......... ... . ......</t>
  </si>
  <si>
    <t>de Bengoechea, Antonio</t>
  </si>
  <si>
    <t>Antonio de Bengoechea</t>
  </si>
  <si>
    <t>laga... 3 00 925 D. Agustin Aguilar............................................. Madrid.. 5 00 1553 D. Antonio de Bengoechea................................ Bilbao.... 300 2405 D. Josef Barnuevo.............................................. Zaragoza 1 &gt;00 735 Doña Dorotea Eltin de Villaba...............</t>
  </si>
  <si>
    <t>de Berastegui, Alonso Dionisio</t>
  </si>
  <si>
    <t>Alonso Dionisio de Berastegui</t>
  </si>
  <si>
    <t>.... 3°° 986 Sres. Zorrilla hermanos......... ............................ Madrid......... 3CO 2169 D. Alonso Dionisio de Berastegui................... Coruña......... 3°o 2441 Sres. D. Pablo Fernando y D. Juan Manuel de Peralta........................................................ Cádiz........... 500 1047 D</t>
  </si>
  <si>
    <t>de Berg y Cleves, Duque</t>
  </si>
  <si>
    <t>Duque de Berg y Cleves</t>
  </si>
  <si>
    <t>primer cuerpo de exército francés, á las órdenes de S. A. I. el Sermo. Sr. gran Duque de Berg y Cleves, teniente de S. M. el Emperador de los franceses, y comandante de sus exércitos en España. El público de Madrid ve con complacencia alojados dentro de sus müros á los héroes de Eilau, de Da</t>
  </si>
  <si>
    <t>de Berindoaga, Pedro</t>
  </si>
  <si>
    <t>Pedro de Berindoaga</t>
  </si>
  <si>
    <t>ínez, id.................. ......................................... . 1000. El comisario de guerra D. Pedro de Berindoaga y su hijo Don Francisco Xavier, regidor de Madrid, 1104 rs. por 3 meses D. Alfonso G-utierrez, id.................. ...................... ................... 320. *9</t>
  </si>
  <si>
    <t>de Berriozabal, Juan Ignacio</t>
  </si>
  <si>
    <t>Juan Ignacio de Berriozabal</t>
  </si>
  <si>
    <t>...... ......... ........ . D. Juan Fita, clérigo menor, por 6 meses á 3 rs. diarios......... 5 $2. D. Juan Ignacio de Berriozabal, comisionado principal de consolidación en Madrid, 500 rs. por una vez , y 186 por agosto a 6 rs. diarios........................ 68&amp; D. Manuel Sánchez Toscano cambiante , 1© rs.</t>
  </si>
  <si>
    <t>Í. 2. quina y 22 id. de bálsamo. D. Manuel Sedaño y. sus hijos 6. D, Manuel de Sampelayo 5ó cambas. D. Juan Ignacio de Berriozabal 24. D; Añtomó Gáircía . 'cárpjritero dé D. Nicolas' de Araus 12. :kS."M.,:i4r'r: v' ‘ D. M. B, 3.' - * -■ D. Manuel Navarro 6. f Una sirviente:;una¿ ; :f JD. JJdanuel Barrio 2. ,'</t>
  </si>
  <si>
    <t>de Biasi, Juan</t>
  </si>
  <si>
    <t>Juan de Biasi</t>
  </si>
  <si>
    <t>, entre: los;quales había 60 marineros dinamarqueses, y 6- capitanes, de la misma nación. Informado Mr. Juan de Biasi, YÍ$e£pfl$uLde Dmamarca , de que el Igobierno siciliano no había dado á es-i tos infelices para su viage mas que una corta cantidad de provisiones; de pa» picado, de carne llena d</t>
  </si>
  <si>
    <t>de Boloqui, Manuel Antonio</t>
  </si>
  <si>
    <t>Manuel Antonio de Boloqui</t>
  </si>
  <si>
    <t>... 300 85 7 D. Franciscq Gutiérrez,Solana. 9* • * • t » «■« • • • ■».% •AJajitid !•••« Sr j OO 452 D. Manuel Antonio de Boloqui,..,..1.,..-.;,;. Bilbao..../... 303 *74 D. Gaspar Morera, comerciante,........4........ "Valencia..... ; 1000 2363 Doña Ines del Castillo....................................... Za</t>
  </si>
  <si>
    <t>de Borbon, Luis</t>
  </si>
  <si>
    <t>Luis de Borbon</t>
  </si>
  <si>
    <t>Sevilla 59</t>
  </si>
  <si>
    <t>Pu.rto de Sta. María el Emitió. Sr. D. Luis de Borbon, Arzobispo da Toledo y Administrador de nuestra Sta, Iglesia* en compañía de la Serenísima Sra* Condesa de Chinchón, su hermana, con quien había venido á esta. AVISO DE OFICIO , E</t>
  </si>
  <si>
    <t>de Borbon, Luis María</t>
  </si>
  <si>
    <t>Luis María de Borbon</t>
  </si>
  <si>
    <t>Toledo, y secretario de su Junta provincial, de que es dignísimo presidente el E no,,y Exorno. Sr. D. Luis María de Borbon, cardenal de Scala, arzobispo de esta diócesis, primado de las Españas. t i Certifico queen ja sesión celebrada por esta junta provincial en el dia $ del cotrifeUtediies y gño , s</t>
  </si>
  <si>
    <t>de Borja, Francisco</t>
  </si>
  <si>
    <t>Francisco de Borja</t>
  </si>
  <si>
    <t>790 en la escuadra del marques del Socorro, lo fue también un 1793 como tercer gefe en la que mandó D. Francisco de Borja, en cuya ocasión ¿e halló en la conquista ,de las islas de S. Pedro y S. Antioco. En el mismo año fue nombrado consejero de guerra, y sin embargo en 1795 fue empleado en la escuad</t>
  </si>
  <si>
    <t>de Bouligni, Francisco</t>
  </si>
  <si>
    <t>Francisco de Bouligni</t>
  </si>
  <si>
    <t>laga........ 600 1385 D. Juan Prudencio de Inda.»........................... Burgos....,..* 300 614 D. Francisco de Bouligni.................................. Madrid....... 500 880 D. Celedonio y D. Francisco de López...... . Madrid........ 300 285 El Convento de Sta. Cruz de Granada......... Málaga....</t>
  </si>
  <si>
    <t>De Brai</t>
  </si>
  <si>
    <t>negocios diplomáticos de los franceses en S. Petersburgo el caballero emigrado De Brai, ministro bávaro Cerca de aquella corte, y gran intrigante, como tiene acreditado desde el tiempo que fue ministro en Berlín. El Emperador de Austria ha sido también convidado por medio de</t>
  </si>
  <si>
    <t>de Bringas, Francisco</t>
  </si>
  <si>
    <t>Francisco de Bringas</t>
  </si>
  <si>
    <t>taríos de Madrid&gt; puestos según el orden de entregas. Muías. Caball. Sillas. Bridas. Otros efectos, D. Francisco de Bringas........ ............. D. .Bernardo González Alvarez..... . 111 El conde de Sta. Coloma.................... 2 •' P. 'Gervasio Hernández Izquierdo.... 1 &lt; p. Antonio Vázquez........</t>
  </si>
  <si>
    <t>de Bringas, Pedro</t>
  </si>
  <si>
    <t>Pedro de Bringas</t>
  </si>
  <si>
    <t>1428 Rí. Mr» D. Pedro de Bringas, por sí y su sobrino, cadete de dragones de Castilla la vieja............................................................ 1000. p. Josef Diaz Hidalgo, cadete de los. mismos..... '</t>
  </si>
  <si>
    <t>de Brugada, Juan</t>
  </si>
  <si>
    <t>Juan de Brugada</t>
  </si>
  <si>
    <t>.......* 300 110 D. Francisco Paula Carrillo.............................. Tudela....... . JOO 1935 D. Juan de Brugada.................................... ...... Zaragoza..... 300 965 D. Antonio Paño................................................. Madrid........ 5C0 2091 D* Salvador Dubernad.....</t>
  </si>
  <si>
    <t>de Bu, Miguel</t>
  </si>
  <si>
    <t>Miguel de Bu</t>
  </si>
  <si>
    <t>por agosto............... . Doña Isabel,Botello» viuda, por agosto ¿ 2 rs. diarios............. 62. D. Miguel de Bu&amp;tinaga y Lastiri, comisario ordenador honorario, por agosto ¿ 4 rs. diarios 124. D. Manuel de Béjar, por id* id.................. ................ . 124. La comunidad de clérigos</t>
  </si>
  <si>
    <t>de Burgués, Martín</t>
  </si>
  <si>
    <t>Martín de Burgués</t>
  </si>
  <si>
    <t>miembros, que fueron el teniente coronel D. Juan ODonovan, comandante del regimiento de Ultonia, y D. Martin de Burgués, regidor perpetuo de la ciudaa, quienes al anochecer pasaron al campo enemigo: fueron bien recibidos pór los generales Duhesme y Lechi; y habiéndoles aquel pedido, como preliminar</t>
  </si>
  <si>
    <t>de Bustamante y Guerra, Francisco</t>
  </si>
  <si>
    <t>Francisco de Bustamante y Guerra</t>
  </si>
  <si>
    <t>s á 4 rs. de vellón cada uno. AVISOS. En 24 de mayo remitió desde Madrid D. Francisco de Rucavado á D. Francisco de Bustamante y Guerra, de Cádiz, endosados á favor de este, un vale real de enero de ó00 pesos, núm. 365923: 2 id. de 300, núms. 89353 y 89792: 2 id. de 150, núms. 224040 y 341811: uno de 600, de mayo,</t>
  </si>
  <si>
    <t>de Bustamante y Serrera, Francisco</t>
  </si>
  <si>
    <t>Francisco de Bustamante y Serrera</t>
  </si>
  <si>
    <t>uato , en el reino dé Nueva-España, se ha servido S.M. promover á capitán al teniente de granaderos D. Francisco de Bustamante y Serrera, y á teniente de ^granaderos al de fusileros D. Josef María Truxillo. VENTAS JUDICIALES. Por providencia de D. Domingo Mora y Jaraba, juez comisionado regio en lá diócesi de Ciuda</t>
  </si>
  <si>
    <t>de Bustos y Angulo, Ventura</t>
  </si>
  <si>
    <t>Ventura de Bustos y Angulo</t>
  </si>
  <si>
    <t>adecer en la salida de los primeros dientes : segunda edición copiosamente enriquecida por su autor D. Ventura de Bustos y Angulo, cirujano dentista en esta corte. Se hallará en la librería de Castillo, frente á las gradas de S. Felipe, en la de Orea, frente á S. Luis, y en casa del autor, calle de las Carre</t>
  </si>
  <si>
    <t>os interesantes á la vida y salud: segunda edición, enriquecida por su-autor D» Ventura de Bustos y Angulo, cirujano dentista encesta corte. Se.hallará en lá librería de Castillo, frente á las gradas d^ $. Felipe el Real, en la de Orea, frente á S. Luis, y en casa del autor, calle de las Carreta</t>
  </si>
  <si>
    <t>de Cabra Bejarano, Joaquín</t>
  </si>
  <si>
    <t>Joaquín de Cabra Bejarano</t>
  </si>
  <si>
    <t>Sevilla 10</t>
  </si>
  <si>
    <t>en favor de la justa causa, que todos debemos defender en el campo de batalla! Sevilla 2. de Julio. D. Joaquín de Cabra Bejarano, profesor de pintura y secretario de la Escuela de Jas tres nobles arles de esta ciudad, deseando dar una prueba de su amor al Rey, ha presentado á esta Suprema Junta el retrato d</t>
  </si>
  <si>
    <t>de Cáceres, Agustín</t>
  </si>
  <si>
    <t>Agustín de Cáceres</t>
  </si>
  <si>
    <t>d de chantre y canongía de la catedralde Segovia, vacantes por muerte de D. Pedro Alvaro Ximenez, á D. Agustín de Cáceres , canónigo de la colegiata del real sitio de $. Ildefonso: para la canoncía de la metropolitana de Sevilla, vacante por fallecimiento de D. Josef Ramón de Aldana, á D. Agustín Mor</t>
  </si>
  <si>
    <t>de Cáceres, Gregorio</t>
  </si>
  <si>
    <t>Gregorio de Cáceres</t>
  </si>
  <si>
    <t>portaguión D. Josef María Naranjo : ayudantía en el de Lusitania al teniente , graduado He capitán, D. Gregorio de Cáceres;y en el de cazadores de Olí vencía tenencia al alférez D. Josef Alcalá del Olmo. En atención al mérito y circunstancias del Sr. D. Josef Navarro Vidal, ministro del consejo real,</t>
  </si>
  <si>
    <t>pleo de Portaguión al sargento primero D. Lázaro Lahoz en el de Lusitania compañías á los ayudantes D. Gregorio de Cáceres y 0. Juan Nuñez, el primero graduado de capitán ; tenencias á los alféreces D. Cristóbal Ximenez , T D.; Miguel Rave y D. Antonio Perez, teniente agregado al mismo cuerpo: en el de.</t>
  </si>
  <si>
    <t>or exige paso á noticiar á V.;E. que el capitán de la primera compañía del 'regimiento de mi; cargo D. Gregorio de Cáceres se ausentó ayer de esta piaza, sin conocimiento alguno de los gefes de ella ni mip, llevándose consigo á su cuñado,) cadete de la misma compañía. Es el,único que Hasta ahora en la</t>
  </si>
  <si>
    <t>de Cáceres, Juan Antonio</t>
  </si>
  <si>
    <t>Juan Antonio de Cáceres</t>
  </si>
  <si>
    <t>tuos; í&gt;. Alfonso Cañedo; y Vigil, dignidad de vicario de coró dé está dicha santa iglesia primada; D. Juan Antonio de Cáceres, caballero dé la real ^ distinguida orden española de Cárlos m, y capellán mayor de la de: señores Reyes nuevos; D. Bonifacio Hurtado, caballero del hábito de Santiago, y marques</t>
  </si>
  <si>
    <t>de Cáceres, Julián</t>
  </si>
  <si>
    <t>Julián de Cáceres</t>
  </si>
  <si>
    <t>sto; 4 rs. diarios D. Francisco Roquelias ,.músÍco de los teatros, por td.;á 2 rs. id., •• 02.. , r D. Julián de Cáceres ,, oficial de la cámara de Castilla,, por id* á 2 rs. diarios.................................................. .......................... 6*#. ■ •'</t>
  </si>
  <si>
    <t>de Cáceresypór, Gregorio</t>
  </si>
  <si>
    <t>Gregorio de Cáceresypór</t>
  </si>
  <si>
    <t>les del regimiento de dragones dé Fus i tañía, solicitando que sea excluido del servició el capitán D. Gregorio de Cáceresypór haberse;ausentado sin permiso de sus gefés-;;y por'últim©&gt;aténdiéndo también• áíque ninguno dé los sargentos de esté cuerpo se ha; separado de él á pesar del aluciriamién to y sed</t>
  </si>
  <si>
    <t>de Cágiga, Juan Manuel</t>
  </si>
  <si>
    <t>Juan Manuel de Cágiga</t>
  </si>
  <si>
    <t>destinos. El día 28 de agosto falleció en la ciudad de Valencia á las 4 de la tarde el Exorno. Sr. D. Juan Manuel de Cágiga! de la Vega y Monserrat, teniente general de los reales exércitos, segundo comandante general de aquella plaza, del hábito de Santiago, comendador de Ballesteros, gentilhombre de</t>
  </si>
  <si>
    <t>de Callejo, Domingo</t>
  </si>
  <si>
    <t>Domingo de Callejo</t>
  </si>
  <si>
    <t>........... 100. D. Felipe de PueJIes, ageste de negocios, id...... .......................... ico. D. Domingo de Callejo, deLcomercio, id...................................... 2CO. D. Lorenzo de Neila y Dona María Antonia Fidela Miramon, su muger, en 2 libramientos del Fondo vitalicio, id...... .. 2</t>
  </si>
  <si>
    <t>de Calzada y Paul, Domingo</t>
  </si>
  <si>
    <t>Domingo de Calzada y Paul</t>
  </si>
  <si>
    <t>a Aguado, viuda, una. Marta del Rincón, viuda , una camisa, un par de zapatos y un par de calcetas. D. Domingo de Calzada y Paul 2 camisas. Isidoro Damian 2, Venceslao Burgos 2. Josef Ramos 6. Calixto Simón una. León Martin de Loeches una. D. Joaquín Dainian un par de calzones, un chaleco de ante, 2 pares d</t>
  </si>
  <si>
    <t>de Calzada, Bernardo María</t>
  </si>
  <si>
    <t>Bernardo María de Calzada</t>
  </si>
  <si>
    <t>r D. Valentín de Foronda—-Fábulas morales escogidas de Juan de Lafontaine, en verso castellano: por D. Bernardo María de Calzada. Se venden en la librería de Munita, calle de las Carretas. Cartas de madama Montier á su hija, escritas en francés por madama le Prince de Beauinont, y traducidas al castellano p</t>
  </si>
  <si>
    <t>de Calzada, Domingo</t>
  </si>
  <si>
    <t>Domingo de Calzada</t>
  </si>
  <si>
    <t>e á D. Pedro de Zubiaga, que vive red de S. Luis, esquina á la ca.4e de los Jardines, y en Aléala á Don Domingo de Calzada. ' II BROS*. Real orden comunicada,al consejo por el ministerio de Hacienda, oon inserción de dos tarifas, la una en castellano, y la otra en francés, en las que se fixa la tasa l</t>
  </si>
  <si>
    <t>de Campos, Antonio</t>
  </si>
  <si>
    <t>Antonio de Campos</t>
  </si>
  <si>
    <t>. Antonio de Gimbernat, cirnjano de cámara, á cuenta de 1500 rs. por una vez...................500. D. Antonio de Campos, abogado, mensualmente............ . 40. D. Simón Mateo Perez , empleado en la tesorería de la real fábrica de palacio, ^por una vez........................ ............... . 600.</t>
  </si>
  <si>
    <t>de Cañas, Diego</t>
  </si>
  <si>
    <t>Diego de Cañas</t>
  </si>
  <si>
    <t>da mes............ . 20. Doña Manuela Miralles y Real, 120 rs. mensuales...... ............... 120. D. Diego de Cañas, oficial de la contaduría de pósitos, 7 5 rs. mensuales.......................... ............... .............................. ........... 75 D. Francisco Ferrer, oficial de la</t>
  </si>
  <si>
    <t>........ .................. 240. O. Josef López de ia Torre Aylíon y Gallo, 40 id. por agosto.. 40. D. Diego de Cañas, 75 id. id.................. ............................... . 75. Domingo Fraileo Losada, 10 id. por 2 meses.,............ .............. 20. D. Fausto Martínez de la Torre, prof</t>
  </si>
  <si>
    <t>de Cañaveral, Joaquín</t>
  </si>
  <si>
    <t>Joaquín de Cañaveral</t>
  </si>
  <si>
    <t>Bilbao........ 300 1771 D. Juan Manuel de Peralta............ Cádiz............. 300 190 Excmo. Sr. D. Joaquin de Cañaveral.... Alicante...... 300' 1800 D. Juan Antonio de. Yardiola y Garay. . Cádiz.......... ». IOOOí 2401 D. Manuel Miguel de Retes................. Zaragoza...... 300 187? D. Gerónimo B</t>
  </si>
  <si>
    <t>.... ......... Coruña......... IOOO 401 Pona Mariquita de Barric.. Coruña..... . 3OO 189 Excmo. Sr. D. Joaquin de Cañaveral..*..., Alicante,....) IOOO 2333 D. Manuel Luquet...... ................... . Zaragoza...... 3°° 815 P. Luis Velasco................. .......................... Madrid......... 500</t>
  </si>
  <si>
    <t>.. Santander.... 300 1920 D. Bernardo Guichot................... . Zaragoza..... 300 192 Excmd. Sr. D. Joaquin de Cañaveral.............. Alicante...... 300 1607 D. Ffa’ñcisco Arnainz-y Bringas.................... . Bilbao.......... 500 1091 D. Pedro dél Rio»» ...................................... . M</t>
  </si>
  <si>
    <t>de Capmañy, Antonio</t>
  </si>
  <si>
    <t>Antonio de Capmañy</t>
  </si>
  <si>
    <t>s Carretas, en donde se suscribe pagando 16 rs. por cada trimestre. Centinela contra franceses, por D. Antonio de Capmañy: dedícalo al Excmo. Sr. lord Holland, Par de la Gran Bretaña. Véndese en la librería de Alonso, frente á las gradas de S. Felipe; en Valencia en la de Mallen, en Cádiz en la de Pa</t>
  </si>
  <si>
    <t>de Cárdenas, Miguel</t>
  </si>
  <si>
    <t>Miguel de Cárdenas</t>
  </si>
  <si>
    <t>D. Antonio Geilles; y en el de cazadores de Olivencia al ayudante y teniente, graduados de capitán, D. Miguel de Cárdenas y D. Juan de Estrada. y*S. M. se ha servido nombrar subtenientes de las compañías fixas veteranas de artillería á los sargentos primeros de los regimientos del propio real cuerpo D. J</t>
  </si>
  <si>
    <t>de Carmona y Herrera, Cayetano</t>
  </si>
  <si>
    <t>Cayetano de Carmona y Herrera</t>
  </si>
  <si>
    <t>......................... 1263 8. D. Juan Nejpomuceno del Poyo, un real diario, por 4 meses... 120. D. Cayetano de Carmona y Herrera, 4 rs. id. durante 6 meses, por agosto............. .................. .................................................... . 124. D. Manuel Perez Camino, canónigo de S. Isidro, 3</t>
  </si>
  <si>
    <t>de Carvajal, Joaquín María</t>
  </si>
  <si>
    <t>Joaquín María de Carvajal</t>
  </si>
  <si>
    <t>América D. Mames Paez: en el de voluntarios de Castilla compañía al ayudante , graduado de capitán, D. Joaquín María de Carvajal; y en el de voluntarios de Estado subtenencia de bandera al sargento primero D. Celestino Paredes. El oficial comisionado para cumplimentar al general en gefe del exército francés</t>
  </si>
  <si>
    <t>de Carvajal, Ramón</t>
  </si>
  <si>
    <t>Ramón de Carvajal</t>
  </si>
  <si>
    <t>riscales de campo de sus exércitos á los brigadieres D. IJlises Albergotti, D. Francisco Mendieta , D. Ramón de Carvajal, D. Félix Jones, D. Miguel Salcedo, D. Pedro Adorno, Don Josef de Vargas y D. Cárlos Luxan , coroneles de los regimientos de infantería de Ñapóles , Rei, España, Irlanda, Zamora,</t>
  </si>
  <si>
    <t>de Casano, Tomás</t>
  </si>
  <si>
    <t>Tomás de Casano</t>
  </si>
  <si>
    <t>os santos evangelios, sobre el qual puesta llano. la mano derecha por ei señor gobernador y señores D. Tomas de Casano- alcaldes que por el orden de su antigüedad constan va. al márgen, con inclusión del señor fiscal jubilado D. Martin Leonés. D. Juan Melendez Valdés, se dixo por mí el infras-* D.</t>
  </si>
  <si>
    <t>de Casas, Bartolomé</t>
  </si>
  <si>
    <t>Bartolomé de Casas</t>
  </si>
  <si>
    <t>... Santander.... 300 21 Excmo. Sr. Marques de las Amarillas.............. Zaragoza..... 1000 2198' D. Bartolomé de Casas.......... ............................. Coruña....... 1000 504 D. Josef de Ezguiaga........................................... Bilbao.......... 300 916 Doña Juana Teresa de Latorr</t>
  </si>
  <si>
    <t>de Castañedo, Juan</t>
  </si>
  <si>
    <t>Juan de Castañedo</t>
  </si>
  <si>
    <t>o Alcalá Galiano hará las de los barrios de Mira el Rio , huerta del Bayo y S. Cayetano. El regidor D. Juan de Castañedo , las de los barrios cié las niñas de la Paz, la Comadre y S. Isidro. — Madrid 3 de agosto de 1808. Y habiendo ocurrido algunas dudas á este vecindario, ha mandado el consejo que</t>
  </si>
  <si>
    <t>! ^Señores vocales que asistieron d este acto. Sr. corregidor. Regidores: D. Nicolás de los Heros. D. Juan de Castañedo. D. Diego del Rio. D. Pedro Roldan. D. -Francisco Taona. D. María-* no Blancas. D. Julián* de ¥uenté$¡' Dij&gt;ütados: D. Manuel Montaos. D., Juan * Madrid Dávilá. D. Matías Bayo. í)</t>
  </si>
  <si>
    <t>rificada la concurrencia de los Sres. D. Pedro de Mora y Lomas', corregidor; D. Rafael de Reinalte, D. Juan de Castañedo, D. Mariano Blancas, D. Julián de Fuentes, regidores; Di Juan Josef Bringas, procurador general; D.Mateo Norzagarai, procurador personero; D. Juan Xaramillo, regidor; D. Diego del</t>
  </si>
  <si>
    <t>Componían dicha diputación los individuos siguientes: El Sr. D. Pedro de Mora y Lomas, corregidor ; D. Juan de Castañedo, regidor; D. Juan Xaramillo, id.; D. Manuel Montaos, diputado del común; D. Matías Bayo, id.; D. Juan Josef de Bringas , procurador general; D. Mateo Norzagarai, personero del com</t>
  </si>
  <si>
    <t>de Castaños, Francisco Xavier</t>
  </si>
  <si>
    <t>Francisco Xavier de Castaños</t>
  </si>
  <si>
    <t>la victoria conseguida entre Baylen y Andujar por el exército de Andalucía al mando del Excmo* Sr. D. Francisco Xavier de Castaños, han abierto aña subscripción para costear un premio correspondiente y digno del objeto al pintor que mejor desempeñare un quadro, á lo ménos de 4 varas de ancho y tres de largo ,</t>
  </si>
  <si>
    <t>Madrid 115 (supl.)</t>
  </si>
  <si>
    <t>s, publicamos el extracto del parte que dio al Excmo. Sr. general en gefe del exército de Andalucía D. Francisco Xavier de Castaños. Excelentísimo Señor: En cumplimiento y continuación de los planes dé V. E., reducidos todos á envolver y batir al general Dupont, se dispuso que el mariscal de campo D. Félix Góm</t>
  </si>
  <si>
    <t>ños. Quartel general de Andujar 28 de julio de 1808. = Excmo. Sr. = Manuel de la Peña. = Excmo. Sr. D. Francisco Xavier de Castaños. En el día 7 de este mes, en que el real y supremo consejo de Castilla asistió en la iglesia de Sta. María al solemne 7&gt; JDeum que se cantó por los felices sucesos de esta monarqu</t>
  </si>
  <si>
    <t>30 de noviembre de 1808</t>
  </si>
  <si>
    <t>Madrid 149 (extraord.)</t>
  </si>
  <si>
    <t>DE 1808. Aranjuez ap de noviembre. Con fecha de i6 de este mies escribe desde Calatayud el general D. Francisco Xavier de Castaños haber tenido noticia el dia 21 que los enemigos habían penetrado por el Burgo de Osma con 12® hombres de infantería y 40 caballos. No 4e quedó duda entonces de su intención; y des</t>
  </si>
  <si>
    <t>de Castilla y Casasus, Antonio</t>
  </si>
  <si>
    <t>Antonio de Castilla y Casasus</t>
  </si>
  <si>
    <t>........................ 240. D. Francisco Diaz Molina, abogado'de-1 colegio., id..'...i.... ;ioóo. D. Antonio de Castilla y Casasus, en vales reales, id............. 2264 2J. El Príncipe de Castelfranco , id.......................................... 6000. D. Julián Gallego , artífice dorador, id............ ..</t>
  </si>
  <si>
    <t>de Castilla, Antonio</t>
  </si>
  <si>
    <t>Antonio de Castilla</t>
  </si>
  <si>
    <t>J i 9J D. Vicente Lozqno 60. mrsi en vales ‘reales. 1 D. Domingo Fernandez de Palacios El brigadier D. Antonio de Castilla 300 4585 rs. 22 mrs. en id. D. Juan de Mata Duque 1800 en D. Pedro Marcelino Blanco 45 2 j rs. efectos de, estado. .... 5/mrsi"enOíd. Doña María García Sánchez 40.' D. J. G. de Á.</t>
  </si>
  <si>
    <t>de Castro, Diego</t>
  </si>
  <si>
    <t>Diego de Castro</t>
  </si>
  <si>
    <t>uelas, diputado id. D. Antonio Sánchez, diputado del barrio del Hospital. D. Silverio Perez id. id. D. Diego de Castro, secretario de la dir i cha .diputación. D. Andrés del Peral, diputado de id. D. Josef Carranza, « diputado dei de SL Francisco. Fr. Vicente .Palomequé, comendador de la Merced ca</t>
  </si>
  <si>
    <t>de Castro, Francisco</t>
  </si>
  <si>
    <t>Francisco de Castro</t>
  </si>
  <si>
    <t>r.... 300 1879 Sr. Marques de Zafra............ ............................ Zaragoza..... 1500 638 D. Francisco de Castro.......... ........ ................. Madrid........ 300 1316 D. Josef Mas, comerciante............................... Valencia..... 1000 1896 D. Juan Bonifacio de Irribarren, pres</t>
  </si>
  <si>
    <t>de Castro, Juan Bautista</t>
  </si>
  <si>
    <t>Juan Bautista de Castro</t>
  </si>
  <si>
    <t>Madrid 138 (supl.)</t>
  </si>
  <si>
    <t>erecido de la patria, espera asimismo las órdenes de V. A. S.; y asi este como el mariscal de campo D. Juan Bautista de Castro, mayor general de este exército, y qualquier otro oficial general, siempre serán útiles, y aun necesarios, en una masa de exército tan respetable. Pero para concluir su organizaci</t>
  </si>
  <si>
    <t>de Castro, Manuel</t>
  </si>
  <si>
    <t>Manuel de Castro</t>
  </si>
  <si>
    <t>...................................... 1 D. Rafael Treviño, oficial mayor de Juros............. 1 1 D. Manuel de Castro..................................................... 1 1 D. Francisco Antonio Quaresma................................. 1 1 D. Jacinto Sánchez Tirado..............................</t>
  </si>
  <si>
    <t>de Cauné, Manuel Benito</t>
  </si>
  <si>
    <t>Manuel Benito de Cauné</t>
  </si>
  <si>
    <t>a nación se adelantan, á darnos exemplo de beneficencia y liberalidad. Carta dirigida d los señores D. Manuel Benito de Cauné do, y D. Felipe González Pola, sobrino, del comercio y matrícula de este real consulado de la Coruña. Mui señores míos : Serán vds. servidos tener y entregar en mi nombre rs^. vn. 45</t>
  </si>
  <si>
    <t>de Ce, Miguel</t>
  </si>
  <si>
    <t>Miguel de Ce</t>
  </si>
  <si>
    <t>de los horrores que la amenazan. =? Dios guarde á V. muchos años. Madrid 5 de junio de 1808. = Sr. D. Miguel de Ce val los.” Este aviso á Segovia se dio directamente por un correo extraordinario, y á mas se duplicó su copia , enviándola desde el Escorial con dos guardias de Corps: uno de estos</t>
  </si>
  <si>
    <t>de Cea y Escudero, Juan Manuel</t>
  </si>
  <si>
    <t>Juan Manuel de Cea y Escudero</t>
  </si>
  <si>
    <t>alena y S. Martin; D. Miguel Sabino de Acosta, contador de exército, y principal de esta provincia; D. Juan Manuel de Cea y Escudero, canónigo de la santa iglesia de Mondonedo, é inquisidor del tribunal de esta ciudad; D. Josef Cortes y Barrientos, comisario de guerra; D. Antonio González de la Hoyuela y D. Jua</t>
  </si>
  <si>
    <t>de Cevallos, Miguel</t>
  </si>
  <si>
    <t>Miguel de Cevallos</t>
  </si>
  <si>
    <t>y Justicia se comunicasen las órdenes correspondientes al señor corregidor de la ciudad y al señor D. Miguel de Cevallos; y en efecto se pasaron las siguientes: Al señor corregidor de Segovia: ,,E1 Sermo. Sr. gran Duque de Berg, Lugar-Teniente General del reino, sabe positivamente que ese pueblo se</t>
  </si>
  <si>
    <t>de Cevallos, Pedro</t>
  </si>
  <si>
    <t>Pedro de Cevallos</t>
  </si>
  <si>
    <t>el Marq,ues de Santa Cruz, los Condes de Fernan-Nuñez y de Aitamira; el Príncipe de Castel-Franco; Don Pedro de Cevallos, ex-Minisíro de Estado; el Obispo de Santander , quedan declarados enemigos de Francia y España , y traidores á ambas Coronas. Como á tales se aprehenderán rus personas; serán ent</t>
  </si>
  <si>
    <t>de CevaUos, Joaquín</t>
  </si>
  <si>
    <t>Joaquín de CevaUos</t>
  </si>
  <si>
    <t>ntero de Espinosa. = Sr.D. Juan Antonio de Urizar. ¿. N. 9.0 Santander 11 de npyiembre.de 1808. Sr. D Joaquín dé CevaUos; en medio de que entre los del Norte y Blak nos tienen cerca de 30® duros, y que Leith por junto no ha dado sino 6©, no ha faltado quien ha- &gt;. ya persuadido á este buen señor que</t>
  </si>
  <si>
    <t>de Checa y Xixon, Francisco</t>
  </si>
  <si>
    <t>Francisco de Checa y Xixon</t>
  </si>
  <si>
    <t>de caballería de Santiago, D. Julián Seríeseos, Subteniente del Regimiento Infantería de la Rey na, D. Francisco de Checa y Xixon, Capitán de Exército agregado á Plaza, y D. Josef María Cueto, Teniente de Caballería de Santiago. Por un expreso del dia de ayer , recibido de Córdoba, hemos sabido haber llegado</t>
  </si>
  <si>
    <t>de Choiseul Dailcourt, Máximo</t>
  </si>
  <si>
    <t>Máximo de Choiseul Dailcourt</t>
  </si>
  <si>
    <t>19 de julio de 1808</t>
  </si>
  <si>
    <t>Madrid 91</t>
  </si>
  <si>
    <t>y de la industria.” El premio se ha repartido entre dos obras, de las quales la "íspa, escrita por Mr. Máximo de Choiseul Dailcourt, tiene este epígrafe; 'Totas fervet, totas concutitar , vel potius transformari videbatar mandas. La otra , cuyo autor es Mr. Heeren, profesor de historia en la universidad de -Go</t>
  </si>
  <si>
    <t>de Ciaran, Juan Bautista</t>
  </si>
  <si>
    <t>Juan Bautista de Ciaran</t>
  </si>
  <si>
    <t>., id............ ................................ ................... ...................... IOOO. D. Juan Bautista de Ciaran, oficial de la secretaría de Hacienda, 2190 rs. por un año adelantado á 6 rs. diarios , y j 00 por uña vez...................................................... ..................</t>
  </si>
  <si>
    <t>de Cifuentes, Pedro</t>
  </si>
  <si>
    <t>Pedro de Cifuentes</t>
  </si>
  <si>
    <t>ia, por una vez........ ............. .................. ................................. ... 300. D. Pedro de Cifuentes, oficial mayor de la secretaría de Hacienda, por una vez............................... ............... ............... 3000. D. Manuel de Basualdo, corredor de cambios , por una</t>
  </si>
  <si>
    <t>de Ciscar, Gabriel</t>
  </si>
  <si>
    <t>Gabriel de Ciscar</t>
  </si>
  <si>
    <t>dro de Llamas. =s El brigadier de ingeniaros D» Agustín Bueno. tjs E’l briga,dier de la real armada D. Gabriel de Ciscar,. con iuar clones de Secretario general. t { Cádiz 7 de Octubre• La instalación del Gobierna central se celebró en esta en los dias 4 y 5 del corriente, con indecible júbilo y ent</t>
  </si>
  <si>
    <t>de Clavería, Juan</t>
  </si>
  <si>
    <t>Juan de Clavería</t>
  </si>
  <si>
    <t>cho concurso. . . * . .. r Cualquiera persona que se considere con derecho á los bienes del difunto D, Juan de Clavería, acuda á deducirlo en la ciudad dp ;1$ Havan^, .isja&lt; de Cuba/ • Xa villa de Comillas, obispado de Santander, vuelve á llamar á nuéyp concurso ^.oposición de su cátedra de gramáti</t>
  </si>
  <si>
    <t>de Coca, Andrés</t>
  </si>
  <si>
    <t>Andrés de Coca</t>
  </si>
  <si>
    <t>s Excmos. Sres. P. Mro. Manuel Gil, vice presidente, marques de Grañiaa, D. Josef Mócales Gallegos, D. Andrés de Coca, D. Josef de Checa y Gíjoñ y D. Celedonio Alonso , eran harto clara prueba déí amor de los Sevillanos. Al fin; el Serenísimo Sr. Presidente con los demas Sres. de la Junta central</t>
  </si>
  <si>
    <t>de Coca, Manuel</t>
  </si>
  <si>
    <t>Manuel de Coca</t>
  </si>
  <si>
    <t>administrador de aquel estado, á quien se le dio la graduación de coronel, la de teniente coronel á D. Manuel de Coca , y la de sargento mayor del mismo á D. Miguel Gómez, r Los-sucesos que ocurrieron con las trolpas francesas en algunas provincias,i yi;que dieron motivo á desarmarse; ni la proxi</t>
  </si>
  <si>
    <t>de Códes, Diego</t>
  </si>
  <si>
    <t>Diego de Códes</t>
  </si>
  <si>
    <t>Isidro-Gutierrez ,¡d........................ ................. .................. ............. 50. D. Diego de Códes, del comercioid¡................ ........................... 320. D. Francisco Fernandez.Suarez, oficial del banco, por ahora.... IOO. D. Juan Luis- Ortiz de Zárate, cura* del rea</t>
  </si>
  <si>
    <t>de Córdoba y Heredia, Antonio</t>
  </si>
  <si>
    <t>Antonio de Córdoba y Heredia</t>
  </si>
  <si>
    <t>. .;.......... 500. Ildefonso Martipez Merino, oficial de cerero.,por 'Upa vez...;..." 3 20* El Sr. D. Antonio de Córdoba y Heredia, del consejo de Estado, un vale real de 15 0 pesos de enero por una Vez.......... 2315 2% D. Tomas Perez, de este comercio, por una vez.40000. 1 D. Ignacio Puchart, pintor, por un</t>
  </si>
  <si>
    <t>de Córdoba, Francisco</t>
  </si>
  <si>
    <t>Francisco de Córdoba</t>
  </si>
  <si>
    <t>o Resfans*, con expresión de los cuerpos y sus gefes. Regimiento de infantería de Iliberias coronel D. Francisco de Córdoba, teniente coronelD^Juan AntohloMartinez, sargento mayor D. ¿Melchor AL* vares?: fuerza 2400 hombres: De Baza!; coronel D. Antonio Besines de los Rijas^"teniente :-c6rón«i D.’ «Mig</t>
  </si>
  <si>
    <t>puesta *&lt;de 2400 plazas, con el nombre de regimiento de'Ilibéri^, ó primero'dé;Granáda y su coronel D. Francisco de Córdoba. Esta tropa brillante en su talla, y vestida con la mayor decencia, todos con fusiles, bayonetas y cananas'de los franceses vencidos en Bailen, fue recibida por ún inriieriso pueb</t>
  </si>
  <si>
    <t>del Exorno. Sr. D. Teodoro Reding, que la formaba el regimiento de Iliberia, al mando de su coronel D. Francisco de Córdoba , con el numero de 2400 plazas, entró en esta ciudad el ao de octubre en la tarde. La artillería volante con 6 piezas de 4 á ,8 al mandó del brigadier el Sr. Gazltua el 23. El reg</t>
  </si>
  <si>
    <t>de Córdoba, Luis</t>
  </si>
  <si>
    <t>Luis de Córdoba</t>
  </si>
  <si>
    <t>ando del navio Santísima Trinidad y donde1 a-rbolo su insignia el comandante general de la escuadra D. Luis de Córdoba, concurriendo á todas las penosas campañas de aquellos años, y habiendo sostenido con valor el combate naval de 20 de octubre de 1782 contra la escuadra inglesa en las inmediacion</t>
  </si>
  <si>
    <t>de Corres, Miguel</t>
  </si>
  <si>
    <t>Miguel de Corres</t>
  </si>
  <si>
    <t>............. x6o. Doña Vjtoriana Luisa Paula, idí............................................. 30. D. Miguel de Corres, mensualmente............ ..........................i...... ,32o. D. Ramón Risel, 300 id. por 5. meses...... .............................. ....... ^500. D. Antonio Becerrll , adm</t>
  </si>
  <si>
    <t>de Cortazar, Miguel María</t>
  </si>
  <si>
    <t>Miguel María de Cortazar</t>
  </si>
  <si>
    <t>/Comisionados. -Rs. va. l9 D."'Benito de Agiiera-y Bustamante............... Zaragoza..... joo 45 5 D. Miguel María de Cortazar....... Bilbao......... joo 2454 D. .Agustín Blanc y Gármen........ . Zaragoza..... 300 546 D. Trifon Perez Calvo........... ............... .......... Madrid....... 300 1306 D. Jo</t>
  </si>
  <si>
    <t>de Cosío, Francisco Antonio</t>
  </si>
  <si>
    <t>Francisco Antonio de Cosío</t>
  </si>
  <si>
    <t>Real, teniente general de la real armada, un' vale de 150 pesos de enero, por una vez..........2316 D. Francisco Antonio de Cosío, contador jubilado de temporalidades de^Indias;....í..A..v..v..i....^.í...i.......;..¿.í.1000. D. Domingo Usauro, capellán mayor-del convento-de D. Juan de'Alarcon, por una vez...</t>
  </si>
  <si>
    <t>de Courai, Miguel</t>
  </si>
  <si>
    <t>Miguel de Courai</t>
  </si>
  <si>
    <t>tánica la Amazona, capitán Parker, quien, entre otros pliegos, le había remitido uno del Excmo. Sr. D. Miguel de Courai, contra-almirante de la escuadra blanca, escrito á bordo del Tonant, de 80 cañones, en que le participaba su llegada á la Coruña para tomar el mando de la escuadra en las costas d</t>
  </si>
  <si>
    <t>de Crespo, Pedro Ramón</t>
  </si>
  <si>
    <t>Pedro Ramón de Crespo</t>
  </si>
  <si>
    <t>eales....... .................................................. • ♦ ■ • • ■ .««.^. a ...á. , ^4é^o6 D. Pedro Ramón de Crespo, cura párroco d.el reai sitio de: san &gt; : &lt; l Fernando, en intereses del Fondo vitalicio-i ió.......,-,é..í4.^,:,. 1 D. Agustín Gutiérrez, id ........M ..... i ........... ...-1 '</t>
  </si>
  <si>
    <t>de Csntabrana, Félix</t>
  </si>
  <si>
    <t>Félix de Csntabrana</t>
  </si>
  <si>
    <t>tander,.,. 300 9y 7 D. F rancheo Ignacio de Arrieta....................... Madrid....... 500 15 7 5 D. Félix de Csntabrana......... ............................ Bilbao......... 500 947 D. Santiago de Diego Calonge.......................... Madrid....... 600 2285' D. Manuel Berdeja.....,...............</t>
  </si>
  <si>
    <t>de Cuenca, María</t>
  </si>
  <si>
    <t>María de Cuenca</t>
  </si>
  <si>
    <t>263 17. D. Antonio Valoneen intereses de 1800, id................................ .90.2 17. La Sra. Doña María de Cuenca, en acciones,rid........................ 20000. D. Juan López, portero de la secretaria de Hacienda» en intereses de acciones del real Empréstito, id........................ .....</t>
  </si>
  <si>
    <t>de Diego Calonge, Santiago</t>
  </si>
  <si>
    <t>Santiago de Diego Calonge</t>
  </si>
  <si>
    <t>... 500 15 7 5 D. Félix de Csntabrana......... ............................ Bilbao......... 500 947 D. Santiago de Diego Calonge.......................... Madrid....... 600 2285' D. Manuel Berdeja.....,..................................... Cádiz.,........ 500 1870 D. Manuel Palacin..... ..........,,........</t>
  </si>
  <si>
    <t>de Diego, Ángel</t>
  </si>
  <si>
    <t>Ángel de Diego</t>
  </si>
  <si>
    <t>z, diputado id. D. Francisco'Xavier Cavaza, alcalde de San Isidro. D. Vicente Tercilla, secretario. D. Angel de Diego , diputado de id. D. Diego Uriondo , diputado id. D. Francisco Rodríguez ¿ diputado del Ave María. D. Manuel Onofre Martínez, diputado de la Encarnación. D. Antonio Cucarella, dip</t>
  </si>
  <si>
    <t>de Diego, Gregorio Simón</t>
  </si>
  <si>
    <t>Gregorio Simón de Diego</t>
  </si>
  <si>
    <t>...... .................. ............ ....... ....... ...... ................................ 100. D. Gregorio Simón de Diego, corredor de cambios, 4® rs. en efectivo y 10$ en dos ereotos de tesorería, por una vez....... 14000. D. Antonio González, dorador, por agosto á 20 rs. mensua~ les................</t>
  </si>
  <si>
    <t>de Dieso, Bartolomé</t>
  </si>
  <si>
    <t>Bartolomé de Dieso</t>
  </si>
  <si>
    <t>nta de 4 rs. diarios..,.. 1080. ■ £1 Sr. D. Pécíro de Ccvallqa i ^ cuenta de 50 rs,'diarios.3710 26 D. Bartolomé de Dieso , tenedor de libros del Banco nacional, --- j?*.’.............. &lt; -.' L. r^n: .0. ce B. Josef Antonio Quijano , ay uídante de lá caxa dél Banco f por ,u 4 me^es á 3 rs. diarios!..</t>
  </si>
  <si>
    <t>de Dios, Juan</t>
  </si>
  <si>
    <t>Juan de Dios</t>
  </si>
  <si>
    <t>cal de la Junta central suprema y Puebla. gubernativa del reino promoveréis y defenderéis la El Sr. D. Juan de Dios conservación y aumento de nuestra santa religión Rabé. &gt; ^atólba-apostplica romana, la defensa y fidelidad á Por Extremadura , nuestro augusto Soberano Fernand6 vii , la de sus El</t>
  </si>
  <si>
    <t>de Dolores Amil y de Oro, María</t>
  </si>
  <si>
    <t>María de Dolores Amil y de Oro</t>
  </si>
  <si>
    <t>. . Bilbao,.;...... 3°° 536 D. Félix Bustilío................ ............................ oeo 2419 Doña María de Dolores Amil y de Oro....... OclCilZaiiM #••• 390 507 D. Angel Ladebese y Alzaibar........................ Bilbao......... 300 D. Timoteo Imaz............................................. Barcelona....</t>
  </si>
  <si>
    <t>de Durango, Simón</t>
  </si>
  <si>
    <t>Simón de Durango</t>
  </si>
  <si>
    <t>D. Josef Ligero. En Valencia.......... Sres. D. Francisco Peirolon y compañía* En Valladolid...... D. Simón de Durango. En Zamora........... D. Josef Alvarez Baragaña. En Zaragoza....... D. Tomas de la Madrid. constitución. Véanse las gazetas ntíms. , roo y /O/. TITULO XIII. Disposiciones generale</t>
  </si>
  <si>
    <t>ri y Posadillo. £h Valencia............ Sres. D. Francisco Peirolon y compañía. n Valladolid...... ,D. Simón de Durango. Í fj^iaptora Du Josef Alvarez Baragaña. • , „ £p[Zar/fgo2 a....... D. Tomas de; la Madrid. , AVISO. . En 24 de mayo próximo pasado se extraviaron 3 vales reales de 300 pesos, cre</t>
  </si>
  <si>
    <t>de Echabarri, Francisco Domingo</t>
  </si>
  <si>
    <t>Francisco Domingo de Echabarri</t>
  </si>
  <si>
    <t>Valencia..... 300 2447 D. Francisco Borja de Larreandi..................... Zaragoza..... 300 2245 D. Francisco Domingo de Echabarri................ Bilbao......... 300 636 D. Josef Aznarez......................................... . Madrid ....... 300 791 D. Vicente Sainz de Baranda..................... . Madri</t>
  </si>
  <si>
    <t>de Echarrisu, Juan Francisco</t>
  </si>
  <si>
    <t>Juan Francisco de Echarrisu</t>
  </si>
  <si>
    <t>......... 93D. Juan Antonio de Santibañez, del comercio de lienzos., ppr un tercio á 12 rs. diarios D. Juan Francisco de Echarrisu depe^dijejnte^- por otro tercio 1 a 6 rs. diarios............................................... ......... ........ . D. Juan Fita, clérigo menor, por 6 meses á 3 rs. diarios........</t>
  </si>
  <si>
    <t>de Echavarría, Juan Bautista</t>
  </si>
  <si>
    <t>Juan Bautista de Echavarría</t>
  </si>
  <si>
    <t>....... 300 2058 Di Josef dé la Herran................... ... Cádiz. ...................... 300 379 D. Juan Bautista de Echavarría.... .. Cádiz.......... IOOO 215 7 D. Diego Betegon............. ............ ... Cereña....... 300 1036 D.-Matías Bravo y presbítero......... .. Madrid........ ICQO 657 Di Bcscual</t>
  </si>
  <si>
    <t>de Echavarrl, Pedro Agustín</t>
  </si>
  <si>
    <t>Pedro Agustín de Echavarrl</t>
  </si>
  <si>
    <t>importantes. Ya se, acabó el clamor y la zozobra, y solo se escucha la alegre voz de la confianza. D. Pedro Agustín de Echavarrl, bien conocido por su intrepidez y valor militar, comanda esta vanguardia, quien luego que supo las disposiciones de Sevilla empezó á alistar gentes, que ha puesto á disposición d</t>
  </si>
  <si>
    <t>de Echevarría y Udiondo, Pedro</t>
  </si>
  <si>
    <t>Pedro de Echevarría y Udiondo</t>
  </si>
  <si>
    <t>Nrt meros Lotes de las eu accio. es. Nombres de I09 interesados. Comisionados. Rs. vo. 16 D. Pedro de Echevarría y Udiondo................ Bilbao......... 306 433 D. Josef Garay................................................... Santander,.,. 300 9y 7 D. F rancheo Ignacio de Arrieta...................</t>
  </si>
  <si>
    <t>de Echevarría, Juan Antonio</t>
  </si>
  <si>
    <t>Juan Antonio de Echevarría</t>
  </si>
  <si>
    <t>......... ............... . 1000. D. Ambrosio Abin y Sotoj por agosto á 6o rs. mensuales..... . 60. D. Juan Antonio de Echevarría, escribiente,* por agosto á 40 rs. cada mes..................................................... ....................... . 40. 1 D. Miguel Arévalo , ropero, mensualmente..........</t>
  </si>
  <si>
    <t>de Echevarría, Pablo Fernando</t>
  </si>
  <si>
    <t>Pablo Fernando de Echevarría</t>
  </si>
  <si>
    <t>Zaragoza.;.. - 5Ó0 244° 'Sres^Di’ l^blo -Fernaiido-y -D*. Juan Manuel -de Cádiz.......... 600 15-88 D. Pablo Fernando de Echevarría................ Bi Ibao.......... 3°° ■ 277 DoñaTfcábel y Doña--María Martínez Mugica, Burgos........ 300 1-43 ^ Reñioil Aribau.....-........*... .v., .-.1 • • • ^daiaga-....... 5</t>
  </si>
  <si>
    <t>de Echeverría, Gregorio</t>
  </si>
  <si>
    <t>Gregorio de Echeverría</t>
  </si>
  <si>
    <t>... 300 0:895 ,P..Josef Fontana.............................. .............. Madrid....... IOOO 865 D. Gregorio de Echeverría.............. .............. Madrid....... 300 (1074 ,P. Santiago Saenz............................ ................ Madrid....... 500 ,1974 Sres. Lobez y Ascaso..................</t>
  </si>
  <si>
    <t>de Eguia, Francisco</t>
  </si>
  <si>
    <t>Francisco de Eguia</t>
  </si>
  <si>
    <t>primera ayudantía, con grado'de capitán , al teniente del mismo regimiento de voluntarios de Estado D. Francisco de Eguia. /</t>
  </si>
  <si>
    <t>de Eguiarreta, Joaquín</t>
  </si>
  <si>
    <t>Joaquín de Eguiarreta</t>
  </si>
  <si>
    <t>al cadete D. Josef Valdés: en el de Valencia compañía al tememc de granaderos, graduado de capitán, D. Joaquín de Eguiarreta: en el de León compañía al caballero page de S. M. D. Hilaripn de Pazos: en el de Irlanda compañías al teniente de granaderos D. Ignacio Husey y al ayudante D. Antonio Barredas, a</t>
  </si>
  <si>
    <t>de Elajaga, Juan Bautista</t>
  </si>
  <si>
    <t>Juan Bautista de Elajaga</t>
  </si>
  <si>
    <t>......... ... Cádiz.......... 500 1302 D. -Josef Vázquez y compañía.... ... - Valencia...:. 3°o 789 D. Juan Bautista de Elajaga....f.V.. ... Madrid........ 500 279 D. Juan González de Lafuente....1 ... Burgos........ 3°° 2163 D. Miguel Escaxa...... ........... . ... Coruña....... 300 1179 .i Zaragoza.....</t>
  </si>
  <si>
    <t>de Elezaga, Bernardo</t>
  </si>
  <si>
    <t>Bernardo de Elezaga</t>
  </si>
  <si>
    <t>Burgos........ 300 175 9 D. Martin Josef de Herrea y Ripa............... Cádiz........... 500 1598 D. Bernardo de Elezaga................................... . Bilbao......... 3 00 9-56 D. Ramón Bertrán.......................................... . Madrid........ 300 372 D. Pedro Bernardo Cavanon.......</t>
  </si>
  <si>
    <t>de Eli, Francisco Xavier</t>
  </si>
  <si>
    <t>Francisco Xavier de Eli</t>
  </si>
  <si>
    <t>dy D. Josef María Furdinier, diputado del Rosario. Don' Francisco Iturmendi, diputado de S. Martin. D. Francisco Xavier de Eli— pe, id. D. Tomas Busto González id. D. Antonio Rubio, de S. Isidro. D. Fernando del Sorribo, diputado de S. Cayetano. D. Inocencio Pastrana, coadjutor del Caballero de Gracia. D.</t>
  </si>
  <si>
    <t>de Elias, Francisco</t>
  </si>
  <si>
    <t>Francisco de Elias</t>
  </si>
  <si>
    <t>aquín Manuel Fernandez, de;!Xe.rez deja Frontera, arzobispado de Sevilla, de 26 años* Escultura ; á D. Francisco de Elias, de Soto de Cameros, obispado de Calahorra^ de ? f. gñps. Arquitectura: á D.: .Romualdo de Vierna, de Meruelo* obispado de Santander ,de 27 años. Segunda clase. Premios primeros.</t>
  </si>
  <si>
    <t>de Eliceche, Pedro</t>
  </si>
  <si>
    <t>Pedro de Eliceche</t>
  </si>
  <si>
    <t>Antonio Pajarillo,, 4 mensuales, por agosto 4. D. Manuel Ildefonso López, 6 id. id..*.....,..... 6. D. Pedro de Eliceche,. 2 rs. diarios, por agosto 62. D. Sebastian. .Eri.che, 2, Id?, 62. D. Tadeo Ri,qo, Arnedo,,,3.id. id.... . 93D. Antonio .tlgnipa, pfidal.de Ja contaduría de los, señores. Inr far</t>
  </si>
  <si>
    <t>de Elipe, Francisco Xavier</t>
  </si>
  <si>
    <t>Francisco Xavier de Elipe</t>
  </si>
  <si>
    <t>............. 240. D. Josef Sánchez, profesor de Farmacia , id................................ 200. D. Francisco Xavier de Elipe, escribano de cámara del consejo d¿ las Indias, en vales reales, id........ ...................................... 2263 19, Jaime OrÜeig , déí comercio, id................ ......</t>
  </si>
  <si>
    <t>de Elizalde, Bernardo</t>
  </si>
  <si>
    <t>Bernardo de Elizalde</t>
  </si>
  <si>
    <t>s............ D. Josef Arizcun. En Qadiz................ D. Benito de la Piedra. En Cartagena...... D. Bernardo de Elizalde. En Ceuta... D. Pedro Huguet. En Ciudad-Real.. D. Ramón Antonio Pico. En Córdoba...¿...... Sres. Barcia, padre é hijo. En la Cortina....... D. Manuel Elzaurdi. En Cuenca..........</t>
  </si>
  <si>
    <t>de Elorriaga, Domingo</t>
  </si>
  <si>
    <t>Domingo de Elorriaga</t>
  </si>
  <si>
    <t>de los sobrescritos el excrcito y "cuerpo en que sirva él mterésado, y su nombré. ----- AVISOS. -• D. Domingo de Elorriaga, .vecino de Durango, en Vizcaya, con endoso de 13 de mayo último, remitió en.3o.del.mismo;mes á D. Manuel.Pertica,.del comercio de Cádiz, 10 vales reales de óoo pesos, y 17.de 300</t>
  </si>
  <si>
    <t>de Enebra, Francisco Xavier</t>
  </si>
  <si>
    <t>Francisco Xavier de Enebra</t>
  </si>
  <si>
    <t>................. . 124. Francisco Suarez, uno id., por 2 meses..................... .......... 61. D. Francisco Xavier de Enebra, un libramiento de vales de 1800. 270 D. Roque Manuel del Bustio y Lastra, oficial de la secretaría de la junta de Comercio, en un libramiento contra la pagaduría general de Juros</t>
  </si>
  <si>
    <t>de Énestrosa, Juan</t>
  </si>
  <si>
    <t>Juan de Énestrosa</t>
  </si>
  <si>
    <t>.......... . Madrid...... 300 1727 Antonio Masuco....... »»;»»:»»»......... Cádiz.......... 300 493 D. Juan de Énestrosa.............. Bilbao......»; 300 784 D. Manuel García de Pelayo.;».»»;.».;»»»»» Madrid....... 1500 23 53 Doña María Josefa Fernandez........................ Zaragoza..... 500 1172</t>
  </si>
  <si>
    <t>de Enseña, Martín</t>
  </si>
  <si>
    <t>Martín de Enseña</t>
  </si>
  <si>
    <t>rcelona.... 600 1926 D. Josef Hénriquiez de Otero............. ............. Zaragoza..... 600 1963 D. Martin de Enseña. Zaragoza..... 500 2086 D. Francisco Arráfañy Múñóz.l.......... i......... Cádiz........... 300 1995 D. Vicente Casáju». ..i.........;...:..................... Zaragoza..... 300 1</t>
  </si>
  <si>
    <t>ionados. Rs. vn. 2378 D. Antonio Figarola y Bosch......................... Zaragoza...... 500 ,1902 D. Martin de Enseña................. ..................... . Zaragoza.. 4,. 600 2169 D. Juan Manuel de Peralta.............................. Cádiz........ . 300 rjy-62 D. Gerónimo López..............</t>
  </si>
  <si>
    <t>dor; Coruña;...... : 300 2145 D. Leopoldo de San Vicente y Godoy.» • • • iMI* Coruña...;.: foo 1964 D. Martin de Enseña............................i Zaragoza.;;., i 300 '2029 D. Bernardo Nueve 'l^Íesias.;...v.V.,.V.&gt;..-.1..;.-¡. V Cádiz,.! &gt; _ t yoo 103 2 D. 'Benito de Gereda. Ma'dridi...'.;. &lt;5 30</t>
  </si>
  <si>
    <t>ao......... 300 D. Timoteo Imaz............................................. Barcelona.... 500 396? D. Martin de Enseña............. Zaragoza..... 309 904 P, Manuel de Bringas............ Madrid.;..... 300 8,13 D. Manuel pantos Gutiérrez.................. . Madrid....... IOOO 434 D. Josef Garay,.,.</t>
  </si>
  <si>
    <t>de Entrambasaguas, Manuel</t>
  </si>
  <si>
    <t>Manuel de Entrambasaguas</t>
  </si>
  <si>
    <t>....... ........ . 200, / Antonio-Pintó, cobrador dé teatros, por una vez..................... 20éy D. Manuel de Entrambasaguas, del comercio de lienzos, por una vez................................................... ........... ................ ioooó» D. Ventura de Sustaeta, presbítero j por una vez.:;...</t>
  </si>
  <si>
    <t>de Epalza, Pablo Antonio</t>
  </si>
  <si>
    <t>Pablo Antonio de Epalza</t>
  </si>
  <si>
    <t>. ,En 23 «ñero remitió: D. Ignacio de Epalzar, vecino de la villa de Orozco, señorío de Vizcaya, á D. Pablo Antonio de Epalza, de Bilbao, un vale ¡real degopí pesos, creación de setiembre, núm. ¿5898,éndosadó'á.ftvfor de D. Ignacio por Don Antonio de Ofabarria en techa de ió del mismo, y acompañado de up</t>
  </si>
  <si>
    <t>de Epalzar, Ignacio</t>
  </si>
  <si>
    <t>Ignacio de Epalzar</t>
  </si>
  <si>
    <t>Raya, el dia 12 del corriente de doce á una. j ■ AVISO. ;............ -- ■ . ,En 23 «ñero remitió: D. Ignacio de Epalzar, vecino de la villa de Orozco, señorío de Vizcaya, á D. Pablo Antonio de Epalza, de Bilbao, un vale ¡real degopí pesos, creación de setiembre, núm. ¿5898,éndosadó'á.ftvfor de D. I</t>
  </si>
  <si>
    <t>de Éraña, Manuel</t>
  </si>
  <si>
    <t>Manuel de Éraña</t>
  </si>
  <si>
    <t>....... 300 1892 D. León de Galarza.......................................... Zaragoza.... 300 1682 D. Manuel de Éraña...... ................. ........ . S. Sebastian. 600 1184 P« Juan de Zavala............................................. Barcelona.... 500</t>
  </si>
  <si>
    <t>de Erezuma, Juan Antonio</t>
  </si>
  <si>
    <t>Juan Antonio de Erezuma</t>
  </si>
  <si>
    <t>oza..... óoo 1753 D. Antonio Manuel Trianes.............................. Cádiz........... 300 1541 D. Juan Antonio de Erezuma...................... . Bilbao......... 300 1103 D. Juan Xavier de la Plaza y Lazarraga........ Madrid....... 300 1194 D. Francisco S. Deimaz.....................................</t>
  </si>
  <si>
    <t>de Escaño, Antonio</t>
  </si>
  <si>
    <t>Antonio de Escaño</t>
  </si>
  <si>
    <t>T*59 todos sus ministros, que son los tenientes generales D. Antonio de Escaño, D. Josef Justo Salcedo y yo; D. Luis María de Salazar, intendente general; D. Juan Perez Villamil, ministro togado; el gefe de escuadra D. Josef de Espinosa, secretario, y el cap</t>
  </si>
  <si>
    <t>*33* Muías.1 Cabal!; Sillas. Bridas. Otros efectos* D. Antonio de Escaño.................... 2 . X). Josef Hipólito Odoardo, abogado ............................. ................ Ei duque de Medinaceii.. El conde de Talara........... .............. Ei</t>
  </si>
  <si>
    <t>ta, y 2500 rs. id...... ....................... ...................................... 2joo. El Sr. D. Antonio de Escaño , en vales reales, id........................ 4528 22. D. Josef Alonso, oficial de la contaduría de Juros, id................ 600. D. Blas Quadrado, id.......... .................</t>
  </si>
  <si>
    <t>de Escarga, Juan Antonio</t>
  </si>
  <si>
    <t>Juan Antonio de Escarga</t>
  </si>
  <si>
    <t>.. Cádiz....... 300 1587 D. Josef Domingo de Aguirre........... ......... . Bilbao........! 300 111 D. Juan Antonio de Escarga, abad de Beruéte. Tudela... 1500 1945 D. Manuel Pedro Bueno......................... Zaragoza....! 300 440 D. Antonio del. Piélago y Castro.............. ..... Santander.... 300 1</t>
  </si>
  <si>
    <t>de Escovar, Juan</t>
  </si>
  <si>
    <t>Juan de Escovar</t>
  </si>
  <si>
    <t>tivo, id.»....................... *..... ................. .......... ..................... 70nnr&gt;, D. Juan de Escovar, alguacil de corte, id................ .................. 100, D. Antonio García, id..................... ................................................ iao. O. Manuel Vázquez,</t>
  </si>
  <si>
    <t>de Escoveda y Villar, Francisco</t>
  </si>
  <si>
    <t>Francisco de Escoveda y Villar</t>
  </si>
  <si>
    <t>..1 3°° 1756 D. Josef María Suarez........................................ Cádiz..'...... i 500 909 D. Francisco de Escoveda y Villar.............. Madrid....... 500 1107 D. Juan Guínza....................................... ........ . Madrid.......¿ r 000 428 D. Bernardo Ortega..... ............................</t>
  </si>
  <si>
    <t>de Escudero, Manuel</t>
  </si>
  <si>
    <t>Manuel de Escudero</t>
  </si>
  <si>
    <t>el de Aragón y Alvarez 20o D. Manuel Galan 20. . ¿ en cédulas. , D. Francisco Fernandez Bellido 60; D. Manuel de Escudero ico. Josef Saavedra 30. * :• ¡ ‘ Doña María Gertrudis Tamayo 2400 Agustina Pinillos 8, , en efectos de estado. Facundo Méndez 21. . . D. Fernando Cárnico 300. D. Josef Bonilla 160</t>
  </si>
  <si>
    <t>de Espalza, Pablo Antonio</t>
  </si>
  <si>
    <t>Pablo Antonio de Espalza</t>
  </si>
  <si>
    <t>... Zaragoza..... 500 1214 D. Ildefonso María Castejon, de Durango..... Bilbao......... . IOOO 2258 D. Pablo Antonio de Espalza............................ Bilbao.......... 500 644 Doña Luisa Martínez.......................................... Madrid........ 600 320 Antonio María Bazo y Berry...............</t>
  </si>
  <si>
    <t>de Estarta, Francisco Salvador</t>
  </si>
  <si>
    <t>Francisco Salvador de Estarta</t>
  </si>
  <si>
    <t>. Madrid ....... 300 791 D. Vicente Sainz de Baranda..................... . Madrid....... 300 2251 D. Francisco Salvador de Estarta................... Bilbao......... 3°° 2065 D. Juan Manuel de Peralta........... ................. Cádiz........ IOCO 1134 D. Antonio-Balaguer......... ................—....... .</t>
  </si>
  <si>
    <t>......... OOO 1098 D. Josef Maurino y Sánchez......................... Madrid,...... - fOO 500 1593 D. Francisco Salvador de Estarta.................... Bilbao.......... 1070 D. Ignacio de Aguirre y Castellanos............. Madrid....... 3°° 1446 D. Henrique Disiier........................ . Málaga....... 300 1</t>
  </si>
  <si>
    <t>de Estebaranz, Esteban</t>
  </si>
  <si>
    <t>Esteban de Estebaranz</t>
  </si>
  <si>
    <t>30 de junio de 1808</t>
  </si>
  <si>
    <t>Madrid 72</t>
  </si>
  <si>
    <t>todos los enseres necesarios. Quien quisiere ^entrar en dicho traspaso, acuda á Esteban de Estebaranz, vecino de dicha villa. - - Se traspasa con licencia del casero una tienda barbería y de cirujano, en la calle' de la Zarza, níim¿ 2; advirtiendo que dicha tienda podrá servir también por</t>
  </si>
  <si>
    <t>de Estepar, Felipe</t>
  </si>
  <si>
    <t>Felipe de Estepar</t>
  </si>
  <si>
    <t>ste año, para que en el término de 30 dias perentorios acudan ante su señoría, por la escribanía de D. Felipe de Estepar, á usar de su derecho; con apercibimiento que pasado dicho, término&gt; no habiendo comparecido, les parará el perjuicio que haya lugar. : Quien quisiere hacer postura á las leñas qu</t>
  </si>
  <si>
    <t>de Éstepar, Santiago</t>
  </si>
  <si>
    <t>Santiago de Éstepar</t>
  </si>
  <si>
    <t>Sr. D. Torquato Antonio Collado, teniente corregidor de esta villa, por la escribanía del número de D. Santiago dé Éstepar, en el término de 30 dias contados desde el 24 de diciembre anterior. " . AVISOS. De orden del supremo consejo de Castilla se sacan á concurso las cátedras de latinidad y primeras</t>
  </si>
  <si>
    <t>de Estepar, Santiago</t>
  </si>
  <si>
    <t>Santiago de Estepar</t>
  </si>
  <si>
    <t>en vales reales, con obligación- de reedificar, inmediatamente, acuda Lia escribanía del número de D. Santiago de Estepar; jr paré su .rchtate se ha Señalado ‘¿1' 3 i '.dét corriente en la audiencia del Sr. D. Torqiráto Antonio Collado, teniente ..corregidor de esta villa. o! .-•• r'" v ' AVISO. - De</t>
  </si>
  <si>
    <t>de Estrada, Juan Antonio</t>
  </si>
  <si>
    <t>Juan Antonio de Estrada</t>
  </si>
  <si>
    <t>.—Población general de España, sus reinos y provincias, islas adyacentes y presidios de Africa, por D, Juan Antonio de Estrada. Véndense estas obras en la librería de Ximenez, caños del Peral. Instrucción y formulario para ios juicios verbales, civiles , criminales, de cuentas y particiones, con explicaci</t>
  </si>
  <si>
    <t>de Ezpeleta, Francisco Xavier</t>
  </si>
  <si>
    <t>Francisco Xavier de Ezpeleta</t>
  </si>
  <si>
    <t>el Valle, D. Josef María Bassoco^ D. JoaquinDsés , D. Joaquín Galdiano, D. Josef María Baquedago, y D. Francisco Xavier de Ezpeleta. Ganaron el premio extraordinario dé instrucción religiosa los caballeros seminarista mayor D. Manuel'Fernández^ géfé «Je sa^a O* Manuel de la Cámara , seminarista DU Manuel Entra</t>
  </si>
  <si>
    <t>de Flores, Joaquín Juan</t>
  </si>
  <si>
    <t>Joaquín Juan de Flores</t>
  </si>
  <si>
    <t>de la Encomienda, casa num. 2 , quarto 2.0, sobre el juego de villar. AVISOS. ,* Por providencia de D. Joaquín Juan de Flores, oidor honorario de la real audiencia de. Sevilla, y auditor de guerra del exército y provincia.de Castilla la nueva, se cita, llama y emplaza á los parientes y demas personas que</t>
  </si>
  <si>
    <t>de Foronda y Soto, Manuel</t>
  </si>
  <si>
    <t>Manuel de Foronda y Soto</t>
  </si>
  <si>
    <t>s. mensuales, por agosso 60. D. Luis Moreno, oficial de la secretaría de Estado, por una vez 1© rs. D. Manuel de Foronda y Soto, oficial jubilado de tesorería general, 90 rs. mensuales, por agosto 90. Sres. Castillo y Primos, del comercio de lienzos, 4 vales reales de 300 pe* sos de mayo por una vez, 18284</t>
  </si>
  <si>
    <t>de Foronda, Tomás</t>
  </si>
  <si>
    <t>Tomás de Foronda</t>
  </si>
  <si>
    <t>ñelato de la casa de la moneda , por agosto á 3 rs. diarios.................................. 93. . D. Tomas de Foronda, contador de cargo de la tesorería mayor, por una vez................... ................................. ................. 1500. D. F. N., por una vez...........................</t>
  </si>
  <si>
    <t>de Foyos y Francisco de Borja Stocler, Joaquín</t>
  </si>
  <si>
    <t>Joaquín de Foyos y Francisco de Borja Stocler</t>
  </si>
  <si>
    <t>ilustre cuerpo 3. S. E. una diputación, compuesta dejos Sres. Domingo Vandelli, Joaquín de Foyos y Francisco de Borja Stocler, secretario, quien, en nombre Je la academia, ha dirigido á S. E. el discurso siguiente: EXCELENTISIMO SEÑOR: . ,, Auxiliar los 'progresos de las ciencias honrando los talentos y protegiendo</t>
  </si>
  <si>
    <t>de Fraguas, Leonarda</t>
  </si>
  <si>
    <t>Leonarda de Fraguas</t>
  </si>
  <si>
    <t>Santiago una libra de hilas. D. Manuel de Zalles 3. Las monjas de Gcngora 2. Doña Tacinta Palau 2. Doña Leonarda de Fraguas 2: El colegio de San 1». Antonio 2. D. Ildefonso Martin una pieza de paño negro con 32 varas. La condesa de Villapaterna hechura de 20 uniformes de soldados. Las monjas Vaílecas 3</t>
  </si>
  <si>
    <t>de Frías, Manuel</t>
  </si>
  <si>
    <t>Manuel de Frías</t>
  </si>
  <si>
    <t>-.Í.1........ ...... IO* D. Fermín Carnerero Vela , á cuenta de 6 rs. diarios............... . 600. D. Manuel de Frías, oficial de la tesorería del Príncipe de Astúrias , por agosto á 2 rs. diarios D. Josef Mánuelrdé Ainz Gardeázabal, por id’.* áioid........... yiov D. Felipe de Satrustegúi ,* may</t>
  </si>
  <si>
    <t>de Fuentes, Diego</t>
  </si>
  <si>
    <t>Diego de Fuentes</t>
  </si>
  <si>
    <t>. 1500. D, Gerónimo Freire , un vale real, id..................... ........... ........... 2321 28. D. Diego de Fuentes, del comercio, id..................... .................... icoo. •&lt;D. Juan Puertolas y Escalonapresbítero, id................. ............ loco. D. Agustín Quaresma, id.........</t>
  </si>
  <si>
    <t>de Fuentes, Julián</t>
  </si>
  <si>
    <t>Julián de Fuentes</t>
  </si>
  <si>
    <t>...... ¿*300 2124 D. Josef Tornes......................................... . Zaragoza..... 500 1859 D. Julián de Fuentes, regidor.^.......i............ Zaragoza»..' 30CÜ 2099 D. Lorenzo Dastis Cádiz»!»».» 6ód 1012 D.&lt; Cárlos Josef Conrote........ &amp;..........«......... Madrid..»». 500 825 Viuda de Al</t>
  </si>
  <si>
    <t>VicenteBañuelos , con escarolada yr yerde : 2 de tí. Manuel Hernán García Chivato, con blanca: 2 de D. Julián de Fuentes, con verde; y 2 de D. Ramón Zapater, con azul. Los picadores serán Juan de Seli, Juan Gabira y Bartolomé Muñoz, que picarán por mañana y tarde. • -Serán lidiados por las quadrilla</t>
  </si>
  <si>
    <t>1203 Rs. Mrs. D. Julián de Fuentes, regidor de Madrid............... 1000. D. Pedro Rubio, del comercio.................... .................. 2000. D. Manuel de Yarritu , id................... ........... ........</t>
  </si>
  <si>
    <t>edro de Mora y Lomas', corregidor; D. Rafael de Reinalte, D. Juan de Castañedo, D. Mariano Blancas, D. Julián de Fuentes, regidores; Di Juan Josef Bringas, procurador general; D.Mateo Norzagarai, procurador personero; D. Juan Xaramillo, regidor; D. Diego del Rio, también regidor, y D. Matías Bayo, d</t>
  </si>
  <si>
    <t>de Fuentes, Nicolás</t>
  </si>
  <si>
    <t>Nicolás de Fuentes</t>
  </si>
  <si>
    <t>uno de 600 , de i.° de mayo, núm. 387570, endosados dichos vales en el mismo mes y dia en favor de D. Nicolás de Fuentes por D, Francisco Bravo Medina. Quien supiere de su paradero, se servirá avisar á dicho D. Nicolás de Fuentes, calle de San Miguel, en Granada. VENTA. A pedimento de sus dueños, y</t>
  </si>
  <si>
    <t>de Ga-, Martín</t>
  </si>
  <si>
    <t>Martín de Ga-</t>
  </si>
  <si>
    <t>la defensa y fidelidad á Por Extremadura , nuestro augusto Soberano Fernand6 vii , la de sus El Sr. D. Martin de Ga- derechos y soberanía,. la, conservación de nuestros - rai. . „• • • ■ derechos, fueros, leyes y costumbres, y especialEl Sr. D. Felix.de Ova- mente los de sucesión en la.familia rein</t>
  </si>
  <si>
    <t>de Gaíli Y'D, Juan</t>
  </si>
  <si>
    <t>Juan de Gaíli Y'D</t>
  </si>
  <si>
    <t>osef de Boixó; á segundo ayudante al teniente D. Francisco ignéson; á tenientes á los. subtenientes D. Juan de Gaíli Y'D. Ramón,Sanjurjo; á Subteniente, al cadete D. Mariano Febrer , y á; subteniente de bandera á: D. Josef Gumá, sargen—; to primero del primer batallón dé voluntarios dé Cataluña. En</t>
  </si>
  <si>
    <t>de Galarza, Francisco</t>
  </si>
  <si>
    <t>Francisco de Galarza</t>
  </si>
  <si>
    <t>amón de Udaeta ¿ vecino de Granada, remitió por el correo de 31de agosto próximo pasado á los Sres/*D. Francisco de Galarza, hijo y compañía, del comercio de esta corte, un -paquete con 54 vales de 3 06 pesos de mayo , encabezados á favor del citado Sr.Udaeta,y endosados por este á favor de dichós seal</t>
  </si>
  <si>
    <t>de Gamboa, Miguel</t>
  </si>
  <si>
    <t>Miguel de Gamboa</t>
  </si>
  <si>
    <t>3. Doña Vitoria Gadea, id...... .............................................................. 300, D. Miguel de Gamboa, brigadier de los reales Exércitos, id.... 1000. uan González, id.......... ................................................................... 60. Í&gt;. Francisco Crespod« Tejada,</t>
  </si>
  <si>
    <t>de Gandasegui, Juan Manuel</t>
  </si>
  <si>
    <t>Juan Manuel de Gandasegui</t>
  </si>
  <si>
    <t>imer tercio adelantado aí respecto de' 4 rs. diarios..................... .................. . 488. D. Juan Manuel de Gandasegui, director de la reai compañía de Filipinas, por una vez..............................1.0000.. ^ D. Josef Munarriz , secretario de dicha*compañía , ifoo rs. por \ una vez, y ademas</t>
  </si>
  <si>
    <t>de Gandasegui, Manuel</t>
  </si>
  <si>
    <t>Manuel de Gandasegui</t>
  </si>
  <si>
    <t>as de dicha Excma. Sra. 24 id. La Excma. Sra. duquesa viuda del Arce 6 id. D. M. A. I. 9 id. El Sr. D. Manuel de Gandasegui, director de Filipinas, 12 finas. D. Ramón Mazorra 4 Huevas. Don C. V. 4 id. Doña Manuela Nieto del Campo 2 camisas y 6 pares de calcetas. Doña Teresa de la Cueva 2 camisas nuevas</t>
  </si>
  <si>
    <t>de Gaona, Manuel Vicente</t>
  </si>
  <si>
    <t>Manuel Vicente de Gaona</t>
  </si>
  <si>
    <t>150 pesos de enero valor de.......................................................... 2330.... II* D. Manuel Vicente de Gaona en un recibo de réditos de vales atrasados............................ i............. ................................... 631.... 25 * D. Juan de Mata Ribera........................</t>
  </si>
  <si>
    <t>de Garai, Martín</t>
  </si>
  <si>
    <t>Martín de Garai</t>
  </si>
  <si>
    <t>12 l8 Por Extremadura, verificado dicho señor: ,,¿Juráis á Dios y i D. Martin de Garai. sus santos evangelios y á Jesucristo crucificaD. Félix de O-valle. do, cuya sagrada imagen teneis presente, que Por Granada. en el destino y exercicio de vocal de la JunD. Rodrig</t>
  </si>
  <si>
    <t>ez 26 de setiembre de i 8oS.= El conde de Floridablanca, Presidente interino.:= Martin de Garai, secretario general interino. 1 En la misma fecha, y con solas las variaciones respectivas á las diferentes atribuciones de cada Consejo, se comunicó á los de Estado, Indias &gt; Gue-r-* ra , In</t>
  </si>
  <si>
    <t>uez i.° de octubre de 1808. =E1 conde de Florídablanca, Presidente interinó. == Martin de Garai, secretario general interino. Excmo. Sr.:=El consejo de Castilla, qne nunca se ha separado de las reglas que dicta la prudencia en los casos mas arduos y de mayor importancia , ha creido debe</t>
  </si>
  <si>
    <t>E. triuahosaños./Anmjuezi.'bdeoétubre de 1808. = . El conde de florídablanca. = Martin de Garai, secretario .generalbiaterinp^r m \rrjyfcr ^ ft ■ ' ^UJ* üTíí..:-*------ L^— EN LA IMPRENTA REAL.</t>
  </si>
  <si>
    <t>denes. Dios guarde á V* 3. muchos años, Madrid 4 de octubre de iS6B.=Jo4 sef Perez Caballero. =?Sr. D. Martin de Garai. D. Francisco López de Alcaraz, del Consejo de S. M., caballero de la real y distinguida orden de Cárlos m, secretario de S. M. con exercicio de decretos, y del supremo consejo de</t>
  </si>
  <si>
    <t>sco Saavedra; y por secretario de Estado y general de la misma junta en propiedad á su vocal el Sr. D. Martin de Garai. En estas elecciones, ademas de dar un testimonio de sus deseos dél bien, echando mano de aquellas personas que tienen el concepto público, acredita que cifra su mayor gloria en e</t>
  </si>
  <si>
    <t>- n1 ■■■.■', , .a Dios* guarde á W S. muchos años. Coruña 12 de octubre de i&amp;o&amp; = Manuel Acha.sSr. D. Martin de Garai. La dudad de la Coruña hace presente que fue extraordinario el júbilo que le causó la noticia de la instálacion de la suprema Junta central | y terada de lo que previene la orden,</t>
  </si>
  <si>
    <t>de Garay, Martín</t>
  </si>
  <si>
    <t>Martín de Garay</t>
  </si>
  <si>
    <t>ntima y general de la misma Junta, es la única que se ha dado á un individuo de ella, el Excmo. Sr. D. Martin de Garay. Con la. misma fecha ha nombrado Inquisidor general al reverendo obispo de Orense, prelado, que por la pureza de sus costumbres, zelo y demas qua idades es tan. á. propósito para,</t>
  </si>
  <si>
    <t>Sevilla 60</t>
  </si>
  <si>
    <t>Reynos.r=Dios guarde á V. E. muchos años. Sevilla 17* de Diciembre de i8o8.=Manuel Gil.—Excmc. Sr. D. Martin de Garay. Manifiesto del superior gobierno y autoridades de Buenos Ayres. A LOS ESPAÑOLES. Nada hemos visto tan magnánimo, como la resolución unánimemente adoptada por nuestra nación españ</t>
  </si>
  <si>
    <t>de Garbalena, Dionisio</t>
  </si>
  <si>
    <t>Dionisio de Garbalena</t>
  </si>
  <si>
    <t>.............. 20000* D. Angel Sixto, del comercio, por. una ,vez..*»..... ..i............. . 4000. D. Dionisio de Garbalena, oficial de ila secretaría del consejo de: Hacienda, por una vez......... ........................................ 6000. Doña Manuela Vidales , viuda; de Gastón, 'por sí , susfbij</t>
  </si>
  <si>
    <t>de Garibaí, Pedro</t>
  </si>
  <si>
    <t>Pedro de Garibaí</t>
  </si>
  <si>
    <t>nsejo de la Guerra, 4 id., por agosto....................................................... . 124. D. Pedro de Garibaí, agente de Indias, 4 id., por 6 meses....... 736. D. Josef de la Torre, 3 id., por agosto..».......... .............. ............ 93. D. Juan Soler y Casader, 2 ra. id...........</t>
  </si>
  <si>
    <t>de Gazma, Miguel</t>
  </si>
  <si>
    <t>Miguel de Gazma</t>
  </si>
  <si>
    <t>rid....... 500 306 Rafael Medina y Lafita................................... Málaga........ 1000 64 D. Miguel de Gazma....................................... Barcelona.... 300 131 P. M. Fr. Joaquín de Teran............ ............... Valencia..... 300 2447 D. Francisco Borja de Larreandi.........</t>
  </si>
  <si>
    <t>de Georget, Bartolomé</t>
  </si>
  <si>
    <t>Bartolomé de Georget</t>
  </si>
  <si>
    <t>á olvidar jamas los importantes servicios hechos en este sitio por. ios coroneles barón de Petrés y D. Bartolomé de Georget, comandantes de este punto , y por los caballeros maestrantes Don Francisco del Castillo y D. Josef Rovira, que tan valerosamente y con un ahinco digno de imitación , llenaron las</t>
  </si>
  <si>
    <t>de Gimbernat, Antonio</t>
  </si>
  <si>
    <t>Antonio de Gimbernat</t>
  </si>
  <si>
    <t>.......... ............. 120. D. Manuel Aibuerne, grabador, mensualqiente.^.................... 30. D. Antonio de Gimbernat, cirnjano de cámara, á cuenta de 1500 rs. por una vez...................500. D. Antonio de Campos, abogado, mensualmente............ . 40. D. Simón Mateo Perez , empleado en la te</t>
  </si>
  <si>
    <t>. E&lt;rhab¡a&lt;jyíi contribuido en r i'! - . ,t&gt;b ^ Cabilla.para las urgencias del mismo ^4 - 24 El Sr. D. Antonio de Gimbernat, primer cirujano de cámara de S. .......... •«....... 1 1 ? . B. Manuel Diaz y Contreras , agénte de negocios. I i cabezada1. D. Josef María Gutiérrez de Terán.¿..................</t>
  </si>
  <si>
    <t>de Gimbernat, Carlos</t>
  </si>
  <si>
    <t>Carlos de Gimbernat</t>
  </si>
  <si>
    <t>s hechos en Inglaterra para cortar los progresos de una calentura maligna contagiosa, traducida por D. Cárlos de Gimbernat. — Ex-* tracto de una carta del mismo sobre sus observaciones geológicas hechas en la cordillera central de los Alpes. —Tratado de los abonos mas propios para fertilizar ventajosa</t>
  </si>
  <si>
    <t>de Gimbernátj, Antonio</t>
  </si>
  <si>
    <t>Antonio de Gimbernátj</t>
  </si>
  <si>
    <t>tamaño. Se vende en la librería de Castillo ¿4 rs. Nuevo método de operar en la hernia crural, por D. Antonio de Gimbernátj primer cirujano dé cámará de S. M. &amp;c. En este escrito se hace una exScta y nueva descripción del arco crural, y en ella funda el autor su método de operar seguro y preferible á l</t>
  </si>
  <si>
    <t>de Giria y Pascual Canut, Manuel</t>
  </si>
  <si>
    <t>Manuel de Giria y Pascual Canut</t>
  </si>
  <si>
    <t>isionado para el vestuario de los cuerpos de la división. Capitán D. Juan Gómez de Ostos; tenientes D. Manuel de Giria y Don Pascual Canut, en Hamburgo: nombrados por el regimiento para el citado convite. Teniente D. Francisco Carrillo; subtenientes D. Josef Alvarez Nava y Don Ramón Corrales, en id.: con la guardia d</t>
  </si>
  <si>
    <t>de Goarrichena, Rafael</t>
  </si>
  <si>
    <t>Rafael de Goarrichena</t>
  </si>
  <si>
    <t>Don Gabriel Vales, diputado del barrio de lá Cruz. D. Jorge Ancos , secretario de la de Santa María D. Rafael de Goarrichena, secretario de la diputación de la calle de Segovia. D. Juan Antonio Acevo, diputado de los Angeles. D. Nicolás Iniesta, diputado- de las Niñas de la Paz. D. Josef Alcalde, alcald</t>
  </si>
  <si>
    <t>de Godoi, Manuel</t>
  </si>
  <si>
    <t>Manuel de Godoi</t>
  </si>
  <si>
    <t>Madrid 39 (extraord.)</t>
  </si>
  <si>
    <t>que el Emperador de los franceses y Reí de Italia ha manifestado de disponer de la suerte del preso D. Manuel de Godoi, escribió desde luego á S. M. I. y R. mostrando su pronta y gustosa voluntad de complacerle, asegurado S. M. de que el preso pasaria inmediatamente la frontera de España, y que ja</t>
  </si>
  <si>
    <t>ento que en el diario de hoi se hace saber al público, de orden del consejo, que para la entrega de Don Manuel de Godoi , no precedió orden de nuestro Soberano el Sr. D. Fernando vu , dando márgen este relato á que mi honor, el del Excmo. Sr. Don Josef Palafox, ahora capitán general del exército y</t>
  </si>
  <si>
    <t>Madrid 116 (supl.)</t>
  </si>
  <si>
    <t>2,196 reales y 10 maravedís en vales reales, procedentes de de-í pósito en su mayor parte del mismo D. Manuel de Godoi. En 458856 reales y 25 maravedís, importe de diferentes pagarés de los comisionados de consolidación, que no habían podido hacerse efectivos, y estaban por lo mismo sintuso en la</t>
  </si>
  <si>
    <t>de Gódoi, Manuel</t>
  </si>
  <si>
    <t>Manuel de Gódoi</t>
  </si>
  <si>
    <t>o de Castilla, juez comisionado por dicho supremo tribunal para entender en él embarco de,bienes de D. Manuel de Gódoi, príncipe de la Paz, se ha mandado sacar a pública subasta ia pila de lana del corte de este año dé las cabañas de dicho príncipe, intitulada Paular y Castillejos, cuyo número de</t>
  </si>
  <si>
    <t>de Goftabarría, Jüan Antonio</t>
  </si>
  <si>
    <t>Jüan Antonio de Goftabarría</t>
  </si>
  <si>
    <t>.............. 100. D. León de Aitolaguirre.......... ........................................ 500. D. Jüan Antonio de Goftabarría.................................... 500. D. Antonio de Arméstó y Quiroga, agente de la consolidación .....á..... ............................................................ 160.</t>
  </si>
  <si>
    <t>de Goicoechea, Agustín</t>
  </si>
  <si>
    <t>Agustín de Goicoechea</t>
  </si>
  <si>
    <t>servirá avisar á los citados Sres. D. Miguel López y compañía, en Cádiz ó en esta corte al referido D. Agustín de Goicoechea, que vive frente á las eradas de S. Felipe. " Los Sres. Aloi hermanos, del comercio de Madrid¿ remitieron en 4 de junio i'iltimaf d D. Josef Aloi de Figueras, y con pliego separad</t>
  </si>
  <si>
    <t>de Golcoettíea, Agustín</t>
  </si>
  <si>
    <t>Agustín de Golcoettíea</t>
  </si>
  <si>
    <t>’ ~ AVISOS. D. Agustín de Golcoettíea, del cómercid d¿ esta‘-corte, remitió el 3 de junía próximo pasado,.endosados á favor de Iqs Sres. D. Miguel López y compañía, de Cádiz, 6 vales reales renovados de 600 pesos, cre</t>
  </si>
  <si>
    <t>de Golidura, Santiago</t>
  </si>
  <si>
    <t>Santiago de Golidura</t>
  </si>
  <si>
    <t>... 500 2069 D. Manuel Gallardo.......................................... Cádiz.......... 5 00 1554 D. Santiago de Golidura.......................... ........ Bilbao......... 300 2113 D. Pedro Abric.................................................. Zaragoza..... 500 1043 D. Agustín Sánchez Izquierdo...</t>
  </si>
  <si>
    <t>de Gordon, Manuel</t>
  </si>
  <si>
    <t>Manuel de Gordon</t>
  </si>
  <si>
    <t>. Madrid........ 000 541 D. Esteban Fernandez de León....................... Madrid.'...... 300 797 D. Manuel de Gordon....................................... Madrid.......; 1000 230 D. Joaquín Isidro González................. ........... Alicante.....-.' 1506 487 D. Antonio de Trebolazabala.......</t>
  </si>
  <si>
    <t>de Gortabarruu Ultimamente, Blas</t>
  </si>
  <si>
    <t>Blas de Gortabarruu Ultimamente</t>
  </si>
  <si>
    <t>ntes por fallecimiento de D. Angel Escudero y D. Pédro^Aicántara López, á b; Santiago Fernandez y á D. Blas de Gortabarruu Ultimamente, se ha servido el Reí conceder á D. Juan Jurado de Lainez, auditor de guerra, y asesor del gobierno y capitanía general de Caracas, honores deoidordeaqueilaaudiencia.. ' De result</t>
  </si>
  <si>
    <t>de Goya, Manuel</t>
  </si>
  <si>
    <t>Manuel de Goya</t>
  </si>
  <si>
    <t>rir en el regimiento de infantería de Toledo compañías al teniente D. Pablo Samaniego y al ayudante D. Manuel dé Goya , ambos graduados de Capitán'; ayudantía al teniente , graduado de capitán, D. Diego Carta; tenencias á los subtenientes dé granaderos f). Roque y D. Antonio Almunia , y subtenenc</t>
  </si>
  <si>
    <t>de Goycoechea, Antonio</t>
  </si>
  <si>
    <t>Antonio de Goycoechea</t>
  </si>
  <si>
    <t>ruña......... 500 1927 D. Josef Henriquez de Otero.......................... Zaragoza..... 30 o 736 D. Antonio de Goycoechea............................. Madrid....... 500 604 D. Mateo Agüero Marcos................................. Madrid....... 500 1562 D. Josef Lorenzo Ortiz...........................</t>
  </si>
  <si>
    <t>de Goycoechea, Francisco Xavier</t>
  </si>
  <si>
    <t>Francisco Xavier de Goycoechea</t>
  </si>
  <si>
    <t>ao......... 500 279 D. Miguel de Pedro Arena..,............................ Burgos........ 600 1569 D. Francisco Xavier de Goycoechea.............. Bilbao........ . 1000 906 D. Josef de Urionagoena................................... Madrid....... loco 264 D. Andrés Mariano de Cerezo.............. ........... Bur</t>
  </si>
  <si>
    <t>de Goycoechea, Gaspar</t>
  </si>
  <si>
    <t>Gaspar de Goycoechea</t>
  </si>
  <si>
    <t>ectivamente se han hecho acreedores; deteniéndome solo á individualizar que el capitán de Zapadores D. Gaspar de Goycochea, el de. igual clase D. Pascual Mauduit y demas oficiales pertenecientes á este cuerpo , se distinguieron al lado de la artillería, y traxeron un canon del enemigo á nuestras bater</t>
  </si>
  <si>
    <t>eedores el brigadier D. Pedro Griznarest y D. .Francisco Copons y Navia. Los capitanes de Zapadores D. Gaspar de Goycochea y D. P&amp;squal Maud.uk y demas oficiales de este cuerpo se han distinguido ai lado de la artille»ía. Durante la acción , traxcron h nuestras baterías un canon abandonado por el enemigo.</t>
  </si>
  <si>
    <t>de Goycoechea, Manuel</t>
  </si>
  <si>
    <t>Manuel de Goycoechea</t>
  </si>
  <si>
    <t>za..... 3000 ii85 D. Pablo Carrer y Mas..................................... Barcelona.... 600 1042 D. Manuel de Goycoechea................................ Madrid........ 500 848 D. Domingo González........................................ Madrid........ 600 1844 D. Gerónimo Alvaro......................</t>
  </si>
  <si>
    <t>de Goycoechea, Simón Antonio</t>
  </si>
  <si>
    <t>Simón Antonio de Goycoechea</t>
  </si>
  <si>
    <t>. Burgos........ 500 2182 D. Francisco Martinez Gaiisoga..................... Coruña....... 500 478 D. Simón Antonio de Goycoechea................... Bilbao......... 500 246 D. Manuel Gutiérrez y Arroyo....................... Burgos........ $co 979 D. Nicolás de Apezteguia.................................. Ma</t>
  </si>
  <si>
    <t>de Goyenechéy MuzquízymayordbrnadefseíiiabaV, Luis</t>
  </si>
  <si>
    <t>Luis de Goyenechéy MuzquízymayordbrnadefseíiiabaV</t>
  </si>
  <si>
    <t>r 11 03 VÓZ#'.&lt;».niV«0 P'pJpftf^tfaPPtPP «* ** * * • * • • • *&gt;•■-»« « «*» • **»•!(»*** * ^Í^OO« "' D. Luis de Goyenechéy MuzquízymayordbrnadefseíiiabaV en 4; ■_ - T. 4 ‘i un' libramiento de vitalicio de 808,.por una ye*e.tjíííf..¿.iv..!.;...\ 7f 47 17. D. Gregorio Morales, organista de S. Isidro, por'ahora........... 30. D. Nicolás</t>
  </si>
  <si>
    <t>de Goyos, Fernando Manuel</t>
  </si>
  <si>
    <t>Fernando Manuel de Goyos</t>
  </si>
  <si>
    <t>do nombrar para una ración de la catedral de Tui» vacante por fallecimiento de D. Juan Valbuena , á D. Fernando Manuel de Goyos: para una capellanía dé la real capilla de S. Fernando de la ciudad de Sevilla, vacante por muerte'de D. Román de Arrayan y Castilla,áDon Josef Andujar, teniente de la capilla rea</t>
  </si>
  <si>
    <t>de Granda, Manuel</t>
  </si>
  <si>
    <t>Manuel de Granda</t>
  </si>
  <si>
    <t>. Pedro Cubero, id......................... ....................................... ........... 40. D. Manuel de Granda, contador del duque de Osuna, 120 rs. mensuales por espacio de un año, por agosto............................. 120. D. Antonio■ López , 8o id. id..................................</t>
  </si>
  <si>
    <t>de Gregorio, Antonio</t>
  </si>
  <si>
    <t>Antonio de Gregorio</t>
  </si>
  <si>
    <t>loria y satisfacción de todos aquellos, que han concurrido á la defensa de la patria. El Excmo. Sr, D. Antonio de Gregorio , Mariscal de Campo de estos Reales Exércitos, vocal de esta Suprema Junta, y Presidente de la de Córdoba, escribe á esta con fecha de 17. Julio, que habiendo presentado á la de C</t>
  </si>
  <si>
    <t>La suprema junta de gobierno de esta ciudad y provirtcia, y á su nombre su presidente el Excmo. Sr. D. Antonio de Gregorio, mariscal de campo de los reales exércitos, vocal de la suprema de Sevilla, comandante general militar de las armas de este reino, hace notorio que en el dia 25 del mes próximo pa</t>
  </si>
  <si>
    <t>de Grijaíba, Juan Miguel</t>
  </si>
  <si>
    <t>Juan Miguel de Grijaíba</t>
  </si>
  <si>
    <t>2CO. Doña Manuela de Torres , id........ .......................... .......................... 66. D. Juan Miguel de Grijaíba, ayuda de cámara de S. M., en una boleta de casa real, id.................................... ........................ 2000. D. Joaquín Peral, id..................................</t>
  </si>
  <si>
    <t>de Grimarest, Pedro</t>
  </si>
  <si>
    <t>Pedro de Grimarest</t>
  </si>
  <si>
    <t>Sermo. Sr. conde de Fioridablanca, Presidente interino de la Junta central del reino. El Exémo. Sr. D. Pedro de Grimarest, comandante interino de la vanguardia del exército de Andalucía , da parte desde Lodosa , con; fecha del 12, que habia publicado al frente de las banderas la instalación, de la su</t>
  </si>
  <si>
    <t>arde áV. S. muchos años. Altura sobre Lodosa 28 de octubre de i8o8.=Juan de VU ilalba y Angulo.=Sr. D. Pedro de Grimarest. Al mismo tiempo que en la madrugada del dia 26 recibí orden de V. S. para que el sargento mayor del batallón de tiradores de España de mi mando D. Baltasar de Villalba saliese al</t>
  </si>
  <si>
    <t>de Grimbernat, Antonio</t>
  </si>
  <si>
    <t>Antonio de Grimbernat</t>
  </si>
  <si>
    <t>orme, con detino á los dragones de Castilla la vieja. D. Juan Escudero y hermanas un fusil. El ’Sr. D. Antonio de Grimbernat , además de la silla y brida que van anotadas, entregó '4 pares de zapatos nuevos, unas botas, una llave de fusil y 2 de pistolas. El Sr. marques de Navahermosa varias armas. El S</t>
  </si>
  <si>
    <t>de Grouchi, Manuel</t>
  </si>
  <si>
    <t>Manuel de Grouchi</t>
  </si>
  <si>
    <t>que la Iglesia celebra el misterio de Ja purificación de nuestra Señora, tuvo noticia el Excmo. Sr. D. Manuel de Grouchi, general de división de las tropas francesas de caballería, aquarteladas en esta ciudad y pueblos comarcanos , que el limo. Sr. D. Francisco Mateo Aguiriano y Gómez , obispo de es</t>
  </si>
  <si>
    <t>de Guardia, Antonio Domingo</t>
  </si>
  <si>
    <t>Antonio Domingo de Guardia</t>
  </si>
  <si>
    <t>...... 1)03 1523 D. Pedro Josef de Manzanal.............................. Bilbao.......... 303 1864 D. Antonio Domingo de Guardia...................... Zaragoza..... 600 1681 D. Josef Ibarra..................................................... S. Sebastian. 500 456 Doña Joaquina Manuela Smit.................</t>
  </si>
  <si>
    <t>de Guper, Joaquín</t>
  </si>
  <si>
    <t>Joaquín de Guper</t>
  </si>
  <si>
    <t>as, una sábana y una corta porD. Fernando Barcena 2 camisas. ción de hilas. Doña Xaviera de Osma 2. D. Joaquín de Guper 4 camisas. Doña F. N. 2: La Sra. de Eguia 2. La condesa de Campo Giro 12. D. Manuel Matesanz 2. Doña María Vicenta Qnilez 3. Doña Josefa del Rio 4. Doña María Ignacia de Mogozuza</t>
  </si>
  <si>
    <t>de Gusta, María</t>
  </si>
  <si>
    <t>María de Gusta</t>
  </si>
  <si>
    <t>nía Cavia y Moro 4 pares de calcetas y 4 libras de hilas. D. M. J. S. 3 dibras de hilas y 7 vendas. Doña María de Gusta 10 mantillas de caballo, con sus correspondientes fundas de pistolas, arregladas á uniforme, con detino á los dragones de Castilla la vieja. D. Juan Escudero y hermanas un fusil.</t>
  </si>
  <si>
    <t>de Guzman y Moreno, Diego</t>
  </si>
  <si>
    <t>Diego de Guzman y Moreno</t>
  </si>
  <si>
    <t>el general GalIuzo. = Badajoz 16 de setiembre de 1808. = Por mandado de S. E.= Diego de Guzman y Moreno, secretario.” (Diario de Badajoz mím. s&gt;3&gt;) ^' Malaga ij de setiembre. El dia 14 á las 8 y quarto de su noche entró en esta plaza el Excmo. Sr. D. Teodoro de Reaing, gobernador de ella y gene</t>
  </si>
  <si>
    <t>de Haedo y Espina, Juan Manuel</t>
  </si>
  <si>
    <t>Juan Manuel de Haedo y Espina</t>
  </si>
  <si>
    <t>e debe instruirse, no solo un poeta, sino qualquiera que aspire á una erudición universal: su autor D. Juan Manuel de Haedo y Espina: un tomo en 8.°, á 5 rs. en pasta. Se hallarán en la librería de Cerro , calle Ma/Ór, portal de Manguiteros. Máximas morales y políticas, escritas en verso suelto por D. Joaquín S</t>
  </si>
  <si>
    <t>de Haedo, Santiago Miguel</t>
  </si>
  <si>
    <t>Santiago Miguel de Haedo</t>
  </si>
  <si>
    <t>renzo Cisneros 6 pares dé calcetas , 2 sábanas y 2 camisas, usadas. D Juan Bert 5 pares de zapatos. D. Santiago Miguel de Haedo 6 camisas. D. Fernando Soria ^platero, 22 varas de lienzo y 6 pares de calcetas. Doña Isabei Tintero, santera de la calle de la Paloma, 12 camisas de vivero. D. Alfonso Garrido 60</t>
  </si>
  <si>
    <t>de Haegui, Sebastián</t>
  </si>
  <si>
    <t>Sebastián de Haegui</t>
  </si>
  <si>
    <t>ndo del Sorribo, diputado de S. Cayetano. D. Inocencio Pastrana, coadjutor del Caballero de Gracia. D. Sebastian de Haegui, secretario de la de S. Andrés. D. Fermín del Rio, diputado de la Comadre. D. Antonio Rodríguez, eclesiástico. D. Antonio Rovillár, id. D. Francisco Perez y Velazquez, D. Gregorio</t>
  </si>
  <si>
    <t>de Haro, Ramón</t>
  </si>
  <si>
    <t>Ramón de Haro</t>
  </si>
  <si>
    <t>Castro 6 id. y D. Pedro Gutiérrez Barona 4. 6 pares de calcetas. La Excma. Sra. duquesa deHíjar 21. D. Ramón de Haro 12 camisas. Doña Isabel Aguilera ó. D. Tomas de Arsu 12. Doña Teresa Clemente una. D. Jacinto Ci!a de Riofrío 2. D. Isidro Marcelo 4. D. M. J. 6 id. 12 vendas, unos caDoña M. L. F</t>
  </si>
  <si>
    <t>de Henestrpsa, Juan</t>
  </si>
  <si>
    <t>Juan de Henestrpsa</t>
  </si>
  <si>
    <t>igado á retirarme á bernia, y voi i s*iir ¿ Auranda para reunir mi exército. t El mariscal de campo D. Juan de Henestrpsa, que mandó la acción, obró con valor y con elhonor que «abe todo el ex-éreito. Con un oficial pasaré 4 V. A. S, noticia, de,todo circunstanciada luego que pueda hacerlo. Los cuer-</t>
  </si>
  <si>
    <t>de Herce, Diego</t>
  </si>
  <si>
    <t>Diego de Herce</t>
  </si>
  <si>
    <t>....... Madrid....... 500 762 D. Tomas García Prieto y compañía............. Madrid....... 500 1021 D. Diego de Herce............................................. Madrid....... 300 152 D, Josef Echevarría........................................... Valencia..... 300 1989 D. Manuel Abad y Monsco...</t>
  </si>
  <si>
    <t>de Herrea y Ripa Cádiz, Juan Esteban</t>
  </si>
  <si>
    <t>Juan Esteban de Herrea y Ripa Cádiz</t>
  </si>
  <si>
    <t>Anexo, p. 36</t>
  </si>
  <si>
    <t>.— Málaga...... 300 1758 Doña Lucía de Herrea y Cuellar..... ............. Cádiz.......... 500 3760 D. Juan Esteban de Herrea y Ripa Cádiz......... 300 1627 D. Ramón de Sta. Cruz y Gil.................... Santander. .. 300</t>
  </si>
  <si>
    <t>de Herrera, Antonio Xavier</t>
  </si>
  <si>
    <t>Antonio Xavier de Herrera</t>
  </si>
  <si>
    <t>aballero, del comercio, en dos vales reales de 150 pesos de enero y resto en efectivo. 5000. El Sr. D. Antonio Xavier de Herrera en. efectivo...... 3000. El Sr. D. S. G. de A., individuo del cuerpo de nobleza de Madrid....................................................... . 3000. El Sr. D. Silvestre de Abad</t>
  </si>
  <si>
    <t>, y 9161 y 16 María Sánchez 4 rs. y 16 mrs. mrs. en vales reales. D. Juan Jo^ef de la Presilla xoo. D Antonio Xavier de Herrera 2500, D. Manuel Rodriguen 40. D. Pedro de la Riva 60. D. Pablo Muñoz de la (Vega 122 rsi El conde de N. 270 rs. y 25 § mrs. y 7 mrs. en efectos de estado. Doña Luisa Benito'80. D.</t>
  </si>
  <si>
    <t>vales reales id............................... ................... .......................... 2324. D. Antonio Xavier de Herrera, en intereses de vales reales y efectivo , id............... .................... .................................................. 13200. D. Domingo María de Salazar, id........</t>
  </si>
  <si>
    <t>de Herrezuelo, Juan</t>
  </si>
  <si>
    <t>Juan de Herrezuelo</t>
  </si>
  <si>
    <t>..... loo. D. Ramón Jo ver, del comercio, id......... ............... ...................... 2500.’ D. Juan de Herrezuelo, agente de negocios, id................. . 54c. D. Diego Hernández, id............................................ ............... . JCCC. D. Diego Crespo de Tejada, cambiante, id</t>
  </si>
  <si>
    <t>de Hervías, Joaquín</t>
  </si>
  <si>
    <t>Joaquín de Hervías</t>
  </si>
  <si>
    <t>s y Vacantes, 30 id. por 3 meses..... .......................................... .............. 90. D. Joaquín de Hervías, oficial de la secretaría del Sr. Infante ; D. Antonio, 90 id. por 4 meses.................................................... 360. D. Pedro Pablos, un real,diario, por 4 meses...</t>
  </si>
  <si>
    <t>de Higueras, Ignacio María</t>
  </si>
  <si>
    <t>Ignacio María de Higueras</t>
  </si>
  <si>
    <t>irá á dicho Roque Suarez á Santiago de Galicia, ó entregarlos en Madrid al referido D. Josef Bomat. D. Ignacio María de Higueras, dueño de la mitad de una casa sita en esta,cprte, calle de Toledo, portal de Pañeros, núm. 6, manz. 167, ha ocurrido por la audiencia del Sr. D. Torquato Antonio Collado, tenient</t>
  </si>
  <si>
    <t>de Hore, Rafael</t>
  </si>
  <si>
    <t>Rafael de Hore</t>
  </si>
  <si>
    <t>Adorno, el capitán de la compañía de guardias marinas D. Juan Josef Martínez, y el gefe dé escuadra D. Rafael de Hore, el intendente de marina del departamento D. Josef Florez Varela , el comandante de ingenieros D. Josef Pilón y Espejo, el mayor general del departamento D. Juan María Butler, el</t>
  </si>
  <si>
    <t>de Hormache, Domingo</t>
  </si>
  <si>
    <t>Domingo de Hormache</t>
  </si>
  <si>
    <t>iz.......... 300 259 Doña Paula Saez de Tejada.............................. Burgos........ 500 357 D. Domingo de Hormache.............................. Cádiz....... 300 1587 D. Josef Domingo de Aguirre........... ......... . Bilbao........! 300 111 D. Juan Antonio de Escarga, abad de Beruéte. Tudela.</t>
  </si>
  <si>
    <t>de Hormaeche, Pedro Luis</t>
  </si>
  <si>
    <t>Pedro Luis de Hormaeche</t>
  </si>
  <si>
    <t>..... 300 3013 D. Pedro Garibay............................... .............. Madrid...... 600 1591 D. Pedro Luis de Hormaeche.......................... Bilbao......... 300 767 D. Juan Esteban Tricio y compañía............... Madrid....... 300 312 Isabel Murphi...... ......................................</t>
  </si>
  <si>
    <t>de Hoyos y Velarde, Gabriel</t>
  </si>
  <si>
    <t>Gabriel de Hoyos y Velarde</t>
  </si>
  <si>
    <t>o á 4 diarios, y 500 por una vez............ .......................... ..................... 1960. D. Gabriel de Hoyos y Velarde, en 4 pagarés de la diputación dé comercio, id........................................................................... 2000. Antonio del Oso, tendero, id.................. ....</t>
  </si>
  <si>
    <t>de Hoyosy-oficial, Tomás Domingo</t>
  </si>
  <si>
    <t>Tomás Domingo de Hoyosy-oficial</t>
  </si>
  <si>
    <t>eñor-conde de AltM v , mt'rá', por 4'meses k -2 rs. diarios durante lá guerra................. 244. D. Tomás Domingo de Hoyosy-oficial delaí contaduría de dicho; rr- r ;r señor, por 4 mieses a tcal-^diario»....y.»'. í&gt;üíI%%•. ■* • * » I{Secentmuard.) • .... ^.r-áTS'ry 'i i.i'Oi'ff* en la Imprenta Real.</t>
  </si>
  <si>
    <t>de Huertas, Manuel</t>
  </si>
  <si>
    <t>Manuel de Huertas</t>
  </si>
  <si>
    <t>regidor perpetuo; D. Eusebio Josef Rodríguez y D. Manuel Bernardo Roldan, diputados de este común; D. Manuel de Huertas, D. Bruno Francisco de Acosta, D. Julián Manuel dé Valverdé, D. Patricio Ortiz/Pareja, Dón Francisco Ruano Santos »y D. Isidoro de Lara, jurados perpetuos; í&gt;. Alfonso Cañedo; y V</t>
  </si>
  <si>
    <t>de IaCendeja, Julián</t>
  </si>
  <si>
    <t>Julián de IaCendeja</t>
  </si>
  <si>
    <t>milicias disciplinadas : á D. Francisco Lanuza, ayudante segundo!, y;á los habilitados de ayudantes D. Julián de IaCendeja, D. Domingo-Burgués Agrado de subteniente de-milicias disciplinadas.. ; Af los capitanes dé poior ■ de £-citado¿ regí miento de- naturales Pablo- de ía Vega y Carlos Suarez', Mari</t>
  </si>
  <si>
    <t>de Ibarra, Domingo Fernando</t>
  </si>
  <si>
    <t>Domingo Fernando de Ibarra</t>
  </si>
  <si>
    <t>a... Bilbao........ ■ 500 52 D. Josef García y Ponsich.................... . Barcelona.... Óoo 2269 D. Domingo Fernando de Ibarra........ ............ Bilbao......... 300 1856 D. Josef Luis de Aniandi............................... . Zaragoza..... 300 153° Sres. Mena, Castaños y Mendive,.................. Bi</t>
  </si>
  <si>
    <t>de Ibarreche, Francisco Antonio</t>
  </si>
  <si>
    <t>Francisco Antonio de Ibarreche</t>
  </si>
  <si>
    <t>título de S. Casiano, dirigir sus memoriales á manos de los comisionados D. Manuel Mateo de.Eguia y D. Francisco Antonio de Ibarreche para el dia 6 de febrero próximo, y presentarse para el 15 del mismo mes , en qué se dará principio al examen de. los opositores. En; la villa del Casar de Talamanca, distante 7 l</t>
  </si>
  <si>
    <t>.... 2000. D. M. O. M., presbítero, por una vez • • • - . * 4 4 4 4.4 4 4 • #- ••*■4 »4 4 4*4 100.. D. Francisco Antonio de Ibarreche , del comercio , un vale de 2 5 o pesos de enero por una vez 9401235 ►.«. 2317 2*. La señora Doña Juana JLahasa de Soler , por una vez........ ......... 2.QOGU</t>
  </si>
  <si>
    <t>s. su hermana 4. D. Vicente Pereda 6 camisas. r Doña Joaquina Gómez 2. D. Francisco Gil una. . "v / D Francisco Antonio de Ibarreche 12. D. F.”4. f ; . ■ /;: ■; Doña N. 2V ; y Doña, María Concepción de Ifusta 6. Doña Isabel Carvajal y Castañeda 2. tí, Juan Lopéz una'. . Doña Ana Arroyo 5 y libra y media tí. Jos</t>
  </si>
  <si>
    <t>de Ibarrola, Miguel</t>
  </si>
  <si>
    <t>Miguel de Ibarrola</t>
  </si>
  <si>
    <t>ilitares. Dios guarde á V. S. muchos años. Palma 30 de junio de 1808. = Juan Miguel de Vives. = Sr. D. Miguel de Ibarrola. Donativos de varias personas para el vestuario y otros usos útiles d las tropas de Madrid. Don Pedro Martínez -Retuerta 3 vestidos completos para soldados de infantería. D. Ramón</t>
  </si>
  <si>
    <t>de Ibarta, Joaquín</t>
  </si>
  <si>
    <t>Joaquín de Ibarta</t>
  </si>
  <si>
    <t>... ........... 60. D. J. P. C. ,.i&gt;oo rs. mensuales, por agosto............................. ifoo. D. Joaquín de Ibarta, canónigo de S._ Isidro, y juez del tribunal del Excusado, 15oo,rs. por una vez, y 300 rs. por agosto á 300. mensuales............................ ................. ..............</t>
  </si>
  <si>
    <t>de Iiorcasius, Francisco</t>
  </si>
  <si>
    <t>Francisco de Iiorcasius</t>
  </si>
  <si>
    <t>...v/«y“ \ vi.':- &gt;V: ’.'u,1",,'..’ '• En efectivo yt^aler, reales.^ v uV :1v 4 , , El Excmo. Sr.i D. Francisco dé Iiorcasius. .presento en dos vales reates“de~ 6ocr~pesosde mayo r"valor — íntegro de»...»».»íi\í¿.2o.</t>
  </si>
  <si>
    <t>de Imaz, Francisco</t>
  </si>
  <si>
    <t>Francisco de Imaz</t>
  </si>
  <si>
    <t>Número* Lotes de las en «cciones. Nombres de los interesado*. Comisionados. Rs. va. li93 D. Francisco de Imaz....................................... .. Barcelona. 300 584 D. Isidro de Ponte y Andrade............ ....... Coruña....... 300 804 D. Manuel González del Campo......... .........</t>
  </si>
  <si>
    <t>de Inarte, Bernardo</t>
  </si>
  <si>
    <t>Bernardo de Inarte</t>
  </si>
  <si>
    <t>........... 200. D. Francisco&gt; Xavier Perez, por una vez..................................... 1 jo. D. Bernardo de Inarte, del consejo y cámara de indias, por uriavez...»........................................ »...,,, .................... foo. D. Benigno Pedro Bueno, por una vez.»,.............»»►».</t>
  </si>
  <si>
    <t>de Inguanzo, Juan Antonio</t>
  </si>
  <si>
    <t>Juan Antonio de Inguanzo</t>
  </si>
  <si>
    <t>e dé la misma fe y crédito que á su original. Dada en Madrid á n de agosto de i8oS.='D. Arias Mon.= D. Juan Antonio de Inguanzo. = D. Andrés Lasauca. = D. Viceate Duque de Estrada. = D. .Benito Arias.” El real y supremo consejo de Indias ha expedido la circular siguiente: ,, La divina Providencia, que en t</t>
  </si>
  <si>
    <t>de Iñigo Vallejo, Miguel</t>
  </si>
  <si>
    <t>Miguel de Iñigo Vallejo</t>
  </si>
  <si>
    <t>a..... Madrid'.'....O '3 00 2132 D. Cayetano Luis Maeso y compañía....... ».v Zaragoza....: 3°o 879 D. Miguel de Iñigo Vallejo...»................... . Madrid......: 300 1104 Doña Tomasa Zaldo........................................... Madrid....... doo 2202 D. Benito Samaniego...................... .....</t>
  </si>
  <si>
    <t>de Iñigo, Bernardo</t>
  </si>
  <si>
    <t>Bernardo de Iñigo</t>
  </si>
  <si>
    <t>id^u..:,......*.... 1460. , D. Manuel de la Viña é Triarte, por 6 meses a 8 rs1: diárioé.... 4380. D. Bernardo de Iñigo, déf comercio de' paño's, por 1111 año a 3 diarios . ^ i^tcoD. Antonio Soldeviíia, médico de familia, y ¿u yerno D, Joa-_* quin Tudela , oficial de la contaduría de Valores, en un</t>
  </si>
  <si>
    <t>de Iraceburu, Miguel</t>
  </si>
  <si>
    <t>Miguel de Iraceburu</t>
  </si>
  <si>
    <t>' ‘ ‘Comisionados. Rs.vnv* ----------------------- —— ~ •............- ........................1298 D. Miguel de Iraceburu.........i;...............,;.... Valencia..'... 300 9*3 D. Manuel de Llano y compañía................. Madrid....... 300 1608 Sres. D. Nicolás de Sarachaga y compañía...... Bilbao.</t>
  </si>
  <si>
    <t>de Irasuzta, Manuel Miguel</t>
  </si>
  <si>
    <t>Manuel Miguel de Irasuzta</t>
  </si>
  <si>
    <t>........ 300 1779 D. Juan Manuel de Peralta........... ................. Cádiz........... 3 00 1083 D. Manuel Miguel de Irasuzta.......... ............. S. Sebastian. $00 160 Sra. Condesa de Toreno...................................... Valencia..... $09 I4fi D. Adrián Hernaez................................</t>
  </si>
  <si>
    <t>de Irazabal, Manuel</t>
  </si>
  <si>
    <t>Manuel de Irazabal</t>
  </si>
  <si>
    <t>.. 300 212 D. Juan Rusheu................................. ............... Alicante........ 300 358 D. Manuel de Irazabal............... ....................... Cádiz........... 300 818 X&gt;. Manuel Albuerne.......................................... Madrid.......... 500 243 D. Agustin Lozano...........</t>
  </si>
  <si>
    <t>de Iriarte, Juan Pedro</t>
  </si>
  <si>
    <t>Juan Pedro de Iriarte</t>
  </si>
  <si>
    <t>conservar la dentadura: su precio es 10 rs. el medio quartillo, con las reglas y método‘de.su uso. D. Juan Pedro de Iriarte, cirujano oculista en esta corte, continúa la Cufácion de todas las enfermedades de los ojos, extrae las cataratas, ya seí por depresión ó extracción, según el método de los mejor</t>
  </si>
  <si>
    <t>de Iribarren, Juan Bautista</t>
  </si>
  <si>
    <t>Juan Bautista de Iribarren</t>
  </si>
  <si>
    <t>z, id.................. ................... ....... ...................... ....... ........... 300. D. Juan Bautista de Iribarren y del comercio, por una vez en valés reales y pico en dinero..i®oo®. D. Isidoro Weisy por ahora:;;................................... ............ rooá., D. Francisco de PandoyBringas,</t>
  </si>
  <si>
    <t>de Irigoyen, Pedro Pablo</t>
  </si>
  <si>
    <t>Pedro Pablo de Irigoyen</t>
  </si>
  <si>
    <t>esbítero, por una vez...... ........... 100. D. J. X. , presbítero , por una vez.............. ico. D. Pedro Pablo de Irigoyen, médico, por una vez, en dos li.^Jbramientos contra tesorería general........................................... 1860. D. Antonio María Tadei, pintor, por una vez.................</t>
  </si>
  <si>
    <t>de Iriguen de Almansa, Pedro</t>
  </si>
  <si>
    <t>Pedro de Iriguen de Almansa</t>
  </si>
  <si>
    <t>rez, de alojeros; D. Santiago Estepar, de la parroquia de S. Salvador; Plácido López, de vidrieros; D. Pedro de Iriguen de Almansa, de la parroquia de S. Sebastian; Roque Carrasco , del gremio de cabreros ; Castor de Lamo, de boteros; D. Miguel de Moya, del barrio dél Barquillo; D. Francisco Moreno y D. Ferna</t>
  </si>
  <si>
    <t>de Irusta, Francisco</t>
  </si>
  <si>
    <t>Francisco de Irusta</t>
  </si>
  <si>
    <t>... Cádiz......... 5001 1048 D. Miguel Crespo de San Fernando................ Madrid....... 300 622 D. Francisco de Irusta...................................... Madrid....... 300 2153 D. Genaro Fontenla.............. ........................... . Coruña....... 1000 558 D. Josef Merlo..................</t>
  </si>
  <si>
    <t>d....... 600' 2424 D. Josef Carlos de Reisig............................... Cádiz.......... 300 621 D. Francisco de Irusta............................... . Madrid....... 600 288 D.Pedro de Cárdenas y R.d®del Río...... . Málaga........ 300 15.6 Doña Bruna Gutiérrez de los Riós............ . Valencia...</t>
  </si>
  <si>
    <t>ragoza....* 300' 1283 D. Antonio Víscaino, presbítero......... ............ "Valencia..... IOOO 620 D. Francisco de Irusta.............................. Madrid........ 5000 397 D. Nicolás Lavaggi, tesorero de exércíto....... Coruña........ 500 346 Junta de gobierno de la real compañía de la Havana....</t>
  </si>
  <si>
    <t>id..,...;; 300 953 D. Benito de Lamata Linares............................... Madrid..... . 500 019 D. Francisco de Irusta.......... *................................ Madrid...ce»,» 1000 2418 D. Martin de Lucas y Arcayne......................... Zaragoza 300 1710 D. Juan Manuel de Peralta.............</t>
  </si>
  <si>
    <t>Rs. Mrs„ ciñas, por una vez» ..••..••.•«•«.i. ¡} 20. D. Florencio Pedro Marzon, por una vez . 500. D. Francisco de Irusta, contador de, rentas de .esta provincia, por agosto á 8 rs. diarios IX. Francisco' Velez Cosío, por los meses de agosto y setiembre á 3 rs. diarios................................</t>
  </si>
  <si>
    <t>del Rei nuestro Señor, en un libramiento de réditos de acciones del real empréstito, valor de 1000. D. Francisco de Irusta &gt; contador de rentas &lt;}e !a pro- ; vincia de Madrid..........v 2060, D. Wenceslao de Argumosa............................ iodo.</t>
  </si>
  <si>
    <t>de Irusta, Juan Antonio</t>
  </si>
  <si>
    <t>Juan Antonio de Irusta</t>
  </si>
  <si>
    <t>.=Padre D. Calixto Nuñez, abad de S. Basilio;=Euseb¡o María de ios: Hérosv==Siivério Peiez == Dr. t D. Juan Antonio de Irusta.rrD;-Domingo Alvaraz.=Juan de Ala-* ta lllana.erlgnacio García. =PoT¡ la diputación y dirección-de los - cinco Gremios mayores, Pedro. Rubio. = Vicente Ambrosi de Aguirre. =:Ramón</t>
  </si>
  <si>
    <t>de Isemburgo, Príncipe</t>
  </si>
  <si>
    <t>Príncipe de Isemburgo</t>
  </si>
  <si>
    <t>al 5 pasaron 7® hombres de la misma clase. Pasó asimismo el general de división Príncipe de Isemburgo, coronel.del regimiento de su nombre. En los dias siguientes hasta el 17 unos 1300 hombres de infantería y 200 de caballería en varios destacamentos. En el mismo tiempo pasaron los general</t>
  </si>
  <si>
    <t>de Isla, Pedro</t>
  </si>
  <si>
    <t>Pedro de Isla</t>
  </si>
  <si>
    <t>quisiesen hablar en la junta sobre el proyecto de constitución que sé había leído el dia anterior. D. Pedro de Isla, nombrado para asistir á la junta por el consulado de Burgos, leyó un discurso, trabajado con bastante esmero, en que hizo el elogio de la constitución que va á recibir el pueblo</t>
  </si>
  <si>
    <t>de Itnirizaldu, Manuel</t>
  </si>
  <si>
    <t>Manuel de Itnirizaldu</t>
  </si>
  <si>
    <t>mprenta, 3 rs. diarios, por un mes..:..é...u....... ............ .......................... . . 93. D. Manuel de Itnirizaldu, gefe de la oficina de Renovación de vales, un vale de 150 pesos, y 3 recibos de intereses de la misma moneda , por una vez........ ............... ....... .......................</t>
  </si>
  <si>
    <t>de Iturmendi, Francisco Ignacio</t>
  </si>
  <si>
    <t>Francisco Ignacio de Iturmendi</t>
  </si>
  <si>
    <t>o de Ugarte Larrazabal 3© rs. por una vez, y 186 por agosto á 6 rs. diarios por dicho tiempo, 3186. D. Francisco Ignacio de Iturmendi por una vez 4© rs. D. Manuel Rivacoba y Gorbea, cambiante, por una vez 20© rs. D. Francisco García de la Vega, del comercio, por medio año á 6 rs. diarios durante la guerra , 1095</t>
  </si>
  <si>
    <t>de Itúrralde, Manuel</t>
  </si>
  <si>
    <t>Manuel de Itúrralde</t>
  </si>
  <si>
    <t>r una vez.». 182 17. D. Manuel Laso de la Vega, por una vez................................... 200. D. Manuel de Itúrralde, mayordomo del marques de Iturbieta, por ¿na vez.»»».............................................................. . xoop..</t>
  </si>
  <si>
    <t>de IUescas, Manuel</t>
  </si>
  <si>
    <t>Manuel de IUescas</t>
  </si>
  <si>
    <t>.. .......... Madrid....... 600 2357 Doña María Teresa Vergez y Noves....... Zaragoza..... 300 **53 D. Manuel de IUescas....*........ ..................... Madrid........ 3°° 52J Sres. Rutelisi, . Cerón, Bringas, Zorrilla y</t>
  </si>
  <si>
    <t>de Izaguirre, Agustín</t>
  </si>
  <si>
    <t>Agustín de Izaguirre</t>
  </si>
  <si>
    <t>...... Bilbao........ . 600 1803 El brigadier D. Juan María de Lanne..... . Zaragoza...... 500 1677 D. Agustín de Izaguirre............... ................. . S. Sebastian. 300 103 5 D. Francisco Pascual de los Cobos................. Madrid.......; 300 508 D. Angel Ladebesee y Alzaibar.................</t>
  </si>
  <si>
    <t>de Ja Cruz Sanz de la Torre, Juan</t>
  </si>
  <si>
    <t>Juan de Ja Cruz Sanz de la Torre</t>
  </si>
  <si>
    <t>........ xooo. Doña Joaquina Martínez, id....................................... ............ . 20. D. Juan de Ja Cruz Sanz de la Torre, en un vale de 1 jo pesos, y en intereses de esta moneda, id................ .............................. 3146 2. Doñá Gerónimá Reyes, id........... ............................</t>
  </si>
  <si>
    <t>de Jáuregui, Juan</t>
  </si>
  <si>
    <t>Juan de Jáuregui</t>
  </si>
  <si>
    <t>................ 62. D. Pedro Hebrar, por agosto á 2 rs. diarios............................... 62. D. Juan de Jáuregui, por 2 meses á 4 rs. diarios....................... 244. D. Eugenio de Sampelayo, del comercio de paños, medio año á 12 rs. diarios................................................</t>
  </si>
  <si>
    <t>de Jáuregui, Juliana</t>
  </si>
  <si>
    <t>Juliana de Jáuregui</t>
  </si>
  <si>
    <t>f Patricio Sorgoyen........... . Zaragoza.... 20000 1862 D. Francisco Tornos Zaragoza.,.;. jpo 1570 Doña Juliana de Jáuregui................. .............. .. Bilbao.... ..i. 600 2213 D. Juan Soler y Galseran................................. Coruña....... 300 2089 D. Josef Manuel de Unzaga.......... Ci</t>
  </si>
  <si>
    <t>de Jáuregui, Tomás</t>
  </si>
  <si>
    <t>Tomás de Jáuregui</t>
  </si>
  <si>
    <t>ngañar al Reí padre, fue haber propuesto D. Diego Godoi, duque de Almodovar del Campo, al brigadier D. Tomas de Jáuregui, coronel del regimiento de Pavía, que era preciso mudar de dinastía por el fatal estado de la.salud del Rei¿ y otras razones que resultan. De este exceso ni él, ni D. Luis de Vigu</t>
  </si>
  <si>
    <t>de Jesús Pérez, María</t>
  </si>
  <si>
    <t>María de Jesús Pérez</t>
  </si>
  <si>
    <t>..... ... Madrid....... 1500 2000 Doña María del Rosario Barcia y Camacho ,.. Zaragoza..... 300 336 Doña María de Jesús Perez.................... .... ... Cádiz.......... 300 19^3 Sres. D. Josef Francisco Mornau............. ... Zaragoza..... 000 *97 2 D. Jacinto Uria Nafarrondo................. . ... Za</t>
  </si>
  <si>
    <t>de Joca, Sebastián</t>
  </si>
  <si>
    <t>Sebastián de Joca</t>
  </si>
  <si>
    <t>s, promoveréis y defenderéis la conservación y Por Jaén. aumento de nuestra santa religión católica D. Sebastian de Joca- apostólica romana, la defensa y fidelidad á no. nuestro augusto Soberano Fernando vn, la D. Francisco de Paula de sus derechos y soberanía, la conservación Castañedo. de nuestros</t>
  </si>
  <si>
    <t>de Jovelíanos, Gaspar</t>
  </si>
  <si>
    <t>Gaspar de Jovelíanos</t>
  </si>
  <si>
    <t>xorno. Sr. D. Francisco Saavedra. La sección de Gracia y' Justicia se compone de los Excmos.. Sres. D. Gaspar de Jovelíanos, el Patriarca, el Arzobispo de Laodicea, D. Rodrigo Riquehn. y D. Juan de Dios Rabé : su secretario el Exorno. Sr, i). Benito Ramón de Hérmida. La sección de guerra con*tn Je ios</t>
  </si>
  <si>
    <t>de Jovellanos, Gaspar Melchor</t>
  </si>
  <si>
    <t>Gaspar Melchor de Jovellanos</t>
  </si>
  <si>
    <t>uda que lo consiguiera : porque que dicen ha sido detenido en Zaragoza , como también el Kxcmo. Sr. D. Gaspar Melchor de Jovellanos.</t>
  </si>
  <si>
    <t>r.: El Rei se ha servido nombrar al Sr. D. Pedro Cevallos ¡ministro de Negocios extrangeros; al Sr, D. Gaspar Melchor de Jovellanos ministro del Interior; al Sr. D. Miguel Josef de Azanza ministro de Indias: ha confirmado al Sr. D. Gonzalo O-Farril en el ministerio de la Guerra que regenta, y al Sr. D. Josef d</t>
  </si>
  <si>
    <t>de Junco, Manuel María</t>
  </si>
  <si>
    <t>Manuel María de Junco</t>
  </si>
  <si>
    <t>e, y sin embargo de no haber recibido orden expresa para proceder á aquel acto. El alcalde de corte D. Manuel María de Junco no ha prestado el juramento por hallarse ausente coii licencia. La Sala espera que V.E. se servirá hacerlo presente á la Junta suprema central de gobierno, y que esta reconocerá e</t>
  </si>
  <si>
    <t>de Kindelan, Juan</t>
  </si>
  <si>
    <t>Juan de Kindelan</t>
  </si>
  <si>
    <t>uerpo de exército en dicho reino, y en otros destinos que tuvo anteriormente. Estado mayor general. D. Juan de Kindelan, mariscal de campó, en Fredericia; D, Josef Kindelan, teniente graduado de capitán del regimiento de Ultonia , y sU ayudante de campo, en id.: no abrazaron la resolución de la div</t>
  </si>
  <si>
    <t>de la Barrera y Castro, Diego</t>
  </si>
  <si>
    <t>Diego de la Barrera y Castro</t>
  </si>
  <si>
    <t>020 rs. Quien quisiere hacer postura, acuda á la escribanía déla misma comisión regia, que despacha D. Diego de la Barrera y Castro. Por providencia de D. Josef Garcihi de Queralt, juez comisionado regio en la diócesi- de Granada ,, se ha señalado el dia 18 del que rige para el remate de dos cortijos, con sus</t>
  </si>
  <si>
    <t>de la Bastida, Diego</t>
  </si>
  <si>
    <t>Diego de la Bastida</t>
  </si>
  <si>
    <t>camisas nuevas. D. Fermiñ María de Uria Nafarrondo 12 id. Doña Josefa de la Cueva y Velarda 24 id. D. Diego de la Bastida 2 id. Doña María Cruz de Villaté,^ viuda, y D. Agustín Ballesteros su hijo, 2 camisas y 2 vendas. D. T. M. 2 camisas. D. Fernando y D. Manuel García de la Prada 59 camisas finas.</t>
  </si>
  <si>
    <t>de la Bodega, Manuel</t>
  </si>
  <si>
    <t>Manuel de la Bodega</t>
  </si>
  <si>
    <t>......... ..i.,.. Zaragoza, 60 o22 5 7 D; Antonio de Urriza. Bilbao..,........ &lt; ioo&gt; TI • 1 * 2263 D. Manuel dé la Bodega................ ............. . joiiDao,..... ... 300 30)5 D. Domingo Ürbina y Arnaez................. ....... Madrid....... rooo 2189 D. Josef M’endez de Vago;...................</t>
  </si>
  <si>
    <t>de la Braña, Domingo Antonio</t>
  </si>
  <si>
    <t>Domingo Antonio de la Braña</t>
  </si>
  <si>
    <t>............ k El marques de Bélgida....... *.......... i D. Josef Genaro Salazar..... *........... D. Domingo Antonio de la Braña, de Tesorería mayor.......... ........... La marquesa del Castillo de S.Felipe. 2 i coche y guarnic, El barón de Espes........................... El marques de Moutealegre........</t>
  </si>
  <si>
    <t>de la Cadena y Pérez, María</t>
  </si>
  <si>
    <t>María de la Cadena y Pérez</t>
  </si>
  <si>
    <t>.. Valencia..... 300 loo. Doña Joaquina Pallas y Torrente................. . Madrid....... 300 2154 Doña María de la Cadena y Perez.................. Coruña..... . 300 585 D. Francisco de Larroca y Arredondo............ Madrid........ 300 2158 D. Tomas de Llano............................................ Coruñ</t>
  </si>
  <si>
    <t>de la Calle Belvis, Agustín</t>
  </si>
  <si>
    <t>Agustín de la Calle Belvis</t>
  </si>
  <si>
    <t>........... 60. Antonio Rebollada , mozo id. id.......................... ..................... 40. D. Agustín de la Calle Belvis, id................................................... IOOOi Los Sres. Buscalli y Grau , del comercio, id.............................. 500. D. Domingo Fernandez de Campománes, mi</t>
  </si>
  <si>
    <t>de la Cámara, Manuel</t>
  </si>
  <si>
    <t>Manuel de la Cámara</t>
  </si>
  <si>
    <t>ave ni leve, los caballeros seminarista mayor D. Manuel Fernandez; gefes de sala D. Josef Martínez, D. Manuel de la Cámara, D. Josef Ramón Fernandez y D. Manuel de Abbad; gefes de trozo D. Manuel Ferrando, D. Pedro Sánchez Pavón y D. Pablo Unda; seminaristas D. Matías Oiivencia,D. Josef María Carrillo</t>
  </si>
  <si>
    <t>de la Cañal, Agustín</t>
  </si>
  <si>
    <t>Agustín de la Cañal</t>
  </si>
  <si>
    <t>. M., id....................................................................................... 60. D. Agustín de la Cañal, id............................. ............................ ' 500. Miguel Castrilion, en 6 libramientos del fondo vitalicio, id..... 2930. D. F. F. O., id.......................</t>
  </si>
  <si>
    <t>de la Canal, Francisco</t>
  </si>
  <si>
    <t>Francisco de la Canal</t>
  </si>
  <si>
    <t>..................... . 1100. D. Gregorio Entrambasaguas, del comercio de lienzos, id........ 3300. D. Francisco de la Canal, ballestero de S.’ M., á 120 rs. menS U ,11 5................... ..j...... jr......i.......’..............i........ *j2 D. Jofeef Coronal-, empleado en la casa de la moneda, por a</t>
  </si>
  <si>
    <t>de la Cárcel, Francisco Antonio</t>
  </si>
  <si>
    <t>Francisco Antonio de la Cárcel</t>
  </si>
  <si>
    <t>....... ................................ ..............•.................................... 1250. D. Francisco Antonio de la Cárcel, en un recibo del Fondo vitalicio ¿ id.................. .................................................................... 1001 3» Doña María Gómez Falcon, en libramientos cont</t>
  </si>
  <si>
    <t>de la Cimarra, Manuel</t>
  </si>
  <si>
    <t>Manuel de la Cimarra</t>
  </si>
  <si>
    <t>nario de instrucción religiosa los caballeros seminarista mayor E&gt;. Manuel Fernandez; gefes de sala D. Manuel de la Cimarra y D. Josef Ramón Fernandez; gefe de trozo D. Manuel Ferrando,, .quienes hablaron respectivamente del principio y progresos de la religión •desde el origen del mundo hasta la venida de</t>
  </si>
  <si>
    <t>de la Concepción Zorrilla, Pedro</t>
  </si>
  <si>
    <t>Pedro de la Concepción Zorrilla</t>
  </si>
  <si>
    <t>ididas; y otras muchas particularidades para unos y'otros., noúmenos útiles y curiosas: escrito por D. Pedro de la Concepción Zorrilla j agrimensor con real aprobación, con el fin de desvanecer todas las dudas y pleitos que se experimentan entre labradoresr destagistas en siega, arada, compras y ventas de tierra,</t>
  </si>
  <si>
    <t>de Pajares. El Marco real de fanegas de tierra, ó Manual de labradores y agrimensores, escrito por D. Pedro de la Concepción Zorrilla, agrimensor, que en la gazeta de 11 de enero último se dixo se vendía en el despacho deja imprenta real, se halla también en la librería dé Dávila, calle de las Carretas. GRABADO.</t>
  </si>
  <si>
    <t>de la Costa, Vicente</t>
  </si>
  <si>
    <t>Vicente de la Costa</t>
  </si>
  <si>
    <t>á la escribanía del número de esta villa , y principal de la intendencia de exército, del cargo de D. Vicente de la Costa. En el real sitio de S. Lorenzo y villa del Escorial es libre la venta del aceite por mayor y menor,sin limitación de precio ni tiempo, y sin mas pago de derechos que los de la ro</t>
  </si>
  <si>
    <t>268 escribanía del húmero y principal de su juzgado del cargo de D. Vicente de la Costa. En el juzgado del alcalde mayor de la ciudad de Iionda, y escribanía de D. Josef Márcos Reguera, se siguen autos de concurso de acreedores á ios bienes del presbítero D. Juan Qui</t>
  </si>
  <si>
    <t>icho señor juez por la escribanía del número y principal de la intendencia de exército del cargo de D. Vicente de la Costa. LIBROS. Ensayo histórico* crítico sobre la legislación y principales cuerpos legales de los reinos de León y Castilla, especialmente sobre el código de D. Alonso el Sabio, conoci</t>
  </si>
  <si>
    <t>ellos acudan ante 5. 3., r c;&gt;oril»nr*í«» &lt;tol principal de la intendencia de exército del cargo'de D. Vicente de la Costa, donde se admitirán las que se hicieren siendo arregladas; en inteligencia de que su remate se executará el dia 5 del próximo mes de noviembre. LIBROS. Traiciones é imposturas del</t>
  </si>
  <si>
    <t>amos, acudan ante su señoría por la escribanía del número y principal de dicho juzgado del cargo de D. Vicente de la Costa. En virtud de providencia del real y supremo consejo de la Guerra se citó, llamó y emplazó por dos papeles públicos de la gazeta y diario de esta corte de x.° de mayo y 29 de juni</t>
  </si>
  <si>
    <t>de la Craz Mourgeou, Juan</t>
  </si>
  <si>
    <t>Juan de la Craz Mourgeou</t>
  </si>
  <si>
    <t>contró un oficial que era de ingenieros, según los papeles que se le hallaron. El T eaiente coronel D. Juan de la Craz Mourgeou pasó entre tanto por Marmolejo con un cuerpo de mas de 2©. hombres; el dia 15. tuvo un reencuentro con los enemigos, superiores en número, que perdieron roo* hombres entre muertos</t>
  </si>
  <si>
    <t>de la Cruz Mourgeon, Juan</t>
  </si>
  <si>
    <t>Juan de la Cruz Mourgeon</t>
  </si>
  <si>
    <t>,; y- poder tener yo los avisos mas segurosy dirigir' con oportunidad mis movimientos^en socorro de D. Juan de la Cruz Mourgeon. .4" , Efectivamente no: tárde en tener la priméra noticia de que él ‘ataque se , verificaba contra -Lerin, siendosus fuérzase muchas, y teníendó Jos enemigos ! can numerosa cabal</t>
  </si>
  <si>
    <t>debía exponer por si podia librar un batallón, que el crédito de su comandante ei teniente coronel D. Juan de la Cruz Mourgeon es notorio; para lo qual mandé á los capitanes D. Jo</t>
  </si>
  <si>
    <t>star á V. S., para que se sirva elevarlo á la superior atención del Excmo. Sr. capitán general, que D. Juan de la Cruz Mourgeon , demas oficiales y tropa del batallón de tiradores de Cádiz, han hecho una defensa , en la que han dexado el honor de las armas de S. M. tan bien puesto, que aunque la pérdida de</t>
  </si>
  <si>
    <t>te de Le-&gt; fin'quél yci defoidiá , con lo qual mantuve mi comunicación hasta él último mófnéntb^cón D. Juan dé la Cruz Mourgeon. ^ 0 Dios gtfarde á V. S. muchos años. Padejon 30 de octubre de i8c8í== Francesco de Cópóñs y Návia. =r Sr.' D. Pedro fie Grímárcst. : P. D. En esta acción hicieron mis tropas 5 p</t>
  </si>
  <si>
    <t>as que eran iguales , las que di al teniente coronel, comandante deí batallón de tiradores de Cádiz D. Juan de la Cruz Mourgeon j jio pudieron ni debieron hacer mas que observar á Lerin, para proteger la retirada del bizarro D. Juan de la Cruz, que sostenía aquel punto, excesiva igual batalla con sola su i</t>
  </si>
  <si>
    <t>*4$2 que la bizarría del teniente coronel D. Juan dé la Cruz Mourgeon haya causado la pérdida de estos héroes, por no sujetarse á mis ordenes con el prudente tino y pulso que los comandantes de Sesma y Carear; mas á. vista que D. Juan de la Cruz con</t>
  </si>
  <si>
    <t>de la Cruz, Antonio</t>
  </si>
  <si>
    <t>Antonio de la Cruz</t>
  </si>
  <si>
    <t>. -1 _! A — *1 f *1, - • ^ , 7 : . _____ 200. D. Asíénsio Garda Ordoñéz , Boticario, por id. fá ióó D. Antonio de la Cruz? catedrático del colegia de Farmacia, por 2 meses á 40 rs. id............................. .............................. 80. D. Buenaventura Vidal, del comercio, por agosto á 100</t>
  </si>
  <si>
    <t>de la Cruz, Juan</t>
  </si>
  <si>
    <t>Juan de la Cruz</t>
  </si>
  <si>
    <t>al punto hizo que Bedel volviese á su posición , y se concertó la capitulación; Eí teniente coronel D. Juan de la Cruz , que se habla situado en las alturas de . la sementera sobre el flanco derecho del enemigo,, durante los movimientos referidos, colocó por $ü primera línea el batallón de tirador</t>
  </si>
  <si>
    <t>ro divisiones obraban con arreglo al plan de ataqúe que se les había prescrito, el teniente coronel D. Juan de la Cruz, en cum-( plimiento de mis instrucciones, se dirigió con las tropas de su. mando -al3 N. O. de Aedejarpasó el rio. por el puente de Marmolejo, y se situó en¿ fas alturas de la Sem</t>
  </si>
  <si>
    <t>on j jio pudieron ni debieron hacer mas que observar á Lerin, para proteger la retirada del bizarro D. Juan de la Cruz, que sostenía aquel punto, excesiva igual batalla con sola su infantería y la compañía de voluntarios catalanes, y 4 caballos de lá guerrilla de Borbon, que le dexó D. Pedro Losce</t>
  </si>
  <si>
    <t>á mis ordenes con el prudente tino y pulso que los comandantes de Sesma y Carear; mas á. vista que D. Juan de la Cruz con las tropas de su mando emprendió la defensa de Lerin á las 5 de la mañana del dia 26 , y verificó su rendición á las 4 de la tarde del 27 , sosteniéndose con la mas heroica fi</t>
  </si>
  <si>
    <t>st, que le espera ; sin embargo henvos tenido la desgracia de que hayan hecho prisionero al corone! D. Juan de la Cruz, con una pattida de tiradores de Cádiz, que habiéndose adelantado hasta Le'in , fueron cortados , fin que pudiéramos socorrerlos. Fué su deFv-sa vigorosísima, con pérdida muy cort</t>
  </si>
  <si>
    <t>esta acción los elogios mas magníficos, asi del señor general en gefe, como del impávido comandante D. Juan de la Cruz. : Durante su enfermedad, y en el acto de la dolorosa operación que sufrió, para que le cortaran el brazo, ha acreditado su valor, llevando con la mayor resignación aquellas incom</t>
  </si>
  <si>
    <t>de la Cruz, Manuel</t>
  </si>
  <si>
    <t>Manuel de la Cruz</t>
  </si>
  <si>
    <t>ha servido conferir la tenencia coronela del regimiento de dragones de Numancia al teniente coronel D. Manuel de la Cruz, sargento mayor del mismo cuerpo; y la del de Sagunto al teniente coronel D. Manuel Díaz, sargento mayor del de dragones del Rei: compañías en el referido de Sagunto á los ayudant</t>
  </si>
  <si>
    <t>de la Cuesta y Torre, Antonio</t>
  </si>
  <si>
    <t>Antonio de la Cuesta y Torre</t>
  </si>
  <si>
    <t>n Estanislao de Lugo, á D. Pablo de Arribas, á D. Francisco Angulo, á D. Juan Antonio Llórente, y á D. Antonio de la Cuesta y Torre^Mi ministro secretario de Estado queda encargado de la execucion del presente decreto, y de dar los avisos correspondientes. En palacio á 25 de julio de i8o8.=Firmado, YO EL REI.</t>
  </si>
  <si>
    <t>de la Cuesta, Andrés</t>
  </si>
  <si>
    <t>Andrés de la Cuesta</t>
  </si>
  <si>
    <t>24 ó, mas acciones propias, deberán.hacerlo constar en la secretaría del citado banco, del cargo de D. Andrés de la Cuesta, exhibiendo las mismas acciones:, ó entregando testimonio suficiente que acredite su pertenencia, y los números que comprehendan, y si son adquiridas por ,endosos, á quien están l</t>
  </si>
  <si>
    <t>uídante de lá caxa dél Banco f por ,u 4 me^es á 3 rs. diarios!...í...........V.................... D. Andrés de la Cuesta, secretario del Banco nacional, por a¡.Ofto á 4 rs. diariosí..í.l....................... . 124. TV j Umi AuiOllh?. J^ériíaíídéz,, portero de la secretaría de EsTaj ' * *.V -T ’*&gt;</t>
  </si>
  <si>
    <t>de la Cuesta, Antonio</t>
  </si>
  <si>
    <t>Antonio de la Cuesta</t>
  </si>
  <si>
    <t>................... 40. D; Juan Caciatori, por agosto á 20 rs. mensuales........... ........... ao. D. Antonio de la Cuesta, oficial de la secretaría de Consolidación , por agosto á 60 rs. mensuales.......... ........... ........ ........... 60. D. J. P. C. ,.i&gt;oo rs. mensuales, por agosto.............</t>
  </si>
  <si>
    <t>de la Cuesta, Gregorio</t>
  </si>
  <si>
    <t>Gregorio de la Cuesta</t>
  </si>
  <si>
    <t>y de Ja* Religión, con el ardor propio de los leales Castellanos. De ella consta que el Exorno. Sr. D. Gregorio de la Cuesta está nombrado General de la Provincia, de Castilla.. Esquadra: inglesa a la vista: de Cádiz 21. de Junio. Por un buque de aviso que dió&gt; á la vela de Inglaterra en 6,. de Junio* y h</t>
  </si>
  <si>
    <t>Madrid 92</t>
  </si>
  <si>
    <t>los 1600 pri&gt;ú ñeros, que dicho mariscal ha hecho en el último encuentro á la gente que capitaneaba D. Gregorio de la Cuesta , y se ha presentado por sí y en nombre de los demas comandantes, subalternos y tropa á renovar ante S. M. el juramento de fidelidad y obediencia á su augusta Persona, á la consti</t>
  </si>
  <si>
    <t>r su hermano Josef. Véndese á 4 quartos en el despacho de la imprenta rea!. Proclama del Excmo. Sr. D. Gregorio de la Cuesta, y manifiesto que hizo á los aragoneses el Excmo. Sr. D. Josef Palafox. Véndense juntos á 6 quartos en la librería de Barco, calle de las Carretas, y en el puesto del Diario, plaz</t>
  </si>
  <si>
    <t>rse con el mayor júbilo y entusiasmo de todo el vecindario, de acuerdo con su general el Excmo. Sr. D. Gregorio de la Cuesta, que se prestó a las súplicas del corregidor y ayuntamiento, facilitándoles del parque de CiudadRodrigo mas dé 900 fusiles?, &lt;20 quintales de pólvora y otras municiones; pero prev</t>
  </si>
  <si>
    <t>ntos de humanidad, y les cupiese tan gran parte en los robos y saqueos de sus tropas. El Excmo. Sr. D. Gregorio de la Cuesta, capitán general del exército de Castilla la vieja, tratando de llevar adelante la formación de un cuerpo de dragones de Castilla para la defensa de la nación; y no habiendo basta</t>
  </si>
  <si>
    <t>nueva que representa en una lámina al Sr. D. Fernando vn y al infante D. Carlos: otra al Excmo. Sr. D. Gregorio de la Cuesta, capitán general del exército de Castilla: otra dos retratos pequeños para escarapelas de D. Fernando vii. Se hallarán en la librería de Barco, calle de las Carretas. Estampa que</t>
  </si>
  <si>
    <t>En efectivo y vales reales» El Excmo. Sr. D. Pedro Cevalios ha dispuesto se entreguen al Excmo. Sr. D. Gregorio de la Cuesta treinta mil reales en efectivo para las urgencias de su exército; y al.comisionado en esta corte D. Antonio de Abaurre se han entregado, por disposición del mismo Sr. Cevalios, ca</t>
  </si>
  <si>
    <t>e la junta de León en la central, se vio detenido de orden del capitán general de Castilla la vieja D. Gregorio de la Cuesta, para ser conducido á su quartel generel de Segovia; de cuyo tratamiento forma dicho Sr. Bailío sentidas quejas , y en ellas le acompaña la junta de Salamanca. Esta suprema del pr</t>
  </si>
  <si>
    <t>stancias, propuso D. Miguel Gómez Lugones á la junta se diese noticia de io executado al Excmo. Sr. D. Gregorio de la Cuesta, capitán general de Castilla la vieja; y accediendo aquella á tan. justa y acertada propuestaVc^misionó al propio Gómez para que. la executase; y con efecto, pasó én posta alquarf</t>
  </si>
  <si>
    <t>no, Castilla y Galicia , y de D. Vicente Eulate , de orden del capitán general de Castilla la vieja D. Gregorio de la Cuesta; examinados los poderes dados á. dichos Sres. por aquel cuerpo, y demas docuiríehtos relativos á estos expedientes, acordó declarar atentados, nulos y de ningún valor ni efecto lo</t>
  </si>
  <si>
    <t>Sevilla 50</t>
  </si>
  <si>
    <t>yno, Castilla y Galicia , y de D, Vicente Eulate, de órden del capitán general de Castilla la vieja D. Gregorio de la Cuesta; examinados los poderes dados á dichos Señores por aquel cuerpo, y demas documentos relativos i estos expedientes, acordó declarar atentados, nulos y de ningún valor ni efecto los</t>
  </si>
  <si>
    <t>de la Encarnación de Vestares y Chapin, María</t>
  </si>
  <si>
    <t>María de la Encarnación de Vestares y Chapin</t>
  </si>
  <si>
    <t>oza..... 300 1381 D. Manuel Antonio Vela.................................. Burgos......... 300 2413 Doña María de la Encarnación de Vestares y Chapin............................................................... Zaragoza..... 500 1214 D. Ildefonso María Castejon, de Durango..... Bilbao......... . IOOO 2258 D. Pablo Antonio de</t>
  </si>
  <si>
    <t>de la Gándara, Esteban</t>
  </si>
  <si>
    <t>Esteban de la Gándara</t>
  </si>
  <si>
    <t>la parroquia dé. la villa de Puerto-Mingalvo, en la diócesi de Zaragoza, vacante, por ^promoción dé D. Esteban dé la Gándara á una ración de mensa de la metropolitana de Zaragoza, á Don Pascual Bernabé Herrero. Desdé i.* de abril hasta 31 de mayo se renovarán en la tesorería de la real caxa de consolida</t>
  </si>
  <si>
    <t>de la Garma, Antonio</t>
  </si>
  <si>
    <t>Antonio de la Garma</t>
  </si>
  <si>
    <t>de 300 pesos y resto en metálico por una vez................................................ coso* D. Antonio de la Garma, oficial de la administración de rentas de Madrid, por una vez..... ........................................................ 200* D. Juan Josef de Aldama , auditor de la Rota, por</t>
  </si>
  <si>
    <t>de la Haza y Garay, Cipriano</t>
  </si>
  <si>
    <t>Cipriano de la Haza y Garay</t>
  </si>
  <si>
    <t>....... ... Zaragoza.;..*: 300 949 D. Josef de Bustamante.................. . Madrid....... 300 6)2 D. Cipriano de la Haza y Garay... Madrid....... IOOO 2421 D. Juan Manuel de Peralta,.......... &gt;«. Cádi'Z'*M*^if' 500 176) D. Viceñte Arroyuelo................ . »• O^dlZ* • •• mu* •&gt;»:«««•• 300 623 D. Angel Ab</t>
  </si>
  <si>
    <t>de la Hoz, Manuel</t>
  </si>
  <si>
    <t>Manuel de la Hoz</t>
  </si>
  <si>
    <t>López, id............................................................*.............. ........ 400. D. Manuel de la Hoz, id............. ..................................................... 200. Un comerciante italiano, á cuenta de i® rs.................................. . 500. 60. Manuel Alonso,</t>
  </si>
  <si>
    <t>de la Huerta, Gregorio</t>
  </si>
  <si>
    <t>Gregorio de la Huerta</t>
  </si>
  <si>
    <t>.......................... 120. D. Pedro de la Viaña , 60 id. por 3 meses..*...,,........... 180. * D. Gregorio de la Huerta, 20 id. por agosto....................... 20. D. Manuel Perez, 4 id. por 2 meses............... 8. D. Pablo Alemani , 40 id. por 5 id......................................... too.</t>
  </si>
  <si>
    <t>de la Iglesia, Juan Francisco</t>
  </si>
  <si>
    <t>Juan Francisco de la Iglesia</t>
  </si>
  <si>
    <t>..:.;. 300 1889 Doña Ursula Marimon....... ................................ Zaragoza..... 1000 ¿Sí5 D. Juan Francisco de la Iglesia, párroco....... Coruña....... ibob 340 D. Tomas.de Urrutia....................... .............. .. Cádiz;.....'... "‘foo 367 D. Diego Jugla Cádiz, ......... 500 2040 D, Miguel Pe</t>
  </si>
  <si>
    <t>de la Madrid y Montes, Estéban</t>
  </si>
  <si>
    <t>Estéban de la Madrid y Montes</t>
  </si>
  <si>
    <t>ostura, lo executará por la escribanía del cargo de D. Antonio Moreno y Ácevedo. Por providencia de D. Estéban de la Madrid y Montes, juez comisionado regio en la vicaría general de Toledo, se ha señalado los días 23 y 24 de febrero</t>
  </si>
  <si>
    <t>de la Madrid, Estéban</t>
  </si>
  <si>
    <t>Estéban de la Madrid</t>
  </si>
  <si>
    <t>ñalamiento de 30 dias para la puja del quarto. Quien quisiere hacer dicha mejora, lo executará ante D, Estéban de la Madrid, juez comisionado real en Toledo, por la escribanía que exerce D, Josef da Covos. • •' ■ avisos. ■ A D. Josef Vlia y Carrera, vecino de la ciudad de Barcelona, ce fe han extraviad</t>
  </si>
  <si>
    <t>de la Madrid, Tomás</t>
  </si>
  <si>
    <t>Tomás de la Madrid</t>
  </si>
  <si>
    <t>En Zamora............ D. Josef Alvarez Baragaña. En Zaragoza......... D. Tomas de la Madrid. En Zeiita............... D. Pedro Huguet, comisionado subalterno del de Cádiz. Desde hoi i.° de abril hasta 31 de mayo se renovarán en la tesorería de la real caxa de consolidaci</t>
  </si>
  <si>
    <t>dolid...... D. Simón de Durango. En Zamora........... D. Josef Alvarez Baragaña. En Zaragoza....... D. Tomas de la Madrid. constitución. Véanse las gazetas ntíms. , roo y /O/. TITULO XIII. Disposiciones generales. aut. cxxiv. Habrá una alianza ofensiva y defensiva perpetuamente* tanto por tierra como</t>
  </si>
  <si>
    <t>de la Nueva y Tapia, Antonio</t>
  </si>
  <si>
    <t>Antonio de la Nueva y Tapia</t>
  </si>
  <si>
    <t>Madrid 10000 1453 •£&gt;• Adrián Hernaez............................................. Málaga, 300 511 D. Antonio de la Nueva y Tapia.................... Bilbao. 300</t>
  </si>
  <si>
    <t>de la Palenque, Miguel</t>
  </si>
  <si>
    <t>Miguel de la Palenque</t>
  </si>
  <si>
    <t>amiento sobre la renta del Tabaco por una vez, y 184;por 3 meses á 2 rs. diarios.......... 1461 17. D. Miguel de la Palenque, dependiente del comercio, 6 rs. diarios, por 3 meses......................... ............................ .................. 552. D. Antonio Cano Manuel, alcalde de corte, en va</t>
  </si>
  <si>
    <t>de la Paliza, Joaquín</t>
  </si>
  <si>
    <t>Joaquín de la Paliza</t>
  </si>
  <si>
    <t>en la gazeta de jo de setiembre de D- Pedro Marcelino Blanco, pueden ser útiles para soldados. ; : D. Joaquín de la Paliza jha dado.125 chaquetas de paño blanco, com-&gt; pletas, y con destino para el regimiento de las Ordenes militares. En el suplemento á la gazeta de .Madrid del martes 4 del corriente</t>
  </si>
  <si>
    <t>de la Peña, Antonio Rafael</t>
  </si>
  <si>
    <t>Antonio Rafael de la Peña</t>
  </si>
  <si>
    <t>teases. D. Alfonso Luceño, diputado. D. Josef Lamano, alcalde de id. D. Gregorio Sánchez, diputado. D. Antonio Rafael de la Peña, D. Agustin Plácido Zanon, D. Juan Ventura Apostegui, diputación del Carmen calzado. D. Juan Antonio Ruiz, cura de S. Mi Han. Fr.Juan Josef Capilla, presidente de S. Francisco. P.</t>
  </si>
  <si>
    <t>de la Peña, Juan de Dios</t>
  </si>
  <si>
    <t>Juan de Dios de la Peña</t>
  </si>
  <si>
    <t>............... . 1666 22f D. Vicente Sacristana, 3 rs. diarios, por 2 meses................ . 183. D. Juan de Dios de la Peña, abogado del colegio, 3 id. id..... 183. D. Manuel de la Quintana y Gardoqui, 30 id. id...................... 1830. D. Juan Josef Gamboa, contador general del Excusado y Noveno, 3</t>
  </si>
  <si>
    <t>de la Peña, Manuel</t>
  </si>
  <si>
    <t>Manuel de la Peña</t>
  </si>
  <si>
    <t>IO&gt;3 era comandante el Excmo. Sr. D. Manuel de la Peña, se hallaba en cierta manera defraudado este digno general y sus valerosas tropas de la gloria que tan dignamente adquirieron en Andujar, y el pública de unas noticias que no pued</t>
  </si>
  <si>
    <t>s de D. Nicolás Cherif y la de voluntarios de Utrera a la de D. Josef Sanabria^ El teniente general D. Manuel de la Peña con su cuerpo de reserva , y el mariscal de campo D. Félix Jones , comandante de la tercera división , se apoderaron Ja mañana del 15 de los Visos de Andújar , desde donde instaro</t>
  </si>
  <si>
    <t>e los generales Reding y Coupigni es digna del mayor elogio, no lo es menos la del teniente general D. Manuel de la Peña, que con su cuerpo de reserva y la tercera división, al mando del mariscal de campo D. Félix Jones, se posesionó la mañana del 1 f de los visos de Andujar, desde cuyas alturas inc</t>
  </si>
  <si>
    <t>: ,,Sermo. Sr.: Por varios partes que me ha dirigido á mi llegada á&lt;ésté pueblo el teniente general D. Manuel de la Peña, comandante »en segundo; de las tropas de Andalucía, tengo el honor de poner eh noticia de V. A. S; lo que sigue: „ Habiendo tenido noticia en Logroño el 27 del pasado el capitán</t>
  </si>
  <si>
    <t>s ulteriores operaciones conocía mui mucho; pero habiéndose ordenado segunda vez por el Excmo. Sr.y D. Manuel de la Peña que me retirase , y repasase el Ebro, hube de obedecer en la madrugada del subsiguiente dia 27 , tomando posición en lá torre de Sartaguda. Este ha sido el desgraciado suceso * dé</t>
  </si>
  <si>
    <t>de la Peña, Santiago</t>
  </si>
  <si>
    <t>Santiago de la Peña</t>
  </si>
  <si>
    <t>........................... íob. D. Juan Anronfo del Portillo, pof una vez...................zcíeo. D. Santiago de la Peña, de este comerciopor una vez........... 1500. D. Antonio Vizcaíno y Somoza, agente de negocios................. 400. ManuelvXimenez, peluquero, por unavez........;;;;. ......v-v..</t>
  </si>
  <si>
    <t>de la Peña, Ventura</t>
  </si>
  <si>
    <t>Ventura de la Peña</t>
  </si>
  <si>
    <t>: Manuel Centurión ¿mayoi^loino de semana............................... . '-Ó ni*.-;; íV 1 ' .7' G D. Ventura de la Peña.........5....... .........X............. ............. . . ■ '■ . D. Joaquín Bernardo Cantero , abogado’ d el co l eg i o.... ........... ......... .1.... . D. Antonio Martínez, d</t>
  </si>
  <si>
    <t>de la Peñáy, Manuel</t>
  </si>
  <si>
    <t>Manuel de la Peñáy</t>
  </si>
  <si>
    <t>entró en esta porte el cuerpo de reisenra del ejército de Andalucía con su-comandante*el Excmo. Sr. D. Manuel de la Peñáy y los mariscalesde campo D. Narciso Depedroy marques de. Jelo, y D. Josef Augusto Laporta,destinados á ella, y á su frente el capitán general de aquel exército el Excmo. Sr. D. Francisc</t>
  </si>
  <si>
    <t>de la Piedr, Benito</t>
  </si>
  <si>
    <t>Benito de la Piedr</t>
  </si>
  <si>
    <t>jo , residentes por ahora en Tarragona. En Burgos........... D. Josef Arjzcun. En Cádiz.......... . D. Benito de la Piedr^. ¡ En Cartagena....... D. Bernardo Elizajde. En Ceuta................ D. Pedro Huguet, cami&amp;iopado subalterno del de Cádiz.</t>
  </si>
  <si>
    <t>de la Piedra y Angulo, Domingo</t>
  </si>
  <si>
    <t>Domingo de la Piedra y Angulo</t>
  </si>
  <si>
    <t>... 500 2055 D. Agustín González.......................................... Cádiz.......... 500 2313 D. Domingo de la Piedra y Angulo............... Cádiz........... 300 1829 D. Pedro Bezares................................................ Zaragoza..... 300, 2301 D. Josef de los Reyes............................</t>
  </si>
  <si>
    <t>de la Piedra, Benito</t>
  </si>
  <si>
    <t>Benito de la Piedra</t>
  </si>
  <si>
    <t>. D. Ramón de Llordella é hijo. En Burgos........... . D. Josef Arizcun. En Caatz............... , D. Benito de la Piedra. En Cartagena....... D. Bernardo EJizalde. En Ciudad-Real.. D. Ramón Antonio Pico. En Córdoba............ Sres. Barcia, padre é hijo. En la Coruña........ D. Manuel Elzaurdi. En C</t>
  </si>
  <si>
    <t>res. D. Ramón de Llordella é hijo. En Burgos............ D. Josef Arizcun. En Qadiz................ D. Benito de la Piedra. En Cartagena...... D. Bernardo de Elizalde. En Ceuta... D. Pedro Huguet. En Ciudad-Real.. D. Ramón Antonio Pico. En Córdoba...¿...... Sres. Barcia, padre é hijo. En la Cortina...</t>
  </si>
  <si>
    <t>de la Plaza y Lazarraga, Juan Xavier</t>
  </si>
  <si>
    <t>Juan Xavier de la Plaza y Lazarraga</t>
  </si>
  <si>
    <t>diz........... 300 1541 D. Juan Antonio de Erezuma...................... . Bilbao......... 300 1103 D. Juan Xavier de la Plaza y Lazarraga........ Madrid....... 300 1194 D. Francisco S. Deimaz..................................... Barcelona.... 300 1533 Apolinar de Isuazan...................................... Bilbao.</t>
  </si>
  <si>
    <t>de la Presa, Manuel</t>
  </si>
  <si>
    <t>Manuel de la Presa</t>
  </si>
  <si>
    <t>iz...... 3°o 551 D. Pedro de Torres......... .................................. Madrid.... 300 2112 D. Manuel de la Presa......... . Zaragoza: 300 1208 Doña María Gertrudis de Aranguren' y Sobrado........... ............ ..................... ................... Bilbao., 3000 1465 D. Bernardo Unzaga.</t>
  </si>
  <si>
    <t>de la Presentación Garridocolegiala, María</t>
  </si>
  <si>
    <t>María de la Presentación Garridocolegiala</t>
  </si>
  <si>
    <t>¡Regoaerít 4 camisas..Doña Josefa Moreno 8. *■.: &lt; Dia 5. Doña Josefa Moreno Martínez 1 2 camisas. Doña María de la Presentación Garridocolegiala en el dé Legaiiés 9 6¿ •; -' Dia &lt;T.- Doña María Mendipuetá 6 camisas; D, Manuel González de Lobera y compañía5 42‘ varas y mjtdj3 dé paño azül turqur veíntiquátréno. Doña P. G!1 A.</t>
  </si>
  <si>
    <t>de la Prida, Francisco Antonio</t>
  </si>
  <si>
    <t>Francisco Antonio de la Prida</t>
  </si>
  <si>
    <t>fondo vitalicio, id.......................................................................... 270. D. Francisco Antonio de la Prida , id............................ ............. 320. D. F. N., id....................................... ......................................... 320. D. Josef Sureda, conserge de</t>
  </si>
  <si>
    <t>de la Puente, Juan</t>
  </si>
  <si>
    <t>Juan de la Puente</t>
  </si>
  <si>
    <t>ques de Guardia Real, teniente coronel.de milicias; D. Juan Pras, ayudante de los tercios de Tejas; D. Juan dé la Puente, capitán de fragata; D. Josef Sanmartín, capitán agregado á Bórbon;. D.* Josef Mauri , capitán retirado; D. Antonio Moreno, teniente dfc Hafiuatería jde Cócdobaq el teniente , cor</t>
  </si>
  <si>
    <t>de la Puente, Pedro</t>
  </si>
  <si>
    <t>Pedro de la Puente</t>
  </si>
  <si>
    <t>amisas y 2 vendas. D. T. M. 2 camisas. D. Fernando y D. Manuel García de la Prada 59 camisas finas. D. Pedro de la Puente, arquitecto, 24 camisas nuevas. D. Manuel de Basualdo, corredor de cambios, 6 id. D. Pedro Pjerez Llanos 3 id. D. M. F. del C. 3 camisas y 3 pares de calcetas nuevas. La: viuda de</t>
  </si>
  <si>
    <t>ana y 19 camisas. D. Miguel Entrena, cura de Albalate de Tajuña, 4 camisas. Doña Alfcnsa López una. D. Pedro de la Puente, secretario de la Presidencia ,12. En la gazeta del martes anterior, pág. 1442 , lín. 20, dice Acasta, léase Atocha. ________ No habiéndose podido insertar en esta gazeta Ies part</t>
  </si>
  <si>
    <t>de la Quadra, Ambrosio</t>
  </si>
  <si>
    <t>Ambrosio de la Quadra</t>
  </si>
  <si>
    <t>..... 500 2207 D. Cefeiriño^Arias..................................-........«. Coruña.».». 1500 244 D. Ambrosio de la Quadra, sargento mayor.. Burgos......... 300 2151 D.. Antonio González Viejo............................. Coruña....... ¿*300 2124 D. Josef Tornes........................................</t>
  </si>
  <si>
    <t>de la Quintana y Gardoqui, Manuel</t>
  </si>
  <si>
    <t>Manuel de la Quintana y Gardoqui</t>
  </si>
  <si>
    <t>2 meses................ . 183. D. Juan de Dios de la Peña, abogado del colegio, 3 id. id..... 183. D. Manuel de la Quintana y Gardoqui, 30 id. id...................... 1830. D. Juan Josef Gamboa, contador general del Excusado y Noveno, 30 id. id.................. ..................................................</t>
  </si>
  <si>
    <t>de la Quintana, Ambrosio</t>
  </si>
  <si>
    <t>Ambrosio de la Quintana</t>
  </si>
  <si>
    <t>nte 6 meses, por agosto. 30. Antonio Ferrer, 30 id. durante 3 meses, por un mes................ 30. D. Ambrosio de la Quintana, oficial de la extinguida contaduría de Salinas, 20 id. durante un año, por agosto.................. 20, Pedro Castriilon, tendero, 20 id.durante un año, por 5 meses. ico. El cond</t>
  </si>
  <si>
    <t>de la Quintana, Jacinto</t>
  </si>
  <si>
    <t>Jacinto de la Quintana</t>
  </si>
  <si>
    <t>ncisco, D. Julián, D. Juan y D. Joaquín Diez, por 2 meses á 8 rs. , diarios durante la guerra, 488. D. Jacinto de la Quintana , del. comercio de lienzos , un vale real de 300 pesos de mayo por una vez, 4571 rs. y;5 mts. D. Antonio Martínez, oficial de la tesonería general, por una vez 4© rs. D. Teodoro C</t>
  </si>
  <si>
    <t>de la Quintana, Juan Francisco</t>
  </si>
  <si>
    <t>Juan Francisco de la Quintana</t>
  </si>
  <si>
    <t>..... 3 00 76 D. Joaquín de Urrutia........................... ............ Barcelona.... 3 00 1577 D. Juan Francisco de la Quintana................. . Bilbao...... . 300 2013 IX Josef María Esteban y García............. . Cádiz.......... 600 1706 D. Juaix Manuel de Peralta.,.......*...;........... Cádiz.......</t>
  </si>
  <si>
    <t>de la Quintana, Manuel</t>
  </si>
  <si>
    <t>Manuel de la Quintana</t>
  </si>
  <si>
    <t>....... 20. D. Manuel María Ortiz de Muga, en una boleta de casa real, íd ¡66 2i2v. D. J. M. 60. •. D. Manuel de la Quintana, del comercio , en vales, reales, id... 2327 ,rj» I&gt;. Bernardo Gutiérrez , del comercio, id</t>
  </si>
  <si>
    <t>de la Quintana, Mateo</t>
  </si>
  <si>
    <t>Mateo de la Quintana</t>
  </si>
  <si>
    <t>ádiz......... 600 2275 Doña María Pilar de Atristain............... ...... . Bilbao..... . 500 1078 D. Mateo de la Quintana............ ,...................... Madrid........ 500 1586 D. Gabriel Agustín de Orbegozo..................... Bilbao...,..... 5C0 ¿10 Doña -Bernardina Costarramorti...,,........</t>
  </si>
  <si>
    <t>de la Quintana, Mateó</t>
  </si>
  <si>
    <t>Mateó de la Quintana</t>
  </si>
  <si>
    <t>............. 30. D. Manuel López Arias, mensualmente................. ........... ............ IO. D. Mateó de la Quintana, por 4 meses á 250 rs. mensuales...... IQOO. D. Josef de Gárate, oficial de la fábrica de los cristales, á 60 rs. mensuales ‘* * 4444 4 f ***•*• •*•••*• 44444.444 4 4 4 4 4&gt;4 44 4</t>
  </si>
  <si>
    <t>de la Riva Andrés, Pedro</t>
  </si>
  <si>
    <t>Pedro de la Riva Andrés</t>
  </si>
  <si>
    <t>....... Madrid........ 500 1684 Miguel Vallejo, capitán de exércíto.,....... S. Sebastian. 380 2146 D. Pedro de la Riva Andrés................... ........ Coruña....... 300 1901 D. Manuel de Robledo.......................... Zaragoza..... 300 1776 D. Josef María de Quesada.............................. Cá</t>
  </si>
  <si>
    <t>de la Riva, Pedro</t>
  </si>
  <si>
    <t>Pedro de la Riva</t>
  </si>
  <si>
    <t>reales. D. Juan Jo^ef de la Presilla xoo. D Antonio Xavier de Herrera 2500, D. Manuel Rodriguen 40. D. Pedro de la Riva 60. D. Pablo Muñoz de la (Vega 122 rsi El conde de N. 270 rs. y 25 § mrs. y 7 mrs. en efectos de estado. Doña Luisa Benito'80. D. Angel de Aragón y Alvarez 20o D. Manuel Galan 20.</t>
  </si>
  <si>
    <t>de la Rúa y Figueroa, Juan Manuel</t>
  </si>
  <si>
    <t>Juan Manuel de la Rúa y Figueroa</t>
  </si>
  <si>
    <t>una canongía de la metropolitana de Santiago, vacante por fallecimiento dé D. Cipriano Vinierato, á D. Juan Manuel de la Rúa y Figueroa. \ Atendiendo el Reí á los servicios, mérito y conocimientos del teniente general el Sr. Conde de Ezpeleta, consejero de estado, se ha servido nom-: Erarle director y coronel gene</t>
  </si>
  <si>
    <t>de la Ruá, Pedro Antonio</t>
  </si>
  <si>
    <t>Pedro Antonio de la Ruá</t>
  </si>
  <si>
    <t>........ ........... 50; Josef García-*, maestro-herrador, 30 id. por agosto,.,.,.............. 30. D. Pedro Antonio de la Ruá , 20 id. iá.............. ..... . - 20. • D. Salvador Vesques, 10 id. id........ .............................................. 1 10. Santos de la Fuente, mozo del Banco nacional,</t>
  </si>
  <si>
    <t>de la Serna y Haedo, Martín</t>
  </si>
  <si>
    <t>Martín de la Serna y Haedo</t>
  </si>
  <si>
    <t>.... 1083. d. v. e. p. , id.......... ................ v....................................... 60. D. Martin de la Serna y Haedo, id................ 320. Juan de Mayo , por una vez......... ................................ ......... . 30. Pedro Fernandez de Blas, id..........................................</t>
  </si>
  <si>
    <t>de la Serna, Fernando</t>
  </si>
  <si>
    <t>Fernando de la Serna</t>
  </si>
  <si>
    <t>e correos y caminos compuesta de los .señores D. Manuel de Rerillá, D. Juan d.el Castillo y Carróz, D. Fernando de la Serna , D. Juan García de Villa, D. Francreco NogueVy D. Juan Facundo Caballero, no ha reconocido ni jurado la constitución de Bayona: lo que se manifiesta ai público, porque como dicho</t>
  </si>
  <si>
    <t>de la Torre, Bernardo</t>
  </si>
  <si>
    <t>Bernardo de la Torre</t>
  </si>
  <si>
    <t>o de lienzos, 1® rs. por una vez, y 1464 por 4 meses á 12 rs. diarios...................... . 2464. D. Bernardo de la Torre, su dependiente, 500 rs. por una vez, y 732 por 4 meses á 6 rs. diarios.......... .........;................. I23*D. Francisco Antonio Chavarrí, del comercio de sedas, por un año.</t>
  </si>
  <si>
    <t>de la Torre, Estéban</t>
  </si>
  <si>
    <t>Estéban de la Torre</t>
  </si>
  <si>
    <t>. D. Melchor Gómez de la Torre, diputado id. P. D. Vicente Chiríbella, prepósito de S. Felipe Neri. D. Estéban de la Torre, por el cuerpo del comercio. Don Gabriel Vales, diputado del barrio de lá Cruz. D. Jorge Ancos , secretario de la de Santa María D. Rafael de Goarrichena, secretario de la diputac</t>
  </si>
  <si>
    <t>de la Torre, Esteban</t>
  </si>
  <si>
    <t>Esteban de la Torre</t>
  </si>
  <si>
    <t>os menores. Fueron nombrados los señores siguientes: Vecinos honrados. D. Nicolás García Caballero. D. Esteban de la Torre. D. Pedro Gorron de Cisneros. Apoderados de los gremios menores. D. Eugenio Diaz. Manuel de la Viuda. D. Miguel Martínez. Francisco Perez. Hoi al medio día una diputación de la vi</t>
  </si>
  <si>
    <t>de la Torre, Isidoro</t>
  </si>
  <si>
    <t>Isidoro de la Torre</t>
  </si>
  <si>
    <t>•.......... *.............. 200. í). Francisco Xavier Romano, del mismo consejo, por agosto.. 200. D. Isidoro de la Torre, oontador de la mayor de cuentas, por agosto........................................ ...................................... ................. 60. Manuel Collado, tabernero, por ag</t>
  </si>
  <si>
    <t>de la Torre, Juan</t>
  </si>
  <si>
    <t>Juan de la Torre</t>
  </si>
  <si>
    <t>y patriotismo. En la ciudad de Montara se han entregado Judicial mente y presentado al Sr. alcalde D. Juan de la Torre , presidente :de su Junta de gobierno, tres vales reales , dos de ellos pertenecientes á D. Josef Marmol?jo, y .el otro á D. Juan Diez ..de la Cortina. Estos sugetos , cuya ,•resi</t>
  </si>
  <si>
    <t>de la Torre, Lorenzo</t>
  </si>
  <si>
    <t>Lorenzo de la Torre</t>
  </si>
  <si>
    <t>. Rs. Mr«. Una señora viuda, por una vez..................................................... IOOO. D. Lorenzo de la Torre, id.......................................................... 6 6. D. Rodrigo Rodríguez, portero de la secretaría de la .junta de Comercio y Moneda, id......................... ..</t>
  </si>
  <si>
    <t>de la Torre, Manuel</t>
  </si>
  <si>
    <t>Manuel de la Torre</t>
  </si>
  <si>
    <t>as anteriores renovaciones. * ^ ' : Continúan; loi¿donativos en ‘dinero para el exército de Aragón. D. Manuel de la Torre, capellán de D. Baltasar Doncel 428. las Salesas i y el alcalde del barrio La condesa viuda de los Villares un D. Josef Fabregás, 6f5 rs. y j par de broches de diamantes tablas mr</t>
  </si>
  <si>
    <t>de la Torre, Matías</t>
  </si>
  <si>
    <t>Matías de la Torre</t>
  </si>
  <si>
    <t>s, D. Manuel Entramfbasaguas, D. Pedro Cendeja , D. Josef Manuel del Valie, D. Josef María Bassoco, D. Matías de la Torre, D, Francisco Xavier Vidarte, D. Josef María Bretón, D. Fermín de Labastrda y D. Juan Josef de Zulaica. Ganaron el premio extraordinario de instrucción religiosa los caballeros se</t>
  </si>
  <si>
    <t>de la Torre, Pedro</t>
  </si>
  <si>
    <t>Pedro de la Torre</t>
  </si>
  <si>
    <t>oficial de la comisaría de Cruzada , por 6 meses á real diario...................... ........ 283. D. Pedro de la Torre, del comercio de lienzos, por 4 meses á 12 rs. diarios................ .................. •....... ................................ 1464. D. Josef Ponte,. recaudador de Temporalid</t>
  </si>
  <si>
    <t>de la Vega, Diego</t>
  </si>
  <si>
    <t>Diego de la Vega</t>
  </si>
  <si>
    <t>apoderaron de la isla de Gothland, que estaba por los rusos, el 16. de Mayo. El Vizconde Materosa y D. Diego de la Vega, caballeros Españoles, se presentaron al almirantazgo el 8. del corriente con la plausible noticia de que el principado de Asturias y la Galicia se arman en defensa de sus mas san</t>
  </si>
  <si>
    <t>ñoles si tratasen de 70 hacer resistencia á la violación de sus derechos. Se El Vizconde Materosa y D. Diego de la Vega, comisionados de la Junta de Asturias, que estaban en Madrid el s. de ívl'iyo, aseguran que la pérdida da los franceses en aquel día no baxó de 4ÍL hombres, contándose entre ellos</t>
  </si>
  <si>
    <t>de la Vera, Fernando</t>
  </si>
  <si>
    <t>Fernando de la Vera</t>
  </si>
  <si>
    <t>................... El marques de Moutealegre........... t El arcediano de Toledo.................. D. Fernando de la Vera, gobernador de Madrid.... .......................... x ir El Sr. D. Francisco Gil de Lemos. 2 D. Pablo Recio, sumiller de cortina. l............ El marques de Alcañices...........</t>
  </si>
  <si>
    <t>de la Vera, Juan</t>
  </si>
  <si>
    <t>Juan de la Vera</t>
  </si>
  <si>
    <t>ales. D. Josef O-Donel!,. comandante del tercer batallón de voluntarios de la Corona, en Londres; y D. Juan de la Vera, capitán del real cuerpo de ingenieros, segundos ayudantes generales. D. J uan Caro, capitán, graduado de teniente coronel del regimiento de húsares Españoles; D. Josef Agustín de</t>
  </si>
  <si>
    <t>de la Viaña, Pedro</t>
  </si>
  <si>
    <t>Pedro de la Viaña</t>
  </si>
  <si>
    <t>••••••••• X O# D. Juan Sánchez, 60 id. por'2 meses*........................................... 120. D. Pedro de la Viaña , 60 id. por 3 meses..*...,,........... 180. * D. Gregorio de la Huerta, 20 id. por agosto....................... 20. D. Manuel Perez, 4 id. por 2 meses............... 8. D. Pablo</t>
  </si>
  <si>
    <t>de la Vianca, Juan</t>
  </si>
  <si>
    <t>Juan de la Vianca</t>
  </si>
  <si>
    <t>o Sturla, D. Ramón Alcántara , D. Gerónimo Rabasa, D. Ramón Antonio San Fuertes, capitanes urbanos: D. Juan de la Vianca, D. Basilio Viola, D. Juan Viola, D. Pedro Nolasco Ximenez, D. Juan Jorge, D. Matías Cámara, tenientes urbanos; y D. Manuel de los Ríos, subteniente también de urbanos, que van co</t>
  </si>
  <si>
    <t>de la Villa, Ignacio</t>
  </si>
  <si>
    <t>Ignacio de la Villa</t>
  </si>
  <si>
    <t>niente de granaderos, con grado de capitán, D. Blas Ximenez; tenencia -ai subteniente de granaderos D. Ignacio de la Villa, y subtenencia de bandera al cadete D. Juan Rodríguez Bustamante. El Reí: se ha servido nombrar maestro mayor examinador de armas blanc’as de la real fabrica* de Toledo: á D. Andr</t>
  </si>
  <si>
    <t>de la Viña, Francisco</t>
  </si>
  <si>
    <t>Francisco de la Viña</t>
  </si>
  <si>
    <t>e correos, por una vez. 2200. D. Genaro Faustino Rincón , por una vez.....';................ . 500. D. Francisco de la Viña é Iriarte, oficial de consolidación, en =■ 6 libramientos de intereses de vales del año de 1800 y 1808, por una vez.,.... ...................... . 1353 25. La mar4uesa del Valle d</t>
  </si>
  <si>
    <t>de la Viña, Manuel</t>
  </si>
  <si>
    <t>Manuel de la Viña</t>
  </si>
  <si>
    <t>............... 1460. D. Antonio ¡García déf Campo , del comercio , id. id^u..:,......*.... 1460. , D. Manuel de la Viña é Triarte, por 6 meses a 8 rs1: diárioé.... 4380. D. Bernardo de Iñigo, déf comercio de' paño's, por 1111 año a 3 diarios . ^ i^tcoD. Antonio Soldeviíia, médico de familia, y ¿u y</t>
  </si>
  <si>
    <t>de Laca, Miguel</t>
  </si>
  <si>
    <t>Miguel de Laca</t>
  </si>
  <si>
    <t>....... 300 1340 D. Juan Bautista Carrera................................... Valencia..... 1000 470 D. Miguel de Laca................................. ............. Bilbao.......... 1)03 1523 D. Pedro Josef de Manzanal.............................. Bilbao.......... 303 1864 D. Antonio Domingo de</t>
  </si>
  <si>
    <t>orunk. .I.í.v 300. 1049 D¿ Franciscd Xavier de.M^ndoza^-f...»*..-.-^..*.' MsSdricb/...;/ J^OO' 5 28 D. Miguel de Laca..,«.w«iM.«*.......................... Bilbao/.;..,.;/ .5 00. 9°y D. Julián Martínez Leganes.......................... _ — ^ r Madrid....... • 1 1 50a 1008 D. Juan Quintano........</t>
  </si>
  <si>
    <t>de Laci, Miguel</t>
  </si>
  <si>
    <t>Miguel de Laci</t>
  </si>
  <si>
    <t>nemigos. Finalizado este acto, dispusieron el segundo comandante D. Mariano Ruiz, él sargento mayor D. Miguel de Laci, y demas oficiales del cuerpo, la bendición de una bandera , que por acuerdo de nuestro gefe el Excmo. Sr. Príncipe Pió (antes de su partida) se.mandó hacer y costear entre los of</t>
  </si>
  <si>
    <t>de Laiseca, Antonio</t>
  </si>
  <si>
    <t>Antonio de Laiseca</t>
  </si>
  <si>
    <t>.... . 300. D. Manuel Robustiano Martínez, id................................................ iodo. D. Antonio de Laiseca, en vale.sjreales, id.........i.. 2324 28I D. Ignacio López Sosoaga, dependiente del almacén de curtidos de la real fábrica, de Ara vaca, id.......................................</t>
  </si>
  <si>
    <t>de Laiseca, Francisco</t>
  </si>
  <si>
    <t>Francisco de Laiseca</t>
  </si>
  <si>
    <t>ez de Toledo, regidor perpetuo de Toledo, 500 rs. por una vez, y ademas 6 diarios, por agosto. 686. D. Francisco de Laiseca, del comercio, 4 id.' por 4 meses........ 488. 16</t>
  </si>
  <si>
    <t>de Lamata Linares, Benito</t>
  </si>
  <si>
    <t>Benito de Lamata Linares</t>
  </si>
  <si>
    <t>... ..... 500 876 D. Francisco Aparicio..................................... Madrid..,...;; 300 953 D. Benito de Lamata Linares............................... Madrid..... . 500 019 D. Francisco de Irusta.......... *................................ Madrid...ce»,» 1000 2418 D. Martin de Lucas y Arcayne......</t>
  </si>
  <si>
    <t>de Lamata, Manuel</t>
  </si>
  <si>
    <t>Manuel de Lamata</t>
  </si>
  <si>
    <t>r el capitán caxero de este batallón, que ha llegado á esta con caudales , que el teniente agregado D. Manuel de Lamata, de quien en el dia de ayer di á V. S. parte era extraviado, se halla en Ar joña, curándose de una herida en la pierna derecha, que recibió en el dia de la función del 19, de dond</t>
  </si>
  <si>
    <t>de Landa, Agustín</t>
  </si>
  <si>
    <t>Agustín de Landa</t>
  </si>
  <si>
    <t>D. Manuel Lu- mas 2. ,r t' que 24v¿ Í y- ... -■ . *&gt;&gt;,/•,.- ,0 ’ ,, i'-. Una poíore sirvienta una. D. Agustín de Landa 6 id. y 2 libras D. Josef García Cater, su muger y de hilas. hermano 6. D. Felipe Salcedo 2 camisas. D. Ramón de Aldai 48 pa res de cal* D.-Manuel María de Valdés 2. cetas. D. Plá</t>
  </si>
  <si>
    <t>de Landesa, Juan Antonio</t>
  </si>
  <si>
    <t>Juan Antonio de Landesa</t>
  </si>
  <si>
    <t>00 1953 D. Juan Casaus..................................................... Zaragoza..... v 500 489 D. Juan Antonio de Landesa............................. Bilbao.......... 500 1312 D. Agustín de Ubeda, comerciante................. V alenda..... 600 2322 D. Josef Bernardo Muñoz............................</t>
  </si>
  <si>
    <t>de Lanne, Juan María</t>
  </si>
  <si>
    <t>Juan María de Lanne</t>
  </si>
  <si>
    <t>300 2253 D. Cándido &amp;amon de Meave.......................... Bilbao........ . 600 1803 El brigadier D. Juan María de Lanne..... . Zaragoza...... 500 1677 D. Agustín de Izaguirre............... ................. . S. Sebastian. 300 103 5 D. Francisco Pascual de los Cobos................. Madrid.......;</t>
  </si>
  <si>
    <t>de Lapeña, Pedro Bernardo</t>
  </si>
  <si>
    <t>Pedro Bernardo de Lapeña</t>
  </si>
  <si>
    <t>z.:.*...*.*. 300 920 D. Bartolomé de Anivarro............................ . Madrid!...*!. ifód 2398 D. Pedro Bernardo de Lapeña.............. ....... . Zaragoza..*.'. 500 17 77 D. Juan Josef Sánchez......... .*.**........ Cádiz.......... 500 1617 D. Saturnino de Atueha. ...v..v....Bilbattñ.v..*.. £oor 1967</t>
  </si>
  <si>
    <t>de Lapiaza, Miguel</t>
  </si>
  <si>
    <t>Miguel de Lapiaza</t>
  </si>
  <si>
    <t>;/../.' 300 2028 D. Bernardo Nueve-Iglesias...... ....................... Cádiz......... * 500 3216 D. Miguel dé Lapiaza...................................... Bilbao........ 500 -421 D. Domingo' Abrial............... .....................Santander...*/ 500 850 D. Ildefonso Jo6ef-de Medina‘ Madrid./.</t>
  </si>
  <si>
    <t>de Lapuente y Vargas, María Juliana</t>
  </si>
  <si>
    <t>María Juliana de Lapuente y Vargas</t>
  </si>
  <si>
    <t>árela, Corufía. QOO .... v 1948 D. Tomas Casanova, alcalde de casa y cor te- Zaragoza..... IOOO 810 Doña María Juliana de Lapuente y Vargas... Madrid... IOOO 1730 D, Julián Negrete...................................i....... . Cádi*....... ...» 10000 2450 Doña Manuela Motiet,.y .Pipeda***.*.**/* w. v.wwy-' Zaragoza..*.</t>
  </si>
  <si>
    <t>de Lara y Noriga, Francisco Luis</t>
  </si>
  <si>
    <t>Francisco Luis de Lara y Noriga</t>
  </si>
  <si>
    <t>* Cádiz ......... . 3 00 1796 D. Fernando Saenz de S. Vicente.......... Cádiz............. 600 1703 D. Francisco Luis de Lara y Noriga..... Cádiz............. 500 792 D. Pedro de Llano........................... ....... , Madrid....... 500 5754 D. Martin Moreno..................................... Cádiz....».».».</t>
  </si>
  <si>
    <t>300 220,' D. Isidoro Arias................................................. Coruña....... 500 1704 D. Francisco Luis de Lara y Noriga............... Cádiz......... 500: 2461 D. Josef Lizalde».................. ............. Málaga...... 300 3613 D. Juan Simón de Arriaga , viuda de Bengoa, y D. Antonio Gaubeca...</t>
  </si>
  <si>
    <t>de Lara y Noríga, Francisco Luis</t>
  </si>
  <si>
    <t>Francisco Luis de Lara y Noríga</t>
  </si>
  <si>
    <t>. Cádiz 600 1435 D. Juan Bautista Lacordela............................ . Málaga....... ., 600 1705 D. Francisco Luis de Lara y Noríga............... Cádiz.. 500 1309 D. Antonio Just........ . Valencia..... 300 3024 D. Antonio Blanc y Valdeiiou................... Madrid.. 300 3467 D. Juan López del Rincón........</t>
  </si>
  <si>
    <t>de Lara, Diego</t>
  </si>
  <si>
    <t>Diego de Lara</t>
  </si>
  <si>
    <t>eales al mando de D. Honorato de Fleires, 2 violentos al del teniente del real cuerpo de artillería D. Diego de Lara. La segunda división, compuesta de 200 hombres dé infantería de Soria con 948 miqueletes, al mando del capitán de granaderos del prppio cuerpo í&gt;. Manuel Bodet. La tercera constab</t>
  </si>
  <si>
    <t>de Lara, Isidoro</t>
  </si>
  <si>
    <t>Isidoro de Lara</t>
  </si>
  <si>
    <t>co de Acosta, D. Julián Manuel dé Valverdé, D. Patricio Ortiz/Pareja, Dón Francisco Ruano Santos »y D. Isidoro de Lara, jurados perpetuos; í&gt;. Alfonso Cañedo; y Vigil, dignidad de vicario de coró dé está dicha santa iglesia primada; D. Juan Antonio de Cáceres, caballero dé la real ^ distinguida or</t>
  </si>
  <si>
    <t>de Lardizabal y Uribe, Manuel</t>
  </si>
  <si>
    <t>Manuel de Lardizabal y Uribe</t>
  </si>
  <si>
    <t>nferir plaza efectiva en mi consejo de Estado al marques de las Amarillas, á D. Ignacio Muzquiz , á D. Manuel de Lardizabal y Uribe, á D. Ramón de Posada y Soto , á D. Josef García de León y Pizarro, á D. Ignacio Martínez de Villela, á D. Manuel Romero, á D. Antonio Ranz Romanillos, á Don Estanislao de Lugo, á</t>
  </si>
  <si>
    <t>de Larena, Félix</t>
  </si>
  <si>
    <t>Félix de Larena</t>
  </si>
  <si>
    <t>D. Bartolomé Palacio, del comercio, por una vez 6© rs. D. Angel Gerónimo Alvarez, por id. 5 00 rs. D. Félix de Larena, id. 500 rs. D. Juan Laví y Zavala, id. 1100 rs.. D. Josef López de la Iglesia, id. 40 rs. D. Miguel Castellanos, id. 640 rs. D. Matías. Robles, arcediano de Toledo, por sí y su f</t>
  </si>
  <si>
    <t>de Lariz, Pedro Manuel</t>
  </si>
  <si>
    <t>Pedro Manuel de Lariz</t>
  </si>
  <si>
    <t>diz.......... 50© 731 D. Manuel Gonzalo Fernandez..................... .... Madrid........ 300 3545 D. Pedro Manuel de Lariz........ ............ ...... . Bilbao......... 300 355 D. Domingo Dencel........................................ .... Cádiz.......... 300 J052 D. Francisco García de Trevilla......</t>
  </si>
  <si>
    <t>de Larrauri, Manuel</t>
  </si>
  <si>
    <t>Manuel de Larrauri</t>
  </si>
  <si>
    <t>on los de ella en 78,860. Quien quisiere hacer postura lo executará por la escribanía que desempeña D. Manuel de Larrauri. ' ’ ; * Habiéndose servido aprobar la comision,gubernativa la retasa ó nuevo aprecio de 3 dehesas y diferentes-partes de otras, sitas en el partido de la ciudad de Coria, por pro</t>
  </si>
  <si>
    <t>en 116,747 rs. 11 'mrs. Quien quisiere hacer postura, lo executalá por la escribanía que desempeña D. Manuel de Larrauri. Por.providencia de D.. Nicolás Borres, juez comisionado regio en la diócesi de Badajoz, se ha señalado el dia 16 del ^corriente- para el remate de 350 fanegas de cuerda, al sitio</t>
  </si>
  <si>
    <t>de Larreandi, Francisco Borja</t>
  </si>
  <si>
    <t>Francisco Borja de Larreandi</t>
  </si>
  <si>
    <t>..... 500 2412 D. Henrique Sd Hilaire...................................... Zaragoza 600 3448 » - ■ D. Francisco Borja de Larreandi.................... Zaragoza 500</t>
  </si>
  <si>
    <t>Barcelona.... 300 131 P. M. Fr. Joaquín de Teran............ ............... Valencia..... 300 2447 D. Francisco Borja de Larreandi..................... Zaragoza..... 300 2245 D. Francisco Domingo de Echabarri................ Bilbao......... 300 636 D. Josef Aznarez......................................... . M</t>
  </si>
  <si>
    <t>de Larreta, Andrés</t>
  </si>
  <si>
    <t>Andrés de Larreta</t>
  </si>
  <si>
    <t>dro Gorron de Cisneros, D. Manuel Ramos Zafra, D. Angel de Sata y Zubiria, D. Manuel de Negueruela, D. Andrés de Larreta y D. Joaquín de Romaña; D. Diego García de Millar, Manuel Alonso Gómez, del gremio de botilleros; Santiago Rulica, del gremio de sombrereros; D. Josef de Liona, D, Miguel Sainz , Ánge</t>
  </si>
  <si>
    <t>de Larroca y Arredondo, Francisco</t>
  </si>
  <si>
    <t>Francisco de Larroca y Arredondo</t>
  </si>
  <si>
    <t>.. . Madrid....... 300 2154 Doña María de la Cadena y Perez.................. Coruña..... . 300 585 D. Francisco de Larroca y Arredondo............ Madrid........ 300 2158 D. Tomas de Llano............................................ Coruña........ 600 171 D. Pedro Vall, comerciante............................. Va</t>
  </si>
  <si>
    <t>de las Barreras, Francisco</t>
  </si>
  <si>
    <t>Francisco de las Barreras</t>
  </si>
  <si>
    <t>la diputación de los cinco Gremios &gt;niayares, encara gada de su percibo y custodia. ?■ ■ ; o; ,-*/r D. Francisco de las Barreras j 00. rs. D. Leandro Valladares ^714 rs. a 5 Doña Vicenta Viña 200. .mrs. en efectos de estado. • D. Antonjo Dáyila-toáw • , D, Alfonso;Ibarra 500. 1r^ D. Baitasar Marcó i !• L D.</t>
  </si>
  <si>
    <t>rero honorario de lienzo» de exércitó, 6. D. Pedro de Prado 3 camisas. D. Juan Francisco Rodrigo 6. D. Francisco de las Barreras 50 pares D. Femando Vázquez Ttllez 12. de calcetas. Doña María Vacas una libra de hilas. Lá Excma. Sra. condesa de Castél- D. Josef Antonio de Alcalá 2 caflorido 24 camisas. misas</t>
  </si>
  <si>
    <t>de las Heras, Martín Alonso</t>
  </si>
  <si>
    <t>Martín Alonso de las Heras</t>
  </si>
  <si>
    <t>., id............... ........ ......................... ....................... ............. 1500. D. Martin Alonso de las Heras, id................. ............................... 300. D. Nicolás de Zalles, un vale real id..................... ........................ 4521 22# D. Dionisio Ximenez , capell</t>
  </si>
  <si>
    <t>de las Mercedes Velasco, María</t>
  </si>
  <si>
    <t>María de las Mercedes Velasco</t>
  </si>
  <si>
    <t>Madrid..... . 3°° '1031 -Doña Valentina Paula de Aposta......:.......... Madrid..... . 3000 : 630 'Dona María de las Mercedes Velasco............ Madrid..... . 3 00 c 228 D. Antonio María Balaguer........ Alicante...... 1500 ci:589 'Sres.; Segura, Costazar y* Ibaciola........... Bilbao........ 300 52f D. Joáqu i</t>
  </si>
  <si>
    <t>de Latorre, Manuel</t>
  </si>
  <si>
    <t>Manuel de Latorre</t>
  </si>
  <si>
    <t>500 1328 D. Juan Blot...... ..................................... ........... Valencia...» 300 1030 D. Manuel de Latorre..................................... Madrid...»» 600 1865 ^Doña Tomasa Cruzado................................. . Zaragoza..... 500 2030 D. Pedro Regalado del Campo...............</t>
  </si>
  <si>
    <t>de Lavandero, Miguel</t>
  </si>
  <si>
    <t>Miguel de Lavandero</t>
  </si>
  <si>
    <t>....... . roo. D. Josef Medel y Cabezas , por una vez........................................ 320. *D. Miguel de Lavandero, portero de Rentas , id.................. 60. D. Lorenzo Bade, fiel de la renta del TabacoV* id.......... ......... roo. D. Eugenio Fernandez , id., id..;........ ................</t>
  </si>
  <si>
    <t>de Laviesca, Domingo María</t>
  </si>
  <si>
    <t>Domingo María de Laviesca</t>
  </si>
  <si>
    <t>ao......... 300 1321 D. Juan Bautista Carrera................... ............ Valencia..... 3°° 485 D. Domingo María de Laviesca....... ....... . Bilbao......... 1000 2001 D. Santiago Caharroy...... ...... ............. .......... Cádiz.......... 600 774 D. Pedro Gorras.............. ......... .......... ..</t>
  </si>
  <si>
    <t>de Laviesca, Francisco Xavier</t>
  </si>
  <si>
    <t>Francisco Xavier de Laviesca</t>
  </si>
  <si>
    <t>.... Coruña....... 300 804 D. Manuel González del Campo......... ............ Madrid....... 300 486 D. Francisco Xavier de Laviesca.................... Bilbao........ 500 2453 D. Hilario Ximenez......................... ........ Zaragoza..... 300 1335 Doña Antonia Rodríguez, viuda de Delgado. Valencia..... 300</t>
  </si>
  <si>
    <t>de Lecanda, Juan</t>
  </si>
  <si>
    <t>Juan de Lecanda</t>
  </si>
  <si>
    <t>..........., Cádiz..........:. 1500 — o /"«. ÍA X/. vjuSIuC SliutidS ■ Zaragoza..... x 007 600 3028 D. Juan de Lecanda.............. Madrid..... . 3 00 1821 D. Josef Navarro y Marcos. Zaragoza..... 500 1063 D. Vicente Comercn.......... . Madrid.»..... 500</t>
  </si>
  <si>
    <t>de Lejalde, Manuel</t>
  </si>
  <si>
    <t>Manuel de Lejalde</t>
  </si>
  <si>
    <t>al monasterio de nuestra señora de la Oliva; D. Miguel Escudero, D. Manuel Díaz del Rio, diputados; D. Manuel de Lejalde, D. Francisco Ibañez y D. Alexandro Dolarea y Nieva, síndicos consultores , y puestos en pie y descubiertos, á presencia de los señores alcalde y regidores de dicha ciudad, y otra</t>
  </si>
  <si>
    <t>de León Martínez, Julián</t>
  </si>
  <si>
    <t>Julián de León Martínez</t>
  </si>
  <si>
    <t>D. Dámaso Mexía, vecino de Seseña.. 1 El marques de Santiago y de Monreal. 1 x i cabezid* ! ' ; ■ i D. Julián de León Martínez, vecino de Alcobendas.................................. 1</t>
  </si>
  <si>
    <t>de Lequerica, Agustín Antonio</t>
  </si>
  <si>
    <t>Agustín Antonio de Lequerica</t>
  </si>
  <si>
    <t>..................... Valencia..... 300 921 D, Bartolomé de Ambarro....... Madrid*........ 500 2247 D, Agustín Antonio de Lequerica. ................ Bilbao,.,..... 3 00 de continuara.</t>
  </si>
  <si>
    <t>de Lera y Caño, Blas</t>
  </si>
  <si>
    <t>Blas de Lera y Caño</t>
  </si>
  <si>
    <t>ta María. Fr. Miguel de Herrín, guardián de S. Gil. D. Francisco Ignacio Muñoz, cura de Santa Cruz. D Blas de Lera y Caño, cura de S. Pedro. D. Juan de Lera y Caño, cura de S. Salvador. D. Gregorio Marín, cura de S. Justo. D. Miguel de Olivan, vicario castrense. D. Miguel Perez, secretario de la dipu</t>
  </si>
  <si>
    <t>de Lera y Caño, Juan</t>
  </si>
  <si>
    <t>Juan de Lera y Caño</t>
  </si>
  <si>
    <t>de S. Gil. D. Francisco Ignacio Muñoz, cura de Santa Cruz. D Blas de Lera y Caño, cura de S. Pedro. D. Juan de Lera y Caño, cura de S. Salvador. D. Gregorio Marín, cura de S. Justo. D. Miguel de Olivan, vicario castrense. D. Miguel Perez, secretario de la diputación de S. Luis. D. Agustín López, diput</t>
  </si>
  <si>
    <t>de Lerin Bracamente, Gaspar</t>
  </si>
  <si>
    <t>Gaspar de Lerin Bracamente</t>
  </si>
  <si>
    <t>.......... 361. D; Francisco Nuñez, en intereses de id. id...... .......................... 50 : 8. D. Gaspar de Lerin Bracamente, ministro del consejo de Ordenes, un vale de 150 pesos de setiembre y un recibo de intereses de la misma moneda, id..... .................................... ........ 235 5 19* Jf</t>
  </si>
  <si>
    <t>de Lerin, Antonio</t>
  </si>
  <si>
    <t>Antonio de Lerin</t>
  </si>
  <si>
    <t>y Cárdenas, por una vez........ ........... 300. La viuda de D. Josef Celada una bandeja de plata. D. Antonio de Lerin, por una vez....................................... . 20000. D. Josef Tresen, por .una vez............................................ ............. 300. D. Agustín Esteve, pintor</t>
  </si>
  <si>
    <t>de Lesarri, Diego Manuel</t>
  </si>
  <si>
    <t>Diego Manuel de Lesarri</t>
  </si>
  <si>
    <t>agon, tasada en 72,503 rs. Quien quisiere hacer postura io executará por la escribanía del cargo de D. Diego Manuel de Lesarri. Por, providencia de D. Juan Antonio Rivas, juez comisionado regio en la dúv cesis de Badajoz, se ha señalado el dia 7 de febrero próximo para el remate de di fuertes de tierra la</t>
  </si>
  <si>
    <t>de Lezo y Garro, Nicolás Luis</t>
  </si>
  <si>
    <t>Nicolás Luis de Lezo y Garro</t>
  </si>
  <si>
    <t>Garino, racionero deja misma iglesia; y para la ración que resulta vacante por el ascenso de este á D. Nicolás Luis de Lezo y Garro: para la canongía de la catedral de Cartagena , vacante por promoción de D. Eugenio García al arcedianato titular de la misma iglesia, y renuncia de D. Josef María Prichardo, á qu</t>
  </si>
  <si>
    <t>de Llaguno, Antonio</t>
  </si>
  <si>
    <t>Antonio de Llaguno</t>
  </si>
  <si>
    <t>.................. 100. D. Manuel Barceta, 30 rs. mensuales, por agosto........................ 3o* D. Antonio de Llaguno , oficial del departamento del Fomento y Balanza, 250 id. id.................................................................... 250. D. Nicolás Prieto, portero de la tesorería ge</t>
  </si>
  <si>
    <t>de Llamas, Pedro</t>
  </si>
  <si>
    <t>Pedro de Llamas</t>
  </si>
  <si>
    <t>Casida;. =. El Excmo» Sr» conde del Pdoiuijo. ss-El Excmo» Sr* enarques de Palacio* = El Excmo. Sr. D. Pedro de Llamas. =s El brigadier de ingeniaros D» Agustín Bueno. tjs E’l briga,dier de la real armada D. Gabriel de Ciscar,. con iuar clones de Secretario general. t { Cádiz 7 de Octubre• La inst</t>
  </si>
  <si>
    <t>de Llano Ponte, Nicolás</t>
  </si>
  <si>
    <t>Nicolás de Llano Ponte</t>
  </si>
  <si>
    <t>rticipa al Excmo. Sr. D. Vicente María Acevedo, general en gefe, que con orden del teniente general D. Nicolás de Llano Ponte, comandante en el puerto de S. Isidro, salió con una partida de tropa para la ciudad de León, i fin de adquirir noticia de los enemigos, y hacer acopio de trigo. Entró en efecto e</t>
  </si>
  <si>
    <t>de Llano, Manuel</t>
  </si>
  <si>
    <t>Manuel de Llano</t>
  </si>
  <si>
    <t>... Burgos........ 500 214 Sres. D. Juan Rusheu y compañía.................. Alicante...... 503 914 D. Manuel de Llano y compañía*........... ....... Madrid ...... 1 oco 463 D. Josef de Irunclaga......................................... Bilbao......... 300 748 D. Mauricio.de Parada..................</t>
  </si>
  <si>
    <t>.................1298 D. Miguel de Iraceburu.........i;...............,;.... Valencia..'... 300 9*3 D. Manuel de Llano y compañía................. Madrid....... 300 1608 Sres. D. Nicolás de Sarachaga y compañía...... Bilbao......;.. 3000 2072 D. JuSn Francisco Xeres..... i..... Cádi¿**....U 606 1023</t>
  </si>
  <si>
    <t>de Llano, Pedro</t>
  </si>
  <si>
    <t>Pedro de Llano</t>
  </si>
  <si>
    <t>.... Cádiz............. 600 1703 D. Francisco Luis de Lara y Noriga..... Cádiz............. 500 792 D. Pedro de Llano........................... ....... , Madrid....... 500 5754 D. Martin Moreno..................................... Cádiz....».».». 600 3 733 D. Julián Negrete......................</t>
  </si>
  <si>
    <t>. |oo 1181 Mr. de Fraguies................................................... Barcelona.... 300 793 D. Pedro de Llano............................................. Madrid....... 500 1780 D. Juan Manuel de Peralta............................... Cádiz.......... 300 132 D. Salvador de Perellos y Lanu</t>
  </si>
  <si>
    <t>de Llano, Tomás</t>
  </si>
  <si>
    <t>Tomás de Llano</t>
  </si>
  <si>
    <t>..... Coruña..... . 300 585 D. Francisco de Larroca y Arredondo............ Madrid........ 300 2158 D. Tomas de Llano............................................ Coruña........ 600 171 D. Pedro Vall, comerciante............................. Valencia..... 600 1809 D. Joaquín Eugenio de Onís.......</t>
  </si>
  <si>
    <t>de Llordella, Ramón</t>
  </si>
  <si>
    <t>Ramón de Llordella</t>
  </si>
  <si>
    <t>ómez. •' En Badajoz........... D. Francisco Fernandez de la Peña y San Miguel* En Barcelona...... . D. Ramón de Llordella é hijo. En Burgos........... . D. Josef Arizcun. En Caatz............... , D. Benito de la Piedra. En Cartagena....... D. Bernardo EJizalde. En Ciudad-Real.. D. Ramón Antonio Pico</t>
  </si>
  <si>
    <t>. En Badajoz.......... D. Francisco Fernandez de la Peña y de San Miguel* En Barcelona....... Sres. D. Ramón de Llordella é hijo. En Burgos............ D. Josef Arizcun. En Qadiz................ D. Benito de la Piedra. En Cartagena...... D. Bernardo de Elizalde. En Ceuta... D. Pedro Huguet. En Ciudad</t>
  </si>
  <si>
    <t>ras Gómez. En Badajoz......... D. Francisco Fernandez de la Peña y San Miguel* En Barcelona...... . D. Ramón de Llordella é hijo , residentes por ahora en Tarragona. En Burgos........... D. Josef Arjzcun. En Cádiz.......... . D. Benito de la Piedr^. ¡ En Cartagena....... D. Bernardo Elizajde. En Ceut</t>
  </si>
  <si>
    <t>de Lope, Manuel</t>
  </si>
  <si>
    <t>Manuel de Lope</t>
  </si>
  <si>
    <t>rario de la secretaría de Estado-, 120 id. id......... ........ ............................ . 120. D. Manuel de Lope, oficial del Banco nacional, 20 id. por 5 meses..................................................................................... ico. Un labrador, 30 id. por 2 meses..........</t>
  </si>
  <si>
    <t>de los Heros, Manuel Ramón</t>
  </si>
  <si>
    <t>Manuel Ramón de los Heros</t>
  </si>
  <si>
    <t>a vez,.................. ................ ................................................... 1080. D. Manuel Ramón de los Heros, id........................................... 500. El marques de Z, id................................ -................................... 1000. D. Jacinto Giro, administrador d</t>
  </si>
  <si>
    <t>de los Heros, Nicolás</t>
  </si>
  <si>
    <t>Nicolás de los Heros</t>
  </si>
  <si>
    <t>. El alcalde D. Mariano Alonso hará la de los barrios de Buen-Suceso, Baronesas y Pinto. El regidor D. Nicolás de los Heros, barrios de la Cruz, Trinitarias y Jesús Nazareno. Quartel de Avapies. El alcalde D. Manuel Perez de Rozas hará la de los barrios de Santa Isabel , Ave María y Trinidad. El regido</t>
  </si>
  <si>
    <t>fuese el S¡r. corregidor. ! ^Señores vocales que asistieron d este acto. Sr. corregidor. Regidores: D. Nicolás de los Heros. D. Juan de Castañedo. D. Diego del Rio. D. Pedro Roldan. D. -Francisco Taona. D. María-* no Blancas. D. Julián* de ¥uenté$¡' Dij&gt;ütados: D. Manuel Montaos. D., Juan * Madrid Dávi</t>
  </si>
  <si>
    <t>de los Ríos, Carlos</t>
  </si>
  <si>
    <t>Carlos de los Ríos</t>
  </si>
  <si>
    <t>de Mallorca D. Antonio Hernando, del propio de Irlanda D. Patricio Kearney, del inmemorial del Rei D. Carlos de los Ríos , y del de Ñapóles D. Manuel Masoauta. JEn América. Habiéndose dignado S. M. aumentar dos canongías y dos raciones en la catedral de Cuenca del Perú , se ha servido el Reí nombrar</t>
  </si>
  <si>
    <t>de los Ríos, Gabriel</t>
  </si>
  <si>
    <t>Gabriel de los Ríos</t>
  </si>
  <si>
    <t>e maestranza , grados de capitán de milicias urbanas: á los subtenientes de las expresadas milicias D. Gabriel de los Ríos , D. Gaspar Urdapiileta ,;JD. Juan Narcdo y Riega, D. JósefMaría Santelices , D. Josef Matías Costa, Don Juan Domingo Allende , D. Juan Francisco Diaz , D. Angel Hubach ; á los su</t>
  </si>
  <si>
    <t>de los Ríos, Manuel</t>
  </si>
  <si>
    <t>Manuel de los Ríos</t>
  </si>
  <si>
    <t>ola, D. Juan Viola, D. Pedro Nolasco Ximenez, D. Juan Jorge, D. Matías Cámara, tenientes urbanos; y D. Manuel de los Ríos, subteniente también de urbanos, que van comprehendidos en sus respectivas ciases para obtener las inmediatas graduaciones, ha resuelto S. M. que en su real nombre les dé ademas e</t>
  </si>
  <si>
    <t>de los Ríos, Miguel</t>
  </si>
  <si>
    <t>Miguel de los Ríos</t>
  </si>
  <si>
    <t>iru fue muérto en la acción del 16 ; y herido.en la dei día 19 el teniente coronel del mismo cuerpo D. Miguel de los Ríos. ‘ En:el regimiento de la Corona fué herido igualmente el 16 el capitán D. Santos García. Los tenientes del regimiento de Irlanda D. Juan Monet y D. Josef Moreno, con ei subtenien</t>
  </si>
  <si>
    <t>de Lostra, Juan Miguel</t>
  </si>
  <si>
    <t>Juan Miguel de Lostra</t>
  </si>
  <si>
    <t>300 503 D. Juan Aiexo de la Llana Bilbao..,.,... 300 893 D. Ramón Lletget... Madrid....... 300 2031 D. Juan Miguel de Lostra.............. ...... . Cádiz 600 1435 D. Juan Bautista Lacordela............................ . Málaga....... ., 600 1705 D. Francisco Luis de Lara y Noríga............... Cádiz..</t>
  </si>
  <si>
    <t>de Loya, Ramón</t>
  </si>
  <si>
    <t>Ramón de Loya</t>
  </si>
  <si>
    <t>total 9038. Notas. Del regimiento de Guadalaxara ha seguido á la división el capitán de granaderos D. Ramón de Loya , el teniente D. Ignacio Gorrines, y 120 hombres que se hallaban prontos en Fionia para pasar á reunirse con su cuerpo en la isU de Zelanda ,, y que coa éste motivo fue posible el</t>
  </si>
  <si>
    <t>de Lucas y Arcayne, Martín</t>
  </si>
  <si>
    <t>Martín de Lucas y Arcayne</t>
  </si>
  <si>
    <t>500 019 D. Francisco de Irusta.......... *................................ Madrid...ce»,» 1000 2418 D. Martin de Lucas y Arcayne......................... Zaragoza 300 1710 D. Juan Manuel de Peralta..................... -........... Cádiz......... ; 3Q0 2186 D. Juan Antonio Várela......*...».................</t>
  </si>
  <si>
    <t>de Lucas y Arcayne, Rafael</t>
  </si>
  <si>
    <t>Rafael de Lucas y Arcayne</t>
  </si>
  <si>
    <t>..»................ Coruña. '..4. ióoo 9OI D. Francisco López Nuñez................; Madrid300 2417 D. Rafael de Lucas y Arcayne.».»................ Zaragoza;.... 300 1847 D. Juari António Sánchez................ .... w .».*;... Za rágoza...» 1500 591 D. Josef Moreno Martínez................... !...........</t>
  </si>
  <si>
    <t>de Luna, Blas</t>
  </si>
  <si>
    <t>Blas de Luna</t>
  </si>
  <si>
    <t>Juan Ruiz Alvarez. .**».....••••*-**•# ss as. (D. Antonio Echesuria. Contuso.......... Subteniente. D. Blas de Luna. Extraviado..... Subteniente. D. Josef Roldan. Provincial de Bujalance. Muerto........... Subteniente. D. Josef Ariza. Extraviado...... Teniente...*. D. Juan de Melgara. Contuso..</t>
  </si>
  <si>
    <t>de Madrid Dávila, Juan</t>
  </si>
  <si>
    <t>Juan de Madrid Dávila</t>
  </si>
  <si>
    <t>aría del Castillo, id..................................... ..................... .............. 20. D. Juan de Madrid Dávila, id......................................................... icoo. D. Leoncio Carralon, dependiente del real oficio de furriera, id. 40. D. Manuel Romeral, director de niños, id..</t>
  </si>
  <si>
    <t>de Madrid, Juan</t>
  </si>
  <si>
    <t>Juan de Madrid</t>
  </si>
  <si>
    <t>de MollineD. Santiago .Gandedó Pelaez .4. do 24. Doña María Poazoti y Pía 4. D. Francisco Asui 12. D. Juan de Madrid 6. .D, Antonio Sanz Ruiz 2. Doña Pascuala de la Plaza una. Doña :M. A. S. 12. Doña María' Leama y Seco;£&gt; s; A \ D* Ántonip Pereira 5. ,r ‘Doña Maríá) Nidolasa de; Arquero.s 4. D.</t>
  </si>
  <si>
    <t>de Marimon, Ramón</t>
  </si>
  <si>
    <t>Ramón de Marimon</t>
  </si>
  <si>
    <t>vido conferir la tenencia coronela del regimiento de reales guardias Españolas al mariscal de campo D. Ramón de Marimon, sargento mayor del mismo cuerpo. El Reí se ha servido nombrar subteniente de la brigada de artilleros</t>
  </si>
  <si>
    <t>de Marticorena, Juan</t>
  </si>
  <si>
    <t>Juan de Marticorena</t>
  </si>
  <si>
    <t>........ IOCO 1134 D. Antonio-Balaguer......... ................—....... . Zaragoza... ..; 300 1946 D. Juan de Marticorena................................... Zaragoza.....: 500 7¿5 D. Manuel Callejo de Alba........................... . Madrid........ 500. 2243 Sres. Gandasegui, hijos y compañía.......</t>
  </si>
  <si>
    <t>de Martín, Juan Pedro</t>
  </si>
  <si>
    <t>Juan Pedro de Martín</t>
  </si>
  <si>
    <t>ero Molero, en cuyo caso se celebrará el remate dentro de tercero día siguiente. Por providencia de D. Juan Pedro de Martin©, juez comisionado regio en h diócesi de Tortosa, se ha señalado el día 20 del corriente para el remate de las fincas siguientes*. 3 heredades unidas, la una de huerto, con su cas</t>
  </si>
  <si>
    <t>de Mata Duque, Juan</t>
  </si>
  <si>
    <t>Juan de Mata Duque</t>
  </si>
  <si>
    <t>1 D. Domingo Fernandez de Palacios El brigadier D. Antonio de Castilla 300 4585 rs. 22 mrs. en id. D. Juan de Mata Duque 1800 en D. Pedro Marcelino Blanco 45 2 j rs. efectos de, estado. .... 5/mrsi"enOíd. Doña María García Sánchez 40.' D. J. G. de Á. 1200 en cédulas. Doña Gila .Moreno 30. ; &lt;• D. Jo</t>
  </si>
  <si>
    <t>de Mata Iliana, Juan</t>
  </si>
  <si>
    <t>Juan de Mata Iliana</t>
  </si>
  <si>
    <t>los barrios que componen los ro quarteles de Madrid. D. Silverio Perez. por el quarrel de Avapies; D. Juan de Mata Iliana, Palacio; D. Ignacio García, Plaza mayor; D. Ramón García Ximenez , San Francisco; D. Gregorio Uriondo, S. isidro; D. Juan Bautista Elasa , San Gerónimo ; D. Tomas Sanz Ibarrola ,</t>
  </si>
  <si>
    <t>de Mata Ribera, Juan</t>
  </si>
  <si>
    <t>Juan de Mata Ribera</t>
  </si>
  <si>
    <t>rasados............................ i............. ................................... 631.... 25 * D. Juan de Mata Ribera............................................................. 200. D. Francisco ‘Calleja González................................ .................. 100. Doña Xaviera de Ochoa y Am</t>
  </si>
  <si>
    <t>de Mata y Aráis, Luis</t>
  </si>
  <si>
    <t>Luis de Mata y Aráis</t>
  </si>
  <si>
    <t>ondo .y ita í ícj^,, _td,... y &gt; •••»••»«•«••••• • . 912D. R. R., íd• ...¿j...tj.........¡i.i. ,40. D. Luis de Mata y Aráis jopreceptor de latinidad, en libramientos de intereses de. vales reales y efectivo, id...i........... 661. D. Francisco Arhaiz y Brínga's, del comercio, en libramientos del Fondo</t>
  </si>
  <si>
    <t>de Mata y Araujo, Luis</t>
  </si>
  <si>
    <t>Luis de Mata y Araujo</t>
  </si>
  <si>
    <t>para .facilitar su estudio, por D. Luis de Mata y Araujo , profesor de latinidad y humanidades en esta corte. Véndese en las librerías de Gómez Fuentenebro, calle de las Carretas, de Burguillos, frente á S. Sebastian, y en casa del auto</t>
  </si>
  <si>
    <t>de Mata Zuñiga, Juan</t>
  </si>
  <si>
    <t>Juan de Mata Zuñiga</t>
  </si>
  <si>
    <t>d........ 3°° 812 Doña Rafaela Martin.......................... ........... Madrid........ 500 2°37 D. Juan de Mata Zuñiga...................... . Cádiz......... 3000 2190 D. Leopoldo de S. Vicente y Godoi.............. Coruña........ 3^00 391 D. Basilio Augustin, capitán de ingenieros.... Coruña.....</t>
  </si>
  <si>
    <t>de Mata Zúñiga, Juan</t>
  </si>
  <si>
    <t>Juan de Mata Zúñiga</t>
  </si>
  <si>
    <t>Rs; vn. Havana»............ ,.......i....................... ........... . Cádiz;»:!..¿1; 1000 *Ol8 D, Juan dé Mata Zúñiga. ; Cádiz....I...-. 300 3*7 D. Juan' Bautista Lar ragoy ti»»»..»................ Coruña. '..4. ióoo 9OI D. Francisco López Nuñez................; Madrid300 2417 D. Rafael de Lucas</t>
  </si>
  <si>
    <t>. Málaga........ IOOCO 364 D. Bernardo de Nueve-Iglesias.................. Cádiz.......... ioo 2319 D. Juan de Mata Zúñiga.............................. Cádiz.......... 500 25 D. Bernabé Rodríguez Cabriada y Pardo... Zaragoza..... 6co 1721 D. Francisco Arralan y Valdés, de Bexer. • « • Cádiz..........</t>
  </si>
  <si>
    <t>de Match y Virgili, Tomás</t>
  </si>
  <si>
    <t>Tomás de Match y Virgili</t>
  </si>
  <si>
    <t>del de España D. Luis Padilla; y subtenencia de bandera en el de voluntarios de Castilla al cadete D. Tomas de Match y Virgili. En el batallón de; voluntarios dé Barbastro se ha servido S. M. promor ver á teniente, al subteniente D. Manuel Mendéz Benegasi; y á'subteniente de bandera al cadete D. Juan Nepo</t>
  </si>
  <si>
    <t>de Matos, Francisco</t>
  </si>
  <si>
    <t>Francisco de Matos</t>
  </si>
  <si>
    <t>o Granados ; á ayudante segundo al segundo teniente D. Francisco Dugi; á este empleo al subteniente D. Francisco de Matos, y á esta subtenencia aLcadete D. Josefde Fuentes: en el regimiento suizo de Preux á subtenientes de granaderos á los de fusileros D, Francisco ICalbermaten y D. Josef de Preux; y</t>
  </si>
  <si>
    <t>de Mazon Carrea, Manuel</t>
  </si>
  <si>
    <t>Manuel de Mazon Carrea</t>
  </si>
  <si>
    <t>r.... 3°° 1911 D. Francisco Rousille................... ................. . Zaragoza.... ¿ 3 00 524 D. Manuel de Mazon Carrea.......................... Bilbao........ . 000 869 D. Ventura Fita................................................. Madrid........ 1000 783 D. Baltasar de Andrade............ ....</t>
  </si>
  <si>
    <t>de Melgara, Juan</t>
  </si>
  <si>
    <t>Juan de Melgara</t>
  </si>
  <si>
    <t>vincial de Bujalance. Muerto........... Subteniente. D. Josef Ariza. Extraviado...... Teniente...*. D. Juan de Melgara. Contuso........ Coronel....... Marques de Jas Atalayuelas. Cuenca. Muerto.....;.... Subteniente. D. Natalio Garrido. Ciudad Real. Muerto........... Subteniente. D. Nicolás Muñoz.</t>
  </si>
  <si>
    <t>de Mello, Pedro</t>
  </si>
  <si>
    <t>Pedro de Mello</t>
  </si>
  <si>
    <t>ermán queda nombrado secretario de estado por lo que toca al departamento del interior y de rentas. Don Pedro de Mello, consejero de gobierno, por lo que hace al ramo del interior, y el señor Acevedo para el de rentas. Mr. Lhuitte queda nombrado secretario de estado para los departamentos de guerr</t>
  </si>
  <si>
    <t>de Mendinueta, Pedro Simón</t>
  </si>
  <si>
    <t>Pedro Simón de Mendinueta</t>
  </si>
  <si>
    <t>a victoria puede libiarios de la; muerte.Cádiz - 16. de Septiembre. Esta Junta : ha nombrado al Sr. D. Pedro Simón de Mendinueta, administrador de esta real aduana, y al Sr. D. Manuel de Michéo, síndico personero, para trasladarse cerca de la Junta central; y al Sr. D. Dámaso Joaquín de Sanpelayo cerca de l</t>
  </si>
  <si>
    <t>de Mendoza, Andrés</t>
  </si>
  <si>
    <t>Andrés de Mendoza</t>
  </si>
  <si>
    <t>D. Verermindo Ramírez de Areliano, teniente coronel del de Farnesio'; y el de Alcántara al coronel D. Andrés de Mendoza, teniente coronel del propio cuerpo: compañía en el de Borbon al ayudante, graduado de capitán, D. Carlos Vega; y en el de Farnesio terienciaál alférez D. Joaquin de Tornos. Tambi</t>
  </si>
  <si>
    <t>de Mi, Francisco</t>
  </si>
  <si>
    <t>Francisco de Mi</t>
  </si>
  <si>
    <t>e estos pueblos. Mantesa i§ de octubre. Parte dado á la junta de gobierno de Manresa por el coronel D. Francisco de Mi lans. ./ „El dia io á las 6 de la mañana fui atacado por y colimas de infantería, 400,caballos y 9 cañones ,3 por el frente y 2 por los flancos, dirigiéndose i cogerme la retaguardia</t>
  </si>
  <si>
    <t>de Michéo, Manuel</t>
  </si>
  <si>
    <t>Manuel de Michéo</t>
  </si>
  <si>
    <t>unta : ha nombrado al Sr. D. Pedro Simón de Mendinueta, administrador de esta real aduana, y al Sr. D. Manuel de Michéo, síndico personero, para trasladarse cerca de la Junta central; y al Sr. D. Dámaso Joaquín de Sanpelayo cerca de la Junta Suprema de * Sevilla. Las cartas de Galicia aseguran, que</t>
  </si>
  <si>
    <t>de Michilena, Manuel</t>
  </si>
  <si>
    <t>Manuel de Michilena</t>
  </si>
  <si>
    <t>gigal esta destinado á este exército, y sigue al quartel general. Intendente el comisario ordenador D. Manuel de Michilena. Auditor de guerra D. Josef Joaquín de Irriherri. En las 4 divisiones hai una compañía de zapadores en cada una, 2 de ellas del real cuerpo de ingenieros, y otras 2 que ?e formaro</t>
  </si>
  <si>
    <t>de Miguel Bravo, Manuel</t>
  </si>
  <si>
    <t>Manuel de Miguel Bravo</t>
  </si>
  <si>
    <t>acén de curtidos de la real fábrica, de Ara vaca, id.......................................... 500. D. Manuel de Miguel Bravo, agente de negocios, á cuenta de 900 rs. anuales.................................. ....... .................. ...................... ‘ 300. D. Francisco Antonio González, 10 rs. m</t>
  </si>
  <si>
    <t>de Milans, Francisco</t>
  </si>
  <si>
    <t>Francisco de Milans</t>
  </si>
  <si>
    <t>se quando acaso sea tarde....” (Gázeta de Valencia di l zp de agosto.) Con fecha del 11 de este mes D. Francisco de Milans dio cuenta á la junta de esta ciudad del ataque que sostuvo el dia antes con las tropas de su mando contra los franceses en las inmediaciones de esta plaza. El parte que ha remiti</t>
  </si>
  <si>
    <t>de Miñano y las Casas, Andrés</t>
  </si>
  <si>
    <t>Andrés de Miñano y las Casas</t>
  </si>
  <si>
    <t>espachos del mismo Almirante. Da Junta Suprema ha comisionado á dos vocales suyos los Excmos. Sres. D. Andrés de Miñano y las Casas y D. Josef de Checa con un Secretario, para que pasen á cumplimentar en su nombre al Excmo. Sr. D. Manuel Torrado, Diputado del ilustre reyno de Galicia y de su Junta Suprema á esta;</t>
  </si>
  <si>
    <t>de Minondo, Ignacio</t>
  </si>
  <si>
    <t>Ignacio de Minondo</t>
  </si>
  <si>
    <t>. , Bilbao......... 3°o 245 7 Brigadier D. Josef Antonio Arrúé de Azcoytia. S. Sebastian. IOOO 1605 D. Ignacio de Minondo.........Bilbao.......... 500 2008 D. Josef Screller............................. ................... Cádiz........... 500 2343 Excmo. Sr. Marques de Villafranca............... Zar</t>
  </si>
  <si>
    <t>de Miranda, Cayetano</t>
  </si>
  <si>
    <t>Cayetano de Miranda</t>
  </si>
  <si>
    <t>ín por una trocha, sostenido por una partida suya de Campomayor, al cargo del subteniente del mismo D. Cayetano de Miranda, y la Caballería de su mando de úsares de Olivencia, y Borbon, cuya fuerza consistía en 21. caballos: con ellos pasó á la casa de postas, situada en Sta. Cecilia: al llegar á ella</t>
  </si>
  <si>
    <t>de Mollinedo, Gregorio</t>
  </si>
  <si>
    <t>Gregorio de Mollinedo</t>
  </si>
  <si>
    <t>o, id............... ................. .......... ................. ......................... 1000. D. Gregorio de Mollinedo, del comercio, en intereses de vales reales de 1808, y libramientos de vitalicios de i8of , id....... 20000. D. Ramon Cahrera, presbítero , 2 salvillas de plata con pesó de 104 on</t>
  </si>
  <si>
    <t>de Mollinedo, Lorenzo</t>
  </si>
  <si>
    <t>Lorenzo de Mollinedo</t>
  </si>
  <si>
    <t>............60. D. Lúeas Navas, cirujano, 10 id. id........................ ......... ....... . 20. D. Lorenzo de Mollinedo, ballestero principal dé S. M,, en una boleta correspondiente al mes de abril de su sueldo de este destino, que cede desde entonces.............................................. 1</t>
  </si>
  <si>
    <t>de Moncada, Francisco</t>
  </si>
  <si>
    <t>Francisco de Moncada</t>
  </si>
  <si>
    <t>ca de Alicante, Elche, 'Crevillcnte, y de las pías 'fundaciones del cardenal de Belluga; la vida de D. Francisco de Moneada, y unas reflexiones sobre varios sistemas médicos inventados hasta aquí, y utilidad de la experiencia y de la observación. Se hallará, con los anteriores, en la li- . brería de Es</t>
  </si>
  <si>
    <t>de Moncada, Manuel</t>
  </si>
  <si>
    <t>Manuel de Moncada</t>
  </si>
  <si>
    <t>de dél día 29 ¿ las ó dé ella ia satisfacción dé reconocer por su Comandante en Xéfe ál Excino* Sr* D. Manuel de Moneada , Príncipe de Monfort, Grande de España , Gentilhombre de Cámara con exercicío y Teniente General de los Reates Exérenos 3ct» coh Cuyo motivo se 'formaron lós guardiasá caballo éh</t>
  </si>
  <si>
    <t>rde del dia 29 á las 6 de ella la satisfacción de reconocer por su comandante en gefe al Excmo. Sr. D. Manuel de Moneada, príncipe de Monfort, grande de España , gentilhombre de cámara con exercicio, y teniente general de los reales exérei tos &amp;c. , con cuyo motivo se formaron los guardias a caballo</t>
  </si>
  <si>
    <t>de Mor, Lorenzo</t>
  </si>
  <si>
    <t>Lorenzo de Mor</t>
  </si>
  <si>
    <t>setiembre 230 rs. mensuales , y 60 por una vez................ ............................... 120, D. Lorenzo de Mor», de Juros, por una.vez...3CQ* D. Fernando Muar, id........................... ............. ............................ 1500. D. Josef Alverá, id................................</t>
  </si>
  <si>
    <t>de Mora y Lomas, Mateo</t>
  </si>
  <si>
    <t>Mateo de Mora y Lomas</t>
  </si>
  <si>
    <t>or 4 meses á 36 rs. diarios........... ................................... .................. 439*« D. Mateo de Mora y Lomas, oficial de la secretaría de Hacienda , por £ meses adelantados á 4 rs. diarios......................... . 612. D. Francisco Queipo de Llano, por el mes de agosto á 2 rs. diarios.</t>
  </si>
  <si>
    <t>de Mora y Lomas, Pedro</t>
  </si>
  <si>
    <t>Pedro de Mora y Lomas</t>
  </si>
  <si>
    <t>ndor. f Despedida lá junta de la presencia de S. M. I., dio fin á esta sesión y á sus tareas, i ' ' D. Pedro de Mora y Lomas, del consejo de S. M., su secretario con exercicio de decretos, corregidor é intendente de esta villa de Madrid y su partido. „Hago saber que por real orden comunicada por el Excm</t>
  </si>
  <si>
    <t>quienes ha de ser el total de las entradas deducidos gastos. . Mandara.y presidirá la plaza el Sr. D. Pedro de Mora y Lomas, corre** gidor de esta villa. - * Los toros serán de las vacadas : 2 de D. Bernabé del Aguila y Bolañqs, con divisa encarnada y blanca: 1 de D. Alvaro Muñoz, con verde y blanca: 2</t>
  </si>
  <si>
    <t>ieja entregados al comisionado* - : Nombres. Sillas. Bridas. El Sr. intendente corregidor de Madrid D. Pedro de Mora y Lomas.................... I 1 El comisario de guerra D. Antolin Ramos.. 1 1 nueva. D. Josef de Armésto , contador de contaduría mayor.........;.........................................</t>
  </si>
  <si>
    <t>nez de Traporcr, Doña Nicolasa García una y 2 pares vecina de Méritrida ,6. - • de calcetas. El Sr. D. Pedro de Mora y Lomas, D. Fernando Romero t sábanas, un corregidor de esta villa,'una silla capote, una casaca y una manta. nueva completa. D. Angel González 3 eamisas. El marques de Campo-Villar 12 ca</t>
  </si>
  <si>
    <t>odos los apoderados de los gremios menores de esta corte, y verificada la concurrencia de los Sres. D. Pedro de Mora y Lomas', corregidor; D. Rafael de Reinalte, D. Juan de Castañedo, D. Mariano Blancas, D. Julián de Fuentes, regidores; Di Juan Josef Bringas, procurador general; D.Mateo Norzagarai, procu</t>
  </si>
  <si>
    <t>de Fraoul, gran mariscal del palacio. Componían dicha diputación los individuos siguientes: El Sr. D. Pedro de Mora y Lomas, corregidor ; D. Juan de Castañedo, regidor; D. Juan Xaramillo, id.; D. Manuel Montaos, diputado del común; D. Matías Bayo, id.; D. Juan Josef de Bringas , procurador general; D.</t>
  </si>
  <si>
    <t>de Moral Qtíetédo, Luís</t>
  </si>
  <si>
    <t>Luís de Moral Qtíetédo</t>
  </si>
  <si>
    <t>3* Rs. Mn.; D. Luís de Moral Qtíetédo,sobrestahtéde alcabalas ^ por agosto a- 10 rs. mensuales. *«««.**«« i.’*v««*'«.v««v»**v.v» *...«« *.v. » id. T. Josef Mora^ríidv'á^í6g.‘;;.'Í^;I^ÜÍ^feí:;.¿J.^íi.k¿;U.i.¿^¿.yí^....</t>
  </si>
  <si>
    <t>de Moreda, Manuel</t>
  </si>
  <si>
    <t>Manuel de Moreda</t>
  </si>
  <si>
    <t>..... Madrid........ 000 1595 D. Pedro Antonio de Olabazzia y Sta. Cruz.... Bilbao......... 300 592 D. Manuel de Moreda.... ............. .................... Madrid....... 3o o 2366 D-,ManueFGonzález de Vallejo........... ......... Zaragoza..... 1500 423 D. Josef Enderica García.............. ....</t>
  </si>
  <si>
    <t>de Moría, Tomás</t>
  </si>
  <si>
    <t>Tomás de Moría</t>
  </si>
  <si>
    <t>Isla de León proclamaron al Rey Fernando Vil por su legítimo Soberano. El Pueblo de Cádiz aclamó á D. Tomás de Moría por su Xefe, el qual tomó providencias , y atajó algunos desórdenes que varios malévolos habían cometido, ofreciéndose á seguir las intenciones de la Junta , y disponiendo la pron</t>
  </si>
  <si>
    <t>efensa de la patria» es el qne ha coronado las sienes de nuestro glorioso defensor* ' El Exento. Sr.D. Tomas de Moría había Ilegadó á esta ciudad el mismo día entre seis y siete de Ja mañana. La guardia de honor de la Súpremé Junta de esta capital tuvo en la tarde dél día 29 ¿ las ó dé ella ia sa</t>
  </si>
  <si>
    <t>an hácia Segovia. Esperarnos noticias mas circunstanciadas. El 3 por la tarde salió el Esc nao. Sr. D. Tomas de Moría de esta ciudad para Cádiz. El sábado por la noche eucró en esta la Exorna. Srá. Condesa de Chinchón. Hemos sabido por noticias fidedignas hallarse de presidente de la Suprema Junta de</t>
  </si>
  <si>
    <t>proporciones y facultades» Cádiz 5 de Agosto* Hay ¿ las 5 de la mañana llegó á esta el Excnro* Sr. D. Tomas de Moría, nuestro amado gobernador» que aguardábamos con filial impaciencia de la ciudad de Sevilla 9 donde hemos sabido con júbilo que fué re-i cibido de la manera mas Hsongera y satisfac</t>
  </si>
  <si>
    <t>defensa de la patria, es el que ha coronado las sienes de nuestro glorioso defensor. El Excmo. Sr. D. Tomas de Moría había llegado á esta ciudad el mismó día entre 6 y 7 de la mañana. La guardia de honor dé la suprema junta de esta capital tuvo en la tarde del dia 29 á las 6 de ella la satisfacc</t>
  </si>
  <si>
    <t>Josef Virues , que lo era de Sanlucar de Barraroeda, y el miércoles 19 salió de ella el Excmo. Sr. D. Tomas de Moría , con deftino á Aranjaez, para ocupar su plaza en la Junta general de Guerra. Esta escuela de las nobles artes , en junta que celebró el 3 del que corre , acordó dar un premio de</t>
  </si>
  <si>
    <t>endo á los distinguidos méritos, servicios, experiencia y conocimientos del teniente general el Sr. Don Tomas de Moría , consejero de Estado * ha tenido á bien nombrarle director y coronel general del real cuerpo de artillería de España é Indias, con retención de sus actuales destinos. El día 28 d</t>
  </si>
  <si>
    <t>sef de Iturrigarai. Cartas del Exento. Sr, D. Josef de Iturrigarai, virei de México ¿al Exento. Sr. D. Tomas de Moría. México 24 de agosto de 1808. Mi mui estimado amigo: tengo escrito á vmd. muchas cartas en repetidas ocasiones, y ni á una me ha contestado: ya tenia determinado no hacerlo; pero</t>
  </si>
  <si>
    <t>y mui de corazón amigo de vmd. lo mismo aquí que en el Rosellon y en esa=Iturrigarai. = Excmo. Sr. D. Tomas de Moría» PRUSIA. Berlín i $ de octubre. Hemos llegado á entender que el ministro de estado Ven Stein ha suplicado al rei le exima de toda ocupación en el departamento de negocios extrange</t>
  </si>
  <si>
    <t>del Reyno , h# -servido nombrar paira ti empleo de director general de la #rii!leri* , que obtenía D Tomas de Moría» á D. Vicente .Maria Matura»a , rnamcal de campo , y ayudante ge n a* de la Suprema Jauta de esta ciudad, CON SUPERIOR PERMISO* » ' ■„ ¡ 1 '■yyymaaeammm^ % M . . EN LA IMPRENTA DE</t>
  </si>
  <si>
    <t>de Moya y Cortés, Francisco</t>
  </si>
  <si>
    <t>Francisco de Moya y Cortés</t>
  </si>
  <si>
    <t>0. Francisco de Paula 361. D. M. L. S. una. Doña María Damor 2. D. Josef Ortiz 1 f varas de lienzo. D. Francisco de Moya y Cortés 6. Doña Juana María del Val 2 camisas* Doña María Damiana de Otaolá 6 Doña Francisca Arroteta, su criada. Doña Nicolasa Perez de Castro 2, una. D. Vicente Diratigo 3. D. Francisco</t>
  </si>
  <si>
    <t>de Moya, Manuel</t>
  </si>
  <si>
    <t>Manuel de Moya</t>
  </si>
  <si>
    <t>D. Zacarías Pons, id........................................................................ 5 o®. D. Manuel de Moya, oficial de la Veeduría de las reales Caballerizas, id................................................................... .................. 2CO. Doña Francisca Nicolasa Corzon, i</t>
  </si>
  <si>
    <t>de Moya, Miguel</t>
  </si>
  <si>
    <t>Miguel de Moya</t>
  </si>
  <si>
    <t>la parroquia de S. Sebastian; Roque Carrasco , del gremio de cabreros ; Castor de Lamo, de boteros; D. Miguel de Moya, del barrio dél Barquillo; D. Francisco Moreno y D. Fernando Galan, de ropería ; Melchor Ascanio, Rafael del Casar y Juan Hernández; de silleros y jauleros; Juan Bautista Gil y An</t>
  </si>
  <si>
    <t>de Moya, Ramón</t>
  </si>
  <si>
    <t>Ramón de Moya</t>
  </si>
  <si>
    <t>es de Villadarias................................................................... 3 3 El coronel D. Ramón de Moya................................. 2 2y2cabezad* D. J. R. F....................................................................... 1 D. Rafael Treviño, oficial mayor de Juros.......</t>
  </si>
  <si>
    <t>de Murfi y Porro, Juan</t>
  </si>
  <si>
    <t>Juan de Murfi y Porro</t>
  </si>
  <si>
    <t>. España restaurada, alegoría dramática, representada en el teatro del Príncipe,, y dedicada al Sr. D. Juan de Murfi y Porro. En esta loa se representan las victoriosas provincias presentando cada una por sí los despojos y banderas cogidos á ios franceses. Se hallará á 2 rs. en la librería de Cerro, cal</t>
  </si>
  <si>
    <t>de Na Ida, Pedro</t>
  </si>
  <si>
    <t>Pedro de Na Ida</t>
  </si>
  <si>
    <t>áUif'.y..i. ...'...I 12 Francisco Martínez, sirviente y i&lt;L.v¿v;&amp;y.;..l&gt;L;U ...*.¿áv;í£.;.;&gt;¿.^’ 10 D. Pedro de Na Ida, contador general- de* 'Pósitos ,’ foors.'ppr -; i una vez, y 244 pog.2 meses 2 4 rs. diarios.....;;¿1í....-¿.'¿¿íw.v¿.v. 744. Manuel Alvarez, por 6 meses á un real diario......;;</t>
  </si>
  <si>
    <t>de Nalda, Pedro</t>
  </si>
  <si>
    <t>Pedro de Nalda</t>
  </si>
  <si>
    <t>............ . 40. El Sr. conde de Pozos dulces............... ..... ............... . 1500. El Sr. D. Pedro de Nalda, contador general de pósitos..... ...... ....................................................................... 500. E1 Sr. D. Rafael Martínez de Ariza, secretario del Rei nuestr</t>
  </si>
  <si>
    <t>de Navas, Antonio</t>
  </si>
  <si>
    <t>Antonio de Navas</t>
  </si>
  <si>
    <t>osto á. 1® rs. id...... 1000. / : D. Juan Druliet, soldado disperso, por agosto á 15 rs. id........ D. Antonio de Navas, dependiente de la real Lotería* por agostó á 10 rs. id..„.¿........... .................................................... 10. Francisco Colomer, cocinero, por id. id...........</t>
  </si>
  <si>
    <t>de Navas, Lorenzo</t>
  </si>
  <si>
    <t>Lorenzo de Navas</t>
  </si>
  <si>
    <t>Durangó. Bilbao........ . 300 68 Doña Juana Fremiot de Masdevall y de Gomis. Barcelona..., 300 572 D. Lorenzo de Navas............ ............................ Madrid...... . 500 777 Doña Teresa Ceferina. Remonel.................... . Madrid....... loco 16 D. Pedro Josef de Echinique..............</t>
  </si>
  <si>
    <t>de Navia, Joaquín</t>
  </si>
  <si>
    <t>Joaquín de Navia</t>
  </si>
  <si>
    <t>el cruel enemigo de nuestro reposo: en conseqíiencia ha nombrado por General en Xefe al Excmo. Sr. D. Joaquín de Navia, Marques de Sta. Cruz de Marcanedo, cuyos ilustres progenitores han defendido siempre gloriosamente la Patria. D. Juan Crisóstomo de la Llave, nombrado por el Duque de Berg y Junt</t>
  </si>
  <si>
    <t>de Náxera Represa y Mena, Manuel</t>
  </si>
  <si>
    <t>Manuel de Náxera Represa y Mena</t>
  </si>
  <si>
    <t>Bilbao......... 00o. 1337 D. Antonio Royo, del comercio..................i. Valencia..... 500 1209 D. Manuel de Náxera Represa y Mena df 1 •" ^ ^ * Benavente......... ...... .................................. . Bilbao....... .; 500 2115 D. Josef María Moliner........... ........................ Zaragozai.... 300</t>
  </si>
  <si>
    <t>de Náxera, Juan Manuel</t>
  </si>
  <si>
    <t>Juan Manuel de Náxera</t>
  </si>
  <si>
    <t>camisas y uniformes de paño. Dia 77. Un incógnito 40 varas y quarta de paño blanco y 74 de lienzo. D. Juan Manuel de Náxera 8-camisas. D. Josef de Urizabal 2-camisas de coruña. Doña Joaquina Quijada 11 varas y media de lienzo. D; Francisco Martino 2 camisas. D. Manuel de Santibañéz 6 de coruña finas. D</t>
  </si>
  <si>
    <t>tél- D. Josef Antonio de Alcalá 2 caflorido 24 camisas. misas. D. Josef Coronat 2 y 2 pares de cal* D. Juan Manuel de Náxera, del concetas. se jo, 67varas y 3 guarías de lieii^ Doña María Dolores Rodríguez San «o. Vicente 6 camisas y 2 pares de eaU D. Josef Izquierdo un par de medía* cetas. ’ de seda. L</t>
  </si>
  <si>
    <t>libramientos de á 630 rs. del Fondo vitalicio, y uno Id. de intereses de vales de ^807, id. 1350 8. D. Juan Manuel de Náxera, del comercio, en 2 vales de 300 pesos de setiembre 9051 rs. y 10 mrs., y en 2 acciones del real Empréstito 8®, id................ ................................................</t>
  </si>
  <si>
    <t>de Náxera, Miguel</t>
  </si>
  <si>
    <t>Miguel de Náxera</t>
  </si>
  <si>
    <t>vez.-.......,;........ . r6o.. Dona Juana rjeto, lid.«**•«*•«...«•«««««.200. D. Martin Mendía y id D. Miguel de Náxera, ageqte de los del número de Indias, en librámi^ntbs de intereses de vales reales de 807, id................ roro8. D.pMiguel ». H ' dé • t Axpe, ^ oficial de la secretaría, def c</t>
  </si>
  <si>
    <t>de Negueruela, Manuel</t>
  </si>
  <si>
    <t>Manuel de Negueruela</t>
  </si>
  <si>
    <t>González Rodríguez, D. Pedro Gorron de Cisneros, D. Manuel Ramos Zafra, D. Angel de Sata y Zubiria, D. Manuel de Negueruela, D. Andrés de Larreta y D. Joaquín de Romaña; D. Diego García de Millar, Manuel Alonso Gómez, del gremio de botilleros; Santiago Rulica, del gremio de sombrereros; D. Josef de Lio</t>
  </si>
  <si>
    <t>de Neila y María Antonia Fidela Miramon, Lorenzo</t>
  </si>
  <si>
    <t>Lorenzo de Neila y María Antonia Fidela Miramon</t>
  </si>
  <si>
    <t>............ ico. D. Domingo de Callejo, deLcomercio, id...................................... 2CO. D. Lorenzo de Neila y Dona María Antonia Fidela Miramon, su muger, en 2 libramientos del Fondo vitalicio, id...... .. 2429* Doña Teresa López, viuda desde el dia 2 de mayo, en 2 recibos de intereses de vales jreales, id.......... .....</t>
  </si>
  <si>
    <t>de Neira Dávila, Antonio</t>
  </si>
  <si>
    <t>Antonio de Neira Dávila</t>
  </si>
  <si>
    <t>............................................. ,........ .................................... 2261. D. Antonio de Neira Dávila, en un libramiento contra la renta del Tabaco, y otros 3 contra Provisiones, id,............... .......... . 3128. D.A* F., id............ ................................ .......</t>
  </si>
  <si>
    <t>de Nestarez, Francisco</t>
  </si>
  <si>
    <t>Francisco de Nestarez</t>
  </si>
  <si>
    <t>... 300 177 D. Fernando Galan............................................. Valencia..... 300 ' 1949 D. Francisco de Nestarez......... ,....................... Zaragoza..... 600 5.68 D. Ramón Romero................. ........................... Madrid........ 300 477 Sres. Martínez, Callejo, Muñoz y Ibarr</t>
  </si>
  <si>
    <t>de Nicolás, Manuel</t>
  </si>
  <si>
    <t>Manuel de Nicolás</t>
  </si>
  <si>
    <t>.. 20. D. Fernando de Barcena, id........ ................ ................................... 100. D. Manuel de Nicolás, id............... ......................... ......................... 200. D. Josef Broquel , id............................................ . 200. D. Pedro Mayo, id.............</t>
  </si>
  <si>
    <t>de Nixerá Bazares, Miguel</t>
  </si>
  <si>
    <t>Miguel de Nixerá Bazares</t>
  </si>
  <si>
    <t>le de 300 pesos de mayo, el valor de............... .................... .............. 4589... 22. D. Miguel de Nixerá Bazares, agente de Indias......... 300* D. Juan Antonio Acebo, id............. ...................... . 40. El Sr. conde de Pozos dulces............... ..... ............... . 1500. El Sr</t>
  </si>
  <si>
    <t>de Nueve-Iglesias Cádiz, Bernardo</t>
  </si>
  <si>
    <t>Bernardo de Nueve-Iglesias Cádiz</t>
  </si>
  <si>
    <t>rato Martínez.....*.................Alicante...... 300 21 I D. Juan Rusheu.^.Alicante...... 300 365 D. Bernardo de Nueve-Iglesias Cádiz......... . 300 3*4 Teodoro Reding...... Málaga.......»1 3Qor Se concluirá»</t>
  </si>
  <si>
    <t>de Nueve-Iglesias, Bernardo</t>
  </si>
  <si>
    <t>Bernardo de Nueve-Iglesias</t>
  </si>
  <si>
    <t>ragoza..... 3 00 319 Pablo del Valle y Llera.............................. Málaga........ IOOCO 364 D. Bernardo de Nueve-Iglesias.................. Cádiz.......... ioo 2319 D. Juan de Mata Zúñiga.............................. Cádiz.......... 500 25 D. Bernabé Rodríguez Cabriada y Pardo... Zaragoza..... 6co 1</t>
  </si>
  <si>
    <t>de Núñez, Ramón</t>
  </si>
  <si>
    <t>Ramón de Núñez</t>
  </si>
  <si>
    <t>una vez. 500. D. Manuel Espinosa, por una.vez............................ .................. . 100. D. Ramón de Nuñez, administrador del canal de Manzanares, un vale real de 150 pesos,....... ................ 2317 19. D. Juan Alvarez, por una vez........... ................................ . íóq.</t>
  </si>
  <si>
    <t>de Ocampo, Manuel</t>
  </si>
  <si>
    <t>Manuel de Ocampo</t>
  </si>
  <si>
    <t>o de infantería de Extremadura- se ha servido el Reí conceder tenencia ai subteniente de granaderos D. Manuel de Ocampo. S.M . se ha servido nombrar coronel del regimiento de infantería fixo de Ceuta á D. Josef Duran , teniente coronel del de España, graduado de coronel; y capitán de granaderos en</t>
  </si>
  <si>
    <t>de Ochazan de Castro, Nicolás</t>
  </si>
  <si>
    <t>Nicolás de Ochazan de Castro</t>
  </si>
  <si>
    <t>id......... 500 2446 D. .Vicente Camacho^.................................. . Zaragoza..... 6co 475 D. Nicolás de Ochazan de Castro.............. Biibao.......... 6c 0 i87 D. Josef Aullon y compañía...................... Alicante..... 3co 1000 Doña Juaua Belloc......... ................. Madrid...... . 600 227</t>
  </si>
  <si>
    <t>de Ochazan, Nicolás</t>
  </si>
  <si>
    <t>Nicolás de Ochazan</t>
  </si>
  <si>
    <t>....*..*»*i Cádiz.300 2074 D. Juan Pedro de Trigoyen............. .......... Cádiz......... 000 476 D. Nicolás de Ochazan...................... ...........*.» Bilbao......... 30© 216 D. Liberato Martínez.....*.................Alicante...... 300 21 I D. Juan Rusheu.^.Alicante...... 300 365 D. Bernardo</t>
  </si>
  <si>
    <t>de Ochoa, Francisco Xavier</t>
  </si>
  <si>
    <t>Francisco Xavier de Ochoa</t>
  </si>
  <si>
    <t>..... 40. Df ña María Garcí, por agosto............... ......................................... 8. D. Francisco Xavier de Ochoa, del consejo de Ordenes, por agosto........ .......................... *............................... •.......... *.............. 200. í). Francisco Xavier Romano, del mismo con</t>
  </si>
  <si>
    <t>de Ofabarria, Antonio</t>
  </si>
  <si>
    <t>Antonio de Ofabarria</t>
  </si>
  <si>
    <t>, un vale ¡real degopí pesos, creación de setiembre, núm. ¿5898,éndosadó'á.ftvfor de D. Ignacio por Don Antonio de Ofabarria en techa de ió del mismo, y acompañado de upj testimonio» para ponerle en la real caxa de amortización para redención,de,un censo, el gual S9. ha extraviado ó perdido. Quien tuviere</t>
  </si>
  <si>
    <t>de Olabazzia y Sta, Pedro Antonio</t>
  </si>
  <si>
    <t>Pedro Antonio de Olabazzia y Sta</t>
  </si>
  <si>
    <t>za..... 500 897 D. Ramón de Olarria........................................ Madrid........ 000 1595 D. Pedro Antonio de Olabazzia y Sta. Cruz.... Bilbao......... 300 592 D. Manuel de Moreda.... ............. .................... Madrid....... 3o o 2366 D-,ManueFGonzález de Vallejo........... ......... Zaragoza....</t>
  </si>
  <si>
    <t>de Olana, Agustín</t>
  </si>
  <si>
    <t>Agustín de Olana</t>
  </si>
  <si>
    <t>goza..... 500 1472 D. Prudencio Valenzategui............... -.......... ... Málaga........ 300 1537 D. Agustín de Olana..................... .................... Bilbao..... 300 233 D. Mateo Gonzalo del Rio.............. ............... Burgos....:., 30b 9)2 D. Andrés de Olave........... ¿.¿.i.....</t>
  </si>
  <si>
    <t>de Olarria, Ramón</t>
  </si>
  <si>
    <t>Ramón de Olarria</t>
  </si>
  <si>
    <t>..... 300 2449 H. Hilario Ximenez................... ........................ Zaragoza..... 500 897 D. Ramón de Olarria........................................ Madrid........ 000 1595 D. Pedro Antonio de Olabazzia y Sta. Cruz.... Bilbao......... 300 592 D. Manuel de Moreda.... ............. .......</t>
  </si>
  <si>
    <t>de Olavarrieta, Agustín</t>
  </si>
  <si>
    <t>Agustín de Olavarrieta</t>
  </si>
  <si>
    <t>y al propio tiempo sev ha dignado promover a director de la citada renta , en él reino de Chile, a D. Agustín dé Olavarrieta, contador general de la de Buenos¡Aires ; para cujro empleo ha nombrado S. M. á D. León de Altolaguirre. - El ayuntamiento; de la ciudad de Toro y su Junta de beneficencia han «Co</t>
  </si>
  <si>
    <t>de Olave, Andrés</t>
  </si>
  <si>
    <t>Andrés de Olave</t>
  </si>
  <si>
    <t>.. Bilbao..... 300 233 D. Mateo Gonzalo del Rio.............. ............... Burgos....:., 30b 9)2 D. Andrés de Olave........... ¿.¿.i.......... ... Madrid....í.‘. 300 2338 D. Juan Bautista Gaudo y Sobrinos................ Zaragoza..... 300 2325 Doña María Magdalena Ulloa....................... .</t>
  </si>
  <si>
    <t>de Olivan, Miguel</t>
  </si>
  <si>
    <t>Miguel de Olivan</t>
  </si>
  <si>
    <t>cura de S. Pedro. D. Juan de Lera y Caño, cura de S. Salvador. D. Gregorio Marín, cura de S. Justo. D. Miguel de Olivan, vicario castrense. D. Miguel Perez, secretario de la diputación de S. Luis. D. Agustín López, diputado eclesiástico de id. D. Fernando Galán, diputado del barrio de Seo. Tomas. D</t>
  </si>
  <si>
    <t>de Oñate, Juan</t>
  </si>
  <si>
    <t>Juan de Oñate</t>
  </si>
  <si>
    <t>vn. 5 66 D. Josef Nieto........ .......................................... Madrid ....... 300 1080 D. Juan de Oñate.............................................. Madrid........ 600 5 20 D. Josef Dupuy y sobrinos..................... . Bilbao.......... 3 00 757 D. Juan Esteban Trieso y compañía.</t>
  </si>
  <si>
    <t>de Ones, Joaquín</t>
  </si>
  <si>
    <t>Joaquín de Ones</t>
  </si>
  <si>
    <t>s. ...... 600 •'394 •D. Josef Becerra, del comercio........................ Coruña........ 3co 908 -D. Joaquin de Ones............ .................. ........ Madrid....... 3 00 2022 D. Bedro I aflore.................................... Cádiz........... 500 1904 D, Francisco Amezua.............. .</t>
  </si>
  <si>
    <t>de Onis, Luis</t>
  </si>
  <si>
    <t>Luis de Onis</t>
  </si>
  <si>
    <t>ya quanto antes para colmo de nuestra felicidad. = Pedro Gevallos. Don Eusebio de Bardaxí y'Azara y D. Luis de Onis, secretarios del Rei nuestro Señor con exercicio de decretos, y oficiales mayores de la. primera secretaría de Estado y del Despacho, certificamos ser cierta la representación de</t>
  </si>
  <si>
    <t>z Xara.................. 2 2 2 D. Juan Antonio Villa, ayudante mayor de las reales caballerizas.. I D. Luis de Onis............................ «i 1 El marques de Camarasa.... 4........ 4 ■ ^ El copde de Polentinos.................. • 1 1 1 2 pistolas. Ei con de de Salvatierra..................</t>
  </si>
  <si>
    <t>. por una vez, y 732 por 4 meses á 6 rs. diarios......... ....... ................... ....... Í232. D. Luis de Onis , oficial mayor de la secretaría de Estado, 8 rs. diarios por agosto;;.*.*.......;.........,.4....^..;........^..... ........... 240. D. Genaro Perez, oficial de la -contaduría d^</t>
  </si>
  <si>
    <t>se ha desplegado con maravillosa magnificencia en favor de piijiestra oprimida y necesitada patria. D. Luis de Onis, oficial mayor menos ípitigpo de la primera secretaría de Estado y del despacho, que hizo lgSjíungioiies de introductor de embajadores, conduxo con toda ceremonia á. $; É.-fá kr s</t>
  </si>
  <si>
    <t>de Orbaiz, Francisco</t>
  </si>
  <si>
    <t>Francisco de Orbaiz</t>
  </si>
  <si>
    <t>Duquesa de Argete......................................................... .. Madrid....... 300 464 D. Francisco de Orbaiz....................................... Bilbao......... IOOO 1189 D. Francisco Besa................................................. Barcelona.... 3°o 1979 Sres. D. Josef Francisco</t>
  </si>
  <si>
    <t>de Orbegozo, Gabriel Agustín</t>
  </si>
  <si>
    <t>Gabriel Agustín de Orbegozo</t>
  </si>
  <si>
    <t>.... . 500 1078 D. Mateo de la Quintana............ ,...................... Madrid........ 500 1586 D. Gabriel Agustín de Orbegozo..................... Bilbao...,..... 5C0 ¿10 Doña -Bernardina Costarramorti...,,.................. . Madrid.;...., 300 •378 D. Josef‘Francisco, de Urruela.............., Cádiz....</t>
  </si>
  <si>
    <t>de OrdoVas, Manuel</t>
  </si>
  <si>
    <t>Manuel de OrdoVas</t>
  </si>
  <si>
    <t>al sargento primero D.Juan Astrua: en el de Guadalaxara compañía al ayudante, graduado de capitán, D. Manuel de OrdoVas; ayudantía al teniente, graduado de capitán, D. Gerardo Roberti; tenencia al subteniente D. Poíicarpo Algarra, y subtenencia de bandera al cadete D. Josef Valdés: en el de Valenci</t>
  </si>
  <si>
    <t>de Orellano, Ignacio</t>
  </si>
  <si>
    <t>Ignacio de Orellano</t>
  </si>
  <si>
    <t>...... 3 00 ,838 D. Diego Herce............................................. Madrid....... 300 1287 D. Ignacio de Orellano, comerciante.......... Valencia..... 300 T47 D. Francisco Xavier Argaiz......................... Madrid........ "500 1527 7 Miera......&gt;........................ Bilbao......... 30</t>
  </si>
  <si>
    <t>de Orgaz, Manuel</t>
  </si>
  <si>
    <t>Manuel de Orgaz</t>
  </si>
  <si>
    <t>ores Reyes nuevos; D. Bonifacio Hurtado, caballero del hábito de Santiago, y marques de Hermosilla; D. Manuel de Orgaz, caballero de la citada real orden de Cárlos ni, y regidor honorario del nominado ilustrísimo ayuntamiento; D. Domingo del Rio-Murga y D. Agustín Ortiz, prebendados de dicha santa</t>
  </si>
  <si>
    <t>de Orve y Larreategui, Pedro</t>
  </si>
  <si>
    <t>Pedro de Orve y Larreategui</t>
  </si>
  <si>
    <t>ricio, del comercio, 15 id. D. Santiago Folguera 6 id. D. Carlos Abancini, del comercio, 3 id. D. Pedro de Orve y Larreategui 6 camisas finas nuevas y 6 pares de calcetas id. D. Antonio Villasante 6 camisas nuevas. D. Fermiñ María de Uria Nafarrondo 12 id. Doña Josefa de la Cueva y Velarda 24 id. D. Dieg</t>
  </si>
  <si>
    <t>de Osma y Tricio, Joaquín</t>
  </si>
  <si>
    <t>Joaquín de Osma y Tricio</t>
  </si>
  <si>
    <t>..... Zaragoza..... 500 266 D. Manuel Rodrigo y Río de Ama.ya........ . Burgos • ¡ * * •*% 300 1015 D. Joaquín de Osma y Tricio............... . Madrid....... 300 498 D. Mariano de Ibarreta...... Bilbao • ••• »• 6oó .1772- Doña Isabel Bardalonga.............................. Cádiz.......... 300 1881 D. Ant</t>
  </si>
  <si>
    <t>de Osorio de Moscoso, Vicente Joaquín</t>
  </si>
  <si>
    <t>Vicente Joaquín de Osorio de Moscoso</t>
  </si>
  <si>
    <t>.. loco 264 D. Andrés Mariano de Cerezo.............. ........... Burgos........ 500 597 Excmo. Sr. D. Vicente Joaquin de Osorio de Moscoso....... .................................................... . Madrid....... 5.00 1906 D. Ramón Ezequiel Razóla........... .................. Zaragoza..... 5000 663 D. Manuel Agüil</t>
  </si>
  <si>
    <t>de Otaegui, Sebastián</t>
  </si>
  <si>
    <t>Sebastián de Otaegui</t>
  </si>
  <si>
    <t>.............. 2315 2$; D. Atanasio Dávila, por uña' vez.....;......*........... ........... . 300. D. Sebastian de Otaegui, por uña vez« 821506*..... 30a. D. Josef Antonio deTLarra'z, oficial de la tesorería de los Sres. Infantes, por una ....."..............y;..}..!..;.......... 5 00. D. Francisco He</t>
  </si>
  <si>
    <t>de Palacio y Gorbea, Lorenzo</t>
  </si>
  <si>
    <t>Lorenzo de Palacio y Gorbea</t>
  </si>
  <si>
    <t>compañía , ifoo rs. por \ una vez, y ademas 186 por agosto á ó rs. diarios.....:.........;. 3686. ) D. Lorenzo de Palacio y Gorbea, de este comercio, por uña vez....................................................................................... . 26000. D. Manuel González, tratante en pescados, pór úna ve</t>
  </si>
  <si>
    <t>de Palacio, Diego</t>
  </si>
  <si>
    <t>Diego de Palacio</t>
  </si>
  <si>
    <t>radoxjue basta una onza para hacer 41 quartillos de limonada. Se vende en Madrid en la droguería de D. Diego de Palacio, subida de San Felipe el Real; en Sevilla en la calle Imperial, colación de S. Estéban, número 25 , y en la librería de Hidalgo, calle de Genova, á 10 rs. la onza para los que tra</t>
  </si>
  <si>
    <t>24 de junio de 1808</t>
  </si>
  <si>
    <t>Madrid 66</t>
  </si>
  <si>
    <t>pilón, ó de lo que uno pueda gastar, paral endulzarlo. Véndese en la casa comercio de droguería de D. Diego de Palacio, subida de Sta. Cruz. ’ LIBROS. Los suscriptores á la Biblia vulgata latina y castellana, traducida y anotada por el limo. P. Felipe Scio, acudirán á recoger el tomo 5.0 y adelant</t>
  </si>
  <si>
    <t>de Palacio, Manuel</t>
  </si>
  <si>
    <t>Manuel de Palacio</t>
  </si>
  <si>
    <t>sa en la villa de Villavíciosa, distante leguas de Madrid, acudirá á tomar razón en dicho pueblo de D. Manuel de Palacio, conserge de aquel palacio. Se compone dicha casa de patio con pozo y una hermosa parra, de 2 salas con 2 alcobas, comedor, cocina, caballeriza, pajar, horno, gallinero, palomar,</t>
  </si>
  <si>
    <t>de Palacios, Juan Manuel</t>
  </si>
  <si>
    <t>Juan Manuel de Palacios</t>
  </si>
  <si>
    <t>s, por una vez............................ ........................................«.......... 200. D. Juan Manuel de Palacios, mayordomo del mismo, por una vez....................... ............... ..................... .................. .............. . 160. D. Francisco Blanco, por úna vez...........</t>
  </si>
  <si>
    <t>de Palafox y Melzi, Francisco</t>
  </si>
  <si>
    <t>Francisco de Palafox y Melzi</t>
  </si>
  <si>
    <t>baile, al que concurrieron las señoras principales de esta, ciudad. Madrid 27 de setiembre. El Sr. D. Francisco de Palafox y Melzi, diputado del reino de Aragón para la juata central, agradecido á la generosidad con que el pueblo de Madrid se esmera en socorrer al exército de aquel reino, ha creído deber mani</t>
  </si>
  <si>
    <t>de Palafox, Juan</t>
  </si>
  <si>
    <t>Juan de Palafox</t>
  </si>
  <si>
    <t>de la confesión y sagrada comunión. Contiene el oficio de nuestra Señora, que compuso el limo. Sr. Don Juan de Palafox, obispo de Osma; la devoción á los siete dolores y gozos del patriarca S. Josef, y la de S. Joaquín y Sta. Ana, adornado con estampas. Se hallarán en la librería de Aguilera, call</t>
  </si>
  <si>
    <t>de PalafoxJ Por, Francisco</t>
  </si>
  <si>
    <t>Francisco de PalafoxJ Por</t>
  </si>
  <si>
    <t>osef de Palafox con él mariscal de campo Doflé, y sé alojó en 1a posada de su hermano él Excmo. Sr. D. Francisco de PalafoxJ Por la noche hubo junta de generales, qué duro hasta mui tardé, y hoi ha salido por el canal para regresar á Zaragoza. Dos médicos que se han escapado de Pamplona aseguran que los france</t>
  </si>
  <si>
    <t>de Palafoxy Zúñiga, Joaquín</t>
  </si>
  <si>
    <t>Joaquín de Palafoxy Zúñiga</t>
  </si>
  <si>
    <t>, ,3o1, El día 6 de enero ultimo falleció en esta corte, á los 73 años de edad, el Excmo. Sr. D. Joaquín de Palafoxy Zúñiga, gentilhombre de cámara de S. M. con exercicio, teniente general de sus reales exércitos y teniente coronel del regimiento de reales guardias de infantería Española. Sirvió al Reí</t>
  </si>
  <si>
    <t>de Palomera, Manuel</t>
  </si>
  <si>
    <t>Manuel de Palomera</t>
  </si>
  <si>
    <t>... Zaragoza...;. 59O 526 D, Joaquin de Uria y Xaquintana................. Bilbao.,.....;. IOOO 992 D. Manuel de Palomera...,........ . Madrid.....;. :3?P 3287 D. Antonio García del Rio.*,....................... Cádiz......*,'. ; 3p° 2181 D. Antonio Perez del Ingerto..,,...,......i....... Coruña.....</t>
  </si>
  <si>
    <t>negro. ... Bilbao......... 500 1910 D. Simón Saínz de Baranda........... ... Zaragoza..... 300 lOjS D. Manuel de Palomera............... .. Alad rid........ 500 1814 D* Tomas Lo]pez Arízmendi......... .. Zaragoza ............. 30 0 IS52 D» Antonio dé Bengoeehea....... . .. Bilbao.....................</t>
  </si>
  <si>
    <t>....... Barcelona.... 6co 97i D. Josef Manuel de Ainz»........ ...... ...... . Madrid..».;. 300 993 D. Manuel de Palomera....... Madrid éiií*** 300 *0,57 D. Juan Ostalezde Calvo......................... . Madrid »»»l 300 359 D.. Josef Ventura. de Lema......¿.^.....u. »..uu. Cádiz».»»»:. Jdo 2763 D. G</t>
  </si>
  <si>
    <t>a de cámara del Consejo, á- cuenta de 30 f. rs................................•................ 3r* D. Manuel de Palomera, contador del duque de S. Carlos, por una ........................................ . 1000. I&gt;. Manuel González de Lobera y compañía, cambiantes, id..... 6000. D. Isidro Alvarez, i</t>
  </si>
  <si>
    <t>de Pando, Francisco Antonio</t>
  </si>
  <si>
    <t>Francisco Antonio de Pando</t>
  </si>
  <si>
    <t>. 80. D. Pedro Martin, confitero, id................................ ................ ..... . óoo.w D. Francisco Antonio de Pando, id........................... ..................... . 200®. D. Juan Saez de la Fuente, oficial de la contaduría general de Espolios y .Vacantes * id..................1...........</t>
  </si>
  <si>
    <t>de PandoyBringas, Francisco</t>
  </si>
  <si>
    <t>Francisco de PandoyBringas</t>
  </si>
  <si>
    <t>dinero..i®oo®. D. Isidoro Weisy por ahora:;;................................... ............ rooá., D. Francisco de PandoyBringas, dependiente de los Sres. Ré- ; tes y compañía, por una-vez........•..v................................. .......... rooo. D. Manuel -Palacios y Corte, id. de id., id..............</t>
  </si>
  <si>
    <t>de Parada y Otazo, Juan</t>
  </si>
  <si>
    <t>Juan de Parada y Otazo</t>
  </si>
  <si>
    <t>Bilbao.......... 3 00 757 D. Juan Esteban Trieso y compañía............... Madrid......... 3°° 545 D. Juan de Parada y Otazo............................. Madrid......... IOCO 497 D. Mariano Ordoñez de Barraiqua.................. Bilbao.......... 3c°o 978 D. Juan Lázaro...................................</t>
  </si>
  <si>
    <t>de Paula Castañeda, Francisco</t>
  </si>
  <si>
    <t>Francisco de Paula Castañeda</t>
  </si>
  <si>
    <t>es. D. Martin Garay, D. Lorenzo Calvo, D. Félix Ovalíe,. D¿ Luis de Funes, D.. Sebastian.de Jocano, D. Francisco de Paula Castañeda : su secretario el Exorno. Sr. D. Francisco Saavedra. La sección de Gracia y' Justicia se compone de los Excmos.. Sres. D. Gaspar de Jovelíanos, el Patriarca, el Arzobispo de Laod</t>
  </si>
  <si>
    <t>de Paula Lobo, Francisco</t>
  </si>
  <si>
    <t>Francisco de Paula Lobo</t>
  </si>
  <si>
    <t>......... ............... . IO D. Lorenzo Menendez, dorador, por agosto á real diario.......... 31. D. Francisco de Paula Lobo , arcediano titular de Plasencia, por agosto á 10 rs. diarios....................................... ......................... 310. D. Antonio Arias, dependiente del conde de Vill</t>
  </si>
  <si>
    <t>de Paula Martí, Francisco</t>
  </si>
  <si>
    <t>Francisco de Paula Martí</t>
  </si>
  <si>
    <t>emplar del arte de la taquigrafía , eiiquadernado en tafilete, que dio el maestro de esta enseñanza D. Francisco de Paula Martí; y asimismo se'le1 entregó por secretaría certificación honorífica en recompensa de su ' aplicación. •' ' VENTAS JUDICIALES. Por providencia de D. Pedro Antonio Caballero, juez co</t>
  </si>
  <si>
    <t>de Paula Martínez Cano, Francisco</t>
  </si>
  <si>
    <t>Francisco de Paula Martínez Cano</t>
  </si>
  <si>
    <t>estaba pendiente nuestra independencia, la de la provincia, y la fe de nuestros padres. El espitan D. Francisco de Paula Martínez Cano no solo llenó los deberes de su carácter, sino que se adquirió por su valor, actividad, buena dirección y entusiasmo con que acaloraba á sus subalternos, soldados y paisanage, las</t>
  </si>
  <si>
    <t>de Paula Moreno, Francisco</t>
  </si>
  <si>
    <t>Francisco de Paula Moreno</t>
  </si>
  <si>
    <t>haberlo impedido mis tropas allí situadas, para lo qual mandé á mi ayudante interino el subteniente D. Francisco de Paula Moreno. Mi frente lo atacó la infantería y caballería, la que rechacé, á pesar de la superioridad de su fuerza , favorecido de una profunda y ancha acequia. En el tiempo de estos ataques</t>
  </si>
  <si>
    <t>de Paula Navia, Francisco</t>
  </si>
  <si>
    <t>Francisco de Paula Navia</t>
  </si>
  <si>
    <t>demas personas que puedan tener derecho á la herencia abintestato del capitán agregado á esta plaza D. Francisco de Paula Navia, que falleció el .14 de febrero :próxtmo pasado, .para que dentro, de £0 días, que se lea señala por 3 términos, y el último perentorio, acudan con poder bastante á este tribunal</t>
  </si>
  <si>
    <t>de Paula Soler, Francisco</t>
  </si>
  <si>
    <t>Francisco de Paula Soler</t>
  </si>
  <si>
    <t>ón de caballería, y le obligó á huir.' El coronel del regimiento de infantería de Ordenes Militares D. Francisco de Paula Soler ha sostenido su notorio crédito, y los variosf movimientos que hizo con el cuerpo de su mando, han contribuido al feliz éxito con glorioso sacrificio de muchos de sus oficiales. D</t>
  </si>
  <si>
    <t>de Paula Sotar, Francisco</t>
  </si>
  <si>
    <t>Francisco de Paula Sotar</t>
  </si>
  <si>
    <t>nte de Walones con el Sargento Man si ni y 15 soldados atacó y ahuyentó un esquádrOn de caballería. D. Francisco de Paula Sotar , coronel del: ré'gimier.r-Sde Ordenes* Militares, ha sostenido su notorio crédito: los</t>
  </si>
  <si>
    <t>de Paula, Francisco</t>
  </si>
  <si>
    <t>Francisco de Paula</t>
  </si>
  <si>
    <t>tinado las tres restantes al Príncipe de Asturias nuestro señor, y a los Sres. Infantes D. Carlos y.D. Francisco de Paula, habiendo en el mismo hecho mandado remitir al Excmo. Sr. D. Josef de Anduaga, su enviado extraordinario y Jministro plenipotenciario en el Haya, quatro grandes cruces de Cáríos m</t>
  </si>
  <si>
    <t>n de Joca- apostólica romana, la defensa y fidelidad á no. nuestro augusto Soberano Fernando vn, la D. Francisco de Paula de sus derechos y soberanía, la conservación Castañedo. de nuestros derechos, fueros, y leyes y cosPor Mallorca é Islas tambres, y especialmente los de sucesión en Baleares. la famil</t>
  </si>
  <si>
    <t>de Paz, Antonio</t>
  </si>
  <si>
    <t>Antonio de Paz</t>
  </si>
  <si>
    <t>gulo; tenencia al subteniente de granaderos D. Francisco Perez, y subtenencia de bandera al' cadete D. Antonio de Paz: en el de América la tenencia coronela al comandante del tercer batallón del de Málaga D. Alonso Rodríguez Valdés; compañía al teniente dé granaderos D. Pedro Gotti; tenencia al s</t>
  </si>
  <si>
    <t>de Pedro Arena, Miguel</t>
  </si>
  <si>
    <t>Miguel de Pedro Arena</t>
  </si>
  <si>
    <t>es de los Interesados. 1213 D. Cándido Ramón de Meave...................... Bilbao......... 500 279 D. Miguel de Pedro Arena..,............................ Burgos........ 600 1569 D. Francisco Xavier de Goycoechea.............. Bilbao........ . 1000 906 D. Josef de Urionagoena...........................</t>
  </si>
  <si>
    <t>de Pelayo, Manuel</t>
  </si>
  <si>
    <t>Manuel de Pelayo</t>
  </si>
  <si>
    <t>de la Roca. = Ignacio de Tejada. =Nicola$ de Herrera. = Tomas la Peña. = Ramón Marta de Adurriaga.=D. Manuel de Pelayo. = Manuel María de Upategui.=Fermín Ignacio Beunza. = Raimun</t>
  </si>
  <si>
    <t>de Peralta, Juan Manuel</t>
  </si>
  <si>
    <t>Juan Manuel de Peralta</t>
  </si>
  <si>
    <t>... 600 2155 D. Blas Navarro.............................................. Coruña.......... 300 374 D. Juan Manuel de Peralta.............................. Cádiz........... 600 382 D. Andrés Ribera, canónigo de Santiago...... Coruña.......... 300 1892 D. León de Galarza...................................</t>
  </si>
  <si>
    <t>..... rooo 1825 D. Fernando Barbaza.................... ...........*........ Zaragoza..... 500 1770 D. Juan Manuel de Peralta................... ........... Cádiz.......... 50© 731 D. Manuel Gonzalo Fernandez..................... .... Madrid........ 300 3545 D. Pedro Manuel de Lariz........ ............</t>
  </si>
  <si>
    <t>............ Madrid....... icoo 1538 D- Francisco Xavier de Goycoechea..... Bilbao........ 300 1771 D. Juan Manuel de Peralta............ Cádiz............. 300 190 Excmo. Sr. D. Joaquin de Cañaveral.... Alicante...... 300' 1800 D. Juan Antonio de. Yardiola y Garay. . Cádiz.......... ». IOOOí 2401 D. Man</t>
  </si>
  <si>
    <t>.... 500 ,1902 D. Martin de Enseña................. ..................... . Zaragoza.. 4,. 600 2169 D. Juan Manuel de Peralta.............................. Cádiz........ . 300 rjy-62 D. Gerónimo López.......................................... Cádiz.......... 300 27Ó D. Bernardo Orodea.......... .........</t>
  </si>
  <si>
    <t>e............................................... Coruña....... 500 2443 Sres. D.í Pablo Fernando ,y D. Juan Manuel de Peralta. ..¿..................................................... Cádiz........... 500 1291 D. Francisco Antonio Herrero, procurador... Valencia.... 39° *739 D. Dámaso Machuca............</t>
  </si>
  <si>
    <t>a....... 300 841 D. Tomas de Ansu ....... ............................... . Madrid...,.,,. 300 2077 D. Juan Manuel de Peralta...,.... ...................... Cádiz,, i...... 300 1795 Doña María Josefa de Soto y Olaso.............. Cádiz.......... ooo2334 Sres. D. Gonzalo Martínez y Buergo............. Zar</t>
  </si>
  <si>
    <t>..... Coruña.....*. '39.® 639 Doña Francisca. María de Paz y Carrasco..... . Madrid*...... 600 2420 D, Juan Manuel de Peralta.,........................ •«*#!» 500 278 Doña María Benita Rocandid y D. Francisco ■f Martínez Mugica............................ . Burgos:,....*. 3°0 1921 D. Manuel María Bahamon</t>
  </si>
  <si>
    <t>a..... 600 2322 D. Josef Bernardo Muñoz.................................. Cádiz........... 300 1709 D. Juan Manuel de Peralta................................ Cádiz........... 500 1433 Lorenzo del Castillo y compañía y D. Francisco Monsalve................................................. Málaga^...... 30</t>
  </si>
  <si>
    <t>a.... 300 793 D. Pedro de Llano............................................. Madrid....... 500 1780 D. Juan Manuel de Peralta............................... Cádiz.......... 300 132 D. Salvador de Perellos y Lanuza................... Valencia..... 3°o 1559 D. Apolinar de Iguazan...........................</t>
  </si>
  <si>
    <t>diz.......... 300 588 D. Felipe Martínez de Viergol........................ Madrid........ 000 1707 D. Juan Manuel de Peralta....,......................... Cádiz.......... 500 2150 D. Antonio González Viejo.............................. Coruña........ 600 Se continuará.</t>
  </si>
  <si>
    <t>Madrid....... 300 2251 D. Francisco Salvador de Estarta................... Bilbao......... 3°° 2065 D. Juan Manuel de Peralta........... ................. Cádiz........ IOCO 1134 D. Antonio-Balaguer......... ................—....... . Zaragoza... ..; 300 1946 D. Juan de Marticorena.......................</t>
  </si>
  <si>
    <t>........ Madrid... 3000 2137 D. Francisco de Vea Murquia......................... Zaragoza 3co 2307 D. Juan Manuel de Peralta............................. i. Cádiz..,.-, LC.OO 1827 D. Josef Gil de Llanderai........... : Zaragoza. ...U ■ 500 *33 D. Josef de Ter-an.............................. . Valencia</t>
  </si>
  <si>
    <t>................. . Madrid....... 300 6)2 D. Cipriano de la Haza y Garay... Madrid....... IOOO 2421 D. Juan Manuel de Peralta,.......... &gt;«. Cádi'Z'*M*^if' 500 176) D. Viceñte Arroyuelo................ . »• O^dlZ* • •• mu* •&gt;»:«««•• 300 623 D. Angel Abril »• Madrid» ; 500 ,. Bilbao...,;... 300 &gt;&gt;39 D. Ju</t>
  </si>
  <si>
    <t>..... 300 189* D. Joaquin de Astiz.......................................... Zaragoza..... 50o 1708 D. Juan Manuel de Peralta............. ............ . Cádiz.......*:. 300 24If D. Domingo Gaspar Perez....... . Zaragoza..:*. 3000 2302 D. - Alfonso de la Guardia. Cádiz.:.**!.... 600 I067 Sres* Gil y }3en</t>
  </si>
  <si>
    <t>....»...«^..;7; Cádiz....;..,.. -500 5 55 D.-Cast¿r García.,,.....././... _ Madrid..*....; 300 2110 D. Juan Manuel de Peralta..,.,,..,.....,...'......;.,.. Cádiz.......... ; 5co 201 D. Josef Adalid.......&gt;..... ..»»'.. ;„i.. &lt;■ .Alicante....;; ¿3oq '22 o D.. Josef de&gt;Mollinedo............................</t>
  </si>
  <si>
    <t>700 228 L D. J uan Henrique Conrad...................................... Cádiz............ 300 2078 D. Juan Manuel de Peralta................................... Cádiz............ 600 I49 D. Nicolás Vargas Valencia............. .................... V alencia...... 600 2044 D. Josef Ganeda.................</t>
  </si>
  <si>
    <t>ncia-.... 300 2321 D. Fermín Ramón Barrera............................... Cádiz........... 300 1779 D. Juan Manuel de Peralta........... ................. Cádiz........... 3 00 1083 D. Manuel Miguel de Irasuzta.......... ............. S. Sebastian. $00 160 Sra. Condesa de Toreno..........................</t>
  </si>
  <si>
    <t>..... Madrid....... 300 1372 D. Juan Roca y Juan de Orihuela;.;.,.......... Alicante...... 300 1778 D. Juan Manuel de Peralta............. .................. Cádiz.......... 500 1729 Sres. Mansanecu hermanos............i. Cádiz.............................. 600 257 D. Andrés Martínez Verdugo.............</t>
  </si>
  <si>
    <t>... Madrid..... .. 500 D. Diego Izquierdo, canónigo....................... Zaragoza..... . 500 2426 D. Juan Manuel de Peralta...,................ . Cádiz........ 500 1720 D. Francisco Arrafan y Valdés de Bexer...... Cádiz.......... 1500 2387 D. Vicente Landeras y Mas,........*................ Zaragoza...</t>
  </si>
  <si>
    <t>.... 500 2025 D. Antonio Saenz......................................... Cádiz.......... 300 J^ 1781 D. Juan Manuel de Peralta....................... Cádiz.......... 500 412 P. Jo¡sef Francisco Odria de Escoriaza..... Santander.... 500 738 D. Manuel Coleta......... .................. ........... Madrid...</t>
  </si>
  <si>
    <t>de Perea, Julián Martín</t>
  </si>
  <si>
    <t>Julián Martín de Perea</t>
  </si>
  <si>
    <t>................. 120. D. Sebastian López O ivares, 20 id. por un mes........................ * 20. D. Julián Martin de Perea, gefe de las caballerizas de los Sres. Infantes , 20 id. por 2 meses:...........:......................................... 40. D. Manuel de S. Vicente , 180 id. por un mes........</t>
  </si>
  <si>
    <t>de Perea, Vicente</t>
  </si>
  <si>
    <t>Vicente de Perea</t>
  </si>
  <si>
    <t>oducto en la mayor parte de alhajas de su iglesia, de que se han enagenado, por una vez..... rcoo®. D. Vicente de Perea, por ahora.......*...... ................................... . roo. D. Josef Medel y Cabezas , por una vez........................................ 320. *D. Miguel de Lavandero, po</t>
  </si>
  <si>
    <t>de Pereda, Tomás</t>
  </si>
  <si>
    <t>Tomás de Pereda</t>
  </si>
  <si>
    <t>............. 124. D. Basilio Boulet, por agosto á 4 rs. diarios.............................. 124. D. Tomas de Pereda, del comercio de.esta y Aranjuez, por 4 meses á 36 rs. diarios........... ................................... .................. 439*« D. Mateo de Mora y Lomas, oficial de la secr</t>
  </si>
  <si>
    <t>de Pereda, Vicente</t>
  </si>
  <si>
    <t>Vicente de Pereda</t>
  </si>
  <si>
    <t>es, por ahora..'............................................................................. 2000. D. Vicente de Pereda, del comercio de lienzos, por 4 meses á 6 rs. diarios................................................. 732. El conde de Ibangrande, gentilhombre de boca, por agosto á 100 rs. mens</t>
  </si>
  <si>
    <t>de Perellos y Lanuza, Salvador</t>
  </si>
  <si>
    <t>Salvador de Perellos y Lanuza</t>
  </si>
  <si>
    <t>id....... 500 1780 D. Juan Manuel de Peralta............................... Cádiz.......... 300 132 D. Salvador de Perellos y Lanuza................... Valencia..... 3°o 1559 D. Apolinar de Iguazan..................................... Bilbao.......... 600 833 D. Manuel Antonio Acacio...................... . Mad</t>
  </si>
  <si>
    <t>de Perreras, Juan</t>
  </si>
  <si>
    <t>Juan de Perreras</t>
  </si>
  <si>
    <t>Antonio Nassarre, bibliotecario mayor de S. M---- Sinopsis histórica acronólógica de España-, - por D. Juan de Perreras, bibliotecario mayor de S.M., añadida con un sumario cronológico, y un índice general por orden alfabético.—La Bneida de Virgilio, traducida en verso castellano por Gregorio Herná</t>
  </si>
  <si>
    <t>de Pina y Ruiz, Juan</t>
  </si>
  <si>
    <t>Juan de Pina y Ruiz</t>
  </si>
  <si>
    <t>sentado hasta ahora. En virtud de real orden de 18 de enero próximo pasado se ha mandado por el Sr. D. Juan de Pina y Ruiz, intendente de los reales exércítos con exercicio en el de Castilla Ja nueva, sacar á pública subasta por término de 30 dias , contados desde la publicación de este aviso, el asie</t>
  </si>
  <si>
    <t>acer pastura, acuda á dicha oficina, donde se manifestarán sus condiciones. Por providencia del Sr. D. Juan de Pina y Ruiz, intendente de los reales exércitos, con exercicio en el de Castilla la Nueva, se ha señalado para el remate del asiento de la provisión del pan de munición para la tropa de la gu</t>
  </si>
  <si>
    <t>ado en Madrid, que vive en la calle de Alcalá, frente á la aduana , núm. 5. Por providencia del Sr. D. Juan de Pina y Ruiz, caballero profeso del órden de Santiago, regidor perpetuo de la ciudad de Murcia, é intendente de los reales exércitos, con exercicio en el de Castilla la nueva, se ha mandado sa</t>
  </si>
  <si>
    <t>ntra él como hubiese lugar. En virtud de orden de Ja suprema Junta central se ha mandado por el Sr. Don Juan de Pina y Ruiz, caballero profeso del orden de Santiago, regidor perpetuo de la ciudad de Murcia, é intendente de los reales exércitos, con exercicio en el de Castilla Id nueva, sacar a publica</t>
  </si>
  <si>
    <t>Lozano, depositario general de penas de cámara del real fisco de la Guerra. Por providencia del Sr. D. Juan de Pina y Ruiz, caballero profeso del orden de Santiago, regidor perpetuo de la ciudad de Murcia, intendente de los reales exércitos, con exercício en el de Castilla la nueva, se ha señalado el</t>
  </si>
  <si>
    <t>de Porras, Pedro</t>
  </si>
  <si>
    <t>Pedro de Porras</t>
  </si>
  <si>
    <t>adier D. Andrés-de Errasti, comandante del primer batallón de reales guardias Españolas; el coronel D. Pedro de Porras, capitán de reales guardias Valonas; el coronel D. Pedro de Torres, exentó del real cuerpo de guardias deCorps: todos con el príncipe de Gaste ifranco^ capitán general de los real</t>
  </si>
  <si>
    <t>de Posada y Soto, Ramón</t>
  </si>
  <si>
    <t>Ramón de Posada y Soto</t>
  </si>
  <si>
    <t>de Estado al marques de las Amarillas, á D. Ignacio Muzquiz , á D. Manuel de Lardizabal y Uribe, á D. Ramón de Posada y Soto , á D. Josef García de León y Pizarro, á D. Ignacio Martínez de Villela, á D. Manuel Romero, á D. Antonio Ranz Romanillos, á Don Estanislao de Lugo, á D. Pablo de Arribas, á D. Fr</t>
  </si>
  <si>
    <t>de Prado y Baeza, Pedro</t>
  </si>
  <si>
    <t>Pedro de Prado y Baeza</t>
  </si>
  <si>
    <t>71 Rs. IVTrs. D. Pedro de Prado y Baeza, canónigo de la real iglesia de San Isidro de 'Madrid, en intereses de vales reales, por u'jpg/vez... 541. . D, Juan Pedro Sierra , en intereses dé' vales reales.,^. ••...........</t>
  </si>
  <si>
    <t>de Prado y Ulloa, Benito</t>
  </si>
  <si>
    <t>Benito de Prado y Ulloa</t>
  </si>
  <si>
    <t>iado de la de Santiago. Diputación del cuerpo colegiado de nobleza. D. Eusebio María de los Heros , D. Benito de Prado y Ulloa. Diputación de los cinco gremios mayores. D. Pedro Rubio , D. Vicente Ambrosio de Aguirre. Por las 6~4 diputaciones de los barrios que componen los ro quarteles de Madrid. D. Silv</t>
  </si>
  <si>
    <t>de Prado, Benito</t>
  </si>
  <si>
    <t>Benito de Prado</t>
  </si>
  <si>
    <t>, jí. .......... • ••••■■ i i..»..,v 8o.' El P..»F.:P. A», id...... . i... .&gt;&gt; i*... ...... i, 160» D. Benito de Prado, gentilhombre; de,boca de S. M. , en inte- , \ reses de acciones, id...... ............................................................... 1600. Los Sres. Ribas y sobrino, vecinos</t>
  </si>
  <si>
    <t>de Prado, Pedro</t>
  </si>
  <si>
    <t>Pedro de Prado</t>
  </si>
  <si>
    <t>as* D. Manuel Gil Samibañez ico varas D. Angel Abril, tesorero honorario de lienzo» de exércitó, 6. D. Pedro de Prado 3 camisas. D. Juan Francisco Rodrigo 6. D. Francisco de las Barreras 50 pares D. Femando Vázquez Ttllez 12. de calcetas. Doña María Vacas una libra de hilas. Lá Excma. Sra. condes</t>
  </si>
  <si>
    <t>de Prats y de Vilalba, Miguel</t>
  </si>
  <si>
    <t>Miguel de Prats y de Vilalba</t>
  </si>
  <si>
    <t>ll$4 Concuerda con su original. Por indisposición del escribano principal Don Miguel de Prats y de Vilalba, Manuel Pons.” . . . » „ El Excmo. Sr. conde de Ezpeleta, presidente de ía real audiencia, el real acuerdo, ilustre ayuntamiento, señor intendente, en junta celebrada en el palaci</t>
  </si>
  <si>
    <t>de Prats y Vilalba, Miguel</t>
  </si>
  <si>
    <t>Miguel de Prats y Vilalba</t>
  </si>
  <si>
    <t>resoluciones que se hicieren. Concuerda con su original. Por indisposición del escribano principal Don Miguel de Prats y Vilalba, Manuel Pons.” , A cuya iniqua petición se denegaron los gremios con noble firmeza, esipíritu y valor, haciendo ver que su ánimo está mui distante «le proteger las miras tiránicas</t>
  </si>
  <si>
    <t>de PueJIes, Felipe</t>
  </si>
  <si>
    <t>Felipe de PueJIes</t>
  </si>
  <si>
    <t>........ 20©. D. Matías Peralta ,-agente de negocios, id....... .............................. 100. D. Felipe de PueJIes, ageste de negocios, id...... .......................... ico. D. Domingo de Callejo, deLcomercio, id...................................... 2CO. D. Lorenzo de Neila y Dona María An</t>
  </si>
  <si>
    <t>de Qtaegui, Sebastián</t>
  </si>
  <si>
    <t>Sebastián de Qtaegui</t>
  </si>
  <si>
    <t>Continúan los donativos en dinero paira el exército de\Aragón, D. Estanislao Antonio Barreta, pres­ D. Sebastian de Qtaegui 100. bítero , 200 rs. María Montesein 8. .&lt; D.F.N.60. Pedro Tornero 8. D. Andrés Caballero 1821 rs. y. 24 Doña Rafaela Ormaza 8. mrs. en metálico , y 9161 y 16 María Sánchez 4 rs.</t>
  </si>
  <si>
    <t>de Quesada, Juan de Dios</t>
  </si>
  <si>
    <t>Juan de Dios de Quesada</t>
  </si>
  <si>
    <t>.. 500 629 Doña Ignacia Arto.......................... ....... ........... Mídrid........ 300 17 73 D. Juan de Dios de Quesada....... ;...... . Cádiz......... óoo 35° Junta de gobierno de la real compañía de la . Ha vana....................... ................... ................... Cádiz.......... 300 10</t>
  </si>
  <si>
    <t>de Quevedo Villegas, Francisco</t>
  </si>
  <si>
    <t>Francisco de Quevedo Villegas</t>
  </si>
  <si>
    <t>medios de qualquier fortuna, libro de Lucio Aneo Séneca, filósofo estoico/ á Gal ion, traducido por D. Francisco de Quevedo Villegas, con adiciones suyas en el fin de todos los capítulos, que sirven de comentario.__El heroísmo de la amistad , David y Jonatás, poema en 4 cantos, traducido del francés por D. D. B</t>
  </si>
  <si>
    <t>de Quevedo, Francisco</t>
  </si>
  <si>
    <t>Francisco de Quevedo</t>
  </si>
  <si>
    <t>les y exemplares para honesto y útil recreo: 2 tomos en 8.° 4 2.0 rs. en pasta.._Obras escogidas de D. Francisco de Quevedo, caballero del hábito de Santiago: 4 tomos en 2 en 8.° á 26 rs. en. pasta.__Coleccion de poesías del mismo para servir de continuación á la precedente: un tomo en 8.° á 12 rs. en</t>
  </si>
  <si>
    <t>de Quirós, Francisco Bernardo</t>
  </si>
  <si>
    <t>Francisco Bernardo de Quirós</t>
  </si>
  <si>
    <t>*«•••« • • #.» •*•••••»«« # 4 4 44#«.##444 4-4«.« m-é •• *# 444 •* • « 4-4 • *.« 1000. «4 44 4-4 4 D. Francisco Bernardo de Quirós, por una vez....... ..... . 320. Un oficial de la real armada á cuenta de 8® rs. por una-vez..... 2000. D. M. O. M., presbítero, por una vez • • • - . * 4 4 4 4.4 4 4 • #- ••*■4 »</t>
  </si>
  <si>
    <t>de Reinalte, Rafael</t>
  </si>
  <si>
    <t>Rafael de Reinalte</t>
  </si>
  <si>
    <t>res de esta corte, y verificada la concurrencia de los Sres. D. Pedro de Mora y Lomas', corregidor; D. Rafael de Reinalte, D. Juan de Castañedo, D. Mariano Blancas, D. Julián de Fuentes, regidores; Di Juan Josef Bringas, procurador general; D.Mateo Norzagarai, procurador personero; D. Juan Xaramillo,</t>
  </si>
  <si>
    <t>de Rerillá, Manuel</t>
  </si>
  <si>
    <t>Manuel de Rerillá</t>
  </si>
  <si>
    <t>m. &lt;5j.) ’ Madrid jo de agosto. La dirección general de correos y caminos compuesta de los .señores D. Manuel de Rerillá, D. Juan d.el Castillo y Carróz, D. Fernando de la Serna , D. Juan García de Villa, D. Francreco NogueVy D. Juan Facundo Caballero, no ha reconocido ni jurado la constitución de B</t>
  </si>
  <si>
    <t>de Retes y Bustamante, Francisco Maria</t>
  </si>
  <si>
    <t>Francisco Maria de Retes y Bustamante</t>
  </si>
  <si>
    <t>ieta y su hijo D. Francúco, Doña Ana Zulueta, D. Francisco Iriarte, D. Pedro Zubiaga , herederos de D. Francisco Maria de Retes y Bustamante, D. Manuel Saenz del Prado y D. Ramón de Vasualdo, individuos de la compañia de longistas, 30 piezas de paños negros con 861 varas. D. Tómas Perez 3! piezas de paños con 1108 vara</t>
  </si>
  <si>
    <t>de Retes, Manuel Miguel</t>
  </si>
  <si>
    <t>Manuel Miguel de Retes</t>
  </si>
  <si>
    <t>.... Alicante...... 300' 1800 D. Juan Antonio de. Yardiola y Garay. . Cádiz.......... ». IOOOí 2401 D. Manuel Miguel de Retes................. Zaragoza...... 300 187? D. Gerónimo Bueno............ Zaragoza...». 1500 1958 D. Juan Antonio Rodrigo....................... [Zaragoza.. ... 1500 1741 Doña Josefa</t>
  </si>
  <si>
    <t>de Revilla, Manuel</t>
  </si>
  <si>
    <t>Manuel de Revilla</t>
  </si>
  <si>
    <t>vez.............................. .................................................. ........ 60.^ D. Manuel de Revilla, director general de correos, por una vez. 2200. D. Genaro Faustino Rincón , por una vez.....';................ . 500. D. Francisco de la Viña é Iriarte, oficial de consolidación,</t>
  </si>
  <si>
    <t>de Ri, Pedro</t>
  </si>
  <si>
    <t>Pedro de Ri</t>
  </si>
  <si>
    <t>ostumbres. La abertura de las Por Toledo puertas del real palacio, cerradas tanto tiempo ha— El Sr. D. Pedro de Ri- oia, la triste soledad de la augusta habitación de bero. nuestros Reyes, y el recuerdo de la época y motfEl Sr. D. Josef García vos por que se cerraron, arrancaron lágrimas a tode</t>
  </si>
  <si>
    <t>de Ribero y la Encina, Pedro</t>
  </si>
  <si>
    <t>Pedro de Ribero y la Encina</t>
  </si>
  <si>
    <t>: de la autoridad soberana de nuestro amado Monarca el Sr. D. Fernando vii , dirigido ppr los Sres. D. Pedro de Ribero y la Encina , canónigo de esta santa primada iglesia, y vicario general de su arzobispado, y I), JosefrManuel Qarcíade la Torre, abobado de los reales Consejos, y regidor perpetuo en asiento</t>
  </si>
  <si>
    <t>de Rivas, Ignacio</t>
  </si>
  <si>
    <t>Ignacio de Rivas</t>
  </si>
  <si>
    <t>. Josef de Ibarra, D. Tadeo Segundo Gómez y D. Manuel de Torres Cónsul, y el secretario de millones D. Ignacio de Rivas. VENTA. Habiéndose aprobada por el señor intendente de esta proxóncía el remate celebrado en 14 de julio último de- una casa sita en la calle de la Comadre de Granada, nútn. 17, m</t>
  </si>
  <si>
    <t>de Rivas, Miguel</t>
  </si>
  <si>
    <t>Miguel de Rivas</t>
  </si>
  <si>
    <t>ondesa viuda de Viamanuel 6 camisas. Doña María Juana Planté de Portillo y sus dos hijos 6. Dia 15. D. Miguel de Rivas 43 varas de paño pardo, 6 pares de calzones, 2 chaquetas y 2 pantalones pardos. Doña Josefa de Elosua y Leiva una camisa. Doña Ramona Tapies y Muya 2. £1 Excmo. Sr. marques de; Mo</t>
  </si>
  <si>
    <t>de Riyacoba, Francisco Antonio</t>
  </si>
  <si>
    <t>Francisco Antonio de Riyacoba</t>
  </si>
  <si>
    <t>z 33:00. . . ' [ D. Manuel Velasco, mayordomo del marques de las Amarillas, por una vez 3 20 rs. 5. D. Francisco Antonio de Riyacoba , del comercio, por una vez 3© rs..</t>
  </si>
  <si>
    <t>de Robi, Estéban</t>
  </si>
  <si>
    <t>Estéban de Robi</t>
  </si>
  <si>
    <t>no pudo maniobrar nuestra caballería: pero la infantería sostuvo su fuego hasta las 7. de la tarde. Don Estéban de Robi, Capita* de la compañía de voluntarios de Antequera Ies hizo mucho daño desde el Penon de S. Lázaro; y para evitar ser cortado por la artillería enemigaa se retiró con el capitán</t>
  </si>
  <si>
    <t>de Robledo, Manuel</t>
  </si>
  <si>
    <t>Manuel de Robledo</t>
  </si>
  <si>
    <t>. Sebastian. 380 2146 D. Pedro de la Riva Andrés................... ........ Coruña....... 300 1901 D. Manuel de Robledo.......................... Zaragoza..... 300 1776 D. Josef María de Quesada.............................. Cádiz.......... 500 1187 D. Antonio Buenaventura Valiester de Villanueva..</t>
  </si>
  <si>
    <t>de Robles y González, Manuel</t>
  </si>
  <si>
    <t>Manuel de Robles y González</t>
  </si>
  <si>
    <t>barrio del Humilladero. D. Ramón Guerra Ximenez, secretario. 35. Juan del Rio y Otero, diputado id. D, Manuel de Robles y González,' diputado de idy D. Josef María Furdinier, diputado del Rosario. Don' Francisco Iturmendi, diputado de S. Martin. D. Francisco Xavier de Eli— pe, id. D. Tomas Busto González id.</t>
  </si>
  <si>
    <t>de Rosales, Juan Nepomuceno</t>
  </si>
  <si>
    <t>Juan Nepomuceno de Rosales</t>
  </si>
  <si>
    <t>.... ......... . 2 . 2 •, ■ \ ■ JL^. ■ Ignacio*Irían...................«........'..^ t2/ ; 2r Josef D. Juan Nepomuceno dé Rosales.,..,.........;. 1 y 1 cabez¡4* ,D. Juan Antonio Fernandez Rubio, presbítero................... ...... 1 .. , i ^ D. Juan Alana C^a^tidie..#...j».,.. *.;j[ t D. Juan deM?ta Donativ</t>
  </si>
  <si>
    <t>de Rosas, Sebastián Martín</t>
  </si>
  <si>
    <t>Sebastián Martín de Rosas</t>
  </si>
  <si>
    <t>D. Sebastian Martín de Rosas, agente de Indias, por una vez.. 600. ]). Gabriel Alvares, gefe de la real cocina, por una vez:.......... 3 20. D. Alberto Gremadélfe, oficial de la lotería, por una vez.........</t>
  </si>
  <si>
    <t>de Roxas, Felipe</t>
  </si>
  <si>
    <t>Felipe de Roxas</t>
  </si>
  <si>
    <t>......... . 150°* D. Francisco Ventura Mayoli, id........................ ...... ........... . 200. D. Felipe de Roxas , en créditos, id............................................ 2415 9. Doña C. M., id 7643984620672 3P* D. Juan Benito, id............................... ..........................</t>
  </si>
  <si>
    <t>de Roxas, Manuel</t>
  </si>
  <si>
    <t>Manuel de Roxas</t>
  </si>
  <si>
    <t>. . D. Fernando Cárnico 300. D. Josef Bonilla 160. r d: f. m. 75. D. Josef Viñas 20. . D. M. F. 30. D. Manuel de Roxas 80. ' D. Pedro Barbería 200. D. Juan Gil de Arana 60, . * D.; £.; B. 1$. I D ña Justa Rutina de la Puente 20¿ D. Manuel Olivares 100. Doña Margarita Cabrero 10. . . .i D. Sebastia</t>
  </si>
  <si>
    <t>de Roxas, Pedro</t>
  </si>
  <si>
    <t>Pedro de Roxas</t>
  </si>
  <si>
    <t>Fernandez de Quesáda, relator del consejó, por Una vez........».».»».»».»..»»»..»»........ . 300*: D. Pedro de Roxas, por una vez......... ................................... 400... D. Timoteo Rodríguez, por una vez.............................................. 500. D. Narciso Soria, platero de</t>
  </si>
  <si>
    <t>de Rucabado, Francisco Antonio</t>
  </si>
  <si>
    <t>Francisco Antonio de Rucabado</t>
  </si>
  <si>
    <t>600 1459 D. Josef Lizalde.................................................. Málaga........ 300 442 D. Francisco Antonio de Rucabado............;... Santander.... 3°° 1911 D. Francisco Rousille................... ................. . Zaragoza.... ¿ 3 00 524 D. Manuel de Mazon Carrea.......................... Bil</t>
  </si>
  <si>
    <t>de Rucavado, Francisco</t>
  </si>
  <si>
    <t>Francisco de Rucavado</t>
  </si>
  <si>
    <t>se despacharán los billetes á 4 rs. de vellón cada uno. AVISOS. En 24 de mayo remitió desde Madrid D. Francisco de Rucavado á D. Francisco de Bustamante y Guerra, de Cádiz, endosados á favor de este, un vale real de enero de ó00 pesos, núm. 365923: 2 id. de 300, núms. 89353 y 89792: 2 id. de 150, núms.</t>
  </si>
  <si>
    <t>de Rueda y Leon, Matías</t>
  </si>
  <si>
    <t>Matías de Rueda y Leon</t>
  </si>
  <si>
    <t>tomo en 8.° Se hallará en la librería de Castillo. ramifica española para uso de los franceses, por D. Matías de Rueda y Leon¿ autor de la gramática francesa pára uso de la nación esp inóla. Véndese á 14 rs. en rustica en las librerías de Fuentenebro y compañía, calle de las Carretas, de Barco, carrera d</t>
  </si>
  <si>
    <t>de Saave, Francisco</t>
  </si>
  <si>
    <t>Francisco de Saave</t>
  </si>
  <si>
    <t>la ocasión presente^. Ya el día ; 14. habíamos tenido la satis-fáceioa¿íde; ver al. Serenísimo, Siv D. Francisco de Saave*dfa, presidente.;de esta Junta suprema y ministro de Hacienda -en. la- Central, quien : recibió del pueblo1 las mas vivas pruebas; de - su . afecto, á pesar de la hora incómoda en</t>
  </si>
  <si>
    <t>de Saavedra, Francisco</t>
  </si>
  <si>
    <t>Francisco de Saavedra</t>
  </si>
  <si>
    <t>encias para rechazar ó rendir al enemigo. La tarde del mismo dia 9 salió para Carmona el Sermo. Sr. D. Francisco de Saavedra, acompañado del Exmo,. Señor Conde de Tillí , individuo de esta Junta Suprema, para celebrar una Junta de Generales en que se determinasen jai operaciones de nuestro ejército. Tod</t>
  </si>
  <si>
    <t>las tropas españolas, y llevarlas en derechura al norte de España. = Jácome. = Apodaca.= Sermo. Sr. D. Francisco de Saavedra, presidente de la suprema junta de gobierno de Sevilla. =Es copia, de que certifico. = Sevilla 10 de setiembre de 1808. = Vicente Basabre, secretario.” Madrid 14 de setiembre. El</t>
  </si>
  <si>
    <t>de Sainz Ruiz, Martín Diego</t>
  </si>
  <si>
    <t>Martín Diego de Sainz Ruiz</t>
  </si>
  <si>
    <t>................. . 3000. El Sr. D. Silvestre de Abad y Aparici........................ 600, El Sr. D. Martin Diego de Sainz Ruiz, tesorero de los cincos Gremios............. ........... ............................ *00©. La casa de los Sres. Amandi.......................................... 60©. y, El ardien</t>
  </si>
  <si>
    <t>de Salas, Antonio</t>
  </si>
  <si>
    <t>Antonio de Salas</t>
  </si>
  <si>
    <t>ute, calle angosta de Majáderitos , y en la de HurtaHoj calle1 de las Gatretas. Quatro sonetos, por D. Antonio de Salas: el i.° al Rei nuestro Sr. D. Fernando vri: el 2.0 á España: el 3.0 al Excmo. Sr.!D. Josef Paláfbx; y el 4.0 al Excmo* Sr. D. Francisco Xavier Castaños; Se hallarán á real én íá i</t>
  </si>
  <si>
    <t>de Salas, Manuel</t>
  </si>
  <si>
    <t>Manuel de Salas</t>
  </si>
  <si>
    <t>e paño. D&lt; Ramón López una chaqueta de: paño, 6 pantalones de cotonía y 2 pares de botines de paño. D. Manuel de Salas 70 pares de botines de lienzo cortos. Doña Francisca Gil 15 varas de paño. D. Andrés Peña 6 varas de paño. Doña María Felipa de Mendinueta</t>
  </si>
  <si>
    <t>de Salas, Pedro</t>
  </si>
  <si>
    <t>Pedro de Salas</t>
  </si>
  <si>
    <t>rs. diarios................. ....................... *......................................... 62. D. Pedro de Salas., oficial de la contaduría del señor conde de Altamira, por 4 meses á 2 rs. diarios........................................ 144. D. Diego Rodríguez del Pino, ,catedrático del .rea</t>
  </si>
  <si>
    <t>de Salazar y Vallejo, Manuel</t>
  </si>
  <si>
    <t>Manuel de Salazar y Vallejo</t>
  </si>
  <si>
    <t>s, y contador general de las quatro militares , 50 varas de paño azul y pardo y 50 camisas. Dia 21. D. Manuel de Salazar y Vallejo 4 camisas. D. Roque Rosado 2. María Moreno, latonera, viuda, una olla de campaña de cobre. Dia 22. D. Francisco del Campo, en nombre de su muger Doña Micaela Roseílon , 24 camisas</t>
  </si>
  <si>
    <t>...................... ................... 100. D. A. S. R., id....;.......1*. ............... 40.* D. Manuel de Salazar y Vallejo, contador de resultas de Con- ¡ * taduría mayor j id...........;.......................................................... 500. D. F. Ni-, id.................. ........ ..........</t>
  </si>
  <si>
    <t>de Salazar, Domingo María</t>
  </si>
  <si>
    <t>Domingo María de Salazar</t>
  </si>
  <si>
    <t>, id............... .................... .................................................. 13200. D. Domingo María de Salazar, id.................................................... IOO. D. Josef de Carrascosa y Dutari, oficial jubilado de la contaduría del Sr. Infante D. Antonio, id..... ...............</t>
  </si>
  <si>
    <t>de Salazar, Juan</t>
  </si>
  <si>
    <t>Juan de Salazar</t>
  </si>
  <si>
    <t>15 de junio de 1808</t>
  </si>
  <si>
    <t>Sevilla 5</t>
  </si>
  <si>
    <t>ceses del exército: y su Comandanre y otros tres de su guardia que resistieron, murieron en casa de D. Juan de Salazar. Este acometimiento fué á la una de la noche. A las 6. de este dia entró un posta francés con pliegqr para el Duque de Berg, puesto en la cárcel se abrieron sus eartas, y leídas e</t>
  </si>
  <si>
    <t>de Salazar, Luis María</t>
  </si>
  <si>
    <t>Luis María de Salazar</t>
  </si>
  <si>
    <t>s sus ministros, que son los tenientes generales D. Antonio de Escaño, D. Josef Justo Salcedo y yo; D. Luis María de Salazar, intendente general; D. Juan Perez Villamil, ministro togado; el gefe de escuadra D. Josef de Espinosa, secretario, y el capitán de navio D. Martin Fernandez de Navarrete, contado</t>
  </si>
  <si>
    <t>de Salazar, Manuel</t>
  </si>
  <si>
    <t>Manuel de Salazar</t>
  </si>
  <si>
    <t>nuel de AUer ioo/;. , , » ,, .1; 11 mrs. en viales reales. f D.iLuis de Mata 100. . Doña M. F. 20.: D. Manuel de Salazar 300. Un caballero que ocultó su nombré Doña Catalina Quartero 20. un juego de hebillas de oro para zal^1 J* A'.i0‘;24»? •„ j¿ t ■ . , patos, charreteras y corbatín pata El P. Anto</t>
  </si>
  <si>
    <t>de Salcedo, Tomás</t>
  </si>
  <si>
    <t>Tomás de Salcedo</t>
  </si>
  <si>
    <t>alistamientos de los solteros desde 16 á 40 años; se ha nombrado por comandante general al coronel D. Tomas de Salcedo , y se han tomado las precauciones mas oportunas para que se persiga al exército francés en qualquiera parte que se halle ^hasta que retroceda del territorio español, y nos restit</t>
  </si>
  <si>
    <t>a Fernando VII en aquellas provincias» el nombramiento de comandante general de ellas en el coronel D. Tomas de Salcedo, las órdenes que ha dado para el alistamiento general desdé 16 á 40 años» y las disposiciones que toma para perseguir al enemigo y defender su territorio* Mantesa 14 de Agosto» Av</t>
  </si>
  <si>
    <t>de Salligny, Carlos</t>
  </si>
  <si>
    <t>Carlos de Salligny</t>
  </si>
  <si>
    <t>Rei de las Españas y de las Indias: he venido en nombrar teniente general de mis reales exércitos á D. Cárlos de Salligny, duque de S. Germán , barón del imperio francés, general de división al servicio de Francia, comandante de la legión de Honor, y coronel general que ha sido de mi real guardia en</t>
  </si>
  <si>
    <t>de Sampeíayo, Manuel Francisco</t>
  </si>
  <si>
    <t>Manuel Francisco de Sampeíayo</t>
  </si>
  <si>
    <t>........ ICO. D. F. F. F., en intereses de vales reales, id.......... ..................... 902 17. D. Manuel Francisco dé Sampeíayo , id.................................... IOOCO. i). Diego de TTerrolja ^dajrtinez ^ ídi...,..., 5,00. D. F. de C. j id............................. ...............................</t>
  </si>
  <si>
    <t>de Sampelayo, Gabriel</t>
  </si>
  <si>
    <t>Gabriel de Sampelayo</t>
  </si>
  <si>
    <t>.......^.a......&gt;VB(a9V ¡ x ^.o. D. ManueI,Francisco, de Goyri, por una vez..............w ...j500% D. Gabriel de Sampelayo, ¡lO.**«•»»»*.« • v» •'*fV* t• Tf; 2000. Calixto Gutiérrez, á cuenta de 3,6o;T^.por,-3iiia.&gt;vez.;..^CM»«*^^. r '30..- ! p. Juan Manuel de Toubes* capellán mayor,de las Descalzas I</t>
  </si>
  <si>
    <t>de Sampelayo, Manuel</t>
  </si>
  <si>
    <t>Manuel de Sampelayo</t>
  </si>
  <si>
    <t>or rió libras dé Fr. A. F. t). M.IÍ. 2. quina y 22 id. de bálsamo. D. Manuel Sedaño y. sus hijos 6. D, Manuel de Sampelayo 5ó cambas. D. Juan Ignacio de Berriozabal 24. D; Añtomó Gáircía . 'cárpjritero dé D. Nicolas' de Araus 12. :kS."M.,:i4r'r: v' ‘ D. M. B, 3.' - * -■ D. Manuel Navarro 6. f Una sirv</t>
  </si>
  <si>
    <t>de San Pedro Ordoñez, Juan</t>
  </si>
  <si>
    <t>Juan de San Pedro Ordoñez</t>
  </si>
  <si>
    <t>ue vivir. Los que quieran hacer oposición, acudirán con sus memoriales al ayuntamiento, por mano de D. Juan de San Pedro Ordoñez, su regidor, comisionado í&gt;1 efecto, y comparecerán á ser examinados, conforme á reales órdenes, el dia 31 de marzo próximo; con prevención de que no se admitirán los que no tenga</t>
  </si>
  <si>
    <t>de San Pedro Ordóñez, Juan</t>
  </si>
  <si>
    <t>Juan de San Pedro Ordóñez</t>
  </si>
  <si>
    <t>sentarán sus memoriales, títulos y méritos ai mismo ayuntamiento ¿ por maño de su caballero regidor D. Juan de San Pedro Ordóñez, comisionado para los informes, dentro de 60 dias contados desde el 27 de ■ - 1TBH.OS, * Proclama á los españoles y á la Europa entera del africano Numída Abenumeya Rasis, de la f</t>
  </si>
  <si>
    <t>de San Pelayo, Manuel Felipe</t>
  </si>
  <si>
    <t>Manuel Felipe de San Pelayo</t>
  </si>
  <si>
    <t>d........ 300 1062 D. Juan Arnaez y Bringas....... ......................... Madrid........ 3co 654 D. Manuel Felipe de San Pelayo...................... Madrid....... 500 :'k53 5 •D.- Diego Contador............................................. Madrid.....„. 300 : 227 -D.- Juan-María Marín.Garnica.............</t>
  </si>
  <si>
    <t>de Sancha y Prado, Tomás</t>
  </si>
  <si>
    <t>Tomás de Sancha y Prado</t>
  </si>
  <si>
    <t>a en 119,88órs. Quien quisiere hacer postura acuda ante dicho señor por la escribanía del número de Don Tomas de Sancha y Prado. En 15 de este mes?se remató en pública subasta una casa, sita ¿n ía callé delta de esta corte, níím. 12y manz.,374 ytásada^ en8(5,828 rs. en la cantidad de ni©, los ioo*3 en vile</t>
  </si>
  <si>
    <t>Mfs. raníe un año , por agosto.................... .......................................... 386. D. Tomas de Sancha y Prado, 6 id., por 5 meses.................... i. 918. D. Ramón Barriocanal, oficial de.Empréstitos, 40 rs. por una » .' Vez , -y a-diarios, por .2 .meses.„........................ .....</t>
  </si>
  <si>
    <t>...... ............ ......... 640. El Sr. D. Joaquín Lorenzo Villanueva, capellán de honor.... ióo. D. Tomas de Sancha y Prado en efectivo................................. 1500. El mariscal de campo D, Juan Alvarez de Faria, y su esposa la condesa de Fuente-nueva de Arenzana, han cedido un crédito cobrablé</t>
  </si>
  <si>
    <t>de Sandra, Ramón</t>
  </si>
  <si>
    <t>Ramón de Sandra</t>
  </si>
  <si>
    <t>nps 2.. D. Alexo Santa María una sábana. D. Fernando Ibirrola, 6 camisas., I). Ramón de Sandra, vecino de Almería , 6. D. Francisco Moreno 12. D. Pantaleon de Castro una. El gremio de caldereros 16 ollas grandes de campaña, ,8 chicas de.repartir, una paila y 2 calderetas, todo de c</t>
  </si>
  <si>
    <t>de Sanpelayo, Manuel</t>
  </si>
  <si>
    <t>Manuel de Sanpelayo</t>
  </si>
  <si>
    <t>cisco FuU'osio, coronel del regimiento de América. En consideración á los distinguidos servicios de D. Manuel de Sanpelayo, director de la real caxa de descuentos de Madrid, se ha dignado el Reí Concederle los honores de ministro del tribunal de la contaduría mayo* de cuentas. • En América. S. M. se h</t>
  </si>
  <si>
    <t>de Santa María, Simón</t>
  </si>
  <si>
    <t>Simón de Santa María</t>
  </si>
  <si>
    <t>ntereses de vales reales............................ .................................... .1173 8|. D. Simón de Santa María, dependiente de los cinco Gremios mayores, 4 id. por 2 meses.................................. ......................... 244. D. y. de O., 4. id. id...............................</t>
  </si>
  <si>
    <t>de Santana, Francisco</t>
  </si>
  <si>
    <t>Francisco de Santana</t>
  </si>
  <si>
    <t>n quisiere hacer postura, lo executará por la escribanía que desempeña Vicente Palmero. avisos. , : D. Francisco de Santana, vecino de esta corte, hizo concurso en 12 de febreré de 1790, el que se declaró por bien formado én providenciare 19 de julio del mismo año, confirmada en 11 de agosto de ¿1 por</t>
  </si>
  <si>
    <t>de Santayana, Manuel</t>
  </si>
  <si>
    <t>Manuel de Santayana</t>
  </si>
  <si>
    <t>.............. . Bilbao... 300 505 Doña María Antonia Moro de Elejaveita....... Bilbao.... 1500 856 D. Manuel de Santayana........... ;..... ................ Madrid.. 500 2277 D. Francisco de Atristain................................. Bilbao..-.. 6co 2116 D. Felipe Ramirez.............................</t>
  </si>
  <si>
    <t>de Santiago y Visóy, Nicolás</t>
  </si>
  <si>
    <t>Nicolás de Santiago y Visóy</t>
  </si>
  <si>
    <t>de un partéj. militar-, Han llenado ígualmense todos sus! deberes muí á mi satisfacción íeFcapitán D. Nicolás de Santiago y Visóy edecán de V. E. ¿ y el teniente coronel D. Martin Martínez', capitán déíde Málaga,* el teniente del mismo regimiento D. Rafael Brucho y D. Manuel Osorio, teniente coronel del .provi</t>
  </si>
  <si>
    <t>de Santibañéz, Manuel</t>
  </si>
  <si>
    <t>Manuel de Santibañéz</t>
  </si>
  <si>
    <t>amisas de coruña. Doña Joaquina Quijada 11 varas y media de lienzo. D; Francisco Martino 2 camisas. D. Manuel de Santibañéz 6 de coruña finas. D. Josef Puigdolles 15 pares de zapatos. ' £□ la extracción de la real lotería extraordinaria, celebrada el lunes 19 del corriente, salieron los números 84, 13,</t>
  </si>
  <si>
    <t>de Santiuste, Manuel</t>
  </si>
  <si>
    <t>Manuel de Santiuste</t>
  </si>
  <si>
    <t>núm. 1, y se le dará una gratificación. HALLAZGOS. Quien hubiese perdido 2 monedas de oro, acuda á D. Manuel de Santiuste, eti li tienda de D. Josef de la Sotiila, portales de Paños, quien dándole las señas las entregará. ¡La persona que hubiese perdido 2 acciones de los 5 gremios mayores, acudirá i</t>
  </si>
  <si>
    <t>de Saovedra, Francisco</t>
  </si>
  <si>
    <t>Francisco de Saovedra</t>
  </si>
  <si>
    <t>Sevilla 23</t>
  </si>
  <si>
    <t>. su alcalde de Quadra en esta reai audiencia , se hace notorio que por decreto ele S. A. S. ei Sr. D. Francisco de Saovedra, presideete de la Suprema Junta de Gobierno de Espaíía e Indias, le ha admitido á D. Salvador Envernad, vecino de esta ciudad, la dexacion que ha hecho de la agencia dei imperi» i</t>
  </si>
  <si>
    <t>de Sapcha y Prado, Tomás</t>
  </si>
  <si>
    <t>Tomás de Sapcha y Prado</t>
  </si>
  <si>
    <t>llael día i 5 del; preseáte Q'uiéh quisiere hacer ^os^ tura , acuda ante su señoría y escribanía de’D. Tomas de Sapcha y Prado; ’ 1/ Por providencia de O. Josef María de Lomas, subdelegado'en el departamento de la ciudad de Ahdujar del juez comisionado regio en la diócesi de Jáenj^ se'ha! señalado el día</t>
  </si>
  <si>
    <t>de Sarachaga, Manuel</t>
  </si>
  <si>
    <t>Manuel de Sarachaga</t>
  </si>
  <si>
    <t>..... Jóo 2370 D. Santiago Arnedo...................... ..................... Zaragoza..... 300 469 D. Manuel de Sarachaga................................. •••• Bilbao.;....... 300 351 D. Josef Floranes, directorde la real fábrica de tabacos........ ................ ....... ............* *......... Cá</t>
  </si>
  <si>
    <t>ao.-.v..;.., 3Ó0 339 D. Tomas de Urrutia...................i-........ . ... Cádiz. í......; 360 515 D. Manuel de Sarachaga............................. ... Bilbao. ...6., 300</t>
  </si>
  <si>
    <t>de Sarachaga, Nicolás</t>
  </si>
  <si>
    <t>Nicolás de Sarachaga</t>
  </si>
  <si>
    <t>OO I4JO D. Adrián Ernaez.......................................... . Málaga.....*... 300 1609 Sres. D. Nicolás de Sarachaga y compañía..... Bilbao....... . 300 933 D. Pedro María Cano................................... , Madrid JOO 776 Sres. Alba y Colomer................................... Madrid.......</t>
  </si>
  <si>
    <t>... Burgos......... 600 D. Juan Saenz Diez y ;compañía..................... Madrid....... 6go Sres. D. Nicolás de Sarachaga y compañía..... Bilbao.......... 300 415 D. Victoriano Gallardo.................................... ■Santander.;.. loo 2254 D. Cándido Ramón de Meave............ ............ Bilbao</t>
  </si>
  <si>
    <t>.. 300 1909 Doña Rosa Marco................................................ Zaragoza..... 3 00 1611 D. Nicolás de Sarachaga..................................... Bilbao...... 500 2049 D. Francisco Xavier Castaños........................... Cádiz........... 600 631 D. Hipólito Manuel de Quanda...........</t>
  </si>
  <si>
    <t>Valencia..'... 300 9*3 D. Manuel de Llano y compañía................. Madrid....... 300 1608 Sres. D. Nicolás de Sarachaga y compañía...... Bilbao......;.. 3000 2072 D. JuSn Francisco Xeres..... i..... Cádi¿**....U 606 1023 B.’ Manuel Lloi ente.Madrid.....»'* 500 1922 D. Santiago García de la Cámara....</t>
  </si>
  <si>
    <t>de Sarachágá, Nicolás</t>
  </si>
  <si>
    <t>Nicolás de Sarachágá</t>
  </si>
  <si>
    <t>.-Sebastian de-Ibartueca..Bilbao...!...! . 3 00 296 Martin de Talazan...Málaga...... i'500 ¡té 1.2 D. Nicolás de Sarachágá..!.......................... _ Bilbáo. 300 •' 14 D. Pedro de Azaguinotaza..».!....................... Zaragoza...;! 600 1088 D. Pedro del Rio................. ....................</t>
  </si>
  <si>
    <t>de Saraviay, Manuel</t>
  </si>
  <si>
    <t>Manuel de Saraviay</t>
  </si>
  <si>
    <t>añiso P&lt;rez, cir-ufano, $oc rs. por una vez., y 7,98 .por. ... ;&lt;J1 5 - meses á 6 rs. diarios tap8. D. Manuel de Saraviay, abogada del oolegio , 500. rs,i por uíia : : ve5ív, y 186 * por - agosto* a o rs. ■ díanos.1 686. D. Félix Montero,: propietario", ¡por. 2- meses á real y; naedlo. . dia¥io¿.....</t>
  </si>
  <si>
    <t>de Sata y Zubiria, Ángel</t>
  </si>
  <si>
    <t>Ángel de Sata y Zubiria</t>
  </si>
  <si>
    <t>Galvez de Quirós, D. Manuel González Rodríguez, D. Pedro Gorron de Cisneros, D. Manuel Ramos Zafra, D. Angel de Sata y Zubiria, D. Manuel de Negueruela, D. Andrés de Larreta y D. Joaquín de Romaña; D. Diego García de Millar, Manuel Alonso Gómez, del gremio de botilleros; Santiago Rulica, del gremio de som</t>
  </si>
  <si>
    <t>de Satrustegúi, Felipe</t>
  </si>
  <si>
    <t>Felipe de Satrustegúi</t>
  </si>
  <si>
    <t>s , por agosto á 2 rs. diarios D. Josef Mánuelrdé Ainz Gardeázabal, por id’.* áioid........... yiov D. Felipe de Satrustegúi ,* mayordomo dél conde deSacedapor • • • id. á id....................................................................... 310* D. Francisco Cabañas, pasamanero, 500 rs. por una vez</t>
  </si>
  <si>
    <t>de Sese, Martín</t>
  </si>
  <si>
    <t>Martín de Sese</t>
  </si>
  <si>
    <t>43 Rs. Mrs. 13. por agosto....... ..................... .............................. . i86; D. Martin de Sese, director de la expedición botánica de Nueva España, 6 id. por 2 meses............................................. ....... 366. D. Santiago Tevin , uno id. por 5 id..............</t>
  </si>
  <si>
    <t>de Sierra, Domingo</t>
  </si>
  <si>
    <t>Domingo de Sierra</t>
  </si>
  <si>
    <t>ntonio Alonso Gaseo: en el de Extremadura compañía al teniente de granaderos , graduado de capitán, D. Domingo de Sierra ; tenencia ál subteniente D. Ignacio Texero , y subtenencia de bandera ál sargento primero del de América D. Mames Paez: en el de voluntarios de Castilla compañía al ayudante , gr</t>
  </si>
  <si>
    <t>de Sierra, Nicolás</t>
  </si>
  <si>
    <t>Nicolás de Sierra</t>
  </si>
  <si>
    <t>Granada: el.Sr. D. Gerónimo Antonio Diez de los de las provincias de Ja corona de Aragón; y el.Sr. D. Nicolás de Sierra de los de las provincias del territorio de la chancillería de Valladolid. v Adas* ip y media: de la mañana del sábado a :del corriente, quarto día del I sorteo: -de la parte de la -vas illa de</t>
  </si>
  <si>
    <t>m ' sej|t, el primero con honores de la propia cámara: D. Nicolás de Sierra, fiscal de dicho consejo de Castilla: D. García Gómez Xara, ministro del consejo de las Indias: D. Manuel Vicente Torres Cónsul, fiscal del consejo de Hacienda : D. Ignacio de Ala</t>
  </si>
  <si>
    <t>de Sierralta, María</t>
  </si>
  <si>
    <t>María de Sierralta</t>
  </si>
  <si>
    <t>Andrés de Segbvia 3 libras de hilas. Doña p. U. 3 libras de hilas y 12 vendas con ,.su$ cabezales. Dona María dé Sierralta 2 libras de hilas y una docena'de vendas. Doña Rosalía Carnerero 3 libras de hilas y una y media de cabezales..</t>
  </si>
  <si>
    <t>de Siles, Antonio</t>
  </si>
  <si>
    <t>Antonio de Siles</t>
  </si>
  <si>
    <t>oficio honorario de la? real cocina, por una Vez. ............i.....;;;.......... ......;.í.» 400. D. Antonio de Siles * catédrátfcú'dé-disciplina eclesiástica en S. Isidro, • por una vez........................................................... 32Ó. £). Andrés de Aransai Sancho, doctoral de la r</t>
  </si>
  <si>
    <t>de Silva y Áyaaz, Alexándro</t>
  </si>
  <si>
    <t>Alexándro de Silva y Áyaaz</t>
  </si>
  <si>
    <t>ncisco Hernández, tintorero, por 6 meses á 2 rs. diarios. 368. El comisario ordenador de artillería D. Alexándro de Silva y Áyaaz, 500 rs. por una vez, y 1080 por 6 meses á 6 rs. diarios.............. ...................................... ..................... —............. 1580. La comunidad de S. Gerónim</t>
  </si>
  <si>
    <t>de Silva y Ayanz, Alexandro</t>
  </si>
  <si>
    <t>Alexandro de Silva y Ayanz</t>
  </si>
  <si>
    <t>rellario.....^-.. Zaragoza. 3Q° 532 D. Juan Josef Perez........... .......... : Madrid.... 300 8-11 D. Alexandro de Silva y Ayanz....;.... Madrid.... .300 1732 D Jul ian Negrete..................... ............. Cádiz...... 300 20^7 D. Juan Francisco Pezron..................... Cádiz...... 300 2266 D. Zacar</t>
  </si>
  <si>
    <t>de Silva, Juan</t>
  </si>
  <si>
    <t>Juan de Silva</t>
  </si>
  <si>
    <t>T342 Comandante general del real cuerpo de artillería el brigadier D. Juan de Silva. Mayor general de esta arma el coronel del mismo cuerpo D. Josef García Paredes. Comandante general de ingenieros el brigadier D. Juan Bautista Americ. Mayor general el teniente c</t>
  </si>
  <si>
    <t>de Silva, Pedro</t>
  </si>
  <si>
    <t>Pedro de Silva</t>
  </si>
  <si>
    <t>to por edicto de i.0 de enero de este año. Presidió esta junta sú consiliario decano él Exento. Sr./D. Pedro de Silva, patriarca electo de las .Indias, y.:comendador dé Elxas en la orden de Alcántara. Después de leer el secretario el resúmen de las actas de la academia en el trienio último , dist</t>
  </si>
  <si>
    <t>Miguel Balanza y D. Carlos Amatri. El mismo día» por Madrid» ios Excmos. Sres. marques de Astorga y D. Pedro de Silva. La Junta suprema central gubernativa, desde el primer &lt;dia de su feliz instalación» consideró que el objeto preferente de que debía ocuparse era la marcha de los exércitos al fre</t>
  </si>
  <si>
    <t>de Simancas, Miguel</t>
  </si>
  <si>
    <t>Miguel de Simancas</t>
  </si>
  <si>
    <t>...... ............. 300. D. Agustín Esteve, pintor de cámara, por una vez................ . 320. / D. Miguel de Simancas, oficial de la contaduría de Juros, por una vez......................................................*......... ............ ...... ....... 240. D. Josef Collada, portero de cámar</t>
  </si>
  <si>
    <t>de Simón Pon, Carlos</t>
  </si>
  <si>
    <t>Carlos de Simón Pon</t>
  </si>
  <si>
    <t>na, «e juntaron hoi 29 de !)• Gaspar dé Lerin. setiembre de 1808 todos los señores que constan al ; D. Carlos de Simón Pon- margen, sin faltar otros que los que. por ausencia ó tero. enfermedad no pudieron asistir i este acto, para que D. Luis Melendez Bru- fueron citados. Y asi congregados én la sala</t>
  </si>
  <si>
    <t>de Sobrado, Pedro Antonio</t>
  </si>
  <si>
    <t>Pedro Antonio de Sobrado</t>
  </si>
  <si>
    <t>onativos de otra especie. D. Juan Josef Moyano 6 camisas de bravante nuevas. B. Juan Escolano 6 id. D. Pedro Antonio de Sobrado 4 id. La Excma. Sra. duquesa de la Roca 48 id. Las dos nietas de dicha Excma. Sra. 24 id. La Excma. Sra. duquesa viuda del Arce 6 id. D. M. A. I. 9 id. El Sr. D. Manuel de Gandase</t>
  </si>
  <si>
    <t>de Sojo, Luis</t>
  </si>
  <si>
    <t>Luis de Sojo</t>
  </si>
  <si>
    <t>de número de la real aduana, 3® rs. por una vez, y 368 rs. por 3 meses á 4 rs. diarios..... 33 68. D. Luis de Sojo, dependiente del comercio, por una vez.......... 1*600. % D. Cosme Echavarrí, por una vez.......... ............... ............ ...... y 200. Doña María y D. Josef Manuel de Lema</t>
  </si>
  <si>
    <t>de Sola y Béltran, Matías</t>
  </si>
  <si>
    <t>Matías de Sola y Béltran</t>
  </si>
  <si>
    <t>lla á la canongía penitenciaria de la misma) á D. Carlos.Torre, cura párroco de aquella diócesi; yá D. Matías de Sola y Béltran para uná canongía penitenciaria de ia catedral de Ibiza, vacante por promoción de D. Felipe Exea á una canongía de la de Urgel. El Reí en consideración á los distinguidos servicio</t>
  </si>
  <si>
    <t>de Solanell, Nicolás</t>
  </si>
  <si>
    <t>Nicolás de Solanell</t>
  </si>
  <si>
    <t>rde á VV. EE. muchos años. Quartel general de Villafranca 4 de octubre de 1808.=Nicolás de Solanell, secretario vocal. P. D. La junta me manda igualmente preguntar á VV. EE. qué providencia se ha tomado en esa corte sobre renovación de vales reales de la creación de setiembre. = A los Excmo</t>
  </si>
  <si>
    <t>de Solaun, Andrés</t>
  </si>
  <si>
    <t>Andrés de Solaun</t>
  </si>
  <si>
    <t>vez...... 3000. D. Martin de Vela^co, por una vez............................................. 500. D. Andrés de Solaun, por una vez.................. .................. ¿&gt;...... . 1600.; D. Juan Josef Ximehez, agenté de negocios , á cuenta de 1 ico • rs., pór una vez.......... ....................</t>
  </si>
  <si>
    <t>de Soldevilla, Juan Manuel</t>
  </si>
  <si>
    <t>Juan Manuel de Soldevilla</t>
  </si>
  <si>
    <t>. $oo 2a00 D. Antonio España......................................... — Cádiz........ ..100000 3468 D. Juan Manuel de Soldevilla........................— Málaga...... 300 1758 Doña Lucía de Herrea y Cuellar..... ............. Cádiz.......... 500 3760 D. Juan Esteban de Herrea y Ripa Cádiz......... 300 1627</t>
  </si>
  <si>
    <t>de Solieta Balzplav, Lorenzo</t>
  </si>
  <si>
    <t>Lorenzo de Solieta Balzplav</t>
  </si>
  <si>
    <t>500 1034 D. Josef de Lapaz........... ........................ ....... . : Madrid........ 300 1619 D. Lorenzo de Solieta Balzplav....,.....*;*.....:........; ¿Bilbao./.;...;/ 300 2273 Doña Maríá Antonia .Maradiagg* ....../•.../.o Bilbao...!../, 300 2431 D. Alfonso Xbarra....... * • • • •.• •••••,■&lt;■»r . Zara</t>
  </si>
  <si>
    <t>de Solocta Valsóla, Lorenzo</t>
  </si>
  <si>
    <t>Lorenzo de Solocta Valsóla</t>
  </si>
  <si>
    <t>. Zaragoza..... 600 460 D. Florencio de Irbarguengoytia..... ............... Bilbao....... 500 2246 D. Lorenzo de Solocta Valsóla...... ...... ......... ‘ Bilbao......... OOO 1098 D. Josef Maurino y Sánchez......................... Madrid,...... - fOO 500 1593 D. Francisco Salvador de Estarta................</t>
  </si>
  <si>
    <t>de Sópardá, Domingo</t>
  </si>
  <si>
    <t>Domingo de Sópardá</t>
  </si>
  <si>
    <t>Madrid.;..:;. IOOO 112 D. Juari Antonio Descarga1, a'badi;!.1;....':.1...!.. Tiidela.. 5 3'oñ 1572 D. Domingo dé Sópardá..::.AA..AAA Bilbao......... 500 24-7 D. Josef Autolín de Náxera........ Burgos........ 300 968 D: Ramón Pardo...... .......... A.....aA...!...A... Madrid... A.. 1 jeo 2410 D. Anto</t>
  </si>
  <si>
    <t>de Sorron, Miguel</t>
  </si>
  <si>
    <t>Miguel de Sorron</t>
  </si>
  <si>
    <t>............. 3000. Doña María Azcarraga, por una vez ........................................ 200. D. Miguel de Sorron, presbítero, por una vez..... ............... 100. D. Domingo Chavarrí, del comercio de lienzos, por una vez.... icooo. D. Josef Grosoley, gefe del ramillete......................</t>
  </si>
  <si>
    <t>de Soto Valderrama, Pedro</t>
  </si>
  <si>
    <t>Pedro de Soto Valderrama</t>
  </si>
  <si>
    <t>inuado fuego, contribuyeron en gran parte a] éxito feliz de la defensa de este punto. Los capitanes D. Pedro de Soto Valderrama', del regimiento de voluntarios de¿ Castilla , I). Andrés Villa-Real, gradúa</t>
  </si>
  <si>
    <t>de Soto, Joaquín</t>
  </si>
  <si>
    <t>Joaquín de Soto</t>
  </si>
  <si>
    <t>O. Josef María de Arancivia; á teniente al alférez D. Ignacio Peñalósa , y á alféreces al sargento D. Joaquín de Soto y D. Josef Antonio Arroyo, vecino de la demarcación del regimiento. Asimismo en el regimiento provincial dé dragones de S. Carlos, en el propio reino , se ha servido promover á capitá</t>
  </si>
  <si>
    <t>de Soto, Manuel Francisco</t>
  </si>
  <si>
    <t>Manuel Francisco de Soto</t>
  </si>
  <si>
    <t>...:.. • 500 2456 D. Josef Luis de Sorondo;..... .................. .... ... S. Sebastian. 300 2156 D. Manuel Francisco de Soto............... ... Coruña...:... 300 542 D. Esteban Fernandez de León.................... ... Madrid...;... 300 2278 D. Josef de Roxas..................... .......... . ... Bilbao</t>
  </si>
  <si>
    <t>de Soto, Sebastián</t>
  </si>
  <si>
    <t>Sebastián de Soto</t>
  </si>
  <si>
    <t>20 rs. mensuales................................................................ *............ roo. D. Sebastian de Soto, por agosto.......................... ......................... 40. Df ña María Garcí, por agosto............... ......................................... 8. D. Francisco Xavier d</t>
  </si>
  <si>
    <t>de Soura Ace, Antonio</t>
  </si>
  <si>
    <t>Antonio de Soura Ace</t>
  </si>
  <si>
    <t>correo. t&gt;:ii__ 500 2075 1). Juan Pedro de Irigoyen............................... Cádiz... 500 884 D. Antonio de Soura Ace vedo............... ........... Madrid 10000 1453 •£&gt;• Adrián Hernaez............................................. Málaga, 300 511 D. Antonio de la Nueva y Tapia..................</t>
  </si>
  <si>
    <t>de Stá, Fernando</t>
  </si>
  <si>
    <t>Fernando de Stá</t>
  </si>
  <si>
    <t>ruña....... - joa 269 D. Tomaste Velásco..V.V....;............v.'.aaa; • 'Büfgós..:.;:.. íiooo c982 D. Fernando de Stá. Olalla...................í..;... Madtídi..,U 660 . 79 D. Pablo Nadal y Rens.............................. Barcelona.... ' 600 1855 D. Vicente Roblejo.........AA..................</t>
  </si>
  <si>
    <t>de Sta, Ramón</t>
  </si>
  <si>
    <t>Ramón de Sta</t>
  </si>
  <si>
    <t>d........ 500 3° 4 Rafael.Medina y Lafita.......... ,..... .............. . Málaga........ 390 1623 D. Ramón de Sta. Cruz y Gil........ ............... Santander.... 20000 1096 D. Martin Diego Saenz Diez* tesorero de ios ■ ’• y.L .&lt; ¡ ' : gremios. Mad rid........ 1 ©do 186 D. Vicente Abadía....</t>
  </si>
  <si>
    <t>... ............. Cádiz.......... 500 3760 D. Juan Esteban de Herrea y Ripa Cádiz......... 300 1627 D. Ramón de Sta. Cruz y Gil.................... Santander. .. 300</t>
  </si>
  <si>
    <t>a de Arce...... . Burgos........ 30&lt;* 2041 D. Manuel Primo de Ribera.,..., Cádiz}........ í 00 1624 D. Ramón de Sta. Cruz y Gil.. Santander;.,&lt;; iOO, 1440 D. Pablo Antonio Caballero...... .• i• f»*y • 3°Q- : *9&gt;9 D. Manuel Centurión.............. JOZ^.S., 600 I751 D. Tomas Ruiz de Sorzano......</t>
  </si>
  <si>
    <t>.o Bilbao...!../, 300 2431 D. Alfonso Xbarra....... * • • • •.• •••••,■&lt;■»r . Zaragoza.../ 500 i4í8 D. Ramón de Sta. ,Cruz...&gt;.Wv..vv'vv»vv..^. Santander../ 300 326 Juana Pilink........... .............. •»...... ...................... Málaga./.../ 3000 855 Doña Jacoba Libren*....,,,,,,,,•,.**•</t>
  </si>
  <si>
    <t>de Sta, Simón</t>
  </si>
  <si>
    <t>Simón de Sta</t>
  </si>
  <si>
    <t>...... •1 1 i ■ D. Hipólito Esteve, director de la escuela veterinaria........................... 1 D. Simón de Sta. María , dependien^ té de los cinco gremios................... 1 muleto de 5 años. El marques de Stal Crdz........ ............ 3 Eídjique de Osuna............................: 7</t>
  </si>
  <si>
    <t>de Sustaeta, Ventura</t>
  </si>
  <si>
    <t>Ventura de Sustaeta</t>
  </si>
  <si>
    <t>por una vez................................................... ........... ................ ioooó» D. Ventura de Sustaeta, presbítero j por una vez.:;........'ifodów'</t>
  </si>
  <si>
    <t>de Taranco, Francisco</t>
  </si>
  <si>
    <t>Francisco de Taranco</t>
  </si>
  <si>
    <t>nta Fe. ^’ f. En. 26 de enero .próximo pasado falleció en Oporto, casi de repente , el Expido. S?. ,D. Francisco de Taranco y í-lano , teniente geaeral.de lps reales exércitos,, capitán general del reino,de Galicia , y comandante en geie.de uno de Jos exércitos de S. M. en Portugal. Este general, nacido</t>
  </si>
  <si>
    <t>de Tarando, Sántiago Antonio</t>
  </si>
  <si>
    <t>Sántiago Antonio de Tarando</t>
  </si>
  <si>
    <t>6co ,i Madrid......,. "oo 2377 D. ,. Zaragoza..... 000 . Madrid....*;. 600 . Zaragoza,.... 300 2241 D. Sántiago Antonio de Tarando i . Bilbao..'...... 500 : ■ Zaragoza..;:. loco . Madrid..... . -soco . Cádiz...... . "JCO . ■ Coruña....... 300 . Santander.... 0 0 . Zaragoza...., 3CO [; 172 Sr. Marques de Valer</t>
  </si>
  <si>
    <t>de Tejada, Andrés</t>
  </si>
  <si>
    <t>Andrés de Tejada</t>
  </si>
  <si>
    <t>rios por agosto..... 1*28. D. Juan Nepómuceno d¿ Aranda, por una vez.......................... JOO. D. Andrés de Tejada, tesorero de exército honorario, por un añoanticipado... ...V........... 720. D. Francisco Bacarini, por un mes , 20. D. Josef María* de Macuso, del comercio , por un mes.........</t>
  </si>
  <si>
    <t>. Doña Ramona Perez Esteban 6. D. M. B. 4 camisas y unas hilas. D. Cayetano de la I ana y su criada D. Andrés de Tejada 6 camisas. Isabel García 6. D. Antonio García Roa 12. Doña R. F. L. 2. D. Francisco Ignacio de Arríeta 6. Doña María Sánchez Badillo 2 id. y Doña Francisca Ramirez una. una. libra</t>
  </si>
  <si>
    <t>de Tejada, Félix</t>
  </si>
  <si>
    <t>Félix de Tejada</t>
  </si>
  <si>
    <t>o sea nato el mayor general de la armada; ha nombrado al capitán general del departamento de Ferrol D. Félix de Tejada por capitán general y director general de la real armada, y decano del supremo consejo de Marina, al teniente general D. Ignacio María de Alava, inspector general de arsenales, co</t>
  </si>
  <si>
    <t>de Terán, Alonso</t>
  </si>
  <si>
    <t>Alonso de Terán</t>
  </si>
  <si>
    <t>............ Teniente..... D. Josef Galet. Caballería del Príncipe. Contuso......... Cojrcnpl...... D. Alonso de Terán. Campo de Bailen 22 de julio de 1808. = Juan Rafael de Lassala. Acabo de saber por el capitán caxero de este batallón, que ha llegado á esta con caudales , que el teniente agregad</t>
  </si>
  <si>
    <t>de Teran, Tomás</t>
  </si>
  <si>
    <t>Tomás de Teran</t>
  </si>
  <si>
    <t>!.»... 2 y , rfei-r.-4 *)• - ^ El Sr. O. Josef de ^^o^as »»»..««.»»»....«»»»• X*1 '.í'^x. -t El Sr. D. Tomas de Teran..... ............ ........... x &gt; ., &gt; El Sr. D. Josef Ruiz de Santayana.............. xs ¿ i D. Francisco Garrido^ presbítero .;»«u».».. x x ■ 1 , &gt;ü D. Andrés SevilíanoU4»....^;</t>
  </si>
  <si>
    <t>de Tornos, Joaquín</t>
  </si>
  <si>
    <t>Joaquín de Tornos</t>
  </si>
  <si>
    <t>de Borbon al ayudante, graduado de capitán, D. Carlos Vega; y en el de Farnesio terienciaál alférez D. Joaquin de Tornos. También se ha dignado S. M. conceder empleo de alférez en el regimiento de dragones de la Reina al portaguión D. Josef María Naranjo : ayudantía en el de Lusitania al teniente ,</t>
  </si>
  <si>
    <t>de Torres Errazque, Blas</t>
  </si>
  <si>
    <t>Blas de Torres Errazque</t>
  </si>
  <si>
    <t>arrio del Hospicio. D. Mauro López, diputado id. D. Manuel Benaya id. D. Pedro López Conche, de id. D. Blas de Torres Errazque, diputado de Jesús Nazareno. D. Josef Hilario Fernandez, eclesiástico. D. Juan Bautista Lasa. D. Pedro Trigoen, secretario de las Trinitarias. Fr. Andrés de S. Juan Bautista, prio</t>
  </si>
  <si>
    <t>de Torres Moreno, Martín</t>
  </si>
  <si>
    <t>Martín de Torres Moreno</t>
  </si>
  <si>
    <t>....................; Málaga... 500 2290 D. Francisco Isidro de Aparicio.i..... Cádiz..... 3co 2271 D. Martin de Torres Moreno.....1..,.. Bilbao... ...r.. 5°q 898 D. O. D. T. Y. C................................... .......... • Madrid.;. ,30° 911 D. Fernando de Ximeno................................. Madr</t>
  </si>
  <si>
    <t>de Torres y Andueza, Vicente</t>
  </si>
  <si>
    <t>Vicente de Torres y Andueza</t>
  </si>
  <si>
    <t>la hechura de los vestidos. Está nombrado por comisionado para la habilitación de dichos vestuarios Don Vicente de Torres y Andueza. Matronas de Sevilla, ¿miraréis con indiferencia á los valerosos, que van á sacrificarse por vuestra seguridad y vuestro honor? Carecen de vestidos: la patria reclama vuestras rua</t>
  </si>
  <si>
    <t>de Torres, Pedro</t>
  </si>
  <si>
    <t>Pedro de Torres</t>
  </si>
  <si>
    <t>. Burgos.... 3°o 2027 D. Juan Manuel García................ ................... Cádiz...... 3°o 551 D. Pedro de Torres......... .................................. Madrid.... 300 2112 D. Manuel de la Presa......... . Zaragoza: 300 1208 Doña María Gertrudis de Aranguren' y Sobrado........... .......</t>
  </si>
  <si>
    <t>s guardias Españolas; el coronel D. Pedro de Porras, capitán de reales guardias Valonas; el coronel D. Pedro de Torres, exentó del real cuerpo de guardias deCorps: todos con el príncipe de Gaste ifranco^ capitán general de los reales exércitos, y con el teniente general duque del Parque. ' 17. Que</t>
  </si>
  <si>
    <t>de Torres, Sebastián</t>
  </si>
  <si>
    <t>Sebastián de Torres</t>
  </si>
  <si>
    <t>embre una ¡unta compuesta de D. Arias Antonio Moit, decano gobernador interino-del consejo Real, de D. Sebastian de Torres , y D. Domingo Fernandez Gamponjanesministros del propio consejo, y para que hiciese de secretario ai alcalde de corte D. Benito Añas de Prada. Concluida la sumaria nombró para fi</t>
  </si>
  <si>
    <t>. Antonio González Yebra , y los Sres. marques de Casa^García, D. Eugenio Manuel Alvarez Caballero, D. Sebastian de Torres, D. Domingo Fernandez Campomanes, D. Andres Lasauca, D. Antonio Alvarez de Contreras, y Don Miguel Alfonso Villagomez, ministros del consejo Real, nombrados por S. M. para sentenc</t>
  </si>
  <si>
    <t>cctubte., noviembre y. diciembre; observando en todo lo demás las órdenes y preceptos que el señor .D, Sebastian de Torres , del,supremo consejo de Castilla, protector de este establecimiento real, le tiene comunicadas. La suscripcion es abierta para españoles y extrangeros sin distinción, pagando ade</t>
  </si>
  <si>
    <t>M., id....................................................................................... 300. D. Sebastian de Torres, ministro del Consejo real, en vales reales , id........................................... ...................... .............................. 23 2 j 2, D. M. J. G.,id.........</t>
  </si>
  <si>
    <t>de Toxar, Francisco</t>
  </si>
  <si>
    <t>Francisco de Toxar</t>
  </si>
  <si>
    <t>n Valencia en la de D. Salvador Prufy: en Badajoz en casa de D. Juan Patrón : en Salamanca en ia de D. Francisco de Toxar; en Valladoíid en ia de la viuda é hijos de Santanders en Zaragoza en la de D. Josef Yagüe: y en Santander en la de D. Josef Haro y Arriada. El precio de la subscripción por 4. me</t>
  </si>
  <si>
    <t>de Tragia, Domingo María</t>
  </si>
  <si>
    <t>Domingo María de Tragia</t>
  </si>
  <si>
    <t>a plausible noticia de haber sido elegido para el importante cargo de capitán general el Excmc. Sr. D. Domingo María de Tragia, marques de 'Palacios, mariscal de campo de los reales exércitos de S. M. y actualmente comandante general de Mahon, cuya lie gacla ó Tarragona 9 con la dé una buena porción de tr</t>
  </si>
  <si>
    <t>de Trebolazabala, Antonio</t>
  </si>
  <si>
    <t>Antonio de Trebolazabala</t>
  </si>
  <si>
    <t>.......; 1000 230 D. Joaquín Isidro González................. ........... Alicante.....-.' 1506 487 D. Antonio de Trebolazabala........................... ■Bilbao...;..... 500 543 D. Josef Martínez...........................................•.... Madrid.......; 500 611 D. Josef Narciso Neviet...............</t>
  </si>
  <si>
    <t>de Trias, Francisco</t>
  </si>
  <si>
    <t>Francisco de Trias</t>
  </si>
  <si>
    <t>e á V. Á. muchos años. Calahorra 15 de noviembre de 1808. = Sermo. Sr. = Francisco Palafox y Melzi. D. Francisco de Trias, mariscal de campo» y gefe de una división del exército de Extremadura, ha participado á la Junta central suprema gubernativa del reino, que hallándose en la villa de Aranda 'de D</t>
  </si>
  <si>
    <t>de Trigoyen, Juan Pedro</t>
  </si>
  <si>
    <t>Juan Pedro de Trigoyen</t>
  </si>
  <si>
    <t>*....' Málaga........ 300 2295 D. Diego Fernandez Ximenez-.v.-.v.»&gt;....».....*..*»*i Cádiz.300 2074 D. Juan Pedro de Trigoyen............. .......... Cádiz......... 000 476 D. Nicolás de Ochazan...................... ...........*.» Bilbao......... 30© 216 D. Liberato Martínez.....*.................Alican</t>
  </si>
  <si>
    <t>de U Cruz, Nicolás</t>
  </si>
  <si>
    <t>Nicolás de U Cruz</t>
  </si>
  <si>
    <t>bles artes , en junta que celebró el 3 del que corre , acordó dar un premio de 2% f»* que satisfará D, Nicolás de U Cruz 9 conailfarle de di</t>
  </si>
  <si>
    <t>de Ubeda, Agustín</t>
  </si>
  <si>
    <t>Agustín de Ubeda</t>
  </si>
  <si>
    <t>za..... v 500 489 D. Juan Antonio de Landesa............................. Bilbao.......... 500 1312 D. Agustín de Ubeda, comerciante................. V alenda..... 600 2322 D. Josef Bernardo Muñoz.................................. Cádiz........... 300 1709 D. Juan Manuel de Peralta.................</t>
  </si>
  <si>
    <t>de Uceta, Manuel</t>
  </si>
  <si>
    <t>Manuel de Uceta</t>
  </si>
  <si>
    <t>rvidumbre de S. M., id... 500* D. Jorge Martin, sastre de cámara, una boleta de casa real, id. 550. D. Manuel de Uceta, en libramientos devales de 1807 y 1808, id...................................... .......................................... ....................... 631 25. El colegio de las Escu</t>
  </si>
  <si>
    <t>de Udaeta, Juan Ramón</t>
  </si>
  <si>
    <t>Juan Ramón de Udaeta</t>
  </si>
  <si>
    <t>D. Manuel Pertica, en Durango á-D. Domingo de E 1 orriaga;■ y en Madrid á D; Bartolomé de Ánivarro. D. Juan Ramón de Udaeta ¿ vecino de Granada, remitió por el correo de 31de agosto próximo pasado á los Sres/*D. Francisco de Galarza, hijo y compañía, del comercio de esta corte, un -paquete con 54 vales</t>
  </si>
  <si>
    <t>de Ugarte Larrazabal, Antonio</t>
  </si>
  <si>
    <t>Antonio de Ugarte Larrazabal</t>
  </si>
  <si>
    <t>marques de Moneada por una vez 2© rs. D. Andrés Cubas, por ó meses á 30 rs. durante la guerra, 180. D. Antonio de Ugarte Larrazabal 3© rs. por una vez, y 186 por agosto á 6 rs. diarios por dicho tiempo, 3186. D. Francisco Ignacio de Iturmendi por una vez 4© rs. D. Manuel Rivacoba y Gorbea, cambiante, por una v</t>
  </si>
  <si>
    <t>de Ugarte, Francisco</t>
  </si>
  <si>
    <t>Francisco de Ugarte</t>
  </si>
  <si>
    <t>e Hacienda , por una vez........... .................................... ..................... 500* D. Francisco de Ugarte , por una vez............................................ 80. D. Pablo González, empleado en la lotería................................... 60* D. Juan Crisóstomo Santander, relato</t>
  </si>
  <si>
    <t>de Unda, Santiago</t>
  </si>
  <si>
    <t>Santiago de Unda</t>
  </si>
  <si>
    <t>. 5 00 ¿89 D. Francisco Arnaez.......................................... Málaga........ . 1000 i6l3 D. Santiago de Unda.......................................... Bilbao........ 500 2i6i D. Fernando León Benavides........................ . Coruña........ 500 Cfio Doña María Espinosa.................</t>
  </si>
  <si>
    <t>de Unzaga, Francisco</t>
  </si>
  <si>
    <t>Francisco de Unzaga</t>
  </si>
  <si>
    <t>Manuel Elzaurdi. En Cuenca............ Sres. viuda de Escolar, Noriega á hijo* En (dranada........ D. Francisco de Unzaga. En Guadalaxara. D. Isidoro García Plaza. En Jaén................ D. Ramón María Montoro. En L eon................. D. Gerónimo Gómez. En Malaga....... . D. Juan Ximeno. En Mahon.</t>
  </si>
  <si>
    <t>. D. Manuel Blzaurdi. Cuenca........... Sres. v-iuda de Escolar, Noriega é hijo. £n Granada........ D. Francisco de Unzaga. £ñ Cruadálaxaru. D. Isidoro García Plaza. £n Jaén............. D. Ramón María Montoro. £n León....... . D. Francisco Pió del Pino. £n Málaga........... . D. Juan Ximeno. £n Mahon</t>
  </si>
  <si>
    <t>de Urbina, Cayetano</t>
  </si>
  <si>
    <t>Cayetano de Urbina</t>
  </si>
  <si>
    <t>1468 Ru iz 3. El'Sr. D. Cayetano de Urbina, del consejo de Indias, 40. D. Lorenzo Moreno 2. D. Josef Marchan, carpintero, un uniforme de paño blanco, 1 camisas y un par de calcetas. Doña Manuela Farinos 2 camisas. Dia ir.</t>
  </si>
  <si>
    <t>de Urcullu, Vicente</t>
  </si>
  <si>
    <t>Vicente de Urcullu</t>
  </si>
  <si>
    <t>adrid...;... 300 2278 D. Josef de Roxas..................... .......... . ... Bilbao..... . 300 462 D. Vicente de Urcullu......... .............. i......... Bilbao.-.v..;.., 3Ó0 339 D. Tomas de Urrutia...................i-........ . ... Cádiz. í......; 360 515 D. Manuel de Sarachaga..................</t>
  </si>
  <si>
    <t>de Ureta, Manuel</t>
  </si>
  <si>
    <t>Manuel de Ureta</t>
  </si>
  <si>
    <t>Martínez una. D. Antonio Nuñez 2. D. Nicolás Lamiel y Venegas 4. ' Doña Mariana Obregon 3 libras de D. Manuel de Ureta 4. hilas y6;pánit0s. ; Doña B. A. una-. D. Diego Lamón, ingles, 2 camisas. Doña María Guerra 2 camisas. Se continuará.</t>
  </si>
  <si>
    <t>de Uria y Xaquintana, Joaquín</t>
  </si>
  <si>
    <t>Joaquín de Uria y Xaquintana</t>
  </si>
  <si>
    <t>os........ . Bilbao......,*. : 5:°° 2114 D. Josef Martínez Unamuzaga......... Zaragoza...;. 59O 526 D, Joaquin de Uria y Xaquintana................. Bilbao.,.....;. IOOO 992 D. Manuel de Palomera...,........ . Madrid.....;. :3?P 3287 D. Antonio García del Rio.*,....................... Cádiz......*,'. ; 3p° 218</t>
  </si>
  <si>
    <t>de Urisabel, Rafael</t>
  </si>
  <si>
    <t>Rafael de Urisabel</t>
  </si>
  <si>
    <t>. 100. Pedro Ramos, tahonero, id............................................................ „ 200. D. Rafael de Urisabel, id.................... ........... .................................. 80. Renata Vauveret, id..................................................................... . 40, Juan Fran</t>
  </si>
  <si>
    <t>de Urizar, Juan Antonio</t>
  </si>
  <si>
    <t>Juan Antonio de Urizar</t>
  </si>
  <si>
    <t>. su afecto amigo, servidor y capellán que S. M. B. = Juan Nepomu-.. ceno Montero de Espinosa. = Sr.D. Juan Antonio de Urizar. ¿. N. 9.0 Santander 11 de npyiembre.de 1808. Sr. D Joaquín dé CevaUos; en medio de que entre los del Norte y Blak nos tienen cerca de 30® duros, y que Leith por junto no ha dado</t>
  </si>
  <si>
    <t>de Urizar, Ventura</t>
  </si>
  <si>
    <t>Ventura de Urizar</t>
  </si>
  <si>
    <t>... . Zaragoza . 500 1880 Sr. Marques de Zafra...... ............................. Zaragoza 500 480 Doña Ventura de Urizar................................... Bilbao.... 1000 2104 D. Josef María Gadeyne............ ...................... .Cádiz..... 30.00 1452 D. Adrián Hernaez.........................</t>
  </si>
  <si>
    <t>de Urniela, Domingo</t>
  </si>
  <si>
    <t>Domingo de Urniela</t>
  </si>
  <si>
    <t>. Félix Montero,: propietario", ¡por. 2- meses á real y; naedlo. . dia¥io¿.....}¿4. i* t* . . r 90. D. Domingo de Urniela, por 4 meses á f rs, diarios.....í-6 id* D. Gregorio de Arias, procurador. de villa, por medio año á 3 . , ✓ rsPdiarios.ii/.-.vs *• **••**♦ •**iiv««*l#*#**«ieÍ«#***Ve***#*»«*»*^**</t>
  </si>
  <si>
    <t>de Urrazá, Juan Antonio</t>
  </si>
  <si>
    <t>Juan Antonio de Urrazá</t>
  </si>
  <si>
    <t>hacer mejora, acuda dentro de dicho término ante el referido señor, por la escribanía dei numero de D. Juan Antonio de Urrazá, AVISOS. Quien quisiere hacer obligación de surtir de 3$ arrobas de aceite menores ó sisadas, que se necesitan al pocé.mas ó menos en lo que resta del presente año para el alumbra</t>
  </si>
  <si>
    <t>de Urraza, Juan Antonio</t>
  </si>
  <si>
    <t>Juan Antonio de Urraza</t>
  </si>
  <si>
    <t>esos de los comunes y 500 rs. en metálico, acuda ante dicho señor , por la escribanía del número de D. Juan Antonio de Urraza. En virtud de réal facultad se ha mandado volver á sacar á pública subasta por término de 20 días, que cumplirán en 12 de mayo próximo, una cas» sita en la villa de Barajas; calle</t>
  </si>
  <si>
    <t>ante el Sr. D. León de Sagasta, teniente corregidor de esta trilla, por la escribanía del número de D. Juan Antonio de Urraza. AVISO. Se halla vacante el magisterio de primeras letras de la villa de Mansilla de lat Muías, cuya dotación es de 200 ducados cobrados por tercios, mensualmente ó como mas bien</t>
  </si>
  <si>
    <t>de Urriidhi, Ángel</t>
  </si>
  <si>
    <t>Ángel de Urriidhi</t>
  </si>
  <si>
    <t>jo 4.: « D. J uan Bu rruezo 4. ‘ ' Doña María Rita de Ibargtiéñ úna. D. Diego Panlagua 6. i.rr -i.; D. Angel de Urriidhi 4 T D. Silvestre y D. Pélayo Diez Mar- Doña Ines Delgado\ Sirvienta7,1 tinez 2. •r-•* • J'; : J íDoña N. 6*- * ^ 'di ti'« *1 í;íf D. Estébaií de Foircada 2. Doña R-átaelaRódriguez</t>
  </si>
  <si>
    <t>de Urruchi, Juan</t>
  </si>
  <si>
    <t>Juan de Urruchi</t>
  </si>
  <si>
    <t>...... Zaragoza.* *■.. •. 300 286 Sánchez y compañía.............................. Málaga 300 2?✓ 2 D. Juan de Urruchi-...... ....................... BurgoSi 500 2063 D. Pedro Cásamayor. .................. Cádiz.. i :3'00 *32 9 D. Juaíi Blot.................................... Valencia...., ••'•«i</t>
  </si>
  <si>
    <t>de Urruela, Julián</t>
  </si>
  <si>
    <t>Julián de Urruela</t>
  </si>
  <si>
    <t>abriel y Estenoz Bilbaov».». J 5.06 666 D.-Nicolás de la Iglesia Lerma...... • Madrid....... 300 sn D. Julián de Urruela.............. ..v..;........... Cádiz.»»»».: “300 D.-Bernardo;Ortega»........................ Santander».. 30o 9422 BoñaM&amp;ríádel-Carmen de Uriarte------ v..v». Cádiz.......... 600</t>
  </si>
  <si>
    <t>de Urrutia, Joaquín</t>
  </si>
  <si>
    <t>Joaquín de Urrutia</t>
  </si>
  <si>
    <t>za..... 1500 4i7 D. Luis Casaña............................................... Santander.... ÓOO 7* D. Joaquin de Urrutia................. ................ , Barcelona.... 3OÓ 1768 D. Guillermo Leonardo................................ , Cádiz.........,1 JODO 2274 D. Josef María de Atristain..........</t>
  </si>
  <si>
    <t>.............. 600 257 D. Andrés Martínez Verdugo............. ............ Burgos......... 3 00 76 D. Joaquín de Urrutia........................... ............ Barcelona.... 3 00 1577 D. Juan Francisco de la Quintana................. . Bilbao...... . 300 2013 IX Josef María Esteban y García........</t>
  </si>
  <si>
    <t>de Urrutia, Tomás</t>
  </si>
  <si>
    <t>Tomás de Urrutia</t>
  </si>
  <si>
    <t>ao..... . 300 462 D. Vicente de Urcullu......... .............. i......... Bilbao.-.v..;.., 3Ó0 339 D. Tomas de Urrutia...................i-........ . ... Cádiz. í......; 360 515 D. Manuel de Sarachaga............................. ... Bilbao. ...6., 300</t>
  </si>
  <si>
    <t>de UrsueguLa, Pedro Antonio</t>
  </si>
  <si>
    <t>Pedro Antonio de UrsueguLa</t>
  </si>
  <si>
    <t>i6 Rs. Mrs. por utia vez .v. P •• •* gv. .. •* •• rito. i • í ...•«. »\¿«'s , oi¡ j 61/ 1.7* D. Pedro Antonio de UrsueguLa.,.del.comercio;derjoyería^ pdí‘4 1.^4 .{■ O. Josef* Cervantes por una vez;PP..««a• • ...' 7-^0. D. A. P., por una vez...*....................... ................... ..............</t>
  </si>
  <si>
    <t>de Vaíbuena, Juan</t>
  </si>
  <si>
    <t>Juan de Vaíbuena</t>
  </si>
  <si>
    <t>n 87250. Quien quisiere hacer postura, lo executará por la escribanía que en dicha ciudad desempeña D. Juan de Vaíbuena. __Por el mismo juez comisionado se ha señalado, el referido dia 8 para el remate de las fincas siguientes: una haza de tierral, de cabida de 40 fanegas, al sitio de vega Navarro,</t>
  </si>
  <si>
    <t>de Valdes Sorribas, Vicente</t>
  </si>
  <si>
    <t>Vicente de Valdes Sorribas</t>
  </si>
  <si>
    <t>20 rs. ;por una vez , y 30 rs.; mensuales........ . ...» • ••'•«.. «.4 é.. ....... m. ...... 150. \ D. Vicente de Valdes Sorribas, agenté fiscal dé la cámata » por agosto á 100 rs. mensuales.......... ......................................... 100. D. Miguel Casas,, oficial de la sala, por 2 meses á 20 rs. en</t>
  </si>
  <si>
    <t>de Valenzuela, Manuel</t>
  </si>
  <si>
    <t>Manuel de Valenzuela</t>
  </si>
  <si>
    <t>o á 90 rs. mensuales..................... .................... ............................... 190. D. Manuel de Valenzuela, del consejo de Hacienda, por agosto á 200 rs. cada mes............ ..................................... ......... 200. . Lorénzo Font, maestro zapatero, por agosto á 40 rs. cada</t>
  </si>
  <si>
    <t>de Valle, Juan Manuel</t>
  </si>
  <si>
    <t>Juan Manuel de Valle</t>
  </si>
  <si>
    <t>s...... 300. Doña S. de V. , 60 id. por 2 id.....,............ ..................... ......... 120. D. Juan Manuel de Valle, 40 id. id.......................................... . 80. D. Pablo Alvarez Enciso , 40 id. id..... ................................... . 8ov D. Francisco Xavier Corcin, 2 rs. dia</t>
  </si>
  <si>
    <t>de Valverdé, Julián Manuel</t>
  </si>
  <si>
    <t>Julián Manuel de Valverdé</t>
  </si>
  <si>
    <t>anuel Bernardo Roldan, diputados de este común; D. Manuel de Huertas, D. Bruno Francisco de Acosta, D. Julián Manuel dé Valverdé, D. Patricio Ortiz/Pareja, Dón Francisco Ruano Santos »y D. Isidoro de Lara, jurados perpetuos; í&gt;. Alfonso Cañedo; y Vigil, dignidad de vicario de coró dé está dicha santa iglesi</t>
  </si>
  <si>
    <t>de Varo y Ribero, Ana María</t>
  </si>
  <si>
    <t>Ana María de Varo y Ribero</t>
  </si>
  <si>
    <t>arcelona.... 3°o 1979 Sres. D. Josef Francisco Mornau...................... Zaragoza....., 500 1794 Doña Ana María de Varo y Ribero................ Cádiz.......... 1500 1131 D. Manuel Palacin........ ....................................... Zaragoza..... 300 2425 D. Mariano Malanco..............................</t>
  </si>
  <si>
    <t>de Vcrgara y Azearate, Manuel</t>
  </si>
  <si>
    <t>Manuel de Vcrgara y Azearate</t>
  </si>
  <si>
    <t>subasta , para pagar á un acreedor, la escribanía de tváib méro del lugar de Fuenlabrada, que sirve D. Manuel de Vcrgara y Azearate , perteneciente á su testamentaría, tasada en aySoo rs., á la quifl</t>
  </si>
  <si>
    <t>de Vea Murquia, Francisco</t>
  </si>
  <si>
    <t>Francisco de Vea Murquia</t>
  </si>
  <si>
    <t>... • Madrid.;. ,30° 911 D. Fernando de Ximeno................................. Madrid... 3000 2137 D. Francisco de Vea Murquia......................... Zaragoza 3co 2307 D. Juan Manuel de Peralta............................. i. Cádiz..,.-, LC.OO 1827 D. Josef Gil de Llanderai........... : Zaragoza. ...U ■</t>
  </si>
  <si>
    <t>de Vecquis, Pedro</t>
  </si>
  <si>
    <t>Pedro de Vecquis</t>
  </si>
  <si>
    <t>6 rs. diarios.................................. ............................................. 186. D. Pedro de Vecquis , mayordomo del conde de la Cimera, por agosto á 4 rs. diarios.......... .................. ...................................... 124. I). Santiago Rüiz Alvarez ; por 3 meses á 4</t>
  </si>
  <si>
    <t>de Vega, Juan María</t>
  </si>
  <si>
    <t>Juan María de Vega</t>
  </si>
  <si>
    <t>;»Narciso de Burgués y de Caramani.” [Diario de Mantesa ni'tm- $8.) Oviedo J£ de agosto. El coronel D. Juan María de Vega, con fecha de 6 del presente, participa al Excmo. Sr. D. Vicente María Acevedo, general en gefe, que con orden del teniente general D. Nicolás de Llano Ponte, comandante en el pue</t>
  </si>
  <si>
    <t>monedase espera con ansia el pormcHÓr. (Gjz. de Maaresa núm* 91.) Oviedo 1*5 de Agosto» El coronel D. Juan María de Vega , bien conocido por sus servicios tn la ultimé guerra contra la Francia, ‘salió el 4 de éste con tina partida de tropa para :}&amp; ciudad de León , á fin de adquirir noticias de los</t>
  </si>
  <si>
    <t>de Vela, Martín</t>
  </si>
  <si>
    <t>Martín de Vela</t>
  </si>
  <si>
    <t>de S. M., por una vez. 200. ‘ I). Antonio Mayoral y sobrino, del comercio, por una vez...... 3000. D. Martin de Vela^co, por una vez............................................. 500. D. Andrés de Solaun, por una vez.................. .................. ¿&gt;...... . 1600.; D. Juan Josef Ximehez, ag</t>
  </si>
  <si>
    <t>de Velasco, Juan</t>
  </si>
  <si>
    <t>Juan de Velasco</t>
  </si>
  <si>
    <t>25 de junio de 1808</t>
  </si>
  <si>
    <t>Madrid 67</t>
  </si>
  <si>
    <t>os, y pantalón largó de listas de colores. Quien supiere de su paradero, se servirá avisar á su tio D. Juan de Velasco , que vive en él real pósito. . &lt; &gt; Quien hubiese hallado una espátula de plata, que se perdió el jueves ó el vier^ nes 17 de este mes , la entregará á] cirujano.íX Francisco deAz</t>
  </si>
  <si>
    <t>de Velasco, Lucas</t>
  </si>
  <si>
    <t>Lucas de Velasco</t>
  </si>
  <si>
    <t>Bartolomé Justis;tenencia al subteniente D. Francisco Lahoz, y la subtenencia de bandera al cadete Don Lucas de Velasco. JEn América. El Reí se ha servido conferir la tenencia coronela del regimiento dé infantería de la Havana al coronel D. Josef María de la Torre, comandante dél tercer batallan de</t>
  </si>
  <si>
    <t>de Velasco, Manuel</t>
  </si>
  <si>
    <t>Manuel de Velasco</t>
  </si>
  <si>
    <t>con un discurso acerca de la necesidad de la educación en todas las clases y estados. El archivero D. Manuel de Velasco disertó sobre las obligaciones para con la patria , y siguió leyendo el extracto de las actas, formado por el actual secretario D. Vicepte María Vergara , que no pudo concurrir. E</t>
  </si>
  <si>
    <t>precio, de las atenciones de la patria, y del respeto de estos ciudadanos, el capitán de artillería D. Manuel de Velasco y D. Josef Soler, que mandaron el fuego con un valor y tino tan señalados, molestando y aun desorganizando las líneas del enemigo mas de una vez. Los preciosos clias del primero de es</t>
  </si>
  <si>
    <t>. Doña Alfonsa Ceuleman 4. D. Manuel Lacarra 2 camisas. D. Andrés Caballero 27. Doña Josefa Sanz 6. D. Manuel de Velasco 2 camisas y 14 varas de lienzo. D. Manuel Francisco del Castillo 88 pares de calcetas. Dia 20. D. Raimundo de Alcántara 41 varas de lienzo. Doña Ana Martin Caballero, muger de D.</t>
  </si>
  <si>
    <t>D. F. F. O., id............................................................................. IOCO, D. Manuel de Velasco, del comercio, en 2 vales de 6co pesos y efectivo , id........................................................................... 20000. D. Francisco Fernandez Balonga, id........</t>
  </si>
  <si>
    <t>de Vera, María</t>
  </si>
  <si>
    <t>María de Vera</t>
  </si>
  <si>
    <t>ión de la villa‘de Qcaha, que perteneció'al: mayorazgo‘'fundado por el Lie. García de Barrionuevo y Doña María de Vera su niager, que consiste en dos casas, una principal y otra de labor, un molino harinero, una ermita con su sacristía, una cerca que rodea el terreno, y el resto, se' compone de*ti</t>
  </si>
  <si>
    <t>de Vera, Pedro Xavier</t>
  </si>
  <si>
    <t>Pedro Xavier de Vera</t>
  </si>
  <si>
    <t>osa ........ ... " Zaragoza.... 500 24! D. Manuel Antonio de Arana..... ... Burgos....... IOCO i©í4 D. Pedro Xavier de Vera....... . ... Madrid........ t;co * 1192 D. -Félix Lleo ................ ................ ... Barcelona.... 0 0 181 ¿ D.--Joaquín Eugenio Deonis......... ... Zaragoza..... 500 i 51</t>
  </si>
  <si>
    <t>- Vicente Palacios, id................................................. ...................... 40. D. Pedro Xavier de Vera, agente por S. M. del número de Indias, id.................................................................. ......... . xfce. D. Antonio Oliveros, canónigo de S. Isidro,.id......</t>
  </si>
  <si>
    <t>de Vergara, Manuel Felipe</t>
  </si>
  <si>
    <t>Manuel Felipe de Vergara</t>
  </si>
  <si>
    <t>á subastando la escribanía del numero del lugar de Fuenlabrada, perteneciente á la testamentaria de Don Manuel Felipe de Vergara, tasada en 23800 rs., y dan por ella 24© deducidas cargas. Quien quisiere hacer mejora , acuda ante el Sr. D. León de Sagasta , teniente corregidor de esta villa ? por la escriban</t>
  </si>
  <si>
    <t>de Vergara, Martín</t>
  </si>
  <si>
    <t>Martín de Vergara</t>
  </si>
  <si>
    <t>z.... 3°o. El conde de Cepillo, por una vez.................................................. 1500. D. Martin de Vergara , del comercio de joyería , por una vez.. 500. D. Juan Antonio Elorduy y su muger un cubierto de plata. D. Josef López dé Villa , reloxero de cámara , por una vez...... 320. Pauli</t>
  </si>
  <si>
    <t>de Veri, Tomás</t>
  </si>
  <si>
    <t>Tomás de Veri</t>
  </si>
  <si>
    <t>tambres, y especialmente los de sucesión en Baleares. la familia reinante, y en las demas señaladas D. Tomas de Veri. en las mismas leyes; y finalmente todo lo que D. Josef Zanglada de conduzca al bien y felicidad d» estos reinos, Togorel. y mejoría en sus costumbres, guardando sePor Murcia. cre</t>
  </si>
  <si>
    <t>de Viana, Carlos</t>
  </si>
  <si>
    <t>Carlos de Viana</t>
  </si>
  <si>
    <t>ratado titulado el Druida y el modernolfrances: el -g.9 contiene la carta qué dirige él Prírí¿ cipe D. Carlos de Viana á D. Fernando v*i; Rei de España y de las Indiaá: el 6.1 las quejas que han dirigido contra Jos franceses las sombras de' algunos asiáticos y africanos. Se hallarán con los 3 ante</t>
  </si>
  <si>
    <t>de Viatica, Juan</t>
  </si>
  <si>
    <t>Juan de Viatica</t>
  </si>
  <si>
    <t>rpo de patriotas, grado de teniente coronel de milicias urbanas. A los tenientes de dichas milicias D. Juan de Viatica, D. Antonio Echavarri, D. Josef Rivas, D. Ramón Gorrondona, D. Juan Bastarte, D. Antonio Zavala , D. Francisco'Baldrich , D. Eugenio de Iturraga, Don Basilio Viola, D. Julián Viol</t>
  </si>
  <si>
    <t>de Victoria, Ramón</t>
  </si>
  <si>
    <t>Ramón de Victoria</t>
  </si>
  <si>
    <t>el Bayo. D. Juan Blesa, diputado eclesiástico de id. D. Mateo Qid , alcalde del barrio de Miralrio. D. Ramón de Victoria, del de S. Cayetano; D.. Gregorio de Aller, diputado del barrio* del Buen-suceso. D. Josef Gómez, diputado id. D. Ignacio Muñoz, diputado id. D. Rafapl Puente, alcalde del barrio</t>
  </si>
  <si>
    <t>de Viegas, Simón</t>
  </si>
  <si>
    <t>Simón de Viegas</t>
  </si>
  <si>
    <t>este supremo tribunal y al de la cámara. Por tanto , para gobierno del publico se avisa que el Sr. D. Simón de Viegas está-encargado del despacho de lós negocios tocantes á las provincias del territorio'de la chancUiería de Granada: el Sr. D. Gerónimo'Antonio Diez de los de las provincias de la cor</t>
  </si>
  <si>
    <t>D. Benito Añas de Prada. Concluida la sumaria nombró para fiscal al mas antiguo del propio consejo D. Simón de Viegas; y para sentenciarla, después de haber observado todos los trámites y solemnidades de derecho, ademas de los tres que formaban la junta, á otros ocho, que son D. Gonzalo Josef de</t>
  </si>
  <si>
    <t>eñor: visto el proceso, con la acusación puesta por- el señor fiscal más antiguo del mismo tribunal D. Simón de Viegas, nombrado al efecto por real orden de 30 de noviembre último; en la que pretende se imponga á D. Juan Escoiquiz, arcediano de Alcaraz, dignidad de la iglesia de Toledo, y al duque</t>
  </si>
  <si>
    <t>de Viergol, Manuel</t>
  </si>
  <si>
    <t>Manuel de Viergol</t>
  </si>
  <si>
    <t>...................... 5 500. D. Josef del Conde Vallejo, su dependiente, por una vez......... IOO. D. Manuel de Viergol, relator del consejo, por una vez........... 2CO. D. Juan Manuel Aparicio, por una vez...... *........................... ........ 320. P. Isidro Carrasco, jpor una vez...........</t>
  </si>
  <si>
    <t>de Viescas, Francisco</t>
  </si>
  <si>
    <t>Francisco de Viescas</t>
  </si>
  <si>
    <t>ena— cho, regidor. = Angel Fernandez de Liencres, diputado de real hacienda. == Francisco de Viescas, secretario del gobierno y junta. Excmo. Sr.: El acuerdo de la audiencia de Galicia se ha enterado con el mayor júbilo en el pleno y extraordinario celebrado en la mañana del 11 del corriente</t>
  </si>
  <si>
    <t>de Viguri, Luis</t>
  </si>
  <si>
    <t>Luis de Viguri</t>
  </si>
  <si>
    <t>tía por el fatal estado de la.salud del Rei¿ y otras razones que resultan. De este exceso ni él, ni D. Luis de Viguri, intendente que fue de la Havana, que promovía, según se dice, la misma especie, se han purgado todavía, sin embargo de las declaraciones y cereos que entonces se practicaron. Par</t>
  </si>
  <si>
    <t>de Viilalba, Juan</t>
  </si>
  <si>
    <t>Juan de Viilalba</t>
  </si>
  <si>
    <t>gento mayor D. Francisco O-Doeell; sobre su derecha el de ti-, radores de España, á las del coronel D. Juan de Viilalba; y á su izquierda cí de voluntarios de Carmena, ál mando de su comandante D. Josef Asmé4*, nich, dexando para cuerpo de reserva á las órdenes, dél marqües..de^ Caín--, pohermoso l</t>
  </si>
  <si>
    <t>de ViJlava, Luis</t>
  </si>
  <si>
    <t>Luis de ViJlava</t>
  </si>
  <si>
    <t>os» ' La Junta Suprema de Murcia ha publicado noticias recibidas por pliegos del comandante general D. Luis de ViJlava, y son las siguientes.~Moncey está acampado en Albacete con las reliquias de su exercito: se han cortado los puentes, y practicado todo lo que puede embarazar su marcha. La abanza</t>
  </si>
  <si>
    <t>de Vil, Juan Manuel</t>
  </si>
  <si>
    <t>Juan Manuel de Vil</t>
  </si>
  <si>
    <t>11.98 ESPAÑA. : .. - .ir',-.:.í'íí5-&gt;i/.,-ü Valencia nS de julio. : } ~ El brigadier de caballería D. Juan Manuel de Vil lena, gentilhombre &lt;!$ cámara con exercicio de S. M. el Sr. D. Fernando vii, se distinguid mucho por su energía y serenidad en el importante encargo á que fue destinado por el Exc</t>
  </si>
  <si>
    <t>de Villalba, Juan</t>
  </si>
  <si>
    <t>Juan de Villalba</t>
  </si>
  <si>
    <t>hombres, distante de todo socorro mas dé 2 leguas, pues el movimiento que intentó hacer el coronel D. Juan de Villalba , que mandaba en Carear, para socorrer aquel puesto, lo impedía una coluna enemiga que había yo observado; pero á todo me debía exponer por si podia librar un batallón, que el cré</t>
  </si>
  <si>
    <t>n Moran, alférez del mismo regimiento, situados en Carear, baxo las órdenes del coronel de exército D. Juan de Villalba, con las instrucciones ambos puntos de sostener á Lerin en ataque y retirada; pero sin empeñarse con fuerzas demasiadamente considerables , era posición ventajosísima por su local</t>
  </si>
  <si>
    <t>or las razones que verá V. E. en los partes originales , que incluyo y me han rendido los coroneles D. Juan de Villalba, comandante que fue de las tropas de Carear, y D. Francisco Copons y Navia, comandante de las de Sesma y de su batallón de tiradores de España, cuyos dignos oficiales, obrando cor</t>
  </si>
  <si>
    <t>de Villalba, Ramón</t>
  </si>
  <si>
    <t>Ramón de Villalba</t>
  </si>
  <si>
    <t>lelmo de Vargas. Sr. D. Juan Josef Polo. = Sr. D. Josef Joaquin Martí.=rSr. D. Benito San Juan.=Sr. D. Ramón de Villalba. =r Sr. D. Francisco Bucheli. = Sr. Don .Francisco Diz. Excmo. Sr.=r Habiendo hecho presente esta macana .en el ¿qonsejq de Indias la real, orden que V. E. se ha servido dirigirme</t>
  </si>
  <si>
    <t>de Villaldos, Andrés</t>
  </si>
  <si>
    <t>Andrés de Villaldos</t>
  </si>
  <si>
    <t>36;. •• 43o* IOO. »• 320. 3000. 100. 1500. La marquesa de....... un tocador con 36 piezas de plata. D. Andrés de Villaldos , agente de negocios, por una vez. 300. D. Francisco Prieto, id............................... ....... .................. ipo. 200000. 120. D. Miguel Fernandez, id................</t>
  </si>
  <si>
    <t>de Villalobos, Andrés</t>
  </si>
  <si>
    <t>Andrés de Villalobos</t>
  </si>
  <si>
    <t>va. • 882 O. Manuel Paulin................................................. Madrid........ 600 1044 D. Andrés de Villalobos.................................... Madrid........ 300 1090 D. Pedro del Rio............................ ................... Madrid........ 2CO 771 D. Casimiro Antón Monten.......</t>
  </si>
  <si>
    <t>de Víllanueva, Antonio</t>
  </si>
  <si>
    <t>Antonio de Víllanueva</t>
  </si>
  <si>
    <t>lado el jueves 14 del. corriente, á¡ las 12 de su mañana, en las casas consistoriales. El limo. Sr. D. Antonio de Víllanueva, del consejo y cámara de S. M. en el supremo de Castilla, juez que en virtud de real orden conoce de los autos del concurso de Santoyo, se ha servido señalar el dia 27 del corrien</t>
  </si>
  <si>
    <t>de Villanueva, Benito</t>
  </si>
  <si>
    <t>Benito de Villanueva</t>
  </si>
  <si>
    <t>aría dé Marina,&gt; . &gt; en intereses de vales reales de 1800, id..*........... .......1»:. -,53124 25. D. Benito de Villanueva, agente de negocios, id............ . 800D. Josef Benito de Urrntia, agente de negocios, en libramientos de intereses de vales reales, y pico en efectivo, ¡i............ 320. Doña</t>
  </si>
  <si>
    <t>de Villanueva, Manuel</t>
  </si>
  <si>
    <t>Manuel de Villanueva</t>
  </si>
  <si>
    <t>telo....................................... Alicante...... 500 271 D. Manuel y D. Mateo Martínez, y D. Manuel de Villanueva.................... '................... Burgos....... 300 2152 D. Bernardo de ia Barrera........................... . Coruña........ : 300 1320 D. Pablo Dujordain................</t>
  </si>
  <si>
    <t>............................................ Málaga........ fOQ 272 D. Manuel y D. Mateo Martínez y D. Manuel de Villanueva..................................... . Burgos......... 300 273 Doña Juliana Martínez........... ......................... . Burgos......... 3OO EN LA IMPRENTA REAL,</t>
  </si>
  <si>
    <t>D, Manuel de Villanueva, del comercio, por una vez............... 2026. D. Juan Fornies, á cuenta de 360 rs. por id............................... 30, D» Josef Forn, del comercio ^ id-...•«•«■..••••• . T</t>
  </si>
  <si>
    <t>de Villar y Sancha, Simón</t>
  </si>
  <si>
    <t>Simón de Villar y Sancha</t>
  </si>
  <si>
    <t>..... 310. D. Nicolás-Menendez, 10 id. id...... ....................d.......................... 10. D. Simón de Villar y Sancha, 60 id., por 4 meses..................... 240. D. Miguel Amable Charost, reloxero de cámara de S. M., 30 id., por agosto...........................................................</t>
  </si>
  <si>
    <t>de Villar, Nicolás</t>
  </si>
  <si>
    <t>Nicolás de Villar</t>
  </si>
  <si>
    <t>.... Madrid....7... 600 854 D. Ga'spár de Lerin.......................... Madrid)......./ 1500 92 2 D. Nicolás de Villar................................ ........... Madrid....... 700 238 6 D. Ignacio María Villa................... ....................... Zaragoza..... 300 416 D. Josef Víctor.0 Galla</t>
  </si>
  <si>
    <t>de Villegas, Francisco Xavier</t>
  </si>
  <si>
    <t>Francisco Xavier de Villegas</t>
  </si>
  <si>
    <t>hacer postura, lo executará por íajescribánía qué déséin-" peña D, Matías Pardo. Por providencia de D. Francisco Xavier de Villegas, subdelegado del juez co-r misionado real de la diócesi de Santander en el departamento de Toranzo, se ha señalado el dia 28 del presente para el remate de 4 seles compuestos de &lt;</t>
  </si>
  <si>
    <t>de Villena, Juan Manuel</t>
  </si>
  <si>
    <t>Juan Manuel de Villena</t>
  </si>
  <si>
    <t>ad y el amor á favor de su real Discípulo. Los gentileshombres marques de Ayerbe, conde de Orgaz, y D. Juan Manuel de Villena no han tenido mas parte en este negocio que servir á su amo en lo que creían bien inocente: se ha intentado complicar en esta causa al duque de San Carlos, conde de Bornos, y á D.</t>
  </si>
  <si>
    <t>de ViTes, Juan Miguel</t>
  </si>
  <si>
    <t>Juan Miguel de ViTes</t>
  </si>
  <si>
    <t>1$ papeles por hora.' ESPAÑA. Tarragona 24 de octubre. Ha desembarcado en este puerto el Excmo. Sr. D. Juan Miguel de ViTes, capitán general dé este, exército, con el residuo del regimiento de ca^ bollería de Húsares españoles , el regimiento de suizos que había enMallocca, y i© voluntarios. ; j ; . /T</t>
  </si>
  <si>
    <t>de Vitoria, Ramón</t>
  </si>
  <si>
    <t>Ramón de Vitoria</t>
  </si>
  <si>
    <t>.................. . D. Francisco Pascual de los Cobos, vecino de Jtjmilla.............. .......... D. Ramón de Vitoria, regidor de Madrid....................... X X D. Gabriel'Balez, del comercio..... X X La condesa de la Coruña................ o::.. {2ciones. guarniEl marques de Casa García......</t>
  </si>
  <si>
    <t>de Vitte, Carlos</t>
  </si>
  <si>
    <t>Carlos de Vitte</t>
  </si>
  <si>
    <t>o las órdenes del mariscal de canipo conde cie,C*ldagués5 y la quinta al del general de igual clase D. Cárlos de Vitte., teniendo de segundo á D. Luis Wimpffen, coronel del regimiento suizo de su apellido. El capitán general con el mayor geaeral de infantería» el qtiartelmaestre, el comandante de</t>
  </si>
  <si>
    <t>de Vivanco, Julián</t>
  </si>
  <si>
    <t>Julián de Vivanco</t>
  </si>
  <si>
    <t>, , 1 &gt;' ■ ' f f * ■.k ~; j ; i r ■' ’ v ’ •) K , ; ' í * Doña Rosa de Sanabrja 6 camisas nuevas. 1 D. Julián de Vivanco 8 id. D. ^Francisco Fernandez, García 18 camisas .nuevas? con igual número,d®2pares¿de medias,] ; r , r&gt; Doña María Guadalupe de Bañuelos y González .2 cá* ' misas nuevas. Las dam</t>
  </si>
  <si>
    <t>de Vives y Feliu, Juan Miguel</t>
  </si>
  <si>
    <t>Juan Miguel de Vives y Feliu</t>
  </si>
  <si>
    <t>1 5^2 Don Juan Miguel de Vives y Feliu, Prats y S. Martí, teniente general de los reales exércitos de S. M. católica el Sr. D. Fernando vii {que Dios guárde),gobernador y capitán general del principado de Cataluña , ge</t>
  </si>
  <si>
    <t>de Vives, Juan Miguel</t>
  </si>
  <si>
    <t>Juan Miguel de Vives</t>
  </si>
  <si>
    <t>la Isla de Mallorca 30 de Maye* El movimiento de nuestra Ida ha sido semejante al tfé toda.España. D. Juan Miguel de Vives es Capicau General de este Reyno en nombre de Fernando Séptimo* 0 ! 1 , ’ - 1 • ■ ' . J,t _f Rioseca 9 de Julia, El general francés que manda en Patencia , envié i pedir al monaster</t>
  </si>
  <si>
    <t>Viltafiranca jz de octubre. Ha llegado á este quartel general el dial ¿7 def comente el Excmo. Sr. D. Juan Miguel de Vives, capitán general'de este exército y principado de Cataluña, habiendo desembarcado' el diá ántés en el piifcric de Tarragona , y ha sido recibido con regocijo cóman p y con'las dem</t>
  </si>
  <si>
    <t>rriente mes, que se han recibido por el correo’ ordinario, .da parte el capitán general de Cataluña D. Juan Miguel de Vives, que habiendo resuelto atacar los enemigos para estrechar el cerco de Barcelona^ procurando desalojarle de. las posiciones que ocupaba eif las inmediaciones de dicha plaza * dispu</t>
  </si>
  <si>
    <t>de Ximeno, Fernando</t>
  </si>
  <si>
    <t>Fernando de Ximeno</t>
  </si>
  <si>
    <t>...r.. 5°q 898 D. O. D. T. Y. C................................... .......... • Madrid.;. ,30° 911 D. Fernando de Ximeno................................. Madrid... 3000 2137 D. Francisco de Vea Murquia......................... Zaragoza 3co 2307 D. Juan Manuel de Peralta.............................</t>
  </si>
  <si>
    <t>390 1549 D. Blomíaoio de ’l'osnitos.*.v.*v.v«....v.v^. 1207 D. Celestino í Bilbao....... .* 500 912 D. Fernando de Ximeno.,..„...,—&lt;..... ............... Madrid....... yoo 1004 D. Genaro Faustino Rincón..,......... Madrid....... .300 2300 D», .Josef dedos Rcye$»wiwrtw/. Cádiz.......... yoo 2327 D. Jo</t>
  </si>
  <si>
    <t>de Ximeno, Manuel</t>
  </si>
  <si>
    <t>Manuel de Ximeno</t>
  </si>
  <si>
    <t>50 rs. hasta fin. de diciembre á 30 rs. mensuales............................................. 650. D. Manuel de Ximeno, del comercio de lienzos, 1® rs. por una vez, y 1464 por 4 meses á 12 rs. diarios...................... . 2464. D. Bernardo de la Torre, su dependiente, 500 rs. por una vez, y 732</t>
  </si>
  <si>
    <t>de Yandiola, Juan Antonio</t>
  </si>
  <si>
    <t>Juan Antonio de Yandiola</t>
  </si>
  <si>
    <t>de Dios Mungnía, 10 rs. diarios,.por 5 meses..................... J......................... í53°. D. Juan Antonio de Yandiola, de la contaduría mayor de Cuentas, 6 id. por agosto........................................................................ 186. D. Juan Sanche? Crespo, del comercio, 10 id. por</t>
  </si>
  <si>
    <t>de Yaniz, Miguel Antonio</t>
  </si>
  <si>
    <t>Miguel Antonio de Yaniz</t>
  </si>
  <si>
    <t>. Zaragoza..... 30® 1064 Doña Rosa Rico Pablo............................. Madrid......... 300 1620 D. Miguel Antonio de Yaniz......... ........ Bilbao..J...i. 500 1986 Doña Antonia Cabré................ ........ . Zaragoza..... 500 894 D. Tomas Arrufat..................................... Madrid....... i</t>
  </si>
  <si>
    <t>de Yarritu, Manuel</t>
  </si>
  <si>
    <t>Manuel de Yarritu</t>
  </si>
  <si>
    <t>drid............... 1000. D. Pedro Rubio, del comercio.................... .................. 2000. D. Manuel de Yarritu , id................... ........... ................ 1000. D. Manuel González de Lobera, id.................. ............ 1000. D. Manuel Isidoro del Corral, id..................</t>
  </si>
  <si>
    <t>de Yarza, Rafael</t>
  </si>
  <si>
    <t>Rafael de Yarza</t>
  </si>
  <si>
    <t>una vez............... .................................... ................................... 3*. D. Rafael de Yarza, oficial mayor de una escribanía de cámara del Consejo, á- cuenta de 30 f. rs................................•................ 3r* D. Manuel de Palomera, contador del duque de S.</t>
  </si>
  <si>
    <t>de Yuste, Manuel</t>
  </si>
  <si>
    <t>Manuel de Yuste</t>
  </si>
  <si>
    <t>. 2 El marques de Camarasa..................... 2 El conde de Polentinos........................ 2 D. Manuel de Yuste.................. 4 D. Pedro del Rio................................ 1 El marques de Casa-Pontejos............. 5 El conde de Valdeparaiso................... 1 X x D. Félix García</t>
  </si>
  <si>
    <t>de Zafra Gal, Manuel</t>
  </si>
  <si>
    <t>Manuel de Zafra Gal</t>
  </si>
  <si>
    <t>............. Bilbao........ 500 2452 D, Hilario Ximenez................ . Zaragoza.—. ; : fO® 2090 D, Manuel de Zafra Gal legos.. ........' ■*#••• • 39® 1614 D. Josef Domingo de Aguirre..,, SiÍlXiQ* MIMM 190 205 D. Josef Adalid.» del comercio........ ............ Alicante. .**. r jOO 2043 Doña María</t>
  </si>
  <si>
    <t>de Zalles, Manuel</t>
  </si>
  <si>
    <t>Manuel de Zalles</t>
  </si>
  <si>
    <t>D. Tómas Perez 3! piezas de paños con 1108 varas. Las comendadoras de Santiago una libra de hilas. D. Manuel de Zalles 3. Las monjas de Gcngora 2. Doña Tacinta Palau 2. Doña Leonarda de Fraguas 2: El colegio de San 1». Antonio 2. D. Ildefonso Martin una pieza de paño negro con 32 varas. La condesa</t>
  </si>
  <si>
    <t>de Zalles, Nicolás</t>
  </si>
  <si>
    <t>Nicolás de Zalles</t>
  </si>
  <si>
    <t>blanco con ^2 varas. D&lt; ña María Felipa Ordina'una libra de hilas. Doña Petronila Vellorita media. Don Nicolás de Zalles-2. D¿ Benito Ruiz Gamez 4. La Sra. de Siles una. Doña Felipa Estuaila y Doña Rita Vada 3. D. Ventura López 2. Don Rodrigo Rocas 6 camisas, hilas y paños. D. Antonio Chevarria 18 ve</t>
  </si>
  <si>
    <t>/ del comercio, por una vez.......................................... ...... .............. 2 200. D. Nicolás de Zalles, conductor de caudales, por una vez...... 15 có. D. Mariano Zalles, por una vez................................................... 1500. D. Juan Daurris, del comercio de quincalla</t>
  </si>
  <si>
    <t>..... 1500. D. Martin Alonso de las Heras, id................. ............................... 300. D. Nicolás de Zalles, un vale real id..................... ........................ 4521 22# D. Dionisio Ximenez , capellán del oratorio de la calle de Cañizares, vulgo del Olivar, id.................</t>
  </si>
  <si>
    <t>de Zalvide, Francisco</t>
  </si>
  <si>
    <t>Francisco de Zalvide</t>
  </si>
  <si>
    <t>. Mrs. D. F. N., por una vez............................................... ......... ....... 2000. D. Francisco de Zalvide, por una vez....................... ............... . 1000. D. Ambrosio Abin y Sotoj por agosto á 6o rs. mensuales..... . 60. D. Juan Antonio de Echevarría, escribiente,* por agos</t>
  </si>
  <si>
    <t>de Zavala, Gabriel</t>
  </si>
  <si>
    <t>Gabriel de Zavala</t>
  </si>
  <si>
    <t>Zaragoza...^ % 00 1976 Doña Juana Peñalba ..................... ............ Zaragoza..».. 5 ©o 82 D. Gabriel de Zavala................. .................. Tortosa...... 300 189* D. Joaquin de Astiz.......................................... Zaragoza..... 50o 1708 D. Juan Manuel de Peralta..........</t>
  </si>
  <si>
    <t>de Zavala, Ignacio María</t>
  </si>
  <si>
    <t>Ignacio María de Zavala</t>
  </si>
  <si>
    <t>s........ 300 2024 D. Melchor García Duran................................ Cádiz........... 600 512 D. Ignacio María de Zavala.............................. Bilbao.......... 30® 1740 D. Antonio Prudencio de Olavarria............... Cádiz...... . 500 354 D. Guillermo Poibert................................</t>
  </si>
  <si>
    <t>de Zuazo, Antonio</t>
  </si>
  <si>
    <t>Antonio de Zuazo</t>
  </si>
  <si>
    <t>de maiz también al año. Los pretendientes dirigirán sus memoriales, muestras de letras é informes á D. Antonio de Zuazo, cura párroco en el citado concejo, por Bilbao, Portugalete; en la inteligencia de que se ha de proveer en 12 de febrero próximo, y de que el agraciado ha de obttner título del co</t>
  </si>
  <si>
    <t>de Zubia Aguírre, Domingo</t>
  </si>
  <si>
    <t>Domingo de Zubia Aguírre</t>
  </si>
  <si>
    <t>....................... ........... 100. Isidoro Moreno ^peluquero, por una vez.......... . *■’o. J D. Domingo de Zubia Aguírre y D. Manuel de Igartua / del comercio, por una vez.......................................... ...... .............. 2 200. D. Nicolás de Zalles, conductor de caudales, por una vez.....</t>
  </si>
  <si>
    <t>de Zubiaga, Ana Ventura</t>
  </si>
  <si>
    <t>Ana Ventura de Zubiaga</t>
  </si>
  <si>
    <t>Dona Ana Ventura de Zubiaga 12 id. Doña Manuela Sánchez, jornalera , 2 y 6 pares de calcetas. camisas. Doña N. una casaca, una chupa y 2 Doña Josefa Perez Esíéban 6. cinturones. Doña Ramona Perez Esteban 6.</t>
  </si>
  <si>
    <t>de Zubiaga, Pedro</t>
  </si>
  <si>
    <t>Pedro de Zubiaga</t>
  </si>
  <si>
    <t>60 Inas en Valduera , valuádo-todo en 7158 rs. Quien quisiere hacer postura, acuda -en esta corte á D. Pedro de Zubiaga, que vive red de S. Luis, esquina á la ca.4e de los Jardines, y en Aléala á Don Domingo de Calzada. ' II BROS*. Real orden comunicada,al consejo por el ministerio de Hacienda, oon</t>
  </si>
  <si>
    <t>de sebo, por una vez. 3Ó00. D. Manuel Brea , almacenista- de carbón, por una vez......«...... 30Q. D. Pedro de Zubiaga., individuo de los 5 gremios mayores, por una vez. *«•••« • • #.» •*•••••»«« # 4 4 44#«.##444 4-4«.« m-é •• *# 444 •* • « 4-4 • *.« 1000. «4 44 4-4 4 D. Francisco Bernardo de Quir</t>
  </si>
  <si>
    <t>de Zulueta, Ana</t>
  </si>
  <si>
    <t>Ana de Zulueta</t>
  </si>
  <si>
    <t>arios......................................... ................................................ 62. Doña Ana de Zulueta, del comercio, por 4 meses á 1 oj’S. diarios. 1216 e t. D. Josef Pablo Valiente, del consejo de Indias, por un mes á 6* rs. diarios...,........................ ...................</t>
  </si>
  <si>
    <t>de Zumelzu, Vicente Manuel</t>
  </si>
  <si>
    <t>Vicente Manuel de Zumelzu</t>
  </si>
  <si>
    <t>.. Zaragoza..... 500 1172 Doña Francisca Monfort............................ Zaragoza..... 3 00 510 D. Vicente Manuel de Zumelzu......... Bilbao....... . 300 23 °4 D. Francisco Miguel Gil............ »».».»»».».... Cádiz.,»1...... 10000 adío Sr.-Conde del Parque..............v..»;»»»».í..;.li;.. Cádiz».....</t>
  </si>
  <si>
    <t>de Zúrbano, Joaquín María</t>
  </si>
  <si>
    <t>Joaquín María de Zúrbano</t>
  </si>
  <si>
    <t>a , por agosto 120 rs. . D. Domingo Suarez, por id. , 20 rs. DvNicplas. Ggfcia r¡ por id. 30 rs., . D. Joaquín María de Zúrbano, oficial de la contaduría general de Propios y Arbitrios del reino, po.r id. 1rs. i j ... . {Se continuará,*) EN LA IMPRENTA REAL.</t>
  </si>
  <si>
    <t>Deborde</t>
  </si>
  <si>
    <t>o todos los afectos que había en los carros y 8b© rixdalers en- dinero cayeronen manos del enemigo. Mr. Deborde» nombrado vice-consul en Rostóclc, saldrá un día de estos de Hamburgo para su destino.x Se ha divulgado la vozque inmediatamente después de la rendición de Sweaborg V se ha'hecho</t>
  </si>
  <si>
    <t>Dedel</t>
  </si>
  <si>
    <t>Madrid 106</t>
  </si>
  <si>
    <t>su llegada fue á cumplimentarle el antiguo landaman Vattenvil. VÜRTEMBERG. Stutigardt / o de julio, Mr. Dedel, enviado del Rei de Holanda cerca de nuestro Soberano, acaba de partir para Lindau y Constanza, desde donde pasará á Suiza. Ayer ha pasado por esta ciudad el conde de Riabinin, co</t>
  </si>
  <si>
    <t>Deden</t>
  </si>
  <si>
    <t>barcos con tro» pas fu é ron echados á pique. Anteayer llego á esta capital el embaxador de Holanda Mr. Deden. REINO DE ITALIA. Venecia de junio. , ,A7er se botó al agua una corbeta; por la noche el general Lauriston ha dado un gran baile, que S. A. I. el príncipe Virei ha honrado con su</t>
  </si>
  <si>
    <t>Degerando</t>
  </si>
  <si>
    <t>rsovia que había ido á Bayona á presentarse á S. M. el Emperador y Rei, está ya de vuelta en París. Mr. Degerando, oficial mayor del ministerio de lo Interior, ha salido, según dicen, para Florencia. No se expresa el motivo de su viage. El diario de Francfort cuenta que el mariscal Kellerman</t>
  </si>
  <si>
    <t>este objeto es de advertir la admirable armonía de ideas de muchos de estos comentadores con las de Mr. Degerando en su obra de la historia comparada de la filosofía. Pues antes de conocerse en España esta producción, ya habían demostrado muchos de aquellos que la civilización é ilustración eur</t>
  </si>
  <si>
    <t>del Abellarialsu, Ramón</t>
  </si>
  <si>
    <t>Ramón del Abellarialsu</t>
  </si>
  <si>
    <t>por una vez................ 100. D. Ramón de Aldáy; del comercio de lienzos, por una vez..... 2000. D. Ramón del Abellarialsu dependiente , por una vez......... . joo. D. N. N., á cuenta de 6co rs......... ........ ........... 120. D. Bernabé Schefler, músico de la real capilla , por una vez..... 80. D. Jos</t>
  </si>
  <si>
    <t>del Arco, Matías</t>
  </si>
  <si>
    <t>Matías del Arco</t>
  </si>
  <si>
    <t>o de sfi diputación, por una vez 3600. ' : &gt; &lt; /í D. Manuel Antonio Pereyra, por ahora 160 rs.K - " D. Matías del Arco, contador de Sisas, por agosto á 40 rs. mensuales durante la guerra, 40. - ~...... D. Magín Goma, por id. á ioo rs. id. id., 100.</t>
  </si>
  <si>
    <t>del Barco, Pedro</t>
  </si>
  <si>
    <t>Pedro del Barco</t>
  </si>
  <si>
    <t>....... . 3 00 2384 D. Martin de Barrencochea............................... Zaragoza..... 500 2141 D. Pedro del Barco..................... ....................... Coruña......... 3 00 2007 D. Pablo Dujourdain......................... ........ . Cádiz.......... 3°° 2096 D. Prudencio de Torres.....</t>
  </si>
  <si>
    <t>del Barrio, Francisco</t>
  </si>
  <si>
    <t>Francisco del Barrio</t>
  </si>
  <si>
    <t>y setiembre á 2© mensuales , y 2c$ en intereses de vales reales , id.....:;.;.;.........;.. 24000. D. Francisco del Barrio, del comercio de lienzos , unLibramien</t>
  </si>
  <si>
    <t>del Busto, Francisco</t>
  </si>
  <si>
    <t>Francisco del Busto</t>
  </si>
  <si>
    <t>, por una vez 134994 •••, too. D. Pedro Marcelino* Blanco ^ corredor de cambios, por unayez. íóoco. D. Francisco del Busto, ayuda de la real furriera, por una vez. 300. * La marquesa de 'Palomares deDiieró én: vales reales.......... . 21119 D. Antonio Agunder.,.oficial del. patronátddé: Castilla »&lt;uo</t>
  </si>
  <si>
    <t>del Cálmen González, María</t>
  </si>
  <si>
    <t>María del Cálmen González</t>
  </si>
  <si>
    <t>2°7 niárias se?ují su mérito.—— A Doña Josefa Alvarez Santullano, Doña María del Cálmen González. A rango, y Doña Joaquina Vi gil, se las ha gratificado con: media onza de oro.á cada una por haber hilado, torcido , tcxido , teñido y manufacturado varias partidas de híjadiiios</t>
  </si>
  <si>
    <t>del Campo Soinalo, Diego</t>
  </si>
  <si>
    <t>Diego del Campo Soinalo</t>
  </si>
  <si>
    <t>F. E., id..................................... rv............................................ 100. D. Diego del Campo Soinalo, oficial de la contaduría general de Indias , id..... ........................................................................ 3°o. Fernando Marcos Moran, id............. ........</t>
  </si>
  <si>
    <t>del Campo, Francisco</t>
  </si>
  <si>
    <t>Francisco del Campo</t>
  </si>
  <si>
    <t>00 1535 Sres. Mena é hijos............................................... Bilbao.......... 500 1897 D. Francisco del Campo.................................... Zaragoza..... 600 2409 D. Antonio Castillo............................................ Zaragoza..... 600 1566 D. Francisco y D. Ramón de Mazarr</t>
  </si>
  <si>
    <t>lico contante, tasada en 21998 rs., y no tiene mas carga que la real de aposento y farol; acudirá á D. Francisco del Campo, calle de Toledo, frente á la Latina, núm. 5, quarto segundo. Se vende un octante hecho en Inglaterra mui bien tratado, y se dará con la mayor equidad. Quien quisiere enterarse de</t>
  </si>
  <si>
    <t>4 camisas. D. Roque Rosado 2. María Moreno, latonera, viuda, una olla de campaña de cobre. Dia 22. D. Francisco del Campo, en nombre de su muger Doña Micaela Roseílon , 24 camisas y 6 sus criados. Doña Josefa Espina 4. María Josefa Díaz 4 pares de zapatos, y A. A. t camisa. D. Sebastian Illescas 2. D</t>
  </si>
  <si>
    <t>... x 2 pistolas» D. Manuel Villareal i tesorero de Abastos...............................¿........ D. Francisco del Campo, contador de los Sres. Infantes.......... ........ 2 x cabezón. D. Manuel Lartiga , abogado......... D. Antonio Poriier......... ....... ......... i carro y d. m. p. c. ..........</t>
  </si>
  <si>
    <t>del Cano Goicochea, Tomás</t>
  </si>
  <si>
    <t>Tomás del Cano Goicochea</t>
  </si>
  <si>
    <t>a, puerta de Toledo. D. ^Manuel de Ribacoba id. Don Francisco Román Galindo, eclesiástico de dicha. D. Tomas del Cano Goicochea, secretario del barrio del Hospicio. D. Mauro López, diputado id. D. Manuel Benaya id. D. Pedro López Conche, de id. D. Blas de Torres Errazque, diputado de Jesús Nazareno. D. Jos</t>
  </si>
  <si>
    <t>del Carmen de Velasco, María</t>
  </si>
  <si>
    <t>María del Carmen de Velasco</t>
  </si>
  <si>
    <t>. 3 libras id. Doña Telesfora Mateo 3 libras id. Doña María Manuela Fernandez de Avila 2 iibras id. Doña María del Carmen de Velasco 2 libras de hilas, 2 de paños y 12 vendas con sus cabezales. Doña Cecilia de... 4 libras de hilas y 7 vendas. Las monjas Capuchinas del convento de Pinto 12 libras de hilas. Doña</t>
  </si>
  <si>
    <t>del Cármen Moreno, María</t>
  </si>
  <si>
    <t>María del Cármen Moreno</t>
  </si>
  <si>
    <t>rterones de hilas. Doña María de Beitia y su hermana 2 camisas finas, 2 libras de hilas y 6 vendas. Doña María del Cármen Moreno una camisa y 2 libras de hilas. Doña F. una camisa, 4 pares de calcetas y 2 libras de hilas. Doña Rafaela Martin de Alvarez 6 pares de calcetas nuevas. D. Benito Antonio Pisador 2</t>
  </si>
  <si>
    <t>del Carmen y María de la Concepción Carretero, María</t>
  </si>
  <si>
    <t>María del Carmen y María de la Concepción Carretero</t>
  </si>
  <si>
    <t>res de la villa de Almoguera 3 sábanas, 3 camisas, 3 servilletas y 6 pares de calzoncillos. Dia 31. Doña María del Carmen y Doña María de la Concepción Carretero y Vaca, vecinas de la villa de Orgaz, 6 camisas. D. Joaquín Sánchez ha pagado la hechura de 24 casacas de infantería. Noviembre 2. Una señora una camisa. Una niña de 10 años una.</t>
  </si>
  <si>
    <t>del Castillo, Antonio</t>
  </si>
  <si>
    <t>Antonio del Castillo</t>
  </si>
  <si>
    <t>t4ííy.y?¿*ct»&gt;¿«»»« ■ ai. D. Domingo García de Trevillai por(pna:'Ver;/4i.44Í;;;vA.,.i.i.¿;.;^ 4o®* D. Antonio del Castillo, por un*¿4e«.¿v.5;;i:..;'.v.*:á3.vjJÍí*¿;.'¿l,jL... . 400. Isabel de la Peña, sirviente, por una;vez4;..^.;........'.4.............. 80. Alexandro Soblechero, por urja vez..*....,</t>
  </si>
  <si>
    <t>del Castillo, Francisco</t>
  </si>
  <si>
    <t>Francisco del Castillo</t>
  </si>
  <si>
    <t>brar para la dignidad de arcediano de Besalú de la catedral de Gerona, vacante por fallecimiento de D. Francisco del Castillo y á D. Pédfo TórféS y de Artiat, cura párroco déS. Pedro de Sérrahima,</t>
  </si>
  <si>
    <t>D. Pedro Pena para una canongía presbiteral de la catedral de Geronay vacante por fallecimiento de D. Francisco del Castillo: para la capellanía mayor de la parroquia de S. Cristóbal de las Fons, en la diócesi de Gerona, vacante por muerte del mismo D. Francis* co del Castillo, á D.. Fernando Velez, cap</t>
  </si>
  <si>
    <t>n de Petrés y D. Bartolomé de Georget, comandantes de este punto , y por los caballeros maestrantes Don Francisco del Castillo y D. Josef Rovira, que tan valerosamente y con un ahinco digno de imitación , llenaron las respectivas comisiones de sus encargos. Los individuos del real cuerpo de guardias de Corps</t>
  </si>
  <si>
    <t>del Castillo, Manuel Francisco</t>
  </si>
  <si>
    <t>Manuel Francisco del Castillo</t>
  </si>
  <si>
    <t>s. D. Andrés Caballero 27. Doña Josefa Sanz 6. D. Manuel de Velasco 2 camisas y 14 varas de lienzo. D. Manuel Francisco del Castillo 88 pares de calcetas. Dia 20. D. Raimundo de Alcántara 41 varas de lienzo. Doña Ana Martin Caballero, muger de D. Alfonso Garrido , 100 camisas. EL Sr. D. Ignacio Abadía, del cons</t>
  </si>
  <si>
    <t>del Conde Velejo, Sebastián</t>
  </si>
  <si>
    <t>Sebastián del Conde Velejo</t>
  </si>
  <si>
    <t>................. 2323. Manuel García, maestro de obra prima, id.............................. 200* D. Sebastian del Conde Velejo, oficial de Provisiones, en intereses de vales reales id............. ..................................................... 6859* D. Ramón López, notario público y de la visita ec</t>
  </si>
  <si>
    <t>del Corral y Sobrino, Manuel Isidoro</t>
  </si>
  <si>
    <t>Manuel Isidoro del Corral y Sobrino</t>
  </si>
  <si>
    <t>s, 320. D. Francisco Antqnio Rivacoba un vale de 300 pesos de enero por una vez, 4631 rs. y 22 mrs. D. Manuel Isidoro del Corral y Sobrino, cambiantes, por una vez 20© rsi D. Pedro Pauca, caxero jubilado del Banco, por 6 meses desde agosto . . 500,rs. D. Mariano Ainza, agente de negocios, por id., 360 rs, D. Marcelo</t>
  </si>
  <si>
    <t>del Corral, Manuel Isidoro</t>
  </si>
  <si>
    <t>Manuel Isidoro del Corral</t>
  </si>
  <si>
    <t>...... ................ 1000. D. Manuel González de Lobera, id.................. ............ 1000. D. Manuel Isidoro del Corral, id....................... ......... 2000. 0. Manuel Gil de Santiyañez................................ .......... Sooo. La casa de comercio de los Sres. Celini en un vale real de</t>
  </si>
  <si>
    <t>del Corral, Pedro Andrés</t>
  </si>
  <si>
    <t>Pedro Andrés del Corral</t>
  </si>
  <si>
    <t>itectos de esta D. Josef de Rioja, en intereses de 1800, id.......... ....... ............. 180 17^ D. Pedro Andrés del Corral, oficial de. la secretaría de la cámara y real patronato de Aragón, en 2 libramientos de la diputación dei comercio de Madrid, id...,................................... 442.' El r</t>
  </si>
  <si>
    <t>del Corte, Francisco</t>
  </si>
  <si>
    <t>Francisco del Corte</t>
  </si>
  <si>
    <t>mensuales.................. 20, .Miguel Gamborino, grabador de láminas, por agosto.......... . 20. D. Francisco del Corte, del comercio, por agosto..............U.... 60. D. Josef Pico Santisteban, oficial del patronato de Aragón, por agosto....................... ........... ........................</t>
  </si>
  <si>
    <t>del Est, Lorenzo</t>
  </si>
  <si>
    <t>Lorenzo del Est</t>
  </si>
  <si>
    <t>ara domiciliarse en otros pueblos vecinos. =: Venturada á 8 de agosto de 1808. = A L. P. de V. I. = D. Lorenzo del Est^l Ballesteros. = Juan de Yuste. = P. D. Considerando las críticas circunstancias en que se halla el supremo consejo de Castilla, suplicamos a;V. I. se digne mandar que se publique</t>
  </si>
  <si>
    <t>del L'ano, Pedro</t>
  </si>
  <si>
    <t>Pedro del L'ano</t>
  </si>
  <si>
    <t>hez dél Corral.... Cádiz,.:.. A!. ' ’3 oó 383 D. Isidro de Ponte y‘Andrade, Coruña....... * 3do 794 D. Pedro del L'ano.................. Madrid....;.. 300 2001 13. Cristóbal Cxárcia» Cád iz¿ 1500 ! 143 D. Tbséf de, Té tari...... A .7.’. AA A A;ava. .... ■ ] alé nciá.A A ^00 **35 D pál.^ T onr\ • A</t>
  </si>
  <si>
    <t>del Moral, Francisco Xavier</t>
  </si>
  <si>
    <t>Francisco Xavier del Moral</t>
  </si>
  <si>
    <t>40. ; _ D. Josef Severino Urruela........................... .................................. 20. D. Francisco Xavier del Moral , por un mes.................. ............. 180. ■ D. Josef Fontenelle, grabador de cámara en piedras ñnas, por 5 meses á 60 rs. mensuales en cada uno.............. . 180. 3E1 In</t>
  </si>
  <si>
    <t>del Nava, Juan Antonio</t>
  </si>
  <si>
    <t>Juan Antonio del Nava</t>
  </si>
  <si>
    <t>Málaga........ 300 418 D. Josef Martin Herrera............................ . Santander...; 500 ■918 D. Juan Antonio del Nava! y.compañía...... Madrid..»». 300 2396 D. 'Ramón Aguado................ »..»»»»—........ 1 Zaragoza.».. 500 .878 Doña María1 Manuela-Mutiozaval............. »»». Madrid, i»». 6gó</t>
  </si>
  <si>
    <t>del Naval, Juan Antonio</t>
  </si>
  <si>
    <t>Juan Antonio del Naval</t>
  </si>
  <si>
    <t>. Cádiz....,,.... 500 2306 R. P. Fr. Andrés Arguelles de S. Juan de Dios. Cádiz............ 500 917 D. Juan Antonio del Naval y compañía....... Madrid...... 300 1423 Jayme Setta Loustaunau y compañía.......... Málaga........ 600 1385 D. Juan Prudencio de Inda.»........................... Burgos....,..* 300</t>
  </si>
  <si>
    <t>del Nuevo, Manuel</t>
  </si>
  <si>
    <t>Manuel del Nuevo</t>
  </si>
  <si>
    <t>ien quisiere comprar una casa sita en esta corte, calle de Cabestreros, número 8, manz. 66, acuda á D. Manuel del Nuevo, oficial de la sala de señores alcaldes de casa y corte. Por providencia del real tribunal del consulado de Cádiz se manda emplazar á quantosse consideren con derecho al concurso</t>
  </si>
  <si>
    <t>del Orbe, Ramón</t>
  </si>
  <si>
    <t>Ramón del Orbe</t>
  </si>
  <si>
    <t>Miguel, id....................... ...................... ........... ....................... i óo. D. Ramón del Orbe, subteniente de voluntarios de infantería.1 ’.d de la isla .de Sto, Domingo, en un.crédito contra la real Ha» ciencia ,*■ i d•».................. i v... &amp; 2 3040 j. * i María Mart</t>
  </si>
  <si>
    <t>del Peral, Andrés</t>
  </si>
  <si>
    <t>Andrés del Peral</t>
  </si>
  <si>
    <t>riada, por una vez 300 rs. . D. Josef Fernandez Abarca, á cuenta de 300 rs. por una vez, 100. •. !. D. Andrés del Peral, dorador, 80 rs. por una vez, y 240 mensuales, 320. D. Francisco Antqnio Rivacoba un vale de 300 pesos de enero por una vez, 4631 rs. y 22 mrs. D. Manuel Isidoro del Corral y Sobr</t>
  </si>
  <si>
    <t>...... 61. D. Blas Sánchez Puertas, 2 id. id..-............... ............ .................. 122, D. Andrés del Peral, -8 ii; por 5 id............................................. 1224, IX Tomas Perez Campos, 2 id. por 3 id..;.............¿........... . 180. Antonio Montero, uno id; por 2 id.....</t>
  </si>
  <si>
    <t>del Hospital. D. Silverio Perez id. id. D. Diego de Castro, secretario de la dir i cha .diputación. D. Andrés del Peral, diputado de id. D. Josef Carranza, « diputado dei de SL Francisco. Fr. Vicente .Palomequé, comendador de la Merced calzada. Fr. .Juan Maestre, presidente de la Pasión. D. Joaquín</t>
  </si>
  <si>
    <t>del Piélago y Castro, Antonio</t>
  </si>
  <si>
    <t>Antonio del Piélago y Castro</t>
  </si>
  <si>
    <t>.... Zaragoza..... 500 626 Doña María Ignacia Ornat y Iñiguez.............. Mad rid....... 6co 43 S D. Antonio del Piélago y Castro..................... Santander.... 300 1879 Sr. Marques de Zafra............ ............................ Zaragoza..... 1500 638 D. Francisco de Castro.......... ........ ........</t>
  </si>
  <si>
    <t>.... 500 1870 D. Manuel Palacin..... ..........,,............................ Zaragoza...:. 300 437 D. Antonio del Piélago y Castro..................... Santander.... 600 1561 D. Apolinar de Iguazan...................................... Bilbao......... 300 1947 D. Antonio Colas....................... .........</t>
  </si>
  <si>
    <t>IL DE 1808. Números Late* de las en acciones. Nombres de los interesados. Comisionados. Rs. vn. 439 D. Antonio del Piélago y Castro.......... Santander.... 30Q i8c6 D. Ambrosio Ruibamba................................... Zaragoza..... 500 571 D* Francisco Bouligni....................................... Madrid.</t>
  </si>
  <si>
    <t>del Pilar Lafuentey Lozano, María</t>
  </si>
  <si>
    <t>María del Pilar Lafuentey Lozano</t>
  </si>
  <si>
    <t>*....... ...» 10000 2450 Doña Manuela Motiet,.y .Pipeda***.*.**/* w. v.wwy-' Zaragoza..*.. joop 544 Doña María del Pilar Lafuentey Lozano.,;.», Madrid....;*. í 39? 1714 D. Ignacio Esteves yMatutev*,'-.;..-;..,.:.,»^, C,adiz.,«...«f. v &lt;5(03 059 Doña Antonia Molina de Risel, ....v^U*&gt;. Madrid*;...;*. 5 ÓO 2330 D. Jos</t>
  </si>
  <si>
    <t>del Pilar Martínez de Saturnina Mexia, María</t>
  </si>
  <si>
    <t>María del Pilar Martínez de Saturnina Mexia</t>
  </si>
  <si>
    <t>vienta, una. ña Bernarda Arnaiz una. Doña María Ramona deAguirre 100. Sres. Santibañez y Ximeno 20. Doña María del Pilar Martínez de Doña Saturnina Mexia 2. Murga 50. Doña María Josefa de Ladalid 2. D. Evaristo Perez de Castro 6 id. y D. Pedro Gutiérrez Barona 4. 6 pares de calcetas. La Excma. Sra. duquesa deHíjar 21. D. Ramón de H</t>
  </si>
  <si>
    <t>del Pozo, Manuel</t>
  </si>
  <si>
    <t>Manuel del Pozo</t>
  </si>
  <si>
    <t>de diciembre del año próximo pasado falleció en esta corte, á los ó2 años y 7 meses de edad, e! Sr. D. Manuel del Pozo, ministro que fue del consejo. En el año de 1786 fue nombrado asesor de guerra del gobio r-t no y comandancia militar de Madrid y su distrito. En 31 de octubre de iMÍH le concedió</t>
  </si>
  <si>
    <t>del Real, Antonio Luis</t>
  </si>
  <si>
    <t>Antonio Luis del Real</t>
  </si>
  <si>
    <t>Guerra pleno extraordinario á 28 de setiembre de 1808. Excmo. Sr. D. Pedro Mendinueta. = Excmo. Sr. D. Antonio Luis del Real. = Excmo. Sr. D. Josef Vasallo. = Excmo. Sr. marques de Alcpcebar. = Sr? p. Josef Salazar. =Sr. D. Manuel Fernandez del Burgo. = Sr. D. Josef Antonio de Bor ja. =sSr.D. Vicente Ag</t>
  </si>
  <si>
    <t>del Rei, Juan Francisco</t>
  </si>
  <si>
    <t>Juan Francisco del Rei</t>
  </si>
  <si>
    <t>y demas personas que puedan tener derecho á los bienes y herencia del coronel agregado á esta plaza D. Juan Francisco del Rei, que murió abintestato en 13 de abrij de este año, para que en el término de 30 dias perentorios acudan ante su señoría, por la escribanía de D. Felipe de Estepar, á usar de su de</t>
  </si>
  <si>
    <t>del Rincón, Juan</t>
  </si>
  <si>
    <t>Juan del Rincón</t>
  </si>
  <si>
    <t>................. 1500. D. F. N., por una vez............................................... . noó* D. Juan del Rincón , oficial dé la contaduría de correos , por una vez............ ............................... ........ .................................. 400* D. Manuel de Abascal y Bringas, po</t>
  </si>
  <si>
    <t>del Rio, Diego</t>
  </si>
  <si>
    <t>Diego del Rio</t>
  </si>
  <si>
    <t>e asistieron d este acto. Sr. corregidor. Regidores: D. Nicolás de los Heros. D. Juan de Castañedo. D. Diego del Rio. D. Pedro Roldan. D. -Francisco Taona. D. María-* no Blancas. D. Julián* de ¥uenté$¡' Dij&gt;ütados: D. Manuel Montaos. D., Juan * Madrid Dávilá. D. Matías Bayo. í). Fránciséo-Villa;</t>
  </si>
  <si>
    <t>Bringas, procurador general; D.Mateo Norzagarai, procurador personero; D. Juan Xaramillo, regidor; D. Diego del Rio, también regidor, y D. Matías Bayo, diputado; D. Nicolás García Caballero, D. Juan Bautista Nieto, D. Pedro Marcelino Blanco , D. Miguel Martínez, D. Pedro Queipo de Llano, D. Jua</t>
  </si>
  <si>
    <t>del Rio, Luis Gonzalo</t>
  </si>
  <si>
    <t>Luis Gonzalo del Rio</t>
  </si>
  <si>
    <t>.................. 1000. El Sr.* Di Antonio Bailo................................... . 1000. El Sr. D. Luis Gonzalo del Rio*.........¿i...................... 5000. Ei Sr. D. Manuel Sánchez Toscano.............................. 5000. El Sr. D. Andrés de Aransai , capellán de honor de S. M., en un vale r</t>
  </si>
  <si>
    <t>del Rio, María</t>
  </si>
  <si>
    <t>María del Rio</t>
  </si>
  <si>
    <t>er á su hija, escritas en francés por madama le Prince de Beauinont, y traducidas al castellano por Doña María del Rio )r Arnedo: 3 tomos en 8 0 Esta obra se puede considerar como una escuela de educación .para toda sefiora'cristiana ; y al paso que es una impugnación de las malas novelas, forma p</t>
  </si>
  <si>
    <t>del Rio, Mateo Gonzalo</t>
  </si>
  <si>
    <t>Mateo Gonzalo del Rio</t>
  </si>
  <si>
    <t>........ 300 1537 D. Agustín de Olana..................... .................... Bilbao..... 300 233 D. Mateo Gonzalo del Rio.............. ............... Burgos....:., 30b 9)2 D. Andrés de Olave........... ¿.¿.i.......... ... Madrid....í.‘. 300 2338 D. Juan Bautista Gaudo y Sobrinos................ Zar</t>
  </si>
  <si>
    <t>del Rio, Pedro</t>
  </si>
  <si>
    <t>Pedro del Rio</t>
  </si>
  <si>
    <t>nder.... 300 2203 D. Ignacio Beltran Doria.................................. Barcelona,... 300 1086 D. Pedro del Rio............................................. . Madrid........ 300 1877 D. Joaquín Saldueña......................................... Zaragoza..,.. 1000 1007 D. Josef Martin Herrera</t>
  </si>
  <si>
    <t>...... 600 1044 D. Andrés de Villalobos.................................... Madrid........ 300 1090 D. Pedro del Rio............................ ................... Madrid........ 2CO 771 D. Casimiro Antón Monten.............................. Madrid..... . 3°° 2015 Doña María Magdalena Sánchez..</t>
  </si>
  <si>
    <t>... _ Bilbáo. 300 •' 14 D. Pedro de Azaguinotaza..».!....................... Zaragoza...;! 600 1088 D. Pedro del Rio................. ........................... Madrid.; 300 1093 D.- Francisco Xavier de Balmís...Madrid.,....! 5000 2196 D. Manuel ’Diaz Ohabanera; ......:...!.. fcbrdña; !».. i.;</t>
  </si>
  <si>
    <t>ánchez Corchero, por una vez 640 rs. D. Ignacio Campesino, 6 meses á 60 rs. durante la guerra, 360. D. Pedro del Rio, hacendado, un vale de 600 pesos por una vez, y 3 7 2 rs. por agosto á 12 rs. diarios durante la guerra, 9514 y 10 mrs. La duquesa viuda del Infantado 1© rs. vn. mensuales durante</t>
  </si>
  <si>
    <t>......... 2 El conde de Polentinos........................ 2 D. Manuel de Yuste.................. 4 D. Pedro del Rio................................ 1 El marques de Casa-Pontejos............. 5 El conde de Valdeparaiso................... 1 X x D. Félix García, párroco de la viila de Mejorada....</t>
  </si>
  <si>
    <t>del Rio-Murga, Domingo</t>
  </si>
  <si>
    <t>Domingo del Rio-Murga</t>
  </si>
  <si>
    <t>ro de la citada real orden de Cárlos ni, y regidor honorario del nominado ilustrísimo ayuntamiento; D. Domingo del Rio-Murga y D. Agustín Ortiz, prebendados de dicha santa primada iglesia ; D. Manuel Santiago López, capellán de la expresada de señores Reyes.nuevos; Fr. Marcos Ramírez, prior del convento de</t>
  </si>
  <si>
    <t>del Rosario Alarcon, María</t>
  </si>
  <si>
    <t>María del Rosario Alarcon</t>
  </si>
  <si>
    <t>Doña María Ricarte 2. Día 27. D. Manuel González Peral 2 camisas. Una señora viuda de un militar 2. Doña María del Rosario Alarcon 2. D. Diego Alarcon 4. Doña María Teresa Fernandez Delgado 3. Doña Agustina Martin 2. Doña Teresa López 2. Doña Angela Ugena una. D. Antonio Fabeyrae 6. Dia 28. Doña Angela Taulau</t>
  </si>
  <si>
    <t>del Rosario Barcia y Camacho, María</t>
  </si>
  <si>
    <t>María del Rosario Barcia y Camacho</t>
  </si>
  <si>
    <t>... ifoo 66) D. Manuel Cuevas.......................................... ... Madrid....... 1500 2000 Doña María del Rosario Barcia y Camacho ,.. Zaragoza..... 300 336 Doña María de Jesús Perez.................... .... ... Cádiz.......... 300 19^3 Sres. D. Josef Francisco Mornau............. ... Zaragoza..... 000 *97 2</t>
  </si>
  <si>
    <t>del Solar Campero, Manuel</t>
  </si>
  <si>
    <t>Manuel del Solar Campero</t>
  </si>
  <si>
    <t>empleo de comandante del batallón de montería provincial: de Oaxaca, en el reino de Nueva-España, á D. Manuel del Solar Campero, capitán de granaderos del propio cuerpo; y agregación de coronel al regimiento de infantería real de Lima á D. Francisco Gil de; Tabeadacapitán dé fragata de la real armada: FABR</t>
  </si>
  <si>
    <t>del Sorribo, Fernando</t>
  </si>
  <si>
    <t>Fernando del Sorribo</t>
  </si>
  <si>
    <t>in. D. Francisco Xavier de Eli— pe, id. D. Tomas Busto González id. D. Antonio Rubio, de S. Isidro. D. Fernando del Sorribo, diputado de S. Cayetano. D. Inocencio Pastrana, coadjutor del Caballero de Gracia. D. Sebastian de Haegui, secretario de la de S. Andrés. D. Fermín del Rio, diputado de la Comadr</t>
  </si>
  <si>
    <t>del Valle, Domingo</t>
  </si>
  <si>
    <t>Domingo del Valle</t>
  </si>
  <si>
    <t>. N. , id..................................................................................... 120. D. Domingo del Valle, id.......... ......................... .......................... 240. Pedro Blasón, id.............................................................................. 16©. Cayetan</t>
  </si>
  <si>
    <t>diputado dé S. Francisco. D. Lúeas Escolar, secretario. D. Pedro Roque Cobo, diputado $le S- Justo. D. Domingo del Valle, secretario de dich;í. D Juan Bautista Nieto, diputado de id. Dan Lázaro Sanz, alcalde. D. Francisco Criado, diputado id. D. Andrés Beni— tez , eclesiástico, del barrio del Ave Ma</t>
  </si>
  <si>
    <t>del Valle, Nicolás</t>
  </si>
  <si>
    <t>Nicolás del Valle</t>
  </si>
  <si>
    <t>or agosto................................................................ ................... I JO. D. Nicolás del Valle, 40 id. por 3 meses............................ 120. Josef Rqdriguez, 10 id. por agosto...................... ....................... IO. D. Higinio Antonio Lorente, médico honora</t>
  </si>
  <si>
    <t>Delambre</t>
  </si>
  <si>
    <t>correspondía, y que por lo tanto solo se presentaba un resúmen abreviado de su informe. En seguida Mr. Delambre , uno de ios secretarios de la clase, leyó la relación de los progresos de las ciencias matemáticas en el periodo señalado , y Mr. Cuvier, otro de ios secretarios, leyó la descrip</t>
  </si>
  <si>
    <t>, gran maestre de la universidad; canciller de ella á Mr. Vil laret, obispo de Cassal, y tesorero á Mr. Delambre* secretario perpetuo de la primera clase del iistituto. La sociedad filantrópica ha publicado una relacio 1 de sus taréis durante el año de 1807. Resulta de ellas que en dicho año</t>
  </si>
  <si>
    <t>Delesseps</t>
  </si>
  <si>
    <t>orna que quieran hacer esta clase de especulación, baxo las leyes y reglas que rigen en la materia. Mr. Delesseps, cónsul: d e Francia en; áquélla ciudad , ha comunicado el decreto al comercio de la misma. . j 1 - Francia. . Burdeos 7 dé abril.■ - S. M. el Emperador salió de S. Gloud el día 2</t>
  </si>
  <si>
    <t>Delgado, Juan Antonio</t>
  </si>
  <si>
    <t>Juan Antonio Delgado</t>
  </si>
  <si>
    <t>Rufino González. También ha nombrado S. M. para la vara de alcalde mayor de la villa de Fregenal á D. Juan Antonio Delgado; y para el corregimiento de capa y espada de la ciudad de León á D. Mariano Cabañas. Habiendo cesado la comisión gubernativa de consolidación en sus funciones, deben en su consecu</t>
  </si>
  <si>
    <t>Dembouski</t>
  </si>
  <si>
    <t>nde va con una comisión particular. REINO DE ITALIA. Lossini 17 de junio. La llegada del comandante Mr. Dembouski á esta isla, encargado de organizar la defensa de nuestras costas, ha causado la mas viva alegría en los habitantes, quienes en adelante estarán ya libres de las piraterías de los</t>
  </si>
  <si>
    <t>Demetrio O-Dáli</t>
  </si>
  <si>
    <t>; esta resalta al segundó ayudante D. ¡Matías Vfentqi*a; el empleó' dé segundo ayudante al teniente D. Demetrio O-Dáli ; y tenencia' al subteniente D. Manuel Rotaeta. Asimismo ha promovido S. M. á subteniente de. pandera en el regimiento de infantería de Zaragoza al cadete D. Antonio Sopranis. j S</t>
  </si>
  <si>
    <t>Dencel, Domingo</t>
  </si>
  <si>
    <t>Domingo Dencel</t>
  </si>
  <si>
    <t>rid........ 300 3545 D. Pedro Manuel de Lariz........ ............ ...... . Bilbao......... 300 355 D. Domingo Dencel........................................ .... Cádiz.......... 300 J052 D. Francisco García de Trevilla....... ............. * Madrid .....i.* 500 *2339 D. Pedro Ricarde............</t>
  </si>
  <si>
    <t>Denia, Manuel Antonio</t>
  </si>
  <si>
    <t>Manuel Antonio Denia</t>
  </si>
  <si>
    <t>Valladolid, que este dexa, á D. Josef de Vargas Vaca; y para el corregimiento de letras de Borja á D. Manuel Antonio Denia. ! En América. En el regimiento de infantería provincial de Valladolid en Nueva-España se ha servido el Reí promover á capitán de granaderos at de fusileros D. Ignacio Contreras;</t>
  </si>
  <si>
    <t>DePpoldd</t>
  </si>
  <si>
    <t>n».whv&gt;^.‘.v»í¿• «i,*,&lt;.• 1.»í*í"»í.'Mídníí &lt;i• •&gt;.• i 3^® ¿41 D. Gorvea.^—/Zaragoza/..;.» 5©o 2101 D, DePpoldd/de ,S. Vicente, y GodoyCoruña .;...... 300 787 D.• JuanMá*ueLd.e Gandauqui.............. /Madrid$Q$ 2j£o D- Jdsef Arias Carvajal................... ....... 3°® D*. 1VÍ at 1 a|¡t!S</t>
  </si>
  <si>
    <t>Deschamps</t>
  </si>
  <si>
    <t>enador Mr. Harville, su escudero de honor, de Mr. de Beaumont, su gentilhombre , y de su secretario Mr. Deschamps. Se han recibido noticias de la Martinica cok fecha de 13 de febrero: la colonia gozaba de la mayor tranquilidad y sosiego. En el territorio de Tremont, departamento del Mosa, se</t>
  </si>
  <si>
    <t>Desmolands</t>
  </si>
  <si>
    <t>de la mañana salió de la rada de Dantzick el corsario francés el Tilsit, de 12 cañones, mandado por Mr. Desmolands. En el mismo día encontró 7 barcos mercantes á 3 leguas del puerto de Piilau; y después de haberlos, registrado los apresó, como procedentes de Gothenourgo con cargamentos que tra</t>
  </si>
  <si>
    <t>Despallieres</t>
  </si>
  <si>
    <t>12 de diciembre de 1808</t>
  </si>
  <si>
    <t>Madrid 152</t>
  </si>
  <si>
    <t>presentar á jurar los diputados al cuerpo legislativo, nombrados después de la sesión del año 1807. Mr. Despallieres pasó la lista nominal de estos diputados, y cada uno de ellos fue á prestar el juramento al pie del trono. Concluido este acto habló S. M. así: Señores diputados de los departamen</t>
  </si>
  <si>
    <t>Después</t>
  </si>
  <si>
    <t>los muertos, heridos y extraviados. I ; ‘‘ &lt;f , Tengo el honor dé ser 8cc. = Arthuro Velléslei. = P.D. Después de escrita la anterior me han dado parte de que un oficial general fránces, que se supone ser el general Thebaul, gefe del estado mayor, ha sido encontrado muerto en el campo de batall</t>
  </si>
  <si>
    <t>Destroe</t>
  </si>
  <si>
    <t>nformé á este convenio las tropas francesas evacuarán nuestro país. S. A. S. ha regalado al general Mr. Destroe» que manda en Rostock , una eaxa guarnecida de diamantes , y ademas le ha escrito una carta mui lisonjera. Los 1900 hombres que S. A. ha de dar á la confederácion del Rin deben co</t>
  </si>
  <si>
    <t>DflíF, Diego</t>
  </si>
  <si>
    <t>Diego DflíF</t>
  </si>
  <si>
    <t>Sevilla 26</t>
  </si>
  <si>
    <t>rbeta Menorca, inglesas.» con un millón de ptS ’S para ia Andalucía. En la misma fragata ha llegado D. Diego DflíF 9 enviado de S. M. británica cerca de la Suprema Junta de Sevilla. Se espera ademas de los puertos de Inglaterra ua gran convoy con 1 hombres de desembarco, cánones , fusiles , bo</t>
  </si>
  <si>
    <t>Díaz Bravo, Francisco</t>
  </si>
  <si>
    <t>Francisco Díaz Bravo</t>
  </si>
  <si>
    <t>acion del Salvador de la lía'de Madrid t apará da p^-iméhr'de 5as dói raciudad; y para la segunda á D. Francisco Diaz Bravo, vicario de la parroquia de S. Juan de la misma: paráJ el ^beneficio simple de S. Pelayo de Gallegos, en la diócesi de Oviedo, yacarure.porfallecimiento de D. Pedro BeTiito Sierra</t>
  </si>
  <si>
    <t>Díaz de Avecillas, Juan Manuel</t>
  </si>
  <si>
    <t>Juan Manuel Díaz de Avecillas</t>
  </si>
  <si>
    <t>aciones en la catedral de Cuenca del Perú , se ha servido el Reí nombrar para la primera canongía á D. Juan Manuel Diaz de Avecillas , y para la ración que este dexa á D. Josef de Granda, cura en la misma diócesi: para la segunda canongía á D. Mauricio Salazar, y para la ración de este á Don Tomas Borrero Ponto</t>
  </si>
  <si>
    <t>Díaz de Ribera, Gonzalo</t>
  </si>
  <si>
    <t>Gonzalo Díaz de Ribera</t>
  </si>
  <si>
    <t>ado, por agosto á 24 rs. cada mes.............................................. ............... 24. D. Gonzalo Díaz de Ribera, por agosto á 30 rs. mensuales...... 30. D. Tosef Sánchez, 10 rs. cada mes............i......... ............... . IO D. Lorenzo Menendez, dorador, por agosto á real diario.......</t>
  </si>
  <si>
    <t>Díaz de Tuna, Fernando</t>
  </si>
  <si>
    <t>Fernando Díaz de Tuna</t>
  </si>
  <si>
    <t>de capitán, D. Juan Eustaquio de Lazcanó ; y en el de Burgos regencia al-subteniente de granaderos D. Fernando Diaz de Tuna, y subtenencia de bandera aí ca^* dete D. Félix Ferrer. . ■ S. M. se ha servido conceder en el regimiento de infantería de voluntarios de Castilla tenencia al subteniente de grana</t>
  </si>
  <si>
    <t>Díaz del Rio, Manuel</t>
  </si>
  <si>
    <t>Manuel Díaz del Rio</t>
  </si>
  <si>
    <t>D. Fr. Pascual Belfo, abad c'et real monasterio de nuestra señora de la Oliva; D. Miguel Escudero, D. Manuel Díaz del Rio, diputados; D. Manuel de Lejalde, D. Francisco Ibañez y D. Alexandro Dolarea y Nieva, síndicos consultores , y puestos en pie y descubiertos, á presencia de los señores alcalde y</t>
  </si>
  <si>
    <t>Díaz del Valle, Domingo</t>
  </si>
  <si>
    <t>Domingo Díaz del Valle</t>
  </si>
  <si>
    <t>.......... . neo. D Antonio Elias Lozano, anualmente...................... ................. . 120. D. Domingo Diaz del Valle, un real diario, por un año......... 36$. . D. Vicente Fligaus, 2 id. por 2 meses......................................... 122. D. Francisco Amat , 4 id. por agosto....... .......</t>
  </si>
  <si>
    <t>Díaz Molina, Francisco</t>
  </si>
  <si>
    <t>Francisco Díaz Molina</t>
  </si>
  <si>
    <t>de Aicora, por una vez........................................ ............................... 240. D. Francisco Diaz Molina, abogado'de-1 colegio., id..'...i.... ;ioóo. D. Antonio de Castilla y Casasus, en vales reales, id............. 2264 2J. El Príncipe de Castelfranco , id..........................</t>
  </si>
  <si>
    <t>Díaz Noriega, Juan Antonio</t>
  </si>
  <si>
    <t>Juan Antonio Díaz Noriega</t>
  </si>
  <si>
    <t>705,712 rs. Quien quisiere hacer postura, acuda ante dicho séSor, por Ja esctibanía de provincia de D. Juan Antonio Díaz Noriega. &lt; Por providencia del Sr. O. Diego Gil Fernandez, alcalde de casa y corte, set ha mandado sacar á pública subasta, por término de 30 días contados desde el 23 dé diciembre último</t>
  </si>
  <si>
    <t>Diáz Nóriega, Juan Antonio</t>
  </si>
  <si>
    <t>Juan Antonio Diáz Nóriega</t>
  </si>
  <si>
    <t>quisiere hacer oosTura á dichas fincas, acuda ante dicho "señor, por lá cseribánía dé provincia de Don Juan Antonio Diáz Nóriega; previniéndose se admitirán con separación i las casái principales con la posesión del Corralón, con tal que lleguen a las tres quartas partes Je su tasa éri metálico , y si fuese</t>
  </si>
  <si>
    <t>o, por la audiencia del señor alcalde de corte D. Diego Gil Fernandez, y escribanía de provincia de D. Juan Antonio Diaz Noriega. .. , . . ,, , Para el remate de una casa sita en esta corte en I3 calle del Ave Mana, esquina á la de S. Carlos, níim. I, man?. 39, retasada en I 29179 «-.8 mrs., por da (j.-te J</t>
  </si>
  <si>
    <t>rs., y se remató por la audiencia del señor alcalde de corte D. Diego Gil Fernandez y escribanía de D. Juan Antonio Diaz Noriega en 704200 rs. en vales, y de ellos $ o® en metálico. ‘ avisos. ;; : ' ' ¡ : ■&gt; Habiéndose aprobado por el real consejo de -las Ordenes el remate; celebrado ¡en esta corte de los fru</t>
  </si>
  <si>
    <t>ha servido señalar el dia 27 del corriente, á las 11 de su mañana, en la escribanía de provincia de D. Juan Antonio Diaz Noriega, para el remate del arrendamiento de una hacienda raíz, con su casa-palacio, situada en el despoblado de Vilches, inmediato á la villa de Arganda del Rei, con- sus paneras, cocede</t>
  </si>
  <si>
    <t>Díaz Norieua, Juan Antonio</t>
  </si>
  <si>
    <t>Juan Antonio Díaz Norieua</t>
  </si>
  <si>
    <t>eda metálica. Quien quisiere hacer postura, acuda ante dicho señor por la escubanta de provincia de D. Juan Antonio Díaz Norieua. ü i. . AVISOS. Por el correo de Tarazona, en Aragón, del 25 de setiembre último se extraviaron 4 vales reales de 150 pesos de ¡a creación de setiembre, núms. 145009, 165231, i66?</t>
  </si>
  <si>
    <t>Díaz Npr, Juan Antonio</t>
  </si>
  <si>
    <t>Juan Antonio Díaz Npr</t>
  </si>
  <si>
    <t>mo, en la audiencia del señor alcálÓe dé corte T&gt;. Diego GilFernandez, y escribanía de provincia;de D. Juan Antonio Díaz Npr riega,, está señalado el remate de imá casá'sita eá c^ta corte; en la cálle de S. Mien vates. • ■' , guel, niun. 161 man?. 296 tasada en 9981$ rs. Dan por ella la misma cantidad -</t>
  </si>
  <si>
    <t>Díaz Palacios, Pedro</t>
  </si>
  <si>
    <t>Pedro Díaz Palacios</t>
  </si>
  <si>
    <t>Rodríguez Iglesias, y no haber tenido efecto el nombramiento que tuvo á bien S. M. nacer para él en D. Pedro Díaz Palacios por decreto de n de enero próximo pasado, á D. Gerónimo Caballero, vicario de las iglesias de Algeciías.' ' ' - - f El Reí se ha servido promover a mariscales de campo de sus exér</t>
  </si>
  <si>
    <t>Díaz, Antonio</t>
  </si>
  <si>
    <t>Antonio Díaz</t>
  </si>
  <si>
    <t>te............. ................................... .................................. ............ D. Antonio Díaz, de la tesorería de sisas del vino, 20 rs. mensuales, por 2 meses................. .............................. ......... ....... . 40. Jos-ef Gutiérrez, 20 id. id..............</t>
  </si>
  <si>
    <t>Díaz, Joaquín</t>
  </si>
  <si>
    <t>Joaquín Díaz</t>
  </si>
  <si>
    <t>vales, lo executará por la escribanía que desempeña Juan Antonio"'de la* Fuente. Por providencia de D. Joaquín Díaz dél tloyo, subdelegado en el departamento de Xeréz dé la Frontera’en la diócesi de Sevilla, se ha señalado el día 26 del présente para el remate de una haza de 80 aranzadas de tierra</t>
  </si>
  <si>
    <t>Díaz, Juan Francisco</t>
  </si>
  <si>
    <t>Juan Francisco Díaz</t>
  </si>
  <si>
    <t>. Juan Narcdo y Riega, D. JósefMaría Santelices , D. Josef Matías Costa, Don Juan Domingo Allende , D. Juan Francisco Diaz , D. Angel Hubach ; á los subtenientes del cuerpo de patriotas; D. Miguel Mugra, D. Vicente Bordas, D. Juan Bautista Viton, D. Julián Corbera, D. Juan Pedro Macharen! , D. Roque L</t>
  </si>
  <si>
    <t>Díaz, Manuel</t>
  </si>
  <si>
    <t>Manuel Díaz</t>
  </si>
  <si>
    <t>onel D. Manuel de la Cruz, sargento mayor del mismo cuerpo; y la del de Sagunto al teniente coronel D. Manuel Díaz, sargento mayor del de dragones del Rei: compañías en el referido de Sagunto á los ayudantes D. Francisco Sepúlveaa y D. Antonio Cardos : empleo de alférez al portaguión D. Joaquí</t>
  </si>
  <si>
    <t>Dide</t>
  </si>
  <si>
    <t>numeroso convoi de velas dinamarquesas procedentes-de diferentes puertos ¡del mar de Alemania. . * Mr. Dide lo t, .ministro*de.Fj-ancia cerca de nuestra corte, ha venido aquí .desde.Kielí-' j ;j,i .¿'-‘ti-.&gt; i: .¡i :v El 17 llegó á esta ciudad Mr. Ríst, último, encargado de negocios de</t>
  </si>
  <si>
    <t>Die, Esteban</t>
  </si>
  <si>
    <t>Esteban Die</t>
  </si>
  <si>
    <t>licante...... 300 1579 Doña Modesta Antonia de Bringas................... Bilbao.......... 30a 1836 D. Esteban Die..................................................... Zaragoza..... 500 2134 D. Pedro Laño...................................................... Zaragoza..... 3°o 1874 D. Fernando</t>
  </si>
  <si>
    <t>Diego Blas</t>
  </si>
  <si>
    <t>misas. D. Clemente Reguero 6.' D. T. A. O. 28 varas de lienzo. La Alcaldesa de la cárcel de la Co? D. Diego Blas una camisa, £ vendas roña 4. ¿J con cabezales.</t>
  </si>
  <si>
    <t>Diego-Gil</t>
  </si>
  <si>
    <t>subteniente de bandera á D. Ramón Fernandez. , i‘ - .. VENTAS JUDICIALES. i; Por el juzgado del Sr. D. Diego-Gil,Fernandez, alcalde d^: casa .y corte, y e$r. ^ribattíp &gt;de provincia de^D. ¿Juan Ajntqn joDiaz Noriega, se.hiitirii»andado publicar por io días mas Varias lincas en'1 la villa y t</t>
  </si>
  <si>
    <t>Díer, Tomás</t>
  </si>
  <si>
    <t>Tomás Díer</t>
  </si>
  <si>
    <t>ia se acopian y almacenan gran* des provisiones de granos. GRAN BRETAÑA. i. Londres 7 de setiembre. Sir Tomas Díer partió el domingo último para Oviedo, llevando un retrato del Reí, que S. *M. envía á la junta deAstúrías, y una caxa de oro guarnecida de diamantes, que regala S. M. al president</t>
  </si>
  <si>
    <t>Dieste, Francisco</t>
  </si>
  <si>
    <t>Francisco Dieste</t>
  </si>
  <si>
    <t>capitán en el regimiento’ fíxo de Ceuta: al teniente de granaderos del mismo, graduado de capitán , D. Francisco Dieste: en el de suizos de Préux á teniente de granaderos al de fusilero# D. Josefi Bons, y á temientes.de fusileros á lo# subtenientes de granaderós* D. Agustín Bay y D. Juan Francisco</t>
  </si>
  <si>
    <t>Diez Grijalva, Manuel</t>
  </si>
  <si>
    <t>Manuel Diez Grijalva</t>
  </si>
  <si>
    <t>. M., por una vez. 54®. D. Andrés Ortiz, agente de negocios, por ahora....................... 1200. D. Manuel Diez Grijalva, por una vez......................3°°* ■4 3X Benito Loarte, registrador de sisas, poruña vez...........c..v.. ido. 1 D. Tomas Sanz de Ibarrola, archivero del duque de Ábran tes ?</t>
  </si>
  <si>
    <t>Diez Madróñero</t>
  </si>
  <si>
    <t>su partido , territorio de la orden de ,Alcántara,,al teniente ebrohel D. Gato ¡Diez Madróñero, teniente de Rei de la plaza de Peñíscola. J ‘ 11 El Reí ha nombrado á D. Ramón Macía de Lleopart pafa lavara de a Ir calde mayor mas moderna de la ciudad de Valencia; para la de Ecijá-, qu</t>
  </si>
  <si>
    <t>Diez, Antonio</t>
  </si>
  <si>
    <t>Antonio Diez</t>
  </si>
  <si>
    <t>... loco. D. Agustín Quaresma, id............... .......................... ....... ........ 500. í D. Antonio Diez de lá Mata, id......... ..................... ................ 60# D.'Ptdro-deZavala, oficial de una escribanía de cámara del -Consejo, id............... ................. ..........</t>
  </si>
  <si>
    <t>Diez, Gerónimo Antonio</t>
  </si>
  <si>
    <t>Gerónimo Antonio Diez</t>
  </si>
  <si>
    <t>acho-de.Jos negocios .tocantesá las provincias del territorio de la chancillería de Granada: el.Sr. D. Gerónimo Antonio Diez de los de las provincias de Ja corona de Aragón; y el.Sr. D. Nicolás de Sierra de los de las provincias del territorio de la chancillería de Valladolid. v Adas* ip y media: de la mañana del sáb</t>
  </si>
  <si>
    <t>Diez, Juan</t>
  </si>
  <si>
    <t>Juan Diez</t>
  </si>
  <si>
    <t>nta de gobierno, tres vales reales , dos de ellos pertenecientes á D. Josef Marmol?jo, y .el otro á D. Juan Diez ..de la Cortina. Estos sugetos , cuya ,•residenciase ignora podrán,acu ¡ir á dicho Sr. Presidente, expresando los números, valores y creación de dichos vales, y legitimación Je su</t>
  </si>
  <si>
    <t>Diez, Julián Cayetano</t>
  </si>
  <si>
    <t>Julián Cayetano Diez</t>
  </si>
  <si>
    <t>24 Rs. Mrs. D. Julián Cayetano Diez , dependiente de b condesa deCastroponce, mensual meare ........ ¿v..... ..... .................... ........... 20. D. Juan Faura, mensuahnente............................ .......</t>
  </si>
  <si>
    <t>Diez, Pablo</t>
  </si>
  <si>
    <t>Pablo Diez</t>
  </si>
  <si>
    <t>timo se remitió un vale de 300 pesos, creación de setiembre, con el núm. 44929, renovado á favor de D. Pablo Diez, en-? dosado á D. Manuel Marco y Carnicer, vecino de Borja; y habiéndose extraviado, se suplica á quien sepa su paradero se sirva entregarlo en dicha ciudad al referido Marco, ó e</t>
  </si>
  <si>
    <t>Diez, Sebastián</t>
  </si>
  <si>
    <t>Sebastián Diez</t>
  </si>
  <si>
    <t>............ 120. D. Felipe Ortega Gijon, id.............. ................................. . 120. D. Sebastian Diez , en intereses de vales reales, id.......... . 180 17. D. Juan de Dios Ortiz, id............ ................................... ............ 60. D. Juan Manuel Chamorro, 50XS. me</t>
  </si>
  <si>
    <t>Dilhét</t>
  </si>
  <si>
    <t>822 los Hiñeses» Mr. Dilhét se asocio desde luego con los franceses, cuya lengua tuvo que aprender; y si no pudo satisfacer los deseos dél ge fe de los Pow’otamis, que le había suplicado viniese á su país, q</t>
  </si>
  <si>
    <t>Dilnet</t>
  </si>
  <si>
    <t>abitantes; pero todos lo? veranos pasan á ella con el fin de traficar muchos mercaderes y salvages. Mr. Dilnet dexó este país, persuadido de que si se pudiese enviar á él un sacerdote que 'tuviese allí su residencia fixa, haria mucho bien, y que los cristianos que instruiría esparcirían luego</t>
  </si>
  <si>
    <t>Dionísia Gutiérrez</t>
  </si>
  <si>
    <t>ias de Corps, id........:.......}................................. i........................ . 300. Doña Dionísia Gutiérrez, sirviente, id....... ................................. 40. D. Josef Miguel Ramírez, id............ ...... ........ ............................ 60» D. M. R. C. i íd..............</t>
  </si>
  <si>
    <t>Diosdado, Bernardo</t>
  </si>
  <si>
    <t>Bernardo Diosdado</t>
  </si>
  <si>
    <t>e D. Diego Gil Fernandez, barrio de los Angeles, plazuela de Moriana y Descalzas Reales. El regidor D. Bernardo Diosdado, Carmen calzado , S. Luis y niñas de Xeganés. Quartel de S. Gerónimo. El alcalde D. Mariano Alonso hará la de los barrios de Buen-Suceso, Baronesas y Pinto. El regidor D. Nicolás</t>
  </si>
  <si>
    <t>Diputado Españoles</t>
  </si>
  <si>
    <t>Sevilla 36 (extraord.)</t>
  </si>
  <si>
    <t>PDF p. 5</t>
  </si>
  <si>
    <t>gal."Por la eterna amistad y unión entre España é Inglaterra.=s?Por SS. ES. los Diputados Españoles, y feliz éxito á sus esfuerzos. =Pbr Keats y suesquadra, libertadora» de las tropas españolas. ==rP»&gt;r lax Romana y sus- intrépidos so!dados.=rPor Wellesley y</t>
  </si>
  <si>
    <t>Diratigo, Vicente</t>
  </si>
  <si>
    <t>Vicente Diratigo</t>
  </si>
  <si>
    <t>María Damiana de Otaolá 6 Doña Francisca Arroteta, su criada. Doña Nicolasa Perez de Castro 2, una. D. Vicente Diratigo 3. D. Francisco Torres 4. D. Benito García Perez de Castro D. Severo Andrés García 2.’ una. La viuda de D. Josef de la Dehesa €. D Juan Mazarron 2 usadas. D. Juan Aceto 2. Doña Fr</t>
  </si>
  <si>
    <t>director Fr</t>
  </si>
  <si>
    <t>illa de la V. O. T. Quien le hubiese perdido, acudirá con las señas al P. Mtro. director Fr. Pedro Romero. Quien hubiese perdido 2 llavecitas atadas con una cinta, que se encontraron enf la calle del Carmen el viernes 29 del presente mes, acudirá á re</t>
  </si>
  <si>
    <t>director Mr</t>
  </si>
  <si>
    <t>dé Lcdi y de. otros muchos. persoqage^ de la c?sa'rqal. ,$S. rnanifescqron .al director Mr. Mauj^edini ,y .Jiermpsas';que ha</t>
  </si>
  <si>
    <t>Disiier, Henrique</t>
  </si>
  <si>
    <t>Henrique Disiier</t>
  </si>
  <si>
    <t>..... Bilbao.......... 1070 D. Ignacio de Aguirre y Castellanos............. Madrid....... 3°° 1446 D. Henrique Disiier........................ . Málaga....... 300 1221 D. Francisco Narzagaray........ . Bilbao,.;...... 3°° 536 D. Félix Bustilío................ ............................ oeo 2419</t>
  </si>
  <si>
    <t>Divaux</t>
  </si>
  <si>
    <t>a la muerte de Carlos' ir. £1 prólogo es de lord Hoiland, sobri no de Mr. Fox, y editor de la obra. Mr. Divaux acaba de inventar una máquina para determinar tas longitudes en el mar, que al mismo tiempo señala tas latitudes y mide el espacio corrido por la embarcación.-Se dice que esta nue</t>
  </si>
  <si>
    <t>Diz, Francisco Antonio</t>
  </si>
  <si>
    <t>Francisco Antonio Diz</t>
  </si>
  <si>
    <t>........... Madrid........ "500 1527 7 Miera......&gt;........................ Bilbao......... 300 633 D. Francisco Antonio Diz. Madrid....... 500 529 pe de Mazazuda............................................. Bilbao........ IOOO 1444 p. Pedro Lomo............................................ Málaga.......</t>
  </si>
  <si>
    <t>Doblado, Juan de Dios</t>
  </si>
  <si>
    <t>Juan de Dios Doblado</t>
  </si>
  <si>
    <t>a oda, aclarando su sentido con notas que; manifiestan lo que puede tener de obscuro el texto-, por D. Juan de Dios Doblado, receptor de la santa Cruzada. Se hallará en la imprenta de Ruiz, calle de San. Pedro, y en las librerías de Bengoechea y Barco, calle de las Carretas. Tercera edición de los Colo</t>
  </si>
  <si>
    <t>Dohm</t>
  </si>
  <si>
    <t>e Scheele, caballerizo mayor de la Reina, á Mr. Yoltrad, ministro que fue de estado de Brünsvick, a Mr. Dohm, presidente de la administración de bienes reales en Heiligenstadt, al barón de Bulow , presidente del tribunal administrativo en Magdeburgo, al barón de Vitz.eben, • montero mayo</t>
  </si>
  <si>
    <t>Doinenech, Ramón</t>
  </si>
  <si>
    <t>Ramón Doinenech</t>
  </si>
  <si>
    <t>r en el regimiento de infantería de Africa compañía al teniente de granaderos,^graduado de capitán, D. Ramón Doinenech: en el de Valencia tenencia al subteniente de granaderos D. Andrés Sánchez; y en el de Navarra tenencia al subteniente de granaderos Don Ignacio Gueróla , y subtenencias de bander</t>
  </si>
  <si>
    <t>Doir Sebastián de Piñuela</t>
  </si>
  <si>
    <t>adrid y su partido. „Hago saber que por real orden comunicada por el Excmo. Sr. Doir Sebastian dé Piñuela, secretario de Estado y del despacho universal de Gracia y Justicia, al consejo supremo de Castilla, con fecha de ayer, y acordado su complimiento por dicho tribunal en este dia , se previene</t>
  </si>
  <si>
    <t>Dolores Rodríguez San, María</t>
  </si>
  <si>
    <t>María Dolores Rodríguez San</t>
  </si>
  <si>
    <t>at 2 y 2 pares de cal* D. Juan Manuel de Náxera, del concetas. se jo, 67varas y 3 guarías de lieii^ Doña María Dolores Rodríguez San «o. Vicente 6 camisas y 2 pares de eaU D. Josef Izquierdo un par de medía* cetas. ’ de seda. La Sra. Doña N. F. 6 camisas y 4 D. Silvestre Abad de Aparicio 15 capares de calcetas.</t>
  </si>
  <si>
    <t>Dolores, María</t>
  </si>
  <si>
    <t>María Dolores</t>
  </si>
  <si>
    <t>SiÍlXiQ* MIMM 190 205 D. Josef Adalid.» del comercio........ ............ Alicante. .**. r jOO 2043 Doña María Dolores del. Valle. Cádiz, i?» 1544 Sres. Gonzalo del Rio, hermanos........ . Bilbao......,*. : 5:°° 2114 D. Josef Martínez Unamuzaga......... Zaragoza...;. 59O 526 D, Joaquin de Uria y Xaqui</t>
  </si>
  <si>
    <t>Dolz, Miguel</t>
  </si>
  <si>
    <t>Miguel Dolz</t>
  </si>
  <si>
    <t>.... Madrid........ 3°o 2430 Sres. D. Pedro Badeigt y compañía............. Cádiz......... 300 3815 D. Miguel Dolz.............v..........Zaragoza...» I oeo 2130 Doña MSiríá Prado de Aparici.............'......... Zaragoza..... neo 2087 D. Marcelino Lom.........................../...... . Cádi</t>
  </si>
  <si>
    <t>se halla establecida en la calle del Caballero de Gracia, núm. 9^ quarto 2.0, baxo la dirección de D. Miguel Dolz, profesor de matemáticas, se presentaron á examen público en ja sala de actos del convento de Sto. Tomas ; en el qual dieron una prueba' de su aplicación , respondiendo á quantas</t>
  </si>
  <si>
    <t>Domenech, Francisco</t>
  </si>
  <si>
    <t>Francisco Domenech</t>
  </si>
  <si>
    <t>uanto se ha executado por el gobierno intru' Hela, so en estos reinos, así por la violencia con que D. Francisco Domenech. en todo se ha procedido, como por falta de D. Miguel Alfonso Villa- autoridad legítima para disponerlo. Y para gomez. que conste á todos expídase la circular corresD. Vicente Duq</t>
  </si>
  <si>
    <t>Domi</t>
  </si>
  <si>
    <t>2 El conde de Haro............................ 4 D. Luis Zarate.................... ......i.. 2 l I D. Domi.igo Martínez, vecino de Alcalá de Henares.............r........ 2 Nota. No habiendo podido publicarse en esta gazeta algunas noticias interesantes, se darán mañana en un suplement</t>
  </si>
  <si>
    <t>Dominga López</t>
  </si>
  <si>
    <t>..... 300. F1 marques de Melgarejo, id...................................... ................. 500. Doña Dominga López, en un recibo, id.................................. . 396. Francisco Villoría, posadero, 20 rs. mensuales, por un año..... 240. D. Juan Bautista Tordesillas, presbítero, sacristán</t>
  </si>
  <si>
    <t>Domingo' Abrial</t>
  </si>
  <si>
    <t>..... * 500 3216 D. Miguel dé Lapiaza...................................... Bilbao........ 500 -421 D. Domingo' Abrial............... .....................Santander...*/ 500 850 D. Ildefonso Jo6ef-de Medina‘ Madrid./.;.../ 300 2248 D. Tomas Josef de Médiná Bilbao;;...... $oo 2a00 D. Antonio España</t>
  </si>
  <si>
    <t>Domingo-Burgués Agrado</t>
  </si>
  <si>
    <t>á D. Francisco Lanuza, ayudante segundo!, y;á los habilitados de ayudantes D. Julián de IaCendeja, D. Domingo-Burgués Agrado de subteniente de-milicias disciplinadas.. ; Af los capitanes dé poior ■ de £-citado¿ regí miento de- naturales Pablo- de ía Vega y Carlos Suarez', Mariano Escovar , Romualdo Salazar</t>
  </si>
  <si>
    <t>Domingo-Sainz de la Penay</t>
  </si>
  <si>
    <t>fabrica de tapia tes, por una vez;.;;......40. D—Ramon Saez de Santa María , por una vez.l.....éóo* D. Domingo-Sainz de la Penay del comercio de fierro, por una vez.................. ........ ........ ....................................... ............. . 300, D. Gregorio *Rutz* Cotorro, su mancebo, por una ve</t>
  </si>
  <si>
    <t>Domisila y Bernardina</t>
  </si>
  <si>
    <t>a por herederos del líquido de sus bienes raíces á sus sobrinos, hijos de D. Francisco, t&gt;. Manuel, Doña Domisila y Doña Bernardina, con las condiciones de ser pobres; é ignorándose el domicilió de los dichos, se avisa para que en el término de 3 meses, según previene la cláusula, comparezcan ante D. Josef de</t>
  </si>
  <si>
    <t>Donato Aríahz</t>
  </si>
  <si>
    <t>................... 3000. D. Antonio -Rodríguez de Amandi, por medio año...... ............... 182. D. Donato Aríahz, por medio año............. 120. D. Mam/el Gómez de Roxas , anualmente.......... .............. .......... neo. Nicolás de la Osa, 20 rs. mensuales, por 6 meses...................</t>
  </si>
  <si>
    <t>Donato González Cortés</t>
  </si>
  <si>
    <t>ceses que se hallaban en las bocas del Cáttaro, y hablan salido para la Palmada. Badajoz de agosto. Don Donato González Cortés ha escrito al Excmo. Sr. capitán general de este exército y provincia con fecha del 16 de agosto lo siguiente: . ,, El dia 26 de julio próximo pasado , habiendo sido comisionado p</t>
  </si>
  <si>
    <t>Donato González Cortes</t>
  </si>
  <si>
    <t>Sevilla 27</t>
  </si>
  <si>
    <t>escarmentado el enemigo , que después de $u entrada en Evora no intentó incomodarlo en su tránsito. D. Donato González Cortes 9 con fecha del ió de Agosto f d| parte al mismo Excmo. Sr. Capitán general de Extremadura de su misión á las Juntas de Coimbra y Oporto, y á los generales portugués 6 ingles , á</t>
  </si>
  <si>
    <t>Dorado, Gregorio</t>
  </si>
  <si>
    <t>Gregorio Dorado</t>
  </si>
  <si>
    <t>Antonio Rovillár, id. D. Francisco Perez y Velazquez, D. Gregorio Guerra Zorrilla, D. Josef Babea, D. Gregorio Dorado, diputación de las Descalzas. D. Benito Alfaya, diputado de S. Márcos. 35. Luis Bautró, diputado de S. Plácido. D. Pedro Rubio, director de los cinco gremios mayores. D. Vicente A</t>
  </si>
  <si>
    <t>Doria Panfíli, Cardenal</t>
  </si>
  <si>
    <t>Cardenal Doria Panfíli</t>
  </si>
  <si>
    <t>ar de S. S. á todos Jos Cardenales, que han recibido érden de salir de Roma. 99 S. S. ha mandado al Cardenal Doria Panfíli, su Secretario de estado, manifestar á V. Em. el dolor, que ha penetrado su corazón , al saber la órden que muchos miembros de! sacro Colegio han recibido del general francés, de</t>
  </si>
  <si>
    <t>Dorotea Eltin de Villaba</t>
  </si>
  <si>
    <t>bao.... 300 2405 D. Josef Barnuevo.............................................. Zaragoza 1 &gt;00 735 Doña Dorotea Eltin de Villaba........................ Madrid. 5co 2291 D. Blas Bascones................................................. Cádiz...... 3 00 745 D. Manuel Quevedo de Bustamante................ Mad</t>
  </si>
  <si>
    <t>Dorticos, Andrés</t>
  </si>
  <si>
    <t>Andrés Dorticos</t>
  </si>
  <si>
    <t>*v*■ J Cádiz..»»..» 300 '99 8 D. Francisco Ignacio deArrieta..........»».i»»» Madrid»»».. 50Ó 2í&gt;26 D. Andrés Dorticos.......................i.............i...... Zaragoza.».. 1500 . *r 7 / D. Juan Bautista Smith..»........ ......................... Bilbao...... . 300 l6l D. Mateo Martínez........</t>
  </si>
  <si>
    <t>Doz y Cornel, Juan</t>
  </si>
  <si>
    <t>Juan Doz y Cornel</t>
  </si>
  <si>
    <t>..... 300 15 D. Matías Marton............................................... Zaragoza..... 300 1132 D. Juan Doz y Cornel...................................... Zaragoza..... 300 1813 Doña Antonia Zarate y Murguía.................... Zaragoza..... 500 443 D. Josef de Escalante.........................</t>
  </si>
  <si>
    <t>Dpminjgb Fernández de Espina</t>
  </si>
  <si>
    <t>icente Joaqmn.O&amp;orio;de?. íií h : , i Ai 7 ^1 ... M^scbsM... ............ Madrrd\../.í. :i Soo 62 j D. Dpminjgb Fernandez de Espina......¡Madrid!.../.!. ,300 2293 Doña Ramona. AyUez..; Cádiz.,¿.„.i. 300 200 Sres, í^íovéHa padre é Mj,o ; Alicante...»,!. 1500 375 D., Jósef-Fr^yle.c&gt;.Cádiz.../....J. , qpo 10 B.,</t>
  </si>
  <si>
    <t>DqVicente Mena</t>
  </si>
  <si>
    <t>r/adslííóaóipp, brigadier de los reales exércitos, •y Icé mandante délas armas; DqVicente Mena , canónigo de esta santa ígle-sia primada *siy ¡vicario¿general interino ; D. Rafael Antón de la Encina , dignidad de chantre y canónigo de la santa iglesia de Sevilla, y.secretario de</t>
  </si>
  <si>
    <t>Druliet, Juan</t>
  </si>
  <si>
    <t>Juan Druliet</t>
  </si>
  <si>
    <t>id.................... 4°* / Los marqueses de Fuerte-Híjar, por agosto á. 1® rs. id...... 1000. / : D. Juan Druliet, soldado disperso, por agosto á 15 rs. id........ D. Antonio de Navas, dependiente de la real Lotería* por agostó á 10 rs. id..„.¿........... .....................................</t>
  </si>
  <si>
    <t>Duba</t>
  </si>
  <si>
    <t>. El comandante en gefe de Transüvania Mr. de Kollovrath y-el comandante de la Sirmia y del Bannato Mr. Duba han recibido. Instrucciones''del archiduque Carlos y poderes bastante extensos párá obrar según las circunstancias; El temor de un rompimiento con la Puerta se va disipando ya. La</t>
  </si>
  <si>
    <t>Dubelloi, Cardenal</t>
  </si>
  <si>
    <t>Cardenal Dubelloi</t>
  </si>
  <si>
    <t>port'am-latinam,no óbstante la obra que se está háciendo en ella de órdén y á expensas del Emo. Sr. Cardenal Dubelloi, arzobispo de París, y titular de la mencionada iglesia. ' En los dias r 5 y 16 del corriente pasaron por Nanci varios oficiales rU¿Sos con dirección á esta capital. El 18 pasó el</t>
  </si>
  <si>
    <t>Dublé y Urreta, Pedro</t>
  </si>
  <si>
    <t>Pedro Dublé y Urreta</t>
  </si>
  <si>
    <t>pal de la real compañía de Filipinas» por agosto á 120 rs. mensuales........................ . 120. D. Pedro Dublé y Urreta, corredor de cambios, mensualmente. 100. '' D. Josef María Costa, por agosto.............................. .................. 40. ; _ D. Josef Severino Urruela....................</t>
  </si>
  <si>
    <t>Dubois</t>
  </si>
  <si>
    <t>o de estado, prefecto del departamento del Sena, presidente perpetuo de la cámara de comercio; y de Mr. Dubois, consejero de estado vitalicio, prefecto de policía, encargado del tercer distrito de la policía general del imperio; de Mr. Vignon, oficial de la legión de Honor, presidente del</t>
  </si>
  <si>
    <t>perio, comandante de la legión de Honor , consejero de Estado, prefecto del departamento del, Sena;.Mr. Dubois, conde del imperio, comandante de la legión de Honor, consejero de Estado de por vida , encargado del tercer distrito de la policía general del imperio^, prefecto de policía del‘d</t>
  </si>
  <si>
    <t>Dubos</t>
  </si>
  <si>
    <t>S. A. I. el príncipe virei efe Italia está ya en Milán de vuelta del viage que ha hecho á Veneeia. Mr. Dubos, autor de muchas inscripciones, de, las,quales algunas coín- &gt; piten con las de Santeuil y de, Sanadon, propone para epitafio del monumento que va á erigirse de orden del Emperado</t>
  </si>
  <si>
    <t>artamento del Sena. Un piquete de caballería escoltaba las carrozas. Quando llegaron á la explanada Mr. Dubos, subprefecto del quarteí de S. Dionisio, y Mr. Lezier, maire del éómün de la Villette , éalieron á recibir al ministro de lo Interibr. Mr. Dubos, como interpreté y órgano de los s</t>
  </si>
  <si>
    <t>Dubosch, Juan</t>
  </si>
  <si>
    <t>Juan Dubosch</t>
  </si>
  <si>
    <t>Ntímero* JLotes dé las ea accioues. Nombres de los Interesados. Comisionados. Rs. vn. 135 D. Juan Dubosch................................................. Valencia...., 3QO 63 2 Exorna. Sra. Marquesa de Alcañices, Duquesa de Argete......................................................</t>
  </si>
  <si>
    <t>Duckvorth, Juan Tomás</t>
  </si>
  <si>
    <t>Juan Tomás Duckvorth</t>
  </si>
  <si>
    <t>en 500 guineas, que había resuelto regalarle. El tesorero habló al almirante en estos términos r »»Sir Juan Tomas Duckvorth, os felicito en nombre del lord corregidor, de los alaermen y de los demas vecinos de Londres * y os doi las gracias por el zelo y actividad can que habéis perseguido la escuadra</t>
  </si>
  <si>
    <t>Ducós, Luis</t>
  </si>
  <si>
    <t>Luis Ducós</t>
  </si>
  <si>
    <t>Francisco García de la Vega, del comercio, por medio año á 6 rs. diarios durante la guerra , 1095. D. Luis Ducós, presbítero, por agosto á 2 rs; diarios, por id. 62. D. Josef Casas, por agosto á 120 rs. mensuales, por id. 120. D. Benito Hernández Sonsola, por una vez 1100 rs. D. Luis Viana,</t>
  </si>
  <si>
    <t>Duff, Diego</t>
  </si>
  <si>
    <t>Diego Duff</t>
  </si>
  <si>
    <t>á la vel» : una fragata para Asturias Y y en breve la seguirán1 los demás baques qué' se alistan* f D. Diego Duff 9 que filé cóosuí/de Inglaterra eñ C4-; diz 9 tieoq órden de ir á Gibr altar- f‘uíileryar ÍWJdi^osfclH^;1; si es de los andaluces* No isé dudar Yjjüe sean las efe oiíos verdaderos</t>
  </si>
  <si>
    <t>DufF, Diego</t>
  </si>
  <si>
    <t>Diego DufF</t>
  </si>
  <si>
    <t>do por la junta suprema de Sevilla á este comercio para las actuales urgencias ,‘está ya realizado. Don Diego DufF ha venido en dicha fragata ; ayer saltó en tierra, y ha sido visitado de todo el pueblo con el afecto mas extraordinario : dice entre otras cosas que no se puede explicar el júbil</t>
  </si>
  <si>
    <t>DufFoo, Vicente</t>
  </si>
  <si>
    <t>Vicente DufFoo</t>
  </si>
  <si>
    <t>.... 300 37 D. Juan Casanovas................ ........... ........... ...... Barcelona.... 600 2303 D. Vicente DufFoo.......... .................................. Cádiz........... 300 761 D. Tomas García Prieto y compañía.............. Madrid....... 300 335 D. Valentin y D. Josef Segura, hermanos</t>
  </si>
  <si>
    <t>Dufoo, Francisco</t>
  </si>
  <si>
    <t>Francisco Dufoo</t>
  </si>
  <si>
    <t>or id. á 30 rs, id....... D. Benigno Mariano de Santos, por id. á 60 rs. id........................ D. Francisco Dufoo, ministro honorario de la junta de Comercio y Moneda, por id. á 200 rs. id.................................... . •: 200. v D. Fernando Manuel Perez de Santa Cruz, del comercio,. á</t>
  </si>
  <si>
    <t>Dugi, Francisco</t>
  </si>
  <si>
    <t>Francisco Dugi</t>
  </si>
  <si>
    <t>imer teniente al ayudante segundo D. Juan Antonio Granados ; á ayudante segundo al segundo teniente D. Francisco Dugi; á este empleo al subteniente D. Francisco de Matos, y á esta subtenencia aLcadete D. Josefde Fuentes: en el regimiento suizo de Preux á subtenientes de granaderos á los de fusile</t>
  </si>
  <si>
    <t>Duif</t>
  </si>
  <si>
    <t>das y zapatos. El navio Alfred, de 74,ha salido para Oporto con 1® soldados de marina y 2© fusiles. Mr. Duif marchó ayer tarde para Portsmouth, de donde debe hacerse</t>
  </si>
  <si>
    <t>Dujordain, Pablo</t>
  </si>
  <si>
    <t>Pablo Dujordain</t>
  </si>
  <si>
    <t>os....... 300 2152 D. Bernardo de ia Barrera........................... . Coruña........ : 300 1320 D. Pablo Dujordain......................................... . Valencia..... 300 1108 D. Francisco Hermoso Daza.......:.................. . Madrid....... . 300 2349 D. Vicente González...............</t>
  </si>
  <si>
    <t>Dujourdain, Pablo</t>
  </si>
  <si>
    <t>Pablo Dujourdain</t>
  </si>
  <si>
    <t>500 2141 D. Pedro del Barco..................... ....................... Coruña......... 3 00 2007 D. Pablo Dujourdain......................... ........ . Cádiz.......... 3°° 2096 D. Prudencio de Torres........................ ......... . Cádiz......... 2CO 1105 D. Juan Perez Bueno............ ...</t>
  </si>
  <si>
    <t>Dumont, Manuel</t>
  </si>
  <si>
    <t>Manuel Dumont</t>
  </si>
  <si>
    <t>por solas las 2 compañías de reales guardias Valonas, mandadas por su teniente el teniente coronel D. Manuel Dumont, acudiendo después á sostenerles 200 hombres de Soria; El énemígo intrépido se obstinó en apoderarse de las 2 citadas piezas ; peró; Süs 2 descargas á metralla, y la carga de los</t>
  </si>
  <si>
    <t>Duponf, General</t>
  </si>
  <si>
    <t>General Duponf</t>
  </si>
  <si>
    <t>ervación de la Gironda.=Imperio Francés, en el Quartel General de Andújar, 3. de Junio de i8o8.rrEl General Duponf, caballero del Aguila Grande de la legión de honor, comandante en Xefe del cuerpo de observación de la Gironda, al Sr. D’ Oubrii.nEstoy encargado por su A. I. y R. eí Gra» Duque d</t>
  </si>
  <si>
    <t>Dupont</t>
  </si>
  <si>
    <t>3 de julio de 1808</t>
  </si>
  <si>
    <t>Madrid 75</t>
  </si>
  <si>
    <t>e han mostrado algunos al público en laúltima exposición de los productos de la'industria nacional. Mr. Dupont, primer médico del hospital de Beaujon, prescribe el modo siguiente de servirse de la corteza del castaño como' un excelente febrífugo, de cuya eficacia bal muchas pruébas. ,, Quí</t>
  </si>
  <si>
    <t>el café. Este polvo tiene el olor y el color del café ordinario, es sano y mui grato en la bebida. Mr. Dupont, médico, ha publicado también la eficacia de los polvos de la corteza del castaño de Indias para suplir por la quina: otros han publicado sus recetas para sacar almíbar y azúcar d</t>
  </si>
  <si>
    <t>Dupont, General</t>
  </si>
  <si>
    <t>General Dupont</t>
  </si>
  <si>
    <t>s las obras necesarias para la defensa de aquel punto. Se nos ha manifestado copia de una carta del General Dupont al General D’Oubril, interceptada y entregada al Excmo. Sr. Capitán General de la Provincia, cuyo contenido es el siguiente. o &lt; Exército de observación de la Gironda.=Imperio Fra</t>
  </si>
  <si>
    <t>mas, y se les halló bastante plata, así. como á los soldados de. marina.. Sevilla 2 2. de Junto, El General Dupont, cuya siruacion delante de Córdoba era cada momento mas crítica, tentó evadirse por el camino de Extremadura. A este fin mandó reconocer los pasajes: y hallándolos intransitables,</t>
  </si>
  <si>
    <t>Oficial parlamentario pidiendo que manda al General la Pena suspender las hostilidades mientras el General Dupont conferencia con el General R.e«ling. Lo he negado. A pocos momentos recibo carta del mismo General Peña manifestando piden capitulación : no les concedo otra que de ser prisionero</t>
  </si>
  <si>
    <t>/os partes siguientes• Serenísimo Señor: Incluyo á V, A. la Capitulación original celebrada con el General Dupont, Grande Aguila do ia Legión de honor, General en Xefe del Cuerpo da observación de la Gironda, cuyo duplicado con iguales formalidades he remitido á Madrid con arreglo al artículo</t>
  </si>
  <si>
    <t>Duporrr, General</t>
  </si>
  <si>
    <t>General Duporrr</t>
  </si>
  <si>
    <t>avorable que lo que puede imaginarse. El día de ayer llegamos á las inmediaciones del físercito del General Duporrr; formadas en batalla las divisiones tercera y reserva del nuestro, empezaron á pasar las tropas francesas, causan-.</t>
  </si>
  <si>
    <t>Duque de Estrada, Vicente</t>
  </si>
  <si>
    <t>Vicente Duque de Estrada</t>
  </si>
  <si>
    <t>l mismo, acordó este en 9 del mismo.-,comisionar á sus ministros .los señores D. Andrés , Easauca y D. Vicente Duque de Estrada para recpriocer y,‘clasificar los servicios y ofertas que resultan de los alistamientos executados en esta corté,' y,para establecer el método, de, su realización y custodia. ; En</t>
  </si>
  <si>
    <t>Durango, Simón</t>
  </si>
  <si>
    <t>Simón Durango</t>
  </si>
  <si>
    <t>ri y Pósadillo. ^ ■* En Vahnda......... Sres. D. Francisco Peirolon y compañía. En Valladolid.,.... D. Simón Durango.</t>
  </si>
  <si>
    <t>Durant</t>
  </si>
  <si>
    <t>en vigor el código Napoleón. Stnttgard $ de abril. . Hoi .se ha presentado á nuestro Soberano S. E. Mr. Durant, ministro plenipotenciario del Emperador de los franceses, quien ha entregado á S. M. una carta de su augusto amo. El mismo dia ha tenido audiencia del Rei Mr. de Crumpipen, minis</t>
  </si>
  <si>
    <t>Duroc</t>
  </si>
  <si>
    <t>estimación particular que le profesa, le ha remitido por mano ae S. E. el gran mariscal de palacio Mr. Duroc una rica caxa, adornada de su retrato. - •' J_; Madrid 7 de jimio. Condescendiendo S. M. I. y R. con los deseos manifestados por la junta de Gobierno, por el consejo de Castilla,</t>
  </si>
  <si>
    <t>Duroc, Mariscal</t>
  </si>
  <si>
    <t>Mariscal Duroc</t>
  </si>
  <si>
    <t>ours el conde de Fernán-Nuñe*, embaxador ide España, con una carta de su Soberano para S. M. I.* El Mariscal Duroc; que iba en el primer cochease apeó para recibirla, y lá ptiso en 'manos de S. M., quien la leyó, y respondió que daría audiencia en la primera posta. Con esto el embaxador dexó-s</t>
  </si>
  <si>
    <t>D’Oubril, General</t>
  </si>
  <si>
    <t>General D’Oubril</t>
  </si>
  <si>
    <t>rias para la defensa de aquel punto. Se nos ha manifestado copia de una carta del General Dupont al General D’Oubril, interceptada y entregada al Excmo. Sr. Capitán General de la Provincia, cuyo contenido es el siguiente. o &lt; Exército de observación de la Gironda.=Imperio Francés, en el Quartel</t>
  </si>
  <si>
    <t>Eaubet, Juan</t>
  </si>
  <si>
    <t>Juan Eaubet</t>
  </si>
  <si>
    <t>s números que siguen, pertenecen á D+ Pedro Casamayor, desde su endoso de 15. de Julio á fa~ vor de Don Juan Eaubet^ lo que se advierte para que Cualquiera á cuyas manos llegue alguno de ellos^ se sirva de, retenerlos y dar parte, , Nl’llít. 8*4.^41. 231.109. 23,3.521. 234.843.035.325. 247.840.</t>
  </si>
  <si>
    <t>Echavarri, Antonio</t>
  </si>
  <si>
    <t>Antonio Echavarri</t>
  </si>
  <si>
    <t>ado de teniente coronel de milicias urbanas. A los tenientes de dichas milicias D. Juan de Viatica, D. Antonio Echavarri, D. Josef Rivas, D. Ramón Gorrondona, D. Juan Bastarte, D. Antonio Zavala , D. Francisco'Baldrich , D. Eugenio de Iturraga, Don Basilio Viola, D. Julián Viola , D. Juan Viola, D.</t>
  </si>
  <si>
    <t>Echavarría, Vicente</t>
  </si>
  <si>
    <t>Vicente Echavarría</t>
  </si>
  <si>
    <t>s estuvieron empleados. Asimismo ha concedido S. M. el empleo de comisario de guerra del exército á D. Vicente Echavarría , en. consideración,;á haber desempeñado este encargo con la mayor exactitud para atender en los gastos de artille?» ría, y haber proporcionado con su crédito crecidas sumas, Igua</t>
  </si>
  <si>
    <t>Echepare, Fernando</t>
  </si>
  <si>
    <t>Fernando Echepare</t>
  </si>
  <si>
    <t>a de Escolar y Noriega. En Toledo............ D. Juan Cruz Sanz de la Torre. En Avila.............. D. Fernando Echepare y sobrinos* En Quadalaxara. D. Isidro García Plaza. El Excmo. Sr. D. Pedro González Llamas, general en gefe del exército de defensa de Valencia y Murcia que se halla en esta corte,</t>
  </si>
  <si>
    <t>Echesuria, Antonio</t>
  </si>
  <si>
    <t>Antonio Echesuria</t>
  </si>
  <si>
    <t>1089 fí). Juan Ruiz Alvarez. .**».....••••*-**•# ss as. (D. Antonio Echesuria. Contuso.......... Subteniente. D. Blas de Luna. Extraviado..... Subteniente. D. Josef Roldan. Provincial de Bujalance. Muerto........... Subteniente. D. Josef Ariza. Extraviado..</t>
  </si>
  <si>
    <t>Echevarría Garay, Francisco</t>
  </si>
  <si>
    <t>Francisco Echevarría Garay</t>
  </si>
  <si>
    <t>actado el testimonio remitido de Cádiz, del concursado. D. Francisco Echevarría. Se advierte que es D. Francisco Echevarría Garay, por haber, en dicha ciudad -tres del nombre y apellido de Francisco Echevarría, todos concursados, y para que no se alegue nulidad en ningún tiempo. EN LA IMPRENTA REAL.</t>
  </si>
  <si>
    <t>Echevarría, Francisco</t>
  </si>
  <si>
    <t>Francisco Echevarría</t>
  </si>
  <si>
    <t>mandado citar y emplazar á quantos se consideren con derecho á-. los bienes de la testamentaría de D. Francisco Echevarría, á fin de que en el perentorio término de un año, contado desde 19 de diciembre último, se presenten á deducirlo con los documentos comprobantes; apercibidos que de np hácérlb-, l</t>
  </si>
  <si>
    <t>de 29 de enero próximo pasado", resulta extractado el testimonio remitido de Cádiz, del concursado. D. Francisco Echevarría. Se advierte que es D. Francisco Echevarría Garay, por haber, en dicha ciudad -tres del nombre y apellido de Francisco Echevarría, todos concursados, y para que no se alegue nulid</t>
  </si>
  <si>
    <t>Echeverría, Pedro Antonio</t>
  </si>
  <si>
    <t>Pedro Antonio Echeverría</t>
  </si>
  <si>
    <t>...........»...l 160.. , D. Pedro Rodríguez, por una vez..........»..*............... ....... 2006. D. Pedro Antonio Echeverría, oficial de una de las escribanías de cámara de Castilla, por una vez..................... ........... ....... . 100* Anselmo García, por una vez................. ................</t>
  </si>
  <si>
    <t>Edén</t>
  </si>
  <si>
    <t>la que sé estableció el reglamento para el comercio entre la Inglaterra y los Estados-Unidos; ' V4 Mr. Edén aplaude la propuesta en quantoi prueba el deseo que tiene el gobierno en mantener:la buefia inteligencia con' los Estados-Unidos; pero se opone á ella si es que se hace con la mir</t>
  </si>
  <si>
    <t>Edmundo Nage</t>
  </si>
  <si>
    <t>enemos en el Brasil: el general Oaques tiene eL gobierno de Malta, y en el de Guernesei ha sucedido Sir Edmundo Nage á Sir James Saumarez, á quien se ha dado el mando de la escuadra del Báltico.</t>
  </si>
  <si>
    <t>Eduardo de Fuentes</t>
  </si>
  <si>
    <t>eses.... ........ ................... .................... ......... ........................ 3 23. D. Eduardo de Fuentes, presbítero, 30 id. por 2 meses.......... 60. D. Juan Martin, guarnicionero, 40 id. id........ 1......................... 80. D. Rafael Alvarez, tesorero de la real casa de Moneda</t>
  </si>
  <si>
    <t>Éduardo Pelev</t>
  </si>
  <si>
    <t>uelven de las Indias orientales, y 2 que vienen del mar del Sur. Por este conducto se ha sabido que Sir Éduardo Pelev salió de Madras en 10 de octubre con una expedición secreta, compuesta de 4 navios de línea y 2 baxeles de la compañía de la India, que conducían algunas tropas. En el espacio de</t>
  </si>
  <si>
    <t>Eduardo Pelev</t>
  </si>
  <si>
    <t>2 de agosto de 1808</t>
  </si>
  <si>
    <t>Madrid 105</t>
  </si>
  <si>
    <t>bia arribado a ifi de Batavia el navio Tdmesis, y que habia traído la noticia de que la escuadra de Sir Eduardo Pelev, que llevaba 1500 hombres de tropas de desembarco, se había apoderado del puerto de Outrust. Según noticias de la Groenlandia la pesca es mui abundante este año en aquellos mares.</t>
  </si>
  <si>
    <t>Eduardo Pelew</t>
  </si>
  <si>
    <t>Sevilla 47</t>
  </si>
  <si>
    <t>t. Gtbraltar 8. de Octubre. Las noticias que hemos recibido de Ja India, han contentado al Público* Sir Eduardo Pelew, comandante de las</t>
  </si>
  <si>
    <t>Eduardo Qrjtiz de Zarate</t>
  </si>
  <si>
    <t>cia se congregó esta Junta en:dicho dia de ayer y hora señalada, á la qual concurrieron los segotes D. Eduardo Qrjtiz de Zarate, regidor perpetuo, y regente de la real jEwdsdrceibnjiD; Vid^l Mar/adslííóaóipp, brigadier de los reales exércitos, •y Icé mandante délas armas; DqVicente Mena , canónigo de esta</t>
  </si>
  <si>
    <t>Ee-rt</t>
  </si>
  <si>
    <t>dividuos de la referida comisión : ; : „Del consejo de Castilla á JD. Gonzalo Josef de Vilches, y á D. Ee-rt lipe Canga Argliellés. ' i „ DeL de indias á D. García Gpmez Xara. :. . ir; ,,Del de Hacienda á D. Josef Perez Caballero,]*. v j v.t ,, Pará Secretario al marques;de Fuerté-Híjar.</t>
  </si>
  <si>
    <t>EHis</t>
  </si>
  <si>
    <t>otros varios asuntos, concluye proponiendo un discurso de gracias en respuesta al mensage del Rei. Mr. EHis apoyo ía propuesta, y lord Milton, tomando la palabra, dixo asi: ,, Si me levanto á hablar , no es para oponerme á la respuesta de gracias, sino para sxponét mis ideas acerca de n</t>
  </si>
  <si>
    <t>Eiliigdio Hidalgo, Antonio</t>
  </si>
  <si>
    <t>Antonio Eiliigdio Hidalgo</t>
  </si>
  <si>
    <t>a tomado, para asegurar la victoria. Se subscribe á esta Gazeta en Xerez de la Frontera, en casa de D. Antonio Eiliigdio Hidalgo , interventor de Correos. CON SUPERIOR PERMISO. EN LA IMPRENTA DE LA VIUDA DE HIDALGO Y SOBRINO.</t>
  </si>
  <si>
    <t>Eiriz, Simón Antonio</t>
  </si>
  <si>
    <t>Simón Antonio Eiriz</t>
  </si>
  <si>
    <t>esbítero, sacristán segundo de las comendadoras de Calatrava, 20 rs., por 2 meses.............. 40. D. Simón Antonio Eiriz, oficial de ia contaduría de la casa de Moneda, ño id. por agosto.......................... .................... ....... 60. Doña Francisca Sainz de Baranda y D. Francisco Gómez U</t>
  </si>
  <si>
    <t>EJizalde, Bernardo</t>
  </si>
  <si>
    <t>Bernardo EJizalde</t>
  </si>
  <si>
    <t>......... . D. Josef Arizcun. En Caatz............... , D. Benito de la Piedra. En Cartagena....... D. Bernardo EJizalde. En Ciudad-Real.. D. Ramón Antonio Pico. En Córdoba............ Sres. Barcia, padre é hijo. En la Coruña........ D. Manuel Elzaurdi. En Cuenca.............. Sres. viuda de Escolar</t>
  </si>
  <si>
    <t>El Príncipe Abbas-Mirza</t>
  </si>
  <si>
    <t>s franceses, Quando llegó á la ciudad, todo estaba ya preparado para recibirle. El Príncipe Abbas-Mirza, hijo mayor del Monarca persa y comandante de aquella frontera, ha hecho •muchos obsequios al embaxador, el qual se ha encontrado en la misma ciudad con el que va de Persia á Francia. E</t>
  </si>
  <si>
    <t>Elasa, Juan Bautista</t>
  </si>
  <si>
    <t>Juan Bautista Elasa</t>
  </si>
  <si>
    <t>nacio García, Plaza mayor; D. Ramón García Ximenez , San Francisco; D. Gregorio Uriondo, S. isidro; D. Juan Bautista Elasa , San Gerónimo ; D. Tomas Sanz Ibarrola , Maravilla- ; D. Roque Antonio de Lema, Afligidos ; D. Bernardo Orozco, Barquillo; D. Tadeo Fón , San Martin. Diputación por el cuerpo de</t>
  </si>
  <si>
    <t>Elias Gómez de Teran, Juan</t>
  </si>
  <si>
    <t>Juan Elias Gómez de Teran</t>
  </si>
  <si>
    <t>uotidiano, añadido'en esta impresión con los actos de las tres virtudes teologales por el limo. Sr. D. Juan Elias Gómez de Teran;—Puerta del cíelo abierta á impulsos de la devoción á la Reina'de los Angeles María santísima en su sanio rosario; á que se añaden algunas deprecaciones á honra de su esposo S. Jo</t>
  </si>
  <si>
    <t>Elias Lozano, Antonio</t>
  </si>
  <si>
    <t>Antonio Elias Lozano</t>
  </si>
  <si>
    <t>cuenta de 3300 rs. anuales........... ..................................................... . neo. D Antonio Elias Lozano, anualmente...................... ................. . 120. D. Domingo Diaz del Valle, un real diario, por un año......... 36$. . D. Vicente Fligaus, 2 id. por 2 meses.............</t>
  </si>
  <si>
    <t>Elias Ranz</t>
  </si>
  <si>
    <t>per una. La Sra. de Lángara 2. La real casa de noviciado de hijas de ¡a Caridad, calle del Prado 2. D. Elias Ranz 4. D. Antonio M oliniilo 2 piezas-de .paño-pardo con 60 varas. Un sugeto, que no quiso manifestar su nombre, una pieza de paño blanco con ^2 varas. D&lt; ña María Felipa Ordina'una l</t>
  </si>
  <si>
    <t>Elias Salnz</t>
  </si>
  <si>
    <t>Salas ^ prco^cfo ^ 60. i D. Domingo Ortiz Santiuste , deí comercio de lienzos, id........., ,1000. D. Elias Salnz, por ahora....v. ................... i..*...... 280. D. F. M., por una, 640.. » D. N.,ld r,. •*•'*•* « •••*• * • M &lt; ■ • . » &gt; t !■ 1 ■ • 1 ' * ■ * ■ 1 1 ‘ • ••«•****•*••*•••* * X</t>
  </si>
  <si>
    <t>Elizajde, Bernardo</t>
  </si>
  <si>
    <t>Bernardo Elizajde</t>
  </si>
  <si>
    <t>gos........... D. Josef Arjzcun. En Cádiz.......... . D. Benito de la Piedr^. ¡ En Cartagena....... D. Bernardo Elizajde. En Ceuta................ D. Pedro Huguet, cami&amp;iopado subalterno del de Cádiz.</t>
  </si>
  <si>
    <t>Elorduy, Juan Antonio</t>
  </si>
  <si>
    <t>Juan Antonio Elorduy</t>
  </si>
  <si>
    <t>......................... 1500. D. Martin de Vergara , del comercio de joyería , por una vez.. 500. D. Juan Antonio Elorduy y su muger un cubierto de plata. D. Josef López dé Villa , reloxero de cámara , por una vez...... 320. Paulino Moreno, por una vez...................................................</t>
  </si>
  <si>
    <t>Elzaurdi, Manuel</t>
  </si>
  <si>
    <t>Manuel Elzaurdi</t>
  </si>
  <si>
    <t>al.. D. Ramón Antonio Pico. En Córdoba............ Sres. Barcia, padre é hijo. En la Coruña........ D. Manuel Elzaurdi. En Cuenca.............. Sres. viuda de Escolar, Noriega é hijo. En Granada......... D. Francisco Unzaga. En Guadalaxara. D. Isidoro García Plaza. En Jaén................. D. Ramó</t>
  </si>
  <si>
    <t>Real.. D. Ramón Antonio Pico. En Córdoba...¿...... Sres. Barcia, padre é hijo. En la Cortina....... D. Manuel Elzaurdi. En Cuenca............ Sres. viuda de Escolar, Noriega á hijo* En (dranada........ D. Francisco de Unzaga. En Guadalaxara. D. Isidoro García Plaza. En Jaén................ D. Ramó</t>
  </si>
  <si>
    <t>embaxador Áiquier</t>
  </si>
  <si>
    <t>cargado de negocios de Francia cerca de la santa Sede después de la partida del embaxador Áiquier, ha marchado á París con todos los papeles y el archivo de la legación. 'Carta circular de S. S. d t§dos los cardenales &gt; que han recibido orden de salir de Ro</t>
  </si>
  <si>
    <t>embaxador Alquier</t>
  </si>
  <si>
    <t>cargado de negocios de Francia cerca de la Santa Sede después da la partida del embaxador Alquier, ha marchado a París con iodos los papeles y ei archivo de Ja legacic*. Carta circular de S. S. á todos Jos Cardenales, que han recibido érden de salir de Roma</t>
  </si>
  <si>
    <t>Emigdio Hidalgo, Antonio</t>
  </si>
  <si>
    <t>Antonio Emigdio Hidalgo</t>
  </si>
  <si>
    <t>los franceses que lo interceptaron• Se previene que también admiten subscriptores para esta G-azeta D. Antonio Emigdio Hidalgo, interventor de Correos de Xerez de la Frontera, en Falencia en la oficina de la Gazcta, y en Ronda en casa de D. Cris 6bal Zeron. En la librería de JJidalgo se venden las .Gazeta</t>
  </si>
  <si>
    <t>Enanas, Antonio</t>
  </si>
  <si>
    <t>Antonio Enanas</t>
  </si>
  <si>
    <t>ernandez de la Visitación, rector de las Escuelas Pías de.S, Antonio Abadi .Fr, Antonio Enanas, ministro de Trinitarios calzados. Fr. Nicolás Luengo, provincial de la Vitoria. D. Ramón Camps, diputado del barrio, de S. «Juan. D. Josef Flores id. D. Antonio Tabairaeh, alcalde de barri</t>
  </si>
  <si>
    <t>Encarnación Latís</t>
  </si>
  <si>
    <t>Antonio Villascñor 2. Doña María González 2. Las monjas de Sta. Catalina 2. Doña María Colchero 2. Doña Encarnación Latís 2. 0. Manuel López 1. Las monjas de la Encarnación 4. El conde Galvez 3. 0. Diego Erran 1. 0. Simón Ortiz 2. Doña Pascuala Trijueque 2. Doña Teresa Moreno 1. Doña Rosa del Cano 2.</t>
  </si>
  <si>
    <t>Engrúdanos, Vicente</t>
  </si>
  <si>
    <t>Vicente Engrúdanos</t>
  </si>
  <si>
    <t>;° • . ■ ■. ••• - ' GRABADO: ■ ’ ■. •' 1 • • : -í L.is ciñe/íj órdenes, de Arquitecturagrabadas por D. Vicente Engrúdanos, y; dibujadas por D. Blas Martin, académico de la real academia de S. Fernando: su precio 6 rs. Se hallarán en la librería dé Barco, carféra de S. Gerónimo, y en la de Sánchez, ca</t>
  </si>
  <si>
    <t>Enrique Mac-Donnell</t>
  </si>
  <si>
    <t>35 hombres de infantería , y 17 esquadrones de caballería. A las 9 de la maSana el Xefe de Esquadra D. Enrique Mac-Donnell, y el Oidor de esta Real Audiencia D. Pedro Creux pasaron á parlamentar con el Almirante de la Esquadra inglesa, que bloqueaba á Cádiz, para entablar conferencias ; y á las 8 ¿ de</t>
  </si>
  <si>
    <t>Enrique OJonelJ</t>
  </si>
  <si>
    <t>s de Gerona, al mando del teniente coronel D. Narciso de la Veleta, y del sargento mayor de Ultonia D. Enrique OJonelJ, con dos violentos; y al momento que la Sta. Iglesia Catedral tocó á somaten, salió la expresada columna, cargó sobre las dos baterías, que tenían los enemigos en las torres, perd</t>
  </si>
  <si>
    <t>Ensebio Zallidea</t>
  </si>
  <si>
    <t>diz.......... ,300 386 D. Fernando.León Benavides...... ................ . Coruña........ IOOO 2164 D. Ensebio Zallidea....................... i.............* 1 • * Cótuña..:.... 500 2394 D. Ramón Aguado............................................. Zaragoza..... 500 1938 D. Juan Martin Ballesteros.</t>
  </si>
  <si>
    <t>Entrambasaguas, Gregorio</t>
  </si>
  <si>
    <t>Gregorio Entrambasaguas</t>
  </si>
  <si>
    <t>de ios '5 gre* ¡ ■ mfeó , por on.3ño^..^.v.».i..¡¡..¿.^.M,.,;...^.......................... . 1100. D. Gregorio Entrambasaguas, del comercio de lienzos, id........ 3300. D. Francisco de la Canal, ballestero de S.’ M., á 120 rs. menS U ,11 5................... ..j...... jr......i.......’..............i....</t>
  </si>
  <si>
    <t>Entramfbasaguas, Manuel</t>
  </si>
  <si>
    <t>Manuel Entramfbasaguas</t>
  </si>
  <si>
    <t>ncia,D. Josef María Carrillo, D. Félix GHman, cadete de reales guardias Valonas, D. Félix Palacios, D. Manuel Entramfbasaguas, D. Pedro Cendeja , D. Josef Manuel del Valie, D. Josef María Bassoco, D. Matías de la Torre, D, Francisco Xavier Vidarte, D. Josef María Bretón, D. Fermín de Labastrda y D. Juan</t>
  </si>
  <si>
    <t>Entrena, Miguel</t>
  </si>
  <si>
    <t>Miguel Entrena</t>
  </si>
  <si>
    <t>misas. Dia 5. La villa de Aibares, por mano de su regidor Eugenio Corra!, tina sábana y 19 camisas. D. Miguel Entrena, cura de Albalate de Tajuña, 4 camisas. Doña Alfcnsa López una. D. Pedro de la Puente, secretario de la Presidencia ,12. En la gazeta del martes anterior, pág. 1442 , lín. 20, dic</t>
  </si>
  <si>
    <t>Envernad, Salvador</t>
  </si>
  <si>
    <t>Salvador Envernad</t>
  </si>
  <si>
    <t>cisco de Saovedra, presideete de la Suprema Junta de Gobierno de Espaíía e Indias, le ha admitido á D. Salvador Envernad, vecino de esta ciudad, la dexacion que ha hecho de la agencia dei imperi» ir anees , se haa recogido y depositado todos Jos libros, páreles y efectos que tenia de dicha agencia ,</t>
  </si>
  <si>
    <t>Erancisco Reyolledo de Palafox y Melci</t>
  </si>
  <si>
    <t>os sus habitantes en el estado mas. deplorable dé mendiguez.? ,v t ,,, _____ • , •* 4- ^V .-.1 . •* D. Erancisco Reyolledo de Palafox y Melci ,í segundo general dél exército de Aragón, y diputado nombrado de aquel reino para la juma-central, tiene el gustó de presentar al público la idea mas exácta de su modo de pensar</t>
  </si>
  <si>
    <t>Eranciscoí Antonio Zfea</t>
  </si>
  <si>
    <t>cmo. Sr. D. Pe droGevallos, primer secrétarib'de-}éstada:1yrdel despacho, la real orden siguiente á D. Eranciscoí Antonio Zfea^.gefe-y primer profesor del real jardín botánico. . ■ '■ „ Considerando el Reí ia necesidad de- acelerar los progresos de la agricultura, y deseando que su enseñanza últimamente e</t>
  </si>
  <si>
    <t>Erapeisco María</t>
  </si>
  <si>
    <t>vez.............. 320.• Gregario Toyrand,.del,greraio. de: polleros.,//por?una vez.....^ 'ioo. . ¿ D. Erapeisco María.López.MoreUer delncomercio,¿por una vez. . 300- r Manuel Diez, lacayo, 361 rs.^en intereses de .vales de 1808 , y 39 rs. en efectivo, por una vezi.............i. 400. Domingo Ries</t>
  </si>
  <si>
    <t>Ern'Jiif, General</t>
  </si>
  <si>
    <t>General Ern'Jiif</t>
  </si>
  <si>
    <t>os mares___ En 15 de setiembre del an&lt;r pasado el capitán Grassin, 'comandante del corsario llamado General Ern'Jiif había apoderado $1 abordage del cúter de la marina real inglesa Barbara, mandado por el teniente ''dé, naVfo; d’Arci, con 49 hombres de tripulación y lo carroñadas de á 18___ En 1</t>
  </si>
  <si>
    <t>Ernesto Rittnageii</t>
  </si>
  <si>
    <t>í;» Madrid.....;.; 300 2149 D. Pedro Tomas Gómez, de -Carril,.....*........ Córuña....... 1000 2437 D. Ernesto Rittnageii.........;.....1.4....»;.......¿. Málaga...1.... 1000 569 D. Eusebio Perez Mozun..... ................... Madrid....... 600 2276 Doña Josefa de Atristain................. .........</t>
  </si>
  <si>
    <t>Erneta, Pedro Antonio</t>
  </si>
  <si>
    <t>Pedro Antonio Erneta</t>
  </si>
  <si>
    <t>............ 40. D. Francisco Azpiroz, 40 rs. cada mes......................................... 40. D. Pedro Antonio Erneta, 20 rs. cada mes................ ..........*...... 20. D. Baltasar Doncel, agente de Indias, por 6 meses á 60 rs. cada uno............ ............................................</t>
  </si>
  <si>
    <t>ErsJcihe</t>
  </si>
  <si>
    <t>ínteres verdaderamente raro que el gobierno británico manifiesta en la nota de ofició remitida por Mr. ErsJcihe después de la llegada de Mr. Rosse, enviado extraordinario de Inglaterra, el embargo sigue con vigor en nuestros puertos, que permanecen cerrados á las caricias y á las amenazas brit</t>
  </si>
  <si>
    <t>Erskine</t>
  </si>
  <si>
    <t>e reciba los pliegos que espera de un momento á otro de nuestro ministro en la corte de Londres. L ,Mr. Erskine, enviado: de Inglaterra cerca de nuestro gobierno , acaba de llegar á Vasfiingtoo; parece que le han puesto en cuidado las primeras deliberaciones del congreso. El coronel .Burr s</t>
  </si>
  <si>
    <t>as instrucciones de su gobierno, ó que este enviase otrof ministro. Al misino tiempo se asegura que Mr. Erskine,,enviado de Inglaterra cerca dt^ nuestro gobierno, ha recibido de su. corte eí ultimátum relativo á todos los motivos de quejas recíprocas, á excepción del insulto de la Ches apea</t>
  </si>
  <si>
    <t>o enviado extraordinario en América, ha venido á bordo del Statira, en compañía de nuestro ministro Mr. Erskine¡. Mr. Rose ha dado al gobierno de los Estados-Unidos las explicaciones debidas sobre el. asunto de los marineros americanos tomados de la..fragata la Chesapeack; pero no ha podido</t>
  </si>
  <si>
    <t>Ervias, Joaquín</t>
  </si>
  <si>
    <t>Joaquín Ervias</t>
  </si>
  <si>
    <t>cédulas. Doña Gila .Moreno 30. ; &lt;• D. Joaquín Solanas 90. . P, Pedro Rubio 2©. D. J. A. V. G. 960. D. Joaquín Ervias ioo.rs. en metá­ Doña Margarita Casanova, sirvienta, lico y po rs. 8 J mrs. en efectos de 128.. r estado» í : . .....r,' :■ D. Josef Ruiz 206.. D. Juan Bautista deCiaran 300* j D.</t>
  </si>
  <si>
    <t>Erving</t>
  </si>
  <si>
    <t>te , el encargado de"negocios de Dresde Mr. Persch , el encargado de negocios de los Estados-Unidos Mr. Erving, el ministro plenipotenciario de Copenhague Mr. Bourke, el ministro plenipotenciario de Petersburgo barón de Strogonoff, el de Milán , el mismo de Francia , el ministro plenipoten</t>
  </si>
  <si>
    <t>Erving, Jorge</t>
  </si>
  <si>
    <t>Jorge Erving</t>
  </si>
  <si>
    <t>e, encargado de negocios de la corte-dé Vieri«r , ministro residente de las ciudades Anseáticas , y D. Jorge Erving j éhcargádcy-de negocios de^fesí Estados-'Upidos; de América, que habían sido convidados al efectoP'Eft lo® demás balcones estaban los gentileshombre^jder óámahrá1^ *iÚayórdomps'</t>
  </si>
  <si>
    <t>Escalante, Ventura</t>
  </si>
  <si>
    <t>Ventura Escalante</t>
  </si>
  <si>
    <t>por los dignos gefes que tuvieron á su frente en aquellos tan felices dias. Nuestro capitán general D. Ventura Escalante , como dispuesto siempre á derramar su sangre en defensa de la religión , de ia patria y de nuestro amado Soberano, está pronto á marchar al trente de estas tropas, si V. A. {5. t</t>
  </si>
  <si>
    <t>e Málaga, el de dragones y el de la costa y cazadores dé Guadix. = Fernando de Osorno. = Excmo. Sr. D. Ventura Escalante. N. 7.® Granada jo de noviembre de 1808. Amigo y estimado Aceves : aqui se miente altamente ; y aunque á Dios gracias faltan temblores de tierra , se aumentan los de piernas. Al c</t>
  </si>
  <si>
    <t>Éscálinté, Ventura</t>
  </si>
  <si>
    <t>Ventura Éscálinté</t>
  </si>
  <si>
    <t>, habiendo de; antemano pasado^revista á cada uno de estos cuer¿ pos el Éxcmó. Sr. capitán general D. Ventura Éscálinté /(pié s|n perdonái fatiga alguna ha trabajado y contribuido por su parte y 'de acuerdo con la junta con el mayor desvelo á la mejor disciplina y organización de todas estas tropas</t>
  </si>
  <si>
    <t>Escand, Antonio</t>
  </si>
  <si>
    <t>Antonio Escand</t>
  </si>
  <si>
    <t>a suprema Junta al Sr. D. Pedro Cevallos la secretaría del despacho dé Gracia y* Justicia, y al Sr. D. Antonio Escand ía del de</t>
  </si>
  <si>
    <t>Escaño, Antonio</t>
  </si>
  <si>
    <t>Antonio Escaño</t>
  </si>
  <si>
    <t>o u oficio, y no tenga mas de 20 años y menos de 60. art. 4.0 El teniente general de mi real armada D. Antonio Escaño , él mariscal de campo D. Josef Joaquín Martí, y el ministro del consejo Real D- Adrián Marcos Martínez están nombrados comisarios de la organización</t>
  </si>
  <si>
    <t>a y Justicia al Sr. D. Benito Hermida; del de Guerra al Sr. D. Antonio Cornel; del de Marina al Sr. D. Antonio Escaño; del de Hacienda, al Sr. D. Francisco Saavedra; y por secretario de Estado y general de la misma junta en propiedad á su vocal el Sr. D. Martin de Garai. En estas elecciones, adem</t>
  </si>
  <si>
    <t>Escarlati, Francisco</t>
  </si>
  <si>
    <t>Francisco Escarlati</t>
  </si>
  <si>
    <t>ondé, eclesiástico, diputado de los Angeles. D. Mariano Ibargnen. D. Ventura Mandujo, eclesiástico, D. Francisco Escarlati, Don Angel Tadei, D. Ramón Sanjueso, secretario, diputación del barrio de Doña María de Aragón. D. Juan Soto, alcalde de id. D. Melchor Gómez de la Torre, diputado id. P. D. Vicen</t>
  </si>
  <si>
    <t>Escaxa, Miguel</t>
  </si>
  <si>
    <t>Miguel Escaxa</t>
  </si>
  <si>
    <t>a....f.V.. ... Madrid........ 500 279 D. Juan González de Lafuente....1 ... Burgos........ 3°° 2163 D. Miguel Escaxa...... ........... . ... Coruña....... 300 1179 .i Zaragoza..... 30 o 1308 ... 'Valencia.;... 600 2382 D. Narcisco; Alvarez- y ■ compañía. Zaragoza..... 3 00 1996 Doña Maríá Josefa</t>
  </si>
  <si>
    <t>Éscher</t>
  </si>
  <si>
    <t>erados: las , obras del Leinth hacen progresos rápidos mediante la actividad y zelo del infatigable Mr. Éscher, ayudado de los caudales con que todos contribuyen con gusto para el bien general. Loi' ensayos de Fellenberg para perfeccionar la economía rural.han sido aprobados,y la nación to</t>
  </si>
  <si>
    <t>Escóiqjuizduque, Juan</t>
  </si>
  <si>
    <t>Juan Escóiqjuizduque</t>
  </si>
  <si>
    <t>on; y én:*sü eohsécüéncüi qiies debían de absólver y absolvieron libremente de ella á los referidos Don Juan Escóiqjuizduque del. Infantado, Conde de Orgaz, marques dd Ayerbe, Andrés CasáfiaÍ?D. Josef Gonzálfez- Mabriqué^ Pedro ColladoyFetnandfcMSelgas ,'ífiáhdándólos pánér é'rt líber* tad: igualmente á D.</t>
  </si>
  <si>
    <t>Escoiqu, Juan</t>
  </si>
  <si>
    <t>Juan Escoiqu</t>
  </si>
  <si>
    <t>odo convenía por las relaciones yt las circunstancias del día. La carta con fecha de Talavera es de D. Juan Escoiqu iz, canónigo y dignidad de la iglesia de Toledo, y maéstro que,fue de S. M., contestándole á varias preguntas que le había hecho: la cifra y clave eran de las que se valían para e</t>
  </si>
  <si>
    <t>Escoiquiz, Juan</t>
  </si>
  <si>
    <t>Juan Escoiquiz</t>
  </si>
  <si>
    <t>3*« cesado y acusado á un vasallo tan distinguido y benemérito, asi como los de D. Juan Escoiquiz ser autor de los dos primeros papeles escritos de mano de S. M., y suya la carta fecha eji Talayera, con algunos otros pasos que le sugería la lealtad y el amor á favor de su real</t>
  </si>
  <si>
    <t>usa 3), Simón de . Viegas pidió en su acu-* sacion la pena que la leí impone á los traidores contra D. Juan Escoiquiz, y el duque del. Infantado, y otras extraordinarias contra el marques de Ayerbe, conde de Orgaz y otros presos; pero los once jueces»,viendo que nada resultaba contra ellos, ni de</t>
  </si>
  <si>
    <t>Escovar, Ramón</t>
  </si>
  <si>
    <t>Ramón Escovar</t>
  </si>
  <si>
    <t>n los discípulos opositores á dichos premios, y los obtuvieron , el primero por unanimidad de votos D. Ramón Escovar, y el‘segundo D. Mariano Cuesta.__ También se adjudicó á D. Manuel Nuñéz un exemplar del arte de la taquigrafía , eiiquadernado en tafilete, que dio el maestro de esta enseñanza D</t>
  </si>
  <si>
    <t>Escribano, Lucas</t>
  </si>
  <si>
    <t>Lucas Escribano</t>
  </si>
  <si>
    <t>............ Cádiz...... 3 00 745 D. Manuel Quevedo de Bustamante................ Madrid... 600 453 D. Lucas Escribano, administrador del correo. t&gt;:ii__ 500 2075 1). Juan Pedro de Irigoyen............................... Cádiz... 500 884 D. Antonio de Soura Ace vedo............... ........... Madr</t>
  </si>
  <si>
    <t>Escribas, Francisco</t>
  </si>
  <si>
    <t>Francisco Escribas</t>
  </si>
  <si>
    <t>D.Hsidro Franco, el subteniente de: las mismas D. Francisco Columbie, el de granaderos de la Havana D. Francisco Escribas, ei artillero Simón: Djiiatte, y los capitanes y tripulación de 2 corsarios franceses, Dominico! Yóux y Ciaudio Soñé, que tuvieron mucha parte en la acción.—. $. A. 8. enterado de</t>
  </si>
  <si>
    <t>Escudero, Ángel</t>
  </si>
  <si>
    <t>Ángel Escudero</t>
  </si>
  <si>
    <t>bastian Chamorro; y para dos plazas -de agentes del número de Indias, vacantes por fallecimiento de D. Angel Escudero y D. Pédro^Aicántara López, á b; Santiago Fernandez y á D. Blas de Gortabarruu Ultimamente, se ha servido el Reí conceder á D. Juan Jurado de Lainez, auditor de guerra, y asesor del g</t>
  </si>
  <si>
    <t>Escudero, Antonio</t>
  </si>
  <si>
    <t>Antonio Escudero</t>
  </si>
  <si>
    <t>6 de mayo de 1808</t>
  </si>
  <si>
    <t>Madrid 44</t>
  </si>
  <si>
    <t>lugar ! de Getafe én la calle que llaman de la Sierra, lindante por la parte de oriente con otra de D. Antonio Escudero, apoderado de la casa y estados dé la señora condesa viuda de Torrubia, marquesa de-Víllamador y de las Nieves, se ha mandado por . ej Sr^ Di) Manuel Angel Carranclo, comisionado</t>
  </si>
  <si>
    <t>Escudero, Joaquín</t>
  </si>
  <si>
    <t>Joaquín Escudero</t>
  </si>
  <si>
    <t>z......... 500 i))'o 0. Pedro Antonio.Sobrado.*........... ¿¿.....«...i..; Bilbao.......i .300 2139 D. Joaquín Escudero...... ............... . Zaragoza..... 500 1565 D. Francisco y D. Ramón de Mazarredo...... Bilbao ••^*••*•4 500 799 0, Tomas Cervantes y Famada...... ............ Madrid........ 30</t>
  </si>
  <si>
    <t>Escudero, Juan</t>
  </si>
  <si>
    <t>Juan Escudero</t>
  </si>
  <si>
    <t>ndientes fundas de pistolas, arregladas á uniforme, con detino á los dragones de Castilla la vieja. D. Juan Escudero y hermanas un fusil. El ’Sr. D. Antonio de Grimbernat , además de la silla y brida que van anotadas, entregó '4 pares de zapatos nuevos, unas botas, una llave de fusil y 2 de pistol</t>
  </si>
  <si>
    <t>Escudero, Manuel</t>
  </si>
  <si>
    <t>Manuel Escudero</t>
  </si>
  <si>
    <t>ba Atíenza de Durango una Doña FerÚiinaCálculi 2 y 2paresde camisa. ■■.■-‘■.••J:.. ‘ zapatós. ^ • s D. Manuel Escudero f., tinas hilas y D. Blas 'Menertdé¿ ¿Ccartri&amp;s. - ■— ’ paños. •. [Éscuefas pias dé Ampies 12^ * ' D. Vicente Gambon 2 camisas, Ún súgeto bienhechor rió libras dé Fr. A. F. t). M.</t>
  </si>
  <si>
    <t>ing y la de Peña. : *■.' ¡ J;j.. . Dia 18... La marquesa de Bedmar y Escalona 12 camisas de coruña. D. Manuel Escudero 4. Doña Francisca Pozo 2. D. Domingo Yubero una. D; Feli^rBausstc 6-id-:de coruña. D.; F. R: una. ■ ' Dia 1$, Jp. jG.vE- íU.n capote pardo . usado/ Doña Joaquina González 4 camisa</t>
  </si>
  <si>
    <t>Escudero, Miguel</t>
  </si>
  <si>
    <t>Miguel Escudero</t>
  </si>
  <si>
    <t>la mañana los Sres. D. Fr. Pascual Belfo, abad c'et real monasterio de nuestra señora de la Oliva; D. Miguel Escudero, D. Manuel Díaz del Rio, diputados; D. Manuel de Lejalde, D. Francisco Ibañez y D. Alexandro Dolarea y Nieva, síndicos consultores , y puestos en pie y descubiertos, á presencia d</t>
  </si>
  <si>
    <t>Escudero, Vicente</t>
  </si>
  <si>
    <t>Vicente Escudero</t>
  </si>
  <si>
    <t>....... 300 2315 D. Bernardo Tovia Marín................................. Cádiz........... ico 1384 D. Vicente Escudero......................................... Burgos......... 600 D. Juan Saenz Diez y ;compañía..................... Madrid....... 6go Sres. D. Nicolás de Sarachaga y compañía..... Bi</t>
  </si>
  <si>
    <t>Esléban Boutelou</t>
  </si>
  <si>
    <t>ó arte de hacer el vino, y con algunas observaciones sobre la destilación de los aguardientes, por D. Esléban Boutelou, profesor.de agricultura y economía rural ,del real jardín botánicode Madrid, y jardinero mavor de S. M .’en el real sitio de Aranjuéz. Se hallará á 10 rs. enla librería de Castil</t>
  </si>
  <si>
    <t>España, Antonio</t>
  </si>
  <si>
    <t>Antonio España</t>
  </si>
  <si>
    <t>Ildefonso Jo6ef-de Medina‘ Madrid./.;.../ 300 2248 D. Tomas Josef de Médiná Bilbao;;...... $oo 2a00 D. Antonio España......................................... — Cádiz........ ..100000 3468 D. Juan Manuel de Soldevilla........................— Málaga...... 300 1758 Doña Lucía de Herrea y Cuellar..</t>
  </si>
  <si>
    <t>Espano, Cayetano</t>
  </si>
  <si>
    <t>Cayetano Espano</t>
  </si>
  <si>
    <t>........ 30. D. Miguel Muñoz, 8 id. por id.......................... ........................... 8. D. Cayetano Espano, 2 rs. diarios, por 6 meses................ ,........ 368. D. Manuel Espiñeira y Aguiar, 3 id. id.................... ................... 552. D. Pascual Rodríguez, 2 id. por 5 id</t>
  </si>
  <si>
    <t>Espi, Francisco</t>
  </si>
  <si>
    <t>Francisco Espi</t>
  </si>
  <si>
    <t>....................... 160. D. Francisco Xavier y D. Isidro Pareja, id....................... 200. D. Francisco Espi, 30 rs. mensuales, por 3 meses.......... ........... 90. D. Guillermo Eloy González, 30 id. por 4 id..........••........... 120. O. Josef de Aparici, oficial de la secretaría de H</t>
  </si>
  <si>
    <t>Espiera, Francisco</t>
  </si>
  <si>
    <t>Francisco Espiera</t>
  </si>
  <si>
    <t>ale de 150 pesos.......................................................................... 2348 ii, D. Francisco Espiera, diamantista, por una vez........... ............. 72°. D. Domingo Matías Saenz de Hermua, por uña vez........... . 400. D. Marías Novella , por una vez............ ..............</t>
  </si>
  <si>
    <t>Espiñeira y Aguiar, Manuel</t>
  </si>
  <si>
    <t>Manuel Espiñeira y Aguiar</t>
  </si>
  <si>
    <t>.................. 8. D. Cayetano Espano, 2 rs. diarios, por 6 meses................ ,........ 368. D. Manuel Espiñeira y Aguiar, 3 id. id.................... ................... 552. D. Pascual Rodríguez, 2 id. por 5 id...................................... 306. D. Ramón Fernandez, uno id. por2 id..¿......</t>
  </si>
  <si>
    <t>Espinosa, Manuel</t>
  </si>
  <si>
    <t>Manuel Espinosa</t>
  </si>
  <si>
    <t>................... .' 8989 19.3 D. Manuel Lamas, ensayador mayor de los rey nos, por una vez. 500. D. Manuel Espinosa, por una.vez............................ .................. . 100. D. Ramón de Nuñez, administrador del canal de Manzanares, un vale real de 150 pesos,....... ................ 231</t>
  </si>
  <si>
    <t>Espinosa, María</t>
  </si>
  <si>
    <t>María Espinosa</t>
  </si>
  <si>
    <t>ilbao........ 500 2i6i D. Fernando León Benavides........................ . Coruña........ 500 Cfio Doña María Espinosa.......................................... Madrid....... 300 984 Sres. Zorrilla hermanos............... .................. . Madrid........ 1000 1878 D. Francisco Quevedo..........</t>
  </si>
  <si>
    <t>Esquiva, Domingo</t>
  </si>
  <si>
    <t>Domingo Esquiva</t>
  </si>
  <si>
    <t>ividuo de la real capilla, una caxa de oro esmaltada, guarnecida de perlas con miniatura y secreto. D. Domingo Esquiva, tesorero del conde de Fernán Nuñez, por una vez....... ............................................................................ 320. Angel García Moreno, tabernero, por una v</t>
  </si>
  <si>
    <t>Estanislao Antonio Barreta</t>
  </si>
  <si>
    <t>s. D. J. A. 10 varas y media de lienzo. D. Josef Mariano Vallejo 2. D. Vicente Ortiz de Urbina y su D. Estanislao Antonio Barreta ¿ pres*? muger 70 varas de lienzo. bífero, 3. Doña M; A. A. B. G. 8 camisas y D. J. Y. 2: 56 varas de lienzo. D. Francisco Goyá 21 varas de lienzo; D. L . 2. camisas. Doña Andrea</t>
  </si>
  <si>
    <t>, inspector general de milicias. . i Continúan los donativos en dinero paira el exército de\Aragón, D. Estanislao Antonio Barreta, pres­ D. Sebastian de Qtaegui 100. bítero , 200 rs. María Montesein 8. .&lt; D.F.N.60. Pedro Tornero 8. D. Andrés Caballero 1821 rs. y. 24 Doña Rafaela Ormaza 8. mrs. en metálico ,</t>
  </si>
  <si>
    <t>Estanislao Barreta</t>
  </si>
  <si>
    <t>D. Josef Nafria, id. id............. ............... .............. ......... ............... 100. D. Estanislao Barreta, id. id................ ............................................ 100. D. Juan Antonio Meco, sacristán de dicho oratorio, id............ 80. D. Domingo Reinoso, boticario, id..</t>
  </si>
  <si>
    <t>Estanislao Cels</t>
  </si>
  <si>
    <t>. Doña A. G. , id............... ............... ............................................ . 30. D. Estanislao Cels, id.............................. ................... ................. 500. Un capitán retirado, una olla de cobre y un lebrillo de lo mismo. D. Francisco Gutiérrez y Sosa, aboga</t>
  </si>
  <si>
    <t>Estanislao de Hito</t>
  </si>
  <si>
    <t>dignidad de tesorero deOsma.................................................... . Zaragoza 500 2358 D. Estanislao de Hito........................................ Zaragoza..... 500 77© D. Feiipe Salcedo y compañía.......................... Madrid........ 600</t>
  </si>
  <si>
    <t>Estanislao de Lugo</t>
  </si>
  <si>
    <t>ón y Pizarro, á D. Ignacio Martínez de Villela, á D. Manuel Romero, á D. Antonio Ranz Romanillos, á Don Estanislao de Lugo, á D. Pablo de Arribas, á D. Francisco Angulo, á D. Juan Antonio Llórente, y á D. Antonio de la Cuesta y Torre^Mi ministro secretario de Estado queda encargado de la execucion del</t>
  </si>
  <si>
    <t>, id......... 10000. D. Leandro Geinos, abogado del colegio, id............................... 200. D. Estanislao de Lugo, director de los reales Estudios, en vales reales, id.......... ..................................................................... 2328 2. D. F. I. M., id....... ..............</t>
  </si>
  <si>
    <t>Estanislao Gaya</t>
  </si>
  <si>
    <t>..... 20. D. Francisco Crodey , 60 id. id.............. ......................... ............. 60. D. Estanislao Gaya , 60 id. id.................................................... 60. D. Hipólito del Valle, 100 id............................ .................. . 100. D. Aniceto de Cuevas, 50 id</t>
  </si>
  <si>
    <t>Estanislao Lugo</t>
  </si>
  <si>
    <t>rtio porta tocante á las islas Canarias; y si no hai aqiuhdípútadóvse nombraáD; Estanislao Lugo, ministro honorario; dei eonsejode iisJndías; qué es natural ^ dichas» is¿asy.*y: también va/D. ¡An* tonio.'SavrÉon. p ' ^ u&gt;. L .tdírb'iw'r c. ..fii/mq.tb:,o .no . ■ r4. I Qúe iaidipittaci</t>
  </si>
  <si>
    <t>Estanislao Salvador</t>
  </si>
  <si>
    <t>añoles; y D. Julio O-Neill, id. de milicias de Puerto-Rico, ayudantes de campo del general en gefe. D. Estanislao Salvador, capitán del regimiento de la Princesa; y,D. Nicanor Ricaud, id. del de Algarbe, secretarios del estado mayor general. D. Nicolás Cachapero, secretario del general en gefe, en Lon</t>
  </si>
  <si>
    <t>Este, Agustín</t>
  </si>
  <si>
    <t>Agustín Este</t>
  </si>
  <si>
    <t>pabellón, con el manto real y el retrato de cuerpo entero de S. M., bien executado por el profesor D. Agustín Este ve, compitiendo la natural viveza del retrato con lo primoroso de la escultura del marco. La iluminación, toda de hachas y bujías de cera, correspondió con las arañas de cristal y</t>
  </si>
  <si>
    <t>Estéba</t>
  </si>
  <si>
    <t>bre, tasados en 87499 rs* Quienquisiere hacer postura, lo executará por la escribanía que desempeña D, Estéba» Velez Villa.. AVISO. Para el segundo remate en esta corte de los frutos y rentas de la encomienda del. Pozuelo de Calatrava, que se arriendan por 3 años contados desdé 25 de ener</t>
  </si>
  <si>
    <t>Estébaií de Foircada</t>
  </si>
  <si>
    <t>iez Mar- Doña Ines Delgado\ Sirvienta7,1 tinez 2. •r-•* • J'; : J íDoña N. 6*- * ^ 'di ti'« *1 í;íf D. Estébaií de Foircada 2. Doña R-átaelaRódriguez de VéíjtifDv D.JE D. 4. ■ ’! : - ra 2. • v-'} D. Francisco Antonio -de Rivacotyi y D. Mariano Quefol y Gabaneé. «' Gorveau-2. &gt;1‘üs ■ . ? !• Doña Magdale</t>
  </si>
  <si>
    <t>Estébanjoscf Ximencz de Ascarate</t>
  </si>
  <si>
    <t>iqpasiquéjiaien ,ell¡at-Ek&gt;s pretendientes dirigirán sus memo* riales á su escribano deayuntamiento D. Estébanjoscf Ximencz de Ascarate hasta cldíax8de i próximo mes de diciembre. . c--... • “ 11BR0S. Eos romanos'en la Grecia: obra mui curiosa y singular por lá pureza del estilo culto y elegante en que está escrit</t>
  </si>
  <si>
    <t>Estefanía Cavia y Moro</t>
  </si>
  <si>
    <t>libra, y media de cabezales. D. F; Trasviña , del comercio &gt; 6 libras de hilas y paños para vendas. Doña Estefanía Cavia y Moro 4 pares de calcetas y 4 libras de hilas. D. M. J. S. 3 dibras de hilas y 7 vendas. Doña María de Gusta 10 mantillas de caballo, con sus correspondientes fundas de pistolas, arregl</t>
  </si>
  <si>
    <t>Estefanía Napoleón, Princesa</t>
  </si>
  <si>
    <t>Princesa Estefanía Napoleón</t>
  </si>
  <si>
    <t>rido, ni se ha perdido ün solo barco de los del convoi. Maguncia 22 de junio. ’ , _ ;\; S. A, I. la Princesa Estefanía Napoleón, gran duquesa hereditaria dfi; Badén, llegó ayer á esta ciudad baKo- el nombre de princesa de Malberg. Se alojó en la posada llamada del Emperador, y hoi ha continuado su ;cá-} mi</t>
  </si>
  <si>
    <t>Estefanía, Princesa</t>
  </si>
  <si>
    <t>Princesa Estefanía</t>
  </si>
  <si>
    <t>la con tanta facilidad y prontitud como si estuviese en tierra. Godesberg 7 de julio. . S. A. I. la Princesa Estefanía, Princesa hereditaria de Badén, se halla desde el dia 4 en esta ciudad, donde no había pensado estar mas que una noche; pero le han agradado tanto los alrededores de este pueblo d</t>
  </si>
  <si>
    <t>Estepar, Santiago</t>
  </si>
  <si>
    <t>Santiago Estepar</t>
  </si>
  <si>
    <t>ante el Sr/.D. Torqinto Antonio Collado, teniente corregidor que fue de esta villa, y escribanía de D. Santiago Estepar,; el solar y fábrica de una casa, calle Mayor, en los soportales que llaman* de Roperos, núm.&gt; 13 , manz. 194, tasadoen 37972 rs. 17 mrf. , en la misma cantidad á vales reales se</t>
  </si>
  <si>
    <t>sastres ; Bernardo Flores, de confiteros; Justo Diaz Lavandero y Estanislao Gutiérrez, de alojeros; D. Santiago Estepar, de la parroquia de S. Salvador; Plácido López, de vidrieros; D. Pedro de Iriguen de Almansa, de la parroquia de S. Sebastian; Roque Carrasco , del gremio de cabreros ; Castor de</t>
  </si>
  <si>
    <t>EstevanezdeiCe, Antonio</t>
  </si>
  <si>
    <t>Antonio EstevanezdeiCe</t>
  </si>
  <si>
    <t>, por una vez. 3000. D. Manuel Salvador,,capellán, del tea! colegio, de Santa Isabel, par uoa 1200. D. Antonio EstevanezdeiCe^los* contador de fragata, á cuen,v ¿tarde Ó4Q .rs,* .por, una. vez...í... •w.,«.»fá¡ ¿«.». »»»».................... 3x0. D. Juan Junqueras, del comercio &gt; Jo* uña vez..*..........</t>
  </si>
  <si>
    <t>Estevas y Matute, Ignacio</t>
  </si>
  <si>
    <t>Ignacio Estevas y Matute</t>
  </si>
  <si>
    <t>xcmo. Sr. Marques de Villafranca............... Zaragoza..... 3GO \ SORTEO DEL DIA 5 DE ABRIL. 2026 D. Ignacio Estevas y Matute;....................... . Cádiz...... 3 00 3567’ D. Josef Mánuel de Uriarte............................. Bilbao..... 300 242 D. Agustín Lozano........... .........................</t>
  </si>
  <si>
    <t>Esteve, Agustín</t>
  </si>
  <si>
    <t>Agustín Esteve</t>
  </si>
  <si>
    <t>20000. D. Josef Tresen, por .una vez............................................ ............. 300. D. Agustín Esteve, pintor de cámara, por una vez................ . 320. / D. Miguel de Simancas, oficial de la contaduría de Juros, por una vez......................................................</t>
  </si>
  <si>
    <t>Esteves, Ignacio</t>
  </si>
  <si>
    <t>Ignacio Esteves</t>
  </si>
  <si>
    <t>v.wwy-' Zaragoza..*.. joop 544 Doña María del Pilar Lafuentey Lozano.,;.», Madrid....;*. í 39? 1714 D. Ignacio Esteves yMatutev*,'-.;..-;..,.:.,»^, C,adiz.,«...«f. v &lt;5(03 059 Doña Antonia Molina de Risel, ....v^U*&gt;. Madrid*;...;*. 5 ÓO 2330 D. Josef Reta y Miguel........ .. Cádiz........ oóo i2if D</t>
  </si>
  <si>
    <t>diz......... ; 3Q0 2186 D. Juan Antonio Várela......*...»................... ....... Coruña390 2042 D, Ignacio Esteves ...................................... ............ Cádiz..;.;..... 300 2193 D. Miguel García Fernandez................... ............ Coruña........ 500 322 D. Adrián Hernaez...</t>
  </si>
  <si>
    <t>Estevez de Ribera, Pedro</t>
  </si>
  <si>
    <t>Pedro Estevez de Ribera</t>
  </si>
  <si>
    <t>........ 40. Domingo Calvet ,30 id. por 4 id................................................. I 2Q« D. Pedro Estevez de Ribera, 30 id. por 2 id............................. 60. Roque Molina, 20 id. por agosto................................................. 20 . D. Domingo Antonio Alence, maestro carpinte</t>
  </si>
  <si>
    <t>Eugenia de Gavino, María</t>
  </si>
  <si>
    <t>María Eugenia de Gavino</t>
  </si>
  <si>
    <t>La -rea! hermané dadcdj2 auxeatra&gt; Sra. de lariHspt*raDaa.{vúigo ?mo r tai)-1 ©o camisas dé vivero. Doña María Eugenia de Gavino 1 caroisas'ptfrs*- ytaor&lt;ír¡4das;l£ santa yvreal hermandad dél/Refogb too csnnisaS de crea , Wdña y vivero hechas por las Sras. colegialas de 5; Antoniode* los Portugueses. D.Seba</t>
  </si>
  <si>
    <t>Eugenia Muñoz</t>
  </si>
  <si>
    <t>jos, 2 camisas nuevas. D. Francisco Xavier Martínez Remon 2 camisas id. Doña M. A. S 12 camisas id. Doña Eugenia Muñoz 3 camisas i&lt;l. Doña Irene Ramiro 2 camisas id.</t>
  </si>
  <si>
    <t>Eugenio Carrasco, Francisco</t>
  </si>
  <si>
    <t>Francisco Eugenio Carrasco</t>
  </si>
  <si>
    <t>J. A., 3 id. por 4 id........................................ ....................... .......... . D. Francisco Eugenio Carrasco, por una vez................. ............... 2CO. Doña Manuela de Torres , id........ .......................... .......................... 66. D. Juan Miguel de Grijaíba, ayuda</t>
  </si>
  <si>
    <t>Eugenio de Ariza</t>
  </si>
  <si>
    <t>t *339 Muías. Caball. Sillas. Bridas. Otros efecto*. D. Josef Ortiz, del comercio........ D. Eugenio de Ariza, vecino de Colmenar dé Oreja.1..........i-......... i ■ D. Josef García Aleson.................. i x El Sr. conde de Altamira................ 8 Las reales caballerizas por orden d</t>
  </si>
  <si>
    <t>Eugenio de Arrieta</t>
  </si>
  <si>
    <t>23 Rs. Mrs. D. Eugenio de Arrieta, médico, por una vez.............. ................. 160. D. Joaquin Hernández Llano, corredor de cambios, por una vez. 4000. D. Juan González Toraño, por una vez.................</t>
  </si>
  <si>
    <t>Eugenio de Iturraga</t>
  </si>
  <si>
    <t>D. Josef Rivas, D. Ramón Gorrondona, D. Juan Bastarte, D. Antonio Zavala , D. Francisco'Baldrich , D. Eugenio de Iturraga, Don Basilio Viola, D. Julián Viola , D. Juan Viola, D. Mauricio Xaplaneta, D. Pedro Nicolás Ximenez , D. Ventura Carbonell , D. Félix Victoriano Gómez, D. Juan Godoi, D. Juan Jor</t>
  </si>
  <si>
    <t>Eugenio de Onís, Joaquín</t>
  </si>
  <si>
    <t>Joaquín Eugenio de Onís</t>
  </si>
  <si>
    <t>ruña........ 600 171 D. Pedro Vall, comerciante............................. Valencia..... 600 1809 D. Joaquín Eugenio de Onís.................. ......... Zaragoza..... 600 2435 Sres. D. Pablo Fernando y D. Juan Manuel de Peralta................... ............................. . Cádiz......... 500 2053 D</t>
  </si>
  <si>
    <t>Eugenio de Sampelayo</t>
  </si>
  <si>
    <t>.................. 62. D. Juan de Jáuregui, por 2 meses á 4 rs. diarios....................... 244. D. Eugenio de Sampelayo, del comercio de paños, medio año á 12 rs. diarios.............................................................................. 2190. D. Francisco Saenz Ruiz, medio año á 12 rs.</t>
  </si>
  <si>
    <t>Eugenio Dessí y Alcázar</t>
  </si>
  <si>
    <t>. ......... roo. D. Eugenio Fernandez , id., id..;........ .................................... 60. D. Eugenio Dessí y Alcázar, id., id........ ................................... 80. D. Pedro Martin, confitero, id................................ ................ ..... . óoo.w D. Francisco Antonio de Pand</t>
  </si>
  <si>
    <t>Eugenio Díaz</t>
  </si>
  <si>
    <t>tico de id. D. Fernando Galán, diputado del barrio de Seo. Tomas. D. Francisco Moreno, diputado id. D. Eugenio Diaz, diputado interino id. D. Andrés Perez « diputado dei barrio dei Ave María. D. Ignacio Ucelai, alcalde del barrio de id. D. Manuel Balanzategui, beneficiado de S. Lorenzo. D. Mari</t>
  </si>
  <si>
    <t>Caballero. D. Esteban de la Torre. D. Pedro Gorron de Cisneros. Apoderados de los gremios menores. D. Eugenio Diaz. Manuel de la Viuda. D. Miguel Martínez. Francisco Perez. Hoi al medio día una diputación de la villa de Madrid ha sido presentada á S. M. el Emperador y Rei por S. E. el duque de</t>
  </si>
  <si>
    <t>1012 Dh ■21 'ación por el cuerpo_ de los gremios mayores. D. Eugenio Díaz , Miguel Martínez, Manuel de la Viuda , Francisco Pérez. El señor corregidor es quien ha llevado la voz, y ha puesto en manos de S. M. la petición del tenor iiguknte : SlREt Señor</t>
  </si>
  <si>
    <t>Eugenio Fernández</t>
  </si>
  <si>
    <t>id.................. 60. D. Lorenzo Bade, fiel de la renta del TabacoV* id.......... ......... roo. D. Eugenio Fernandez , id., id..;........ .................................... 60. D. Eugenio Dessí y Alcázar, id., id........ ................................... 80. D. Pedro Martin, confitero, id...</t>
  </si>
  <si>
    <t>Eugenio García</t>
  </si>
  <si>
    <t>colás Luis de Lezo y Garro: para la canongía de la catedral de Cartagena , vacante por promoción de D. Eugenio García al arcedianato titular de la misma iglesia, y renuncia de D. Josef María Prichardo, á quien S. M. fue servido nombrar para ella por decreto de 12 de octubre del año próximo pasado</t>
  </si>
  <si>
    <t>Eugenio Manuel</t>
  </si>
  <si>
    <t>3*1 y D. Eugenio Manuel, Alyarez Caballero, que fue fiscal del de Ordenes. lV ^«¿1.; , . El fiscal de la causa 3), Simón de . Viegas pidió en su acu-* sacion la pena que la leí impone á los traidores con</t>
  </si>
  <si>
    <t>Eugenio Manuel Álvarez Caballero</t>
  </si>
  <si>
    <t>fde Vilches, D. Antonio Villanueva, D. Antonio González Yebra , y los Sres. marques de Casa^García, D. Eugenio Manuel Alvarez Caballero, D. Sebastian de Torres, D. Domingo Fernandez Campomanes, D. Andres Lasauca, D. Antonio Alvarez de Contreras, y Don Miguel Alfonso Villagomez, ministros del consejo Real, nombrado</t>
  </si>
  <si>
    <t>Josef de Vilches.=D; Antonio 'Víllánuéva. =Doü Antonio González Yebra.==El marques de Gasa*García.=D. Eugenio Manuel Alvarez Caballero.=E&gt;. Sebastian de Torres. = ¡D/:Domingo Fernandez de Campomanes. = D. Andrés Lasauca.=D. Antonio Alvarez de Contrerás.=D. Miguel Alfonso Villagomez.,,</t>
  </si>
  <si>
    <t>Eugenio Napoleón, Príncipe</t>
  </si>
  <si>
    <t>Príncipe Eugenio Napoleón</t>
  </si>
  <si>
    <t>Grande, vuestro augusto padre y Soberano nuestro, como también por la’ prolongación de la vida del Príncipe Eugenio Napoleón y de su augustacsposa,”</t>
  </si>
  <si>
    <t>Eugenio Núñez</t>
  </si>
  <si>
    <t>prestazgo benefició simple de Sta. Cruz con Barcena, en la diócesi de Burgos, vacante por muerte de D. Eugenio Nuñez, á D. Juan Nepomuceno Moreno y Hore ; y para uno de los beneficios préstamos de la parror quia de Arroyo-molinos, en el obispado dé Plasencia , vacante por muerte de D. Nicolás Ti</t>
  </si>
  <si>
    <t>Eugenio Roldan</t>
  </si>
  <si>
    <t>hermoso. Se hallará en la librería de Martínez, calle de las Carretas. La Guerra: canto épico, por D. Eugenio Roldan. Véndese á 2 rs. en Ja librería de Perez, calle de las Carretas. El autor consagra á la patria este corto fruto de sus tareas, ofreciendo quanto produzca para socorro del exército</t>
  </si>
  <si>
    <t>Eugenio Sanz Calvo</t>
  </si>
  <si>
    <t>Madrid........ 300 2434 Doña Gerónima Perez del Barrio.................... Cádiz.......... 600 2351 D. Eugenio Sanz Calvo..................................... Zaragoza..,.. 300 864 D. Pedro Porter................................................. Madrid........ 300 283 D. Josef María Cortés, teniente</t>
  </si>
  <si>
    <t>Eugenio Tapia</t>
  </si>
  <si>
    <t>vil entienda y decida en los importantísimos asuntos del dia. Dupont rendido: romance heroico: por D, Eugenio Tapia. Se vende á 2 rs. en la librería de Perez, calle de las Carretas, , Oda á las esclarecidas victorias de nuestros compatriotas: por D. Antonio Alcalá Gal laño, maestránte de la rea</t>
  </si>
  <si>
    <t>Eugenio Vidangel</t>
  </si>
  <si>
    <t>, id..... ycfoo. El conde de..... en réditos de vales reales , id........................... ' 722. D. Eugenio Vidangel, presbítero, id............... . 120. D. Manuel Benayas , administrador de la real fábrica de cera de S. M., id...;.......................................................... .....</t>
  </si>
  <si>
    <t>Eugenio, Príncipe</t>
  </si>
  <si>
    <t>Príncipe Eugenio</t>
  </si>
  <si>
    <t>spués de haber leído el quarto estatuto constitucional, en que el Emperador adopta por hijo suyo al Príncipe Eugenio, declarándole 'heredero del reino de Italia, á falta de hijos propios varones, leyó tres decretos de fecha del mismo día 20. Por el primero confiere S. M. título de Príncipe de Ve</t>
  </si>
  <si>
    <t>Eugeniq</t>
  </si>
  <si>
    <t>to del tenor siguiente:,, Para la fiscalía del consejo de las Ordenes, vacante por fallecimiento de D. Eugeniq.Manuel Alvarez Caballero , nombro á D. Felipe Gil de ‘Taboada , alcalde de mi casa y corte: para la plaza que este dexaáD. Alfonso Ángel de Noreña, oidor decano de la real audienc</t>
  </si>
  <si>
    <t>Eulagio de Vitoriea</t>
  </si>
  <si>
    <t>. Zaragoza..... 300 1966 D. Pascual Martin de Vidacar........................ Zaragoza..... 6co 454 D. Eulagio de Vitoriea..................................... Bilbao.......... 300 2315 D. Bernardo Tovia Marín................................. Cádiz........... ico 1384 D. Vicente Escudero..............</t>
  </si>
  <si>
    <t>Eulalia Mónforte</t>
  </si>
  <si>
    <t>. .r D. Ignacio Abadía, del consejo de D..¡Francisco Alsina 60, S. M., 6317 rs. 17 mrs. en efectos Doña Eulalia Mónforte 200. : • ¿ ( . de estado. DoñajMarian¿)Obrégon 306.-. .; D. Luis López i®. D. Josef MaríaGutierrez de Teran D. Juam Aran 2083 rs. i x mrs. en h -Jj *::■ efectos dé estado. . D. Ro</t>
  </si>
  <si>
    <t>Eulate, Vicente</t>
  </si>
  <si>
    <t>Vicente Eulate</t>
  </si>
  <si>
    <t>ados nombraddos por el reino de León por la junta reunida de dicho reino, Castilla y Galicia , y de D. Vicente Eulate , de orden del capitán general de Castilla la vieja D. Gregorio de la Cuesta; examinados los poderes dados á. dichos Sres. por aquel cuerpo, y demas docuiríehtos relativos á estos</t>
  </si>
  <si>
    <t>ados nombrados por el reyno de León, por la junta reunida de dicho reyno, Castilla y Galicia , y de D, Vicente Eulate, de órden del capitán general de Castilla la vieja D. Gregorio de la Cuesta; examinados los poderes dados á dichos Señores por aquel cuerpo, y demas documentos relativos i estos e</t>
  </si>
  <si>
    <t>Eulogio del Rosal</t>
  </si>
  <si>
    <t>...... Zaragoza..... 300 47 D. Lorenzo Alonso Castillo, presbítero.......... Barcelona.... 500 2066 D. Eulogio del Rosal......................................... Cádiz..... 300 1968 D. Manuel Chianfi............................................... Zaragoza 3 co 1439 Josef Soto y Manteli..............</t>
  </si>
  <si>
    <t>Eulogio Viliazan Herrera</t>
  </si>
  <si>
    <t>, por una vez................. 80. ' D. Diego Hurtado , ppr una vez........................... 400. D. Eulogio Viliazan Herrera, agente de Indias, por úna vez... 1500. D. M. W. I., presbítero, por una vez...... ........... 100. D. J. X. , presbítero , por una vez.............. ico. D. Pedro Pablo de Irigoy</t>
  </si>
  <si>
    <t>Eüsebio Antonio</t>
  </si>
  <si>
    <t>io* Según el parte que con fecha cíe 3 r del pasado ha comunicado á esta Suprema Junta el Excm. Sr. D. Eüsebio Antonio de</t>
  </si>
  <si>
    <t>Eusebio de Bardaxí</t>
  </si>
  <si>
    <t>rnando tii , que Dios nos restituya quanto antes para colmo de nuestra felicidad. = Pedro Gevallos. Don Eusebio de Bardaxí y'Azara y D. Luis de Onis, secretarios del Rei nuestro Señor con exercicio de decretos, y oficiales mayores de la. primera secretaría de Estado y del Despacho, certificamos ser cier</t>
  </si>
  <si>
    <t>Eusebio de Bardaxi y Azara</t>
  </si>
  <si>
    <t>as antiguo desempeñaba interinamente , lie tenido á bien habilitar al oficial mayor primero de ella D. Eusebio de Bardaxi y Azara , para que provisionalmente pueda tener v \ conferencias con los embaxadores y ministros ae las cortes extrangeras, y firmar las órdenes en que comunique mis reales resoluciones,</t>
  </si>
  <si>
    <t>Eusebio de Bardaxí y Azara</t>
  </si>
  <si>
    <t>primera secretaría de Estado y del despacho de S. M. , y sus secretarios con exercicio de decretos D. Eusebio de Bardaxí y Azara y D. Luis de Onis, por cuyas manos han pasado. He creído de mi obligación publicar estos hechos, para que toda la nación quede instruida de lo que dio lugar á la entrega de D. Manuel</t>
  </si>
  <si>
    <t>Eusebio de Irigoyen, Miguel</t>
  </si>
  <si>
    <t>Miguel Eusebio de Irigoyen</t>
  </si>
  <si>
    <t>z...... 1000 1540 D. Pascual Josef de Ardanaz............................ Bilbao.......... 300 1718 D. Miguel Eusebio de Irigoyen...................... Cádiz........... 300 1622 D. Josef Escalante............................................... Santander.... 500</t>
  </si>
  <si>
    <t>Eusebio Herrera</t>
  </si>
  <si>
    <t>ara el qual esta Junta suprema, apreciadora del talento y pericia militar de su vocal el Excmo. Sr. D. Eusebio Herrera, le ha nombrado general. Hemos tenido noticias de que la Junta central y gubernativa de los Reynos se halla por ahora en Truxillo. La tarde del 11, en el prado de S. Sebastian pas</t>
  </si>
  <si>
    <t>Eusebio Josef Rodríguez</t>
  </si>
  <si>
    <t>r3°? cámara del Emo. Sr. cardenal presidente ; D. Domingo Salceto ¿ regidor perpetuo; D. Eusebio Josef Rodríguez y D. Manuel Bernardo Roldan, diputados de este común; D. Manuel de Huertas, D. Bruno Francisco de Acosta, D. Julián Manuel dé Valverdé, D. Patricio Ortiz/Pareja, Dón Francisco Ruano S</t>
  </si>
  <si>
    <t>Eusebio María de los Heros</t>
  </si>
  <si>
    <t>ian; D. Domingo Alvares, beneficiado de la de Santiago. Diputación del cuerpo colegiado de nobleza. D. Eusebio María de los Heros , D. Benito de Prado y Ulloa. Diputación de los cinco gremios mayores. D. Pedro Rubio , D. Vicente Ambrosio de Aguirre. Por las 6~4 diputaciones de los barrios que componen los ro</t>
  </si>
  <si>
    <t>Eusebio Pefez</t>
  </si>
  <si>
    <t>neda, por agosto^ 30 rs, mensuales.l^;.í....:¿í.íUt..¡&gt;..&gt;................... ...........vi.... 30. D. Eusebio Pefez* Wlatór déí consejó de Guerra^ por id.1 á 120 rs. id.,.....-.í4ii...¿......................................................... . 120. D. Josef de Oñaederra , archivero de Pósitos,</t>
  </si>
  <si>
    <t>Eusebio Pérez Mozun</t>
  </si>
  <si>
    <t>uña....... 1000 2437 D. Ernesto Rittnageii.........;.....1.4....»;.......¿. Málaga...1.... 1000 569 D. Eusebio Perez Mozun..... ................... Madrid....... 600 2276 Doña Josefa de Atristain................. .............. Bilbao........ 3000*06.^ 393 D. Jo&gt;ef Hernández, oficial en rentas..... .</t>
  </si>
  <si>
    <t>Eusebio Sainz Manteca</t>
  </si>
  <si>
    <t>ales reales, por una vez...... ..................... ......................................... 100. D. Eusebio Sainz Manteca, id................. ............ .................... . 200. D. Lúeas Herrero, id................................ .■................................... 480. Doña Antonia Fernande</t>
  </si>
  <si>
    <t>Eustaquio Cabieces</t>
  </si>
  <si>
    <t>S. M. que á las viudas , y en su defecto á los hijos, de Don Josef Pió Muxica, capitán comandante, D. Eustaquio Cabieces, teniente-, D. Juan Rufo de Zorrilla, ayudante maycír, graduado de capitán, y á Juan de Dios Campuzáno, capitán retirado, y Pedro Isica, subteniente, que fueron muertos en la defe</t>
  </si>
  <si>
    <t>Eustaquio de Lazcanó, Juan</t>
  </si>
  <si>
    <t>Juan Eustaquio de Lazcanó</t>
  </si>
  <si>
    <t>iago, sargento mayor del de Jaén: compañía en este último cuerpo al ayudante , graduado de capitán, D. Juan Eustaquio de Lazcanó ; y en el de Burgos regencia al-subteniente de granaderos D. Fernando Diaz de Tuna, y subtenencia de bandera aí ca^* dete D. Félix Ferrer. . ■ S. M. se ha servido conceder en el r</t>
  </si>
  <si>
    <t>Eustaquio Sanz</t>
  </si>
  <si>
    <t>. Andrés Romero Valdes , alcalde de la real Casa y Corte. 24 pares de zapatos nuevos para la tropa. D. Eustaquio Sanz un par de pistolas. D. Juan Muriarti un par id. La Excma. Sra. duquesa viuda del Infantado 2 caballos, ademas de otro cuya entrega está ya anunciada. D.S.T. un caballo con su corr</t>
  </si>
  <si>
    <t>Evarísta Vizcaíno</t>
  </si>
  <si>
    <t>. Doña María Josefa la Sala y Callen Doña Teodora Salazar de Sepúlve- libra y media de hilas. da 6. Doña Evarísta Vizcaíno 4. La Sra. de ligarte 2. D. F. N. 2 Doña Francisca Antonia Matei 8 va­ D. Josef Antonio Perez Benito 2 caras de lienzo. : misas, una sábana y una corta porD. Fernando Barcena 2 ca</t>
  </si>
  <si>
    <t>Evaristo Pérez de Casto</t>
  </si>
  <si>
    <t>cios, por; una vez..... 550. D. Antonio Bravo, maestro vidriero, por una vez.................. 320. D. Evaristo Perez de Casto , oficial de la secretaría de Estado, por ahora............. ...»..................................................... ............ 1000. D. Francisco Fernandez, fabricante de pia</t>
  </si>
  <si>
    <t>Evaristo Pérez de Castro</t>
  </si>
  <si>
    <t>Doña María del Pilar Martínez de Doña Saturnina Mexia 2. Murga 50. Doña María Josefa de Ladalid 2. D. Evaristo Perez de Castro 6 id. y D. Pedro Gutiérrez Barona 4. 6 pares de calcetas. La Excma. Sra. duquesa deHíjar 21. D. Ramón de Haro 12 camisas. Doña Isabel Aguilera ó. D. Tomas de Arsu 12. Doña Teresa</t>
  </si>
  <si>
    <t>Éwal</t>
  </si>
  <si>
    <t>sido escoltado hasta Elsenemf por dos oficiales de la guardia real sueca. Escriben de Neustadt que Mr. Éwal, teniente de húsares* habia pasado sobre el hielo con algunos soldados de su regimiento, desde el puerto á la rada para apoderarse de una embarcación sueca*'y loconsiguió en efect</t>
  </si>
  <si>
    <t>Exea, Felipe</t>
  </si>
  <si>
    <t>Felipe Exea</t>
  </si>
  <si>
    <t>de Sola y Béltran para uná canongía penitenciaria de ia catedral de Ibiza, vacante por promoción de D. Felipe Exea á una canongía de la de Urgel. El Reí en consideración á los distinguidos servicios, mérito y zelo que concurren en el teniente general el señor duque de la Roca, ha venido en nom</t>
  </si>
  <si>
    <t>Ezequiel Razóla, Ramón</t>
  </si>
  <si>
    <t>Ramón Ezequiel Razóla</t>
  </si>
  <si>
    <t>io de Moscoso....... .................................................... . Madrid....... 5.00 1906 D. Ramón Ezequiel Razóla........... .................. Zaragoza..... 5000 663 D. Manuel Agüilon............................................. Madrid....... 1000 165 D. Josef Izquierdo Ortihuela........ ...</t>
  </si>
  <si>
    <t>Ezquerra, Manuel</t>
  </si>
  <si>
    <t>Manuel Ezquerra</t>
  </si>
  <si>
    <t>regidor de esta villa, J»e cita, llama y emplaza á D. Josef Pastor, D. Miguel Giró ó sus herederos, Don Manuel Ezquerra , D,. Vicente García ó su heredera, Julián González, maestro espartero , D. Melchor Manconel, Josef Escólau ó sus herederos, D. Josef Borrull, D. Tomas Zalzo, D. Tomas Grabepvos ó</t>
  </si>
  <si>
    <t>Ezquerra, Pedro</t>
  </si>
  <si>
    <t>Pedro Ezquerra</t>
  </si>
  <si>
    <t>. D. Francisco Villegas. D. Juan Francisco Molina* pretvbítero. D. Ignacio Guerra. D. Mam e) Ramos. D. Pedro Ezquerra, secretario de la diputación de S. Gines. D. Diego Crespo, diputado de Santa Cruz. D. Andrés Ortiz id. D. Feliciano Gómez id. D. JusnDuarez, secretario. Fr. Fíánéisco dé S. Josef,</t>
  </si>
  <si>
    <t>Ezqufcrtá, Pedro</t>
  </si>
  <si>
    <t>Pedro Ezqufcrtá</t>
  </si>
  <si>
    <t>.. ..... 500. D. ‘Tomas Toíijano /anualmente...................... ........................... 500. D. Pedro Ezqufcrtá, id................................ ........ .......... .............. 500. D. Jóséf Morales, 20 rs. mensuales, por 2 meses....................... 40. D. Isidro Ardura, 20 id. id.</t>
  </si>
  <si>
    <t>F'onnegra, Ignacio</t>
  </si>
  <si>
    <t>Ignacio F'onnegra</t>
  </si>
  <si>
    <t>había muy pocos franceses en Viilareal y Castromarin * comunicó esta noticia al Comandante general D. Ignacio F'onnegra y á la Junta que se formó á las 7. de la mañana del ai. Dudóse algún tiempo si se atacaría al enemigo; pues no había órden de esta suprema Junta para ello. Las representaciones del</t>
  </si>
  <si>
    <t>Fabeyrae, Antonio</t>
  </si>
  <si>
    <t>Antonio Fabeyrae</t>
  </si>
  <si>
    <t>ría Teresa Fernandez Delgado 3. Doña Agustina Martin 2. Doña Teresa López 2. Doña Angela Ugena una. D. Antonio Fabeyrae 6. Dia 28. Doña Angela Taulau 3 caminas. Una señora viuda 3. D. Francisco Garibai 12. Doña Antonia Bellas y García 2. Doña María Antonia Cano 2 camisas de coruña. Los señ res cond</t>
  </si>
  <si>
    <t>Fabian de Miranda</t>
  </si>
  <si>
    <t>dad de su presidencia^ ha elegido por su vioe presidente, por término de dos meses ., al Excmo. Sr. D. Fabian de Miranda, vocal de U misma y desn de esta Sta. iglesia catedral» La sub.se i pe ion de esta , que se íubia anunciado en C. di/ en la librería de O. Victoriano Pajares, se hará -en la de D.</t>
  </si>
  <si>
    <t>Fabián de Miranda</t>
  </si>
  <si>
    <t>6 de diciembre de 1808</t>
  </si>
  <si>
    <t>Sevilla 55</t>
  </si>
  <si>
    <t>lla ' 1. de (j ctubre. . - Por . indisposición del ExcrntvSr. ¿Vicepresidente de esta Suprema Junta D. Fabián de Miranda, * ean de. esta Pa* triarcal Iglesia, nombrado en 23. „ de Octubre para fa Vicepresídencia por ausencia del Serenísimo Sr* Francisco de Saayedra, con . fecha dé u 0 del. corriente</t>
  </si>
  <si>
    <t>Fabian Grande</t>
  </si>
  <si>
    <t>itir petición ninguna. Continúan las cartas intereytadas. N. 4.0 Cádiz y noviembre aj) de 1808. Sr. D. Fabian Grande, Aranjuez. Hasta ahora tenemos noticias bien funestas: se aguardan con ansia los correos, con la esperanza de que vengan favorables; lo cierto es que estamos en una posición bien</t>
  </si>
  <si>
    <t>Fabregue, Juan Antonio</t>
  </si>
  <si>
    <t>Juan Antonio Fabregue</t>
  </si>
  <si>
    <t>Sevilla 49</t>
  </si>
  <si>
    <t>1500 pata guias de su exército* Sevilla 15 de Noviembre» Es muy digna de repetirse la relación &lt;jue D. Juan Antonio Fabregue, subteniente del i*° batallón de volunsaríos de Cataluña , remitia á su hermano en carta fecha de 29 de Agosto de este año, en el navio Edgar, sobre algunos de los sucesos que ocu</t>
  </si>
  <si>
    <t>Fabregues, Juan Antonio</t>
  </si>
  <si>
    <t>Juan Antonio Fabregues</t>
  </si>
  <si>
    <t>ste puerto la fragata Ácasta con pertrechos'de guerra y 181® duros. Tortosa 25 de octubre. Carta de D. Juan Antonio Fabregues, oficial del exército del. Excmo, Sr. ' marques dé la Romana t d su hermano D. Pedrb Pdkcúdl, oficial dét segundo batdtton de Voluritarijis de Barcelona. j ~ A bordo del navio Edg</t>
  </si>
  <si>
    <t>Fabro, Manuel</t>
  </si>
  <si>
    <t>Manuel Fabro</t>
  </si>
  <si>
    <t>on 2 ayudantes seguhdos subalternos dedos ¡mismos cuerpos. Mayor general de infantería el brigadier D. Manuel Fabro, coronel del regimiento de infantería, de línea Re Toledo, con 2 ayudantes, el capitán de voluntarios de la* Corona D.vjosef Maldonado, y D. Joaquín Armeodariz, capitán primero de</t>
  </si>
  <si>
    <t>Factor</t>
  </si>
  <si>
    <t>nda.. ,i,i Lía ha^iío ua terrible incendio en Donvres. Empezóle! fuego, en los grandes almacenes de Mr. Factor, los, quales estaban atestados dq,mercadea rías cogidas á los dinamarqueses. Todos ellos han sido reducidos á;cenizas* cpmo asimismo un gran depósito de artillería , donde .había</t>
  </si>
  <si>
    <t>Facunda Lo, María</t>
  </si>
  <si>
    <t>María Facunda Lo</t>
  </si>
  <si>
    <t>aquín Uceda una camisa. La real archicofradía sacramental de S. Cines 100. Doña Joaquina Navarro 4. Doña María Facunda Lo^ pez 2. Dia D. Simón de Antepara Luceta, vecino de Alcalá de Henares, 240 pares de calcetas. Dia ro. D. Casimiro Navarro, en nombre de sus hijas, 13 camisas. D. Antonio Lezaica, m</t>
  </si>
  <si>
    <t>Facundo Manso</t>
  </si>
  <si>
    <t>o deiuíañteria. Las señoritas de Güel 12 pares de calcetas;. ^r&gt; ; '•/ ; ;; &gt;,r'■ i: ;';o«fi .■ Dia D. Facundo Manso 6 camisas;-D.^Glaüdio-Bóutblbii 24. Una Sra. viuda 2. Doña J. M. H. 2 sábanas y 2 .camisas. D. I. G/C. S; 15 camisas. D. Gregorio Fernandez Dorado 4 camisas &lt;y&gt;4 pares de calcetas</t>
  </si>
  <si>
    <t>Faijo, María</t>
  </si>
  <si>
    <t>María Faijo</t>
  </si>
  <si>
    <t>........... 40. D. Joaquín Blazquez , 60 id. id...................... ........................ 120. Doña María Faijo, por una vez................................................... 4. D, Lorenzo Moreno, id.......................................... ........ ........... . 500. Doña F. M., id......</t>
  </si>
  <si>
    <t>Farras, Juan Bautista</t>
  </si>
  <si>
    <t>Juan Bautista Farras</t>
  </si>
  <si>
    <t>vido nombrar para una canongía llamada capiscolía de la colegiata de Castellvó, diócesi de Urgel, á D. Juan Bautista Farras: para la dignidad de tesorero de la catedral de Guadix, vacante por fallecimiento de D. Gabriel López Lorca, á D. Miguel Raigón y Díaz, canónigo de la colegiata del Salvador de Gr</t>
  </si>
  <si>
    <t>Fascio, Juan Andrés</t>
  </si>
  <si>
    <t>Juan Andrés Fascio</t>
  </si>
  <si>
    <t>Cádiz.......... 300 163 D. Francisco Xavier Sánchez....................... . Valencia..... 300 1071 D. Juan Andrés Fascio............................ Madrid....... 500 306 Rafael Medina y Lafita................................... Málaga........ 1000 64 D. Miguel de Gazma..............................</t>
  </si>
  <si>
    <t>Faura, Juan</t>
  </si>
  <si>
    <t>Juan Faura</t>
  </si>
  <si>
    <t>b condesa deCastroponce, mensual meare ........ ¿v..... ..... .................... ........... 20. D. Juan Faura, mensuahnente............................ ................ ........... 40. Josef Miñones, almacenista de carbón, p*&gt;r 3 meses á un reai diario........................... .........</t>
  </si>
  <si>
    <t>Faustina Bustarviejo</t>
  </si>
  <si>
    <t>ña Francisca Laliga 1. Doña Nicolasa Montero 2. Doña María Rodríguez 1. El colegio de S. Antonio 3. Doña Faustina Bustarviejo 3. Doña Catalina Villa 3. Doña Joaquina Alberto de Zülueta 2 camisas y 2 pares de calcetas. Dia 13. Doña María. Petra Pastor 47 varas de lienzo. D. Tadeo Bravo de Rivero hechura d</t>
  </si>
  <si>
    <t>Fausto Díaz</t>
  </si>
  <si>
    <t>. ,, , ; D: F;T£-Gd C; -M. L.acamisas. tíoñal’N^pija^y^üná UJfrá deshijas.:: Una señora viuda : " J D. Fausto Díaz y su parienta 2 ca- Doña María Josefa de Arribas 2. ' misas, 12 vendas, 24 paños y 3 li- Doñ^ Josefa del Rio una chaqueta y bras de hilas, úii pantalón. D. Prudencio Heínandez Sta.</t>
  </si>
  <si>
    <t>Fausto Juara</t>
  </si>
  <si>
    <t>aga é hijo.....'........ ■ Bilbao.......... 300 2272 D. Pascual de Atristain,,, Bilbao. I 5 OO 1890 D. Fausto Juara.,,.......... goza..... 300 85 7 D. Franciscq Gutiérrez,Solana. 9* • * • t » «■« • • • ■».% •AJajitid !•••« Sr j OO 452 D. Manuel Antonio de Boloqui,..,..1.,..-.;,;. Bilbao..../...</t>
  </si>
  <si>
    <t>Fausto Martínez de la Torre</t>
  </si>
  <si>
    <t>................. . 75. Domingo Fraileo Losada, 10 id. por 2 meses.,............ .............. 20. D. Fausto Martínez de la Torre, profesor de grabado, un real diario, por 2 meses................................................ .................... 61. D. Blas Sánchez Puertas, 2 id. id..-............... ....</t>
  </si>
  <si>
    <t>Fausto Sodupe</t>
  </si>
  <si>
    <t>este á Don Tomas Borrero Ponton, cura rector de dicha catedral: para la primera ración de aumento á D. Fausto Sodupe, y para la media ración que este dexa á D. Juan Antonio Xaramillo, cura en el obispado de Quito: para la segunda ración á D. Josef Miguel Carrion, y para la media ración ae este á</t>
  </si>
  <si>
    <t>Fbrnando</t>
  </si>
  <si>
    <t>anca se ha servido dirigir al Sr. D. Antbnio Cornel el1 real decreto siguiente: „El Reí nuestro Sr. D. Fbrnando vtt , y en su real nombre la Junta céntral suprema y gubernativa del reino , deseando facilitar todos los medios de brevedad en el despacho de los negocios, y atendiendo á lo prac</t>
  </si>
  <si>
    <t>Fdrmif</t>
  </si>
  <si>
    <t>..,.»././/../ Zaragoza;../. 600 788’ D. -Jtían Manuel de Ganduqui................... . • Madrid 500 D. Fdrmif/Carnerea Vela.............................¿.7 Madrid......;. 500 755 D. Antonio Rodríguez y compañía.......... ........ Madrid ..!../ 300 1041 D. Juan Antonio Menguez.............</t>
  </si>
  <si>
    <t>Febrer, Bernardo</t>
  </si>
  <si>
    <t>Bernardo Febrer</t>
  </si>
  <si>
    <t>pio dia; y por no haber concurrido en ¿1 aLConsejo los señores ministros D. Pantaleon de Beramendi, D. Bernardo Febrer, y Dos Francisco Eugenio Carrasco t el secretario de millones D. Ignacio Rodrigues de Riras, y el certificante, no pudieron executarló, y lo han verificado igual en todo al de los</t>
  </si>
  <si>
    <t>Fedeli, Vicente</t>
  </si>
  <si>
    <t>Vicente Fedeli</t>
  </si>
  <si>
    <t>.[.... D. Josef María Gómez. En Soria.......... . D. Luis Martínez de Aparicio. En S. Ildefonso.... D. Vicente Fedeli. En Toledo.............. Sres. Chavarri y Posadillo. En Toro................ D. Josef Ligero. En Valencia.......... Sres. D. Francisco Peirolon y compañía* En Valladolid...... D.</t>
  </si>
  <si>
    <t>Federico</t>
  </si>
  <si>
    <t>0 meses..................... 300. D. Juan Manuel Perez, 20 id. durante 4 meses, por agosto..... 20. D. Federico de ia Oliva, 120 id. por *2 meses......... .................. 240. O. Josef López de ia Torre Aylíon y Gallo, 40 id. por agosto.. 40. D. Diego de Cañas, 75 id. id.................. .</t>
  </si>
  <si>
    <t>Federico Augusto Proelss</t>
  </si>
  <si>
    <t>l á Don Juan Gutiérrez Páramo, su secretarib. , ■Nosabiéndose el paradera de O. Federico Augusto Proelss, natural de Qrcsde, en Saxonia, viajante que fue de la casa intitulada F. R. Peyer y compañía, y*que se hallaba hace pocos años en Cádiz y Sevilla, le hacen,saber sus parientes , que la ca</t>
  </si>
  <si>
    <t>Federico Marión</t>
  </si>
  <si>
    <t>de la Concepción Gerónitna de esta corte, una custodia de plata sobredorada con 239 onzas de peso. D. Federico Marión, 60 rs. mensuales, por un mes.................. 60. D. Josef de Balde, 60 id. por 2 meses.............. ........................ 120. D. Bernardo Perez, por una vez.......... ....</t>
  </si>
  <si>
    <t>Federico Moreti</t>
  </si>
  <si>
    <t>r, maestro de piano de S. A. R. la Princesa Amalia de Rusia, y traducido del francés por el capitán D. Federico Moreti, á 20 rs. i EN LA IMPRENTA REAL.</t>
  </si>
  <si>
    <t>ses, que residen en dicha Capital. Badajoz 23. de Junio.. La noche del 2r. del corriente se apoderó D. Federico Moreti, Oficial de Walones , y Comandante de una legión de voluntarios extrangeros, compuesta en la mayor parte de desertores y emigrados Portugueses, de la plaza de Jurumeña, distante s</t>
  </si>
  <si>
    <t>ortugueses, que. gemían baxo- el yugo execrable de los tiranos del continente, resolvió cpmUiqnar á D. Federico Moreti, oficial de distinguido vakr, para que con jan cuerpo de tropas marchase á apoderarse .de la plaza de Juruméña, lo que efectuó venciendo, con la mayor bizarría qu autos obstáculos</t>
  </si>
  <si>
    <t>aza de Marvom , mandando pasen á Campcmayor, y las que he puesto á disposición de dicho coronel Sr. D. Federico Moreti, baxo cuyas órdenes me hallaba en Evora, y por ser el resultado de la expedición que he executado por una comisión particular. ,,Que es quanto debo decir á V. E. en consecuencia d</t>
  </si>
  <si>
    <t>. de Mad.) . Badajoz 17. de Agouo». Del parter que dá ai Excmo. Sr. Capitán general de; Extremadura D. Federico Moreti , Comandante de las tropas españolas en Evora , fecha 11 de Agosto , sobre la acción, que tuvo en unión con las tropas portuguesas y paysanos, el 29 del mes pasado contra una colu</t>
  </si>
  <si>
    <t>y á los generales portugués 6 ingles , á quienes fué diputado con pliegos de la Jonta de Evora y de D. Federico Moreti, fecha z6 del pasado. Después de haber sido perseguido de Francos á Coimbra por una partida de 300 franceses de caballería y artillería volante , que dirigían su marcha á Abrante?</t>
  </si>
  <si>
    <t>Federico Schlegel</t>
  </si>
  <si>
    <t>después de una expedición gloriosa entró de vuelta el 10 de abril en Tolon. Escriben de Colonia que Mr. Federico Schlegel, literato acreditado por sus conocimientos en la lengua griega, y por varias obras que ha publicado sobre las bellas artes, ha renunciado á la religión reformada que profesaba ant</t>
  </si>
  <si>
    <t>Federico-Moreti</t>
  </si>
  <si>
    <t>f$ dt* julio. Los portugueses acaban de dirigirnos, por mano del gobernador de Juenmeña el coronel D. Federico-Moreti la adjunta carta , y la representación siguiente que publicamos traducidas. ,Oprimidos; y faltos de medios para libertarnos, hemos sido pavorosos espectadores de la-velocidad con que</t>
  </si>
  <si>
    <t>Feiipe Salcedo</t>
  </si>
  <si>
    <t>ragoza 500 2358 D. Estanislao de Hito........................................ Zaragoza..... 500 77© D. Feiipe Salcedo y compañía.......................... Madrid........ 600</t>
  </si>
  <si>
    <t>Féiix O-Neille</t>
  </si>
  <si>
    <t>a de la fecha. Navio de guerra de 74 cañones $. Francisco de Paula, sú comandante el de igual ciase D. Féiix O-Neille, para Veracruz.</t>
  </si>
  <si>
    <t>Feílenberg</t>
  </si>
  <si>
    <t>tro de lo Interior del imperio francés para-ver y examinar el establecimiento formado en HofwiL por Mr. Feílenberg. Ya han despachado su encargo, y se aseguráque lo que han Visto, ha sobrepujado, á sus esperanzas. . El nuevo landaman de Suiza tintan *.d¿ latcerii^ * recibió los po¿ áefé¿ leT¿</t>
  </si>
  <si>
    <t>Feliciana Abaría y Simó</t>
  </si>
  <si>
    <t>ud de providencia de los señores del real y supremo consejo de la Guerra se cita, llama y emplaza á Doña Feliciana Abaría y Simó, religiosa en el convento de la Concepción Victoria ó Qerónima de Tcrtosa, y por ella á su comunidad, á D. Juan Bautista, D. Ramón, D. Josef Antonio , D. Tomas, Doña María Josefa</t>
  </si>
  <si>
    <t>por dos papeles públicos de la gazeta y diario de esta corte de x.° de mayo y 29 de junio últimos á Doña Feliciana Abaría y Simó, religiosa en el convento de la Concepción Gerónima de Tortosa, y por día á su comunidad, á D. Juan Bautista, D. Ramón, D. Josef Antonio, D. Tomas, Doña María Josefa y Doña Monica</t>
  </si>
  <si>
    <t>Feliciano del Rio</t>
  </si>
  <si>
    <t>’ .' flan llegado á esta Capital D. Manuel Terrado, Diputado de la Junta gobernativa de Galicia, y D. Feliciano del Rio, Diputado de' lñ de Canarias, embiados á esta Suprema Junta, para tratad con ella los intereses de la patria. ' Él Dr. D. Juan de Ja Torre* Abogad# de los reales Consejos, Alcalde</t>
  </si>
  <si>
    <t>Feliciano Fernández</t>
  </si>
  <si>
    <t>stante de haber auxiliado al gobierno con crecidas cantidades, en vales reales, id......... 200000. D. Feliciano Fernandez, id Mé*éé'étltlé*é&lt;*éé4*«rM*»l-« Uiétll « l #M &lt; IM »*•* »*• IOO. D. Josef de Serra y Fránqh,-del comercio, 244 rs. por los me«es de agosto y setiembre á 4-durios, y 1® id........</t>
  </si>
  <si>
    <t>Feliciano Gómez</t>
  </si>
  <si>
    <t>cretario de la diputación de S. Gines. D. Diego Crespo, diputado de Santa Cruz. D. Andrés Ortiz id. D. Feliciano Gómez id. D. JusnDuarez, secretario. Fr. Fíánéisco dé S. Josef, prior del Carmen descalzo. Fr. Celedonio Urrutia , rector de Doña María dé Aragón. D. Rafael Chartea, diputado de Santa I</t>
  </si>
  <si>
    <t>FelicianoAei Arcó</t>
  </si>
  <si>
    <t>8 id*, id»».•••■ v , 248. Doña Francisca .Xaviera de Garai, viuda, 6; id. por. un; año....»; 2190. D. FelicianoAei Arcó, del comercio, 6 id. id.......................... 219O. D. Joaquín Lorenzo.Vilianueya,d ^d’; P9r agos*°*,*v.....•••*...... 186. D. Francisco. Antonio de Rucayado,,4 id. por 5 mese</t>
  </si>
  <si>
    <t>Félik Ugarte</t>
  </si>
  <si>
    <t>............ ................ loo. MárcosMoratíHa, oficial de coches,, por una vez.....i...... 200. D. Félik Ugarte i canónigo de S: Isidro, en-z recibos ,de rédftóz sobre, la rénta del1 tabaco, pór úna lvéz........................ 1100 .12s D. Frántisco l^iaz, por uña vez......................</t>
  </si>
  <si>
    <t>Felipa Álvarez</t>
  </si>
  <si>
    <t>por agosto á 60 rs. id......*...................................................... .......... 60. Doña Felipa Alvarez, viuda-, por agosto á 40..rs.. id.................... 4°* / Los marqueses de Fuerte-Híjar, por agosto á. 1® rs. id...... 1000. / : D. Juan Druliet, soldado disperso, por agosto á</t>
  </si>
  <si>
    <t>Felipa de Mendinueta, María</t>
  </si>
  <si>
    <t>María Felipa de Mendinueta</t>
  </si>
  <si>
    <t>s de botines de lienzo cortos. Doña Francisca Gil 15 varas de paño. D. Andrés Peña 6 varas de paño. Doña María Felipa de Mendinueta</t>
  </si>
  <si>
    <t>Felipa Estuaila y Rita Vada</t>
  </si>
  <si>
    <t>a Petronila Vellorita media. Don Nicolás de Zalles-2. D¿ Benito Ruiz Gamez 4. La Sra. de Siles una. Doña Felipa Estuaila y Doña Rita Vada 3. D. Ventura López 2. Don Rodrigo Rocas 6 camisas, hilas y paños. D. Antonio Chevarria 18 vendas. El alcalde del barrio de las descalzas Reales 8 camisas finas. Doña Felipa Pascu</t>
  </si>
  <si>
    <t>Felipa Falcon y Rutiman, María</t>
  </si>
  <si>
    <t>María Felipa Falcon y Rutiman</t>
  </si>
  <si>
    <t>ariscal 4. Una viuda una. Doña María Rueda 2. Doña Ignacia Rodríguez 2. D. M. C. 6. Doña M. C. una. Doña María Felipa Falcon y Rutiman 4. Cristina Bueno una. Dia 29. Doña JCaviera Escudero 4 camisas. D. Juan Luque 6. Un religioso 42 varas de coruña. Doña Joaquina Bradi 18 camisas. D. Josef Rfoja 6 de coruña. Las</t>
  </si>
  <si>
    <t>Felipa Pascual</t>
  </si>
  <si>
    <t>ños. D. Antonio Chevarria 18 vendas. El alcalde del barrio de las descalzas Reales 8 camisas finas. Doña Felipa Pascual una libra de hilas. Las niñas de Legaftes 6 libras de hilas, paños y verdas. D. Miguel Angel Sancho , D. Antonio Yarretu , Doña Josefa de Olavarrieta y su hijo D. Francúco, Doña A</t>
  </si>
  <si>
    <t>FelipaMéteridirb, Gabriel</t>
  </si>
  <si>
    <t>Gabriel FelipaMéteridirb</t>
  </si>
  <si>
    <t>. ............... #f j6ío. D* Í5• jR.# ^ pólT Ufld&gt; " ^CZ»*• p • ^ ^vf«f e • a,.^ 4«^s •« ' " ^QOQw D. Gabriel FelipaMéteridirb / oficial mayor detesQ|'én«i general, ; 4 .ú por 11 03 VÓZ#'.&lt;».niV«0 P'pJpftf^tfaPPtPP «* ** * * • * • • • *&gt;•■-»« « «*» • **»•!(»*** * ^Í^OO« "' D. Luis de Goyenechéy Muzquízyma</t>
  </si>
  <si>
    <t>Felipe-de Urriza-y-compañía</t>
  </si>
  <si>
    <t>-y- Famada.......... Madrid......; 300 Í427 Josef Garrido.................... Málaga....... 300 835 D. Felipe-de Urriza-y-compañía.!.;..Madrid. 3°° 199 D.-Pablo JqVer y Plací es, alcalde mayor.Alicante...!.. 300 1045 Doña María. Gavina Marín;...;..-.Madrid....... 500 42 5 D. Miguel Alvo Lombera...Santander...</t>
  </si>
  <si>
    <t>Fellenberg</t>
  </si>
  <si>
    <t>la fiesta que celebran anualmente los pastores suizos, los.establecimientos fundados en Hofwyl por Mr. Fellenberg, el instituto pestaloziano de Iverdun , y en general todo quanto hai de mas notable éti la Suiza. Ya han salido de Lucerna los comisarios que envía el landaman á examinar y visita</t>
  </si>
  <si>
    <t>ntes parciales*. Los cinco comisarios encargados de examinar los establecimientos de agricultura de Mr. Fellenberg han estado 8 dias en Hofvil, ocupados en recorrer los detalles de todo lo que pertenece á este excelente establecimiento , sobre el qual darán su informe á la dieta. He aquí la ca</t>
  </si>
  <si>
    <t>Felu, Pedro</t>
  </si>
  <si>
    <t>Pedro Felu</t>
  </si>
  <si>
    <t>4.5.80 JD. Gabriel )de Eguillor......... Bilbao................ 300 r; &gt;36 J)..Pedro Felu, presbítero... Barcelona.... -300 875 Doña Joaquina Serra........... (/Madrid........... 3000 1073 P. Miguel Gutiérrez y compañía...................... Madrid............. 500 2079 íb Juan Ma</t>
  </si>
  <si>
    <t>Femando Vázquez Ttllez</t>
  </si>
  <si>
    <t>6. D. Pedro de Prado 3 camisas. D. Juan Francisco Rodrigo 6. D. Francisco de las Barreras 50 pares D. Femando Vázquez Ttllez 12. de calcetas. Doña María Vacas una libra de hilas. Lá Excma. Sra. condesa de Castél- D. Josef Antonio de Alcalá 2 caflorido 24 camisas. misas. D. Josef Coronat 2 y 2 pares de c</t>
  </si>
  <si>
    <t>Femando VIJ</t>
  </si>
  <si>
    <t>n !o¿ enemigas reponerla desraon» s&amp;da em la C&gt;uz cubierta* Sevilla 30 de Diciembre» El Rey Nío, Sr D. Femando VIJ, y en su real porobre Ja JSqprerna Junta de gobierno del Reyno , h# -servido nombrar paira ti empleo de director general de la #rii!leri* , que obtenía D Tomas de Moría» á D. Vice</t>
  </si>
  <si>
    <t>Fenzi, Francisco María</t>
  </si>
  <si>
    <t>Francisco María Fenzi</t>
  </si>
  <si>
    <t>enero el Emperador y Reí recibió en la capilla del pdacio de las Tullerías el juramento que prestó Mr. Francisco María Fenzi, arzobispo de Corfú. El Emperador de Rusia ha enviado al mariscal Kellerman una soberbia %</t>
  </si>
  <si>
    <t>Ferez, Tomás</t>
  </si>
  <si>
    <t>Tomás Ferez</t>
  </si>
  <si>
    <t>-Josefa González 2;¡Doña María Teresa Piscátori y Mora 12. DilMáriabó Armendía 10 pares de zapatos. D. Tomas Ferez 100 camisas. Doña María Barrionuevo ^29 varas y tercia de paño azul y 50 varas barragan ancho. D» Vicénte Alcátá 4 pares de calzones de cotonía. D. Pedro García Frailé i2 várás if</t>
  </si>
  <si>
    <t>Ferííat</t>
  </si>
  <si>
    <t>agradable fíoticia de la abdicación déf reino que había hecho el Sr.D. Cárlos iv en su hijo el Sr. D. Ferííat^óo fet vn el dfc 19 dé marzo, fe entrada pública dé éste; di' Madrid eí 24; su* reales dectetos espedidos en los primeros momentos de Su reihado^ éótré ros que se halla él-notable</t>
  </si>
  <si>
    <t>Fermin</t>
  </si>
  <si>
    <t>ii4o y Garrida, agente de negocios de lo» reales consejos, al Lie* D. Fermin: Coronado, vecino de la villa de Villanueva de la Serena, 6 vales reales de 300 pesos de la creación de i.° de mayo, núms, 445117, 471550, 478118, 478648,479725 y 484771, y/i' ren</t>
  </si>
  <si>
    <t>Fermín Carnerea Vela</t>
  </si>
  <si>
    <t>aragoza..... 500 2030 D. Pedro Regalado del Campo......................... Cádiz........... 3°° 836 D. Fermín Carnerea Vela................. ..........¿». Madrid....... 500 1211 D. Juan Josef Villodas Bilbao....... ................ Bilbao»....... 300 1470 D. Manuel Carretero................. -.........</t>
  </si>
  <si>
    <t>Fermín Carnerero Vela</t>
  </si>
  <si>
    <t>Martinez , portero del archivo-de la Lotería, por agosto...... V..-..V...1.-.Í.1........ ...... IO* D. Fermín Carnerero Vela , á cuenta de 6 rs. diarios............... . 600. D. Manuel de Frías, oficial de la tesorería del Príncipe de Astúrias , por agosto á 2 rs. diarios D. Josef Mánuelrdé Ainz Gardeáz</t>
  </si>
  <si>
    <t>Fermín Celayeta</t>
  </si>
  <si>
    <t>de Teran D. Juam Aran 2083 rs. i x mrs. en h -Jj *::■ efectos dé estado. . D. Rodrigo Rodríguez 40. D. Fermín Celayeta 2&lt;¡ 5 o en id. Ifcr Lorenzo Cisneros y Toledo 3 20. D, Josef Francisco de Lema 60. 1^. Ai S. 30. ,t, D. Jaime Ferrer y Ribas 320. / vt D¿ Aléxd)Guardia I * • ^ 5 Vicente Vázquez d</t>
  </si>
  <si>
    <t>Fermín Cruela</t>
  </si>
  <si>
    <t>28. ©¿ Jqséf de .Amarilla, y Huertos, deLconse.jo de S. M._ea el de &gt; &gt;; ¡ la Inquisición, id.....¿ D. Fermín Cruela,id...............*................;.......¿.,................. x6o. Doña Vjtoriana Luisa Paula, idí............................................. 30. D. Miguel de Corres, mensualme</t>
  </si>
  <si>
    <t>Fermín de Elizalde</t>
  </si>
  <si>
    <t>n Madrid en la secretaría del banco. D. Buenaventura Argelich, vecino de Barcelona, corresponsal de D. Fermín de Elizalde, de Cádiz, debía enviarle en uno de los correos desdé últimos de mayo del presente año varios vales reales endosados al citado Elizalde, en pliego certificado; y no habiendo llega</t>
  </si>
  <si>
    <t>Fermín de Idoquiliz</t>
  </si>
  <si>
    <t>...... 3°° 815 P. Luis Velasco................. .......................... Madrid......... 500 1206 D. Fermín de Idoquiliz................................ Bilbao........... 500 327 Nicolás Plink.......................................... Málaga......... 300 2226 P,. Juan Pedro Bringas..................</t>
  </si>
  <si>
    <t>Fermín de la Torre</t>
  </si>
  <si>
    <t>00 rs. D. Josef Antonio de Uñarte, por agosto á 1© rs. mensuales, 1©. D. F. V., por una vez 500 rs. D. Fermín de la Torre, tesorero de.pósitos, 2©o rs. por una vez, y 120 por agosto y setiembre á 60 mensuales, 3 20. D. P. v., por agosto 20 rs. D. Francisco Antonio Martínez, por una vez 300 rs. D. Mig</t>
  </si>
  <si>
    <t>Fermín de Labastrda</t>
  </si>
  <si>
    <t>D. Josef María Bassoco, D. Matías de la Torre, D, Francisco Xavier Vidarte, D. Josef María Bretón, D. Fermín de Labastrda y D. Juan Josef de Zulaica. Ganaron el premio extraordinario de instrucción religiosa los caballeros seminarista mayor E&gt;. Manuel Fernandez; gefes de sala D. Manuel de la Cimarra y D.</t>
  </si>
  <si>
    <t>Fermín de Sota</t>
  </si>
  <si>
    <t>............. . '217-27* D. Josef Cortés, capellán de honor de S. M., en vales reales, id. 2267 19. D. Fermín de Sota, id............. .......... ........................................... 120. D. Felipe Ortega Gijon, id.............. ................................. . 120. D. Sebastian Diez ,</t>
  </si>
  <si>
    <t>Fermín de Uria-Nafárroñdo</t>
  </si>
  <si>
    <t>..................... 100, D. Genaro del Otero, administrador de Lotería, id.................. 320. D. Fermín de Uria-Nafárroñdo, en 2 vafes de á 600 pesos y efectivo, id.»....................... *..... ................. .......... ..................... 70nnr&gt;, D. Juan de Escovar, alguacil de corte, id.....</t>
  </si>
  <si>
    <t>Fermin de Zalayeta</t>
  </si>
  <si>
    <t>re.................................................... ............... 4000. 0. Fermin de Zalayeta, secretario de la presidencia del supremo consejo de Indias, entrego un libramiento de réditos del real fondo vitalicio de los 6 primeros meses del presente año, importante de la cantidad de.</t>
  </si>
  <si>
    <t>Fermin de Zelayeta</t>
  </si>
  <si>
    <t>.............. . 1440. D. Josef María de Galdos, agente de negocios, id....................... 500. D. Fermin de Zelayeta, secretario de la presidencia del supremo consejo de las Indias, en un libramiento dei Fondo vitalicio, id.......... ..................... ............................. .........</t>
  </si>
  <si>
    <t>Fermín del Rio</t>
  </si>
  <si>
    <t>Pastrana, coadjutor del Caballero de Gracia. D. Sebastian de Haegui, secretario de la de S. Andrés. D. Fermín del Rio, diputado de la Comadre. D. Antonio Rodríguez, eclesiástico. D. Antonio Rovillár, id. D. Francisco Perez y Velazquez, D. Gregorio Guerra Zorrilla, D. Josef Babea, D. Gregorio Dora</t>
  </si>
  <si>
    <t>Fermín Elizaide</t>
  </si>
  <si>
    <t>xtraviado unos Vales Reales endosados por D. Buenaventura Argelich, vecino de Barcelona, á favor de D. Fermín Elizaide, del comercio de Cádiz, cuyos números se ignoran Se avisa para evitar Ja circulación de todo vale que tenga el referido endoso, y para que en caso de presentarse, se detengan y se</t>
  </si>
  <si>
    <t>Fermin Fernández</t>
  </si>
  <si>
    <t>.. Francisco Puente, Josef Duran, maestro,sastre, los herederos de R. Jiiari Prada, D. Josef Vidal, Don Fermin Fernandez, y demas que tuviesen derecho ;á los bienes que quedaron por fallecimiento de Doña Isabel Tarroja, situados en la villa de Canillejas, para que en el preciso y perentorio término</t>
  </si>
  <si>
    <t>Fermín Llórente</t>
  </si>
  <si>
    <t>solicita cria para casa de los padres: tiene leche de 5 meses, y personas que la abonen. Dará razón D. Fermín Llórente, cirujano, que vive en la^alle de Jacometrezo, núm. 3. ~ " ÉN~LA IMPRENTA REAL. ’</t>
  </si>
  <si>
    <t>Fermín María de Uria NafarroaD</t>
  </si>
  <si>
    <t>ro Velazquez 1263 rs. 17 mrs. D. Domingo García 60. ‘ en efectos de estado. ; ; D; Pedro Martin 60. D. Fermín María de Uria NafarroaD. Sebastian del Conde 200. ; ; - .40-73-rs. 23ímrs. eu,metálico, 2265 D. Peregrino de Llanderal 180*.: / ; rsv 11 jursiJ^p v$les reales, yt 361 Doña N. 22. -h./. ■: :r;en;e^ec^osAe</t>
  </si>
  <si>
    <t>Fermiñ María de Uria Nafarrondo</t>
  </si>
  <si>
    <t>arreategui 6 camisas finas nuevas y 6 pares de calcetas id. D. Antonio Villasante 6 camisas nuevas. D. Fermiñ María de Uria Nafarrondo 12 id. Doña Josefa de la Cueva y Velarda 24 id. D. Diego de la Bastida 2 id. Doña María Cruz de Villaté,^ viuda, y D. Agustín Ballesteros su hijo, 2 camisas y 2 vendas. D. T. M. 2</t>
  </si>
  <si>
    <t>Fermín María de Úria Nafarrondo</t>
  </si>
  <si>
    <t>éditos del real fondo vitalicio , valor de................................................... *35°. D. Fermín María de Úria Nafarrondo en un vale real de 150 pesos de enero y un pagaré de réditos de vales atrasados.. 2700. D. Josef de Carranza, oficial de la contaduría general de Indias, en efectivo................</t>
  </si>
  <si>
    <t>Fermín María de Uribarri</t>
  </si>
  <si>
    <t>os........... 600 1606 D. Francisco Arnainz yBringas............ ........ Bilbao.......... 6co 1615 D. Fermín María de Uribarri.................... .... Bilbao........ . 300 342 Fr. Pedro Yepez, de S. Juan de Dios............ Cádiz............. 300 2144 P» Leopoldo de S. Vicente .y Godoi de Laguardia......</t>
  </si>
  <si>
    <t>Fermín María de Urribarri</t>
  </si>
  <si>
    <t>. 300 1842 D. Josef Amallo................................................. Zaragoza..... 500 1616 D. Fermín María de Urribarri......................... Bilbao......... 600 1524 Doña María Josefa de Hormachea.................. Bilbao......... 300 60) Doña Alfonsa García y de la Higuera......... Madrid.....</t>
  </si>
  <si>
    <t>Fermín Pérez, Antonio</t>
  </si>
  <si>
    <t>Antonio Fermín Pérez</t>
  </si>
  <si>
    <t>l regimiento de infantería de Jaén al comandante del tercer batallón del de voluntarios de Castilla D. Antonio Fermín Perez; y la del fixo de Ceuta al teniente coronel agregado al de voluntarles de Estado D. Juan Procopio de Bassecourt: la comandancia del tercer batallón del de España aí sargento mayor</t>
  </si>
  <si>
    <t>de Ibeargh : el primero y tercero del de Jaén, al mando del teniente coronel, graduado de coronel, D, Antonio Fermín Perez; y 3 escuadrones de caballería , uno de Montesa, al mando de su coronel el brigadier D. Juan Josef Sarden, y 2 de Alcántara, al mando del teniente coronel, graduado de coronel, D.</t>
  </si>
  <si>
    <t>Fermín Ramón Barrera</t>
  </si>
  <si>
    <t>...... Málaga......... I fOO 1324 D. Pascual Camps.......................... Valencia-.... 300 2321 D. Fermín Ramón Barrera............................... Cádiz........... 300 1779 D. Juan Manuel de Peralta........... ................. Cádiz........... 3 00 1083 D. Manuel Miguel de Irasuzta.......... .</t>
  </si>
  <si>
    <t>ádiz........... 500 2142 D. Nicolás de Arujo y Losada................... . Coruña........ 1000 2320 D. Fermín Ramón Barrera................................ Cádiz.-fvitaff-1 5000 . leía dej 1543 D. Felipe Luz, comerciante...................... ;....; Bilbao....... . 3°° 95 4 D. Benito dé la-Mata* Linare</t>
  </si>
  <si>
    <t>Fermín Villalpando</t>
  </si>
  <si>
    <t>..... 361. D. josef Rico de Arévalo, id..................................................... . 300. D. Fermín Villalpando, en intereses de vales reales, id............ 956 4. D. Ambrosio García González, id............................................... 610. Manuel Martínez , cirujano, id............</t>
  </si>
  <si>
    <t>Fernákdo</t>
  </si>
  <si>
    <t>ra los que, como ellos, han dado pruebas indelebles de fidelidad á nuestro legítimo Soberano el Sr. D. Fernákdo vil, que Dios guarde, y de amor á la patria. Por lo que respecta á esta ciudad he dispuesto que el 14 del presente,, cumpleaños de nuestro augusto Monarca, Se célebre la gloriosa</t>
  </si>
  <si>
    <t>Fernán</t>
  </si>
  <si>
    <t>rreos de YelveS con Lijsboi,:y ha introducido Jas armas victoriosas de , nuestvo^oberanp .el señor :D. Fernán* do Vn en lo nias interior del Portugal, esttcch*qdw¿tal/nunera á los</t>
  </si>
  <si>
    <t>pira implorar por sus ruegos de la divina misericordia la vida ya desahuciada de nuestro amado Rei D. Fernán-* ¿o vil, delicias y deseo ahora de sus pueblos, asi como entonces era la mas dulce esperanza de la patria afligida por el temor de su temprana muerte. A su consecuencia se reunier</t>
  </si>
  <si>
    <t>os, nada tenemos que esperar de otra potestad que de la legítima de nuestro católico monarca el Sr. D. Fernán90 yii; y qualesquiera juntas que en clase de supremas se establezcan para aquellos y éstos reinos, no serán obedecidas si no fuesen inauguradas, creadas ó formadas por S. M. ó lug</t>
  </si>
  <si>
    <t>Fernández Balonga, Francisco</t>
  </si>
  <si>
    <t>Francisco Fernández Balonga</t>
  </si>
  <si>
    <t>s y efectivo , id........................................................................... 20000. D. Francisco Fernandez Balonga, id......................................... . 500. D. Francisco Malo, id................................................................... 20. D. Diego Alonso Martínez, notario</t>
  </si>
  <si>
    <t>Fernández Bellido, Francisco</t>
  </si>
  <si>
    <t>Francisco Fernández Bellido</t>
  </si>
  <si>
    <t>stado. Doña Luisa Benito'80. D. Angel de Aragón y Alvarez 20o D. Manuel Galan 20. . ¿ en cédulas. , D. Francisco Fernandez Bellido 60; D. Manuel de Escudero ico. Josef Saavedra 30. * :• ¡ ‘ Doña María Gertrudis Tamayo 2400 Agustina Pinillos 8, , en efectos de estado. Facundo Méndez 21. . . D. Fernando Cárnico</t>
  </si>
  <si>
    <t>Fernández Blanco, Manuel</t>
  </si>
  <si>
    <t>Manuel Fernández Blanco</t>
  </si>
  <si>
    <t>io simple que disfrutó en la misma parroquia el Emó. Sr. Cardenal dé Yorck, y vacó por su muerte, á D. Manuel Fernandez Blanco, capellán provisional de la real armada, con la pensión de la quarta parte aplicada por él referido plan beneficial á:ia dotación 4e.‘ lóg curatos dé la misma iglesia , y lá oblig</t>
  </si>
  <si>
    <t>ara el beneficio simple del lugar de Montuenga en la diócesi de Sigiienza, vacante por promoción de D. Manuel Fernandez Blanco á otro beneficio servidero de la villa de Moron , en el arzobispado de Sevilla, á D. Josef de la Porte, con retención de los dos simples que disfruta en las parroquias de S. Salva</t>
  </si>
  <si>
    <t>Fernández Bobad, Juan</t>
  </si>
  <si>
    <t>Juan Fernández Bobad</t>
  </si>
  <si>
    <t>300 2204 D. Josef de Sugasti...................... ;.................. . Córuña;.,/... '. 300 2148 D. Juan Fernandez Bobad i i la....; v.¿r. • CorüñáL.Í... -aoo *2210 Sres. D. Isidoro Sauz y compañeros........... . Cortina. • .. ■ ■ 300 2379 D. Francisco Soler y Solanes y compañía....... Zaragoza.....</t>
  </si>
  <si>
    <t>Fernández Campomanes, Domingo</t>
  </si>
  <si>
    <t>Domingo Fernández Campomanes</t>
  </si>
  <si>
    <t>, y los Sres. marques de Casa^García, D. Eugenio Manuel Alvarez Caballero, D. Sebastian de Torres, D. Domingo Fernandez Campomanes, D. Andres Lasauca, D. Antonio Alvarez de Contreras, y Don Miguel Alfonso Villagomez, ministros del consejo Real, nombrados por S. M. para sentenciar la causa formada contra los q</t>
  </si>
  <si>
    <t>Fernández Carrera, Vicente</t>
  </si>
  <si>
    <t>Vicente Fernández Carrera</t>
  </si>
  <si>
    <t>. A. V. , id........... ............................ ................. ........................ 60. D. Vicente Fernandez Carrera, agente de negocios, en vales reales.....;...................................................................................... 22617 28. D. Josef de Campos , en intereses de 180</t>
  </si>
  <si>
    <t>Fernández Casariego, María</t>
  </si>
  <si>
    <t>María Fernández Casariego</t>
  </si>
  <si>
    <t>2 camisas nuevas. D. Pedro Perez Plano 3 id* Doña Juana Meco, residente en Castilla la vieja, 2 id. Doña María Fernandez Casariego 3 id. La Sra. Doña María Blasa Nieto de Paz y Centurión 12 camisas nueras y 7 quarterones de hilas. Doña María de Beitia y su hermana 2 camisas finas, 2 libras de hilas y 6 vendas</t>
  </si>
  <si>
    <t>Fernández de Campo, Domingo</t>
  </si>
  <si>
    <t>Domingo Fernández de Campo</t>
  </si>
  <si>
    <t>rra. Quien supiere de su paradero se servirá entregarle al citado Angli en dicha villa. Los señores D. Domingo Fernandez de Campo manes y D. Miguel Alfonso VíIlagomez, ministros del jreal y supremo Consejo de Castilla, han señalado el lunes 28 del corriente á las ir en punto de la mañana c'n la escribanía de</t>
  </si>
  <si>
    <t>Fernández de Campománes, Domingo</t>
  </si>
  <si>
    <t>Domingo Fernández de Campománes</t>
  </si>
  <si>
    <t>Nota» Por acuerdo de este dia ha nombrado la junta juez de policía al consejero de Castilla D. Domingo Fernandez de Campománes. Don Arias Antonio Mon y 'V elarde, decano del consejo y cámara de S. M. &amp;c. „Hago saber al público que por la suprema junta de' gobierno se me ha comunicado con £@cna de este dia</t>
  </si>
  <si>
    <t>en el término preciso de tercero dia comparezcan, con los documentos justificativos, ante los Sres. D. Domingo Fernandez de Campománes y D. Miguel Alfonso Villagomez, del supremo consejo de Castilla, por la escribanía de provincia de D. M anuel López de Rivas, comisionado al efecto, á deducir las acciones que les com</t>
  </si>
  <si>
    <t>............. IOOOi Los Sres. Buscalli y Grau , del comercio, id.............................. 500. D. Domingo Fernandez de Campománes, ministro del consejo Real 1 en vales reales, id............. ...................... ....................... . 4645. *3</t>
  </si>
  <si>
    <t>icadas para el remate de las sacas de algodón de pertenencia francesa se hizo presente por losSres. D. Domingo Fernandez de Campománes y D. Miguel Alfonso Villagomez, comisionados para este fin, el remate celebrado el 8 del corriente de un lote de 50 sacas de algodón de Marañon, tasado á 8 rs. libra, y rematado en do</t>
  </si>
  <si>
    <t>Fernández de Canapománes, Domingo</t>
  </si>
  <si>
    <t>Domingo Fernández de Canapománes</t>
  </si>
  <si>
    <t>desde la publicación de este aviso, comparezcan, con los documentos justificativos, ante los Sres. D. Domingo Fernandez de Canapománes y D.-MígueTAlfonso Villagomez, del supremo consejo de Castilla, por la escribanía dé provincia de Don Manuel López de Ribas, comisionados al efecto, á deducir las acciones que les com</t>
  </si>
  <si>
    <t>Fernández de Cañaveral, Pedro</t>
  </si>
  <si>
    <t>Pedro Fernández de Cañaveral</t>
  </si>
  <si>
    <t>...t................... 32°. D. Pedro Texedor, oficial de la contaduría de juros, por una vez. 2CO. D. Pedro Fernandez de Cañaveral, por una vez........................... 120 . D. Juan Valentín de Ubilla, oficial de la contaduría de Espolios, á cuenta de 458 rs. por una vez....................................</t>
  </si>
  <si>
    <t>Fernández de Csmporaánes, Domingo</t>
  </si>
  <si>
    <t>Domingo Fernández de Csmporaánes</t>
  </si>
  <si>
    <t>comisión. Y para que llegue á noticia de todos se ha mandado por los señores ministros del consejo D. Domingo Fernandez de Csmporaánes y D. Miguel Alfonso Villagomez, comisionados al efecto, se publique en estos términos en el diario y gazeta. LIBROS. Suscripción. Memorial literario, ó Biblioteca' periódica de cienci</t>
  </si>
  <si>
    <t>Fernández de Gamboa, Manuel</t>
  </si>
  <si>
    <t>Manuel Fernández de Gamboa</t>
  </si>
  <si>
    <t>e 1800, id.................................. ...................... ...... •................ 90 8f. D. Manuel Fernandez de Gamboa, abogado del colegio, en intereses de vales reales de 1800, id.......... ........ ........................ d4l x7* (Se continuará.) KN LA IMPRENTA REAL,</t>
  </si>
  <si>
    <t>Fernández de Gampománes, Domingo</t>
  </si>
  <si>
    <t>Domingo Fernández de Gampománes</t>
  </si>
  <si>
    <t>!385 , AVISOS. . ■“ v. . ' ' ' Los-señores ministros del Consejo D. Domingo Fernandez de Gampománes y D. Miguel Alfonso Villagomez han señalado el dia g de noviembre .próximo, ¿ las 10 en punto de la mañana, en :1a escribanía dei prbvincia.de D. Manuel López de Rívas j para los 4 re</t>
  </si>
  <si>
    <t>Fernández de Gragera, Pedro Martín</t>
  </si>
  <si>
    <t>Pedro Martín Fernández de Gragera</t>
  </si>
  <si>
    <t>cretaría de la cámara, por 6 meses á 8o rs. cada uno........... ....................... ..... je o. D. Pedro Martin Fernandez de Gragera, oficial de la dirección de salitres, 40 rs. cada mes................ ......................................... 40. D. Francisco Azpiroz, 40 rs. cada mes..........................</t>
  </si>
  <si>
    <t>Fernández de la Cancela, Juan</t>
  </si>
  <si>
    <t>Juan Fernández de la Cancela</t>
  </si>
  <si>
    <t>... ; 1000 2363 Doña Ines del Castillo....................................... Zaragoza..... 500 860 D. Juan Fernandez de la Cancela......... . Madrid....... • 300 972 D. Felipe de-Satostegui.............. ......... . iMadrid....... ; 300 506 Doña Francisca Paula de Irala..................... Bilbao...j 000 23)</t>
  </si>
  <si>
    <t>Fernández de la Peña y de San Miguel, Francisco</t>
  </si>
  <si>
    <t>Francisco Fernández de la Peña y de San Miguel</t>
  </si>
  <si>
    <t>... D. Juan Casou y compañía. En Avila............... D. Josef Piqueras Gómez. En Badajoz.......... D. Francisco Fernandez de la Peña y de San Miguel* En Barcelona....... Sres. D. Ramón de Llordella é hijo. En Burgos............ D. Josef Arizcun. En Qadiz................ D. Benito de la Piedra. En Cartagena...... D. Bernardo de</t>
  </si>
  <si>
    <t>Fernández de la Peña y San Miguel, Francisco</t>
  </si>
  <si>
    <t>Francisco Fernández de la Peña y San Miguel</t>
  </si>
  <si>
    <t>Juan Casou y compañía. En Avila............... . D. Josef Piqueras Gómez. •' En Badajoz........... D. Francisco Fernandez de la Peña y San Miguel* En Barcelona...... . D. Ramón de Llordella é hijo. En Burgos........... . D. Josef Arizcun. En Caatz............... , D. Benito de la Piedra. En Cartagena....... D. Bernardo EJiz</t>
  </si>
  <si>
    <t>.... D. Juan Casou y compañía. En Avila........ ...... D. Josef Piqueras Gómez. En Badajoz......... D. Francisco Fernandez de la Peña y San Miguel* En Barcelona...... . D. Ramón de Llordella é hijo , residentes por ahora en Tarragona. En Burgos........... D. Josef Arjzcun. En Cádiz.......... . D. Benito de la Piedr^. ¡ En Ca</t>
  </si>
  <si>
    <t>Fernández de León, Esteban</t>
  </si>
  <si>
    <t>Esteban Fernández de León</t>
  </si>
  <si>
    <t>za..... 300 609 D. Santiago Neviet........................................ . Madrid........ 000 541 D. Esteban Fernandez de León....................... Madrid.'...... 300 797 D. Manuel de Gordon....................................... Madrid.......; 1000 230 D. Joaquín Isidro González................. ......</t>
  </si>
  <si>
    <t>te...... 500 *333 D. Carmelo Gil........................................... . Valencia..... 3OO 540 D. Esteban Fernandez de León.................. Madrid....... : 5 00 1716 Lie. D. Josef María de Castro.................... Cádiz........ 5 00 10^9 Sres. Gil y Benitia.............................. ......... M</t>
  </si>
  <si>
    <t>... ... S. Sebastian. 300 2156 D. Manuel Francisco de Soto............... ... Coruña...:... 300 542 D. Esteban Fernandez de León.................... ... Madrid...;... 300 2278 D. Josef de Roxas..................... .......... . ... Bilbao..... . 300 462 D. Vicente de Urcullu......... .............. i.......</t>
  </si>
  <si>
    <t>Fernández de Lkncres, Alonso</t>
  </si>
  <si>
    <t>Alonso Fernández de Lkncres</t>
  </si>
  <si>
    <t>ña................ . Zaragoza.. ,39° 3'44 D. Pedro Alvar-ez y- Fabrega. ...... Cádiz...... 500 2385 D. Alonso Fernandez de Lkncres. Zaragoza..,,. • •• . 300</t>
  </si>
  <si>
    <t>Fernández de Mier, Juan Manuel</t>
  </si>
  <si>
    <t>Juan Manuel Fernández de Mier</t>
  </si>
  <si>
    <t>..... 500 2459 D. Pedro Roca.................................. ......... . . Zaragoza..... 600 2294 D. Juan Manuel Fernandez de Mier...... , Cádiz ...... . 500 66 D. Pedro Normande..................................... . Barcelona.... IOOO 2403 D. Juan Miguel Luzan.......... ................. . . Zaragoza..... 3</t>
  </si>
  <si>
    <t>Fernández de Navarrete, Martín</t>
  </si>
  <si>
    <t>Martín Fernández de Navarrete</t>
  </si>
  <si>
    <t>lamil, ministro togado; el gefe de escuadra D. Josef de Espinosa, secretario, y el capitán de navio D. Martin Fernandez de Navarrete, contador fiscal, todos nos negamos á prestarle quando en 22 de julio último se nos exigió, y acompañamos nuestra negativa con la delación de todos nuestros empleos. Después de ve</t>
  </si>
  <si>
    <t>Fernández de Palacios El, Domingo</t>
  </si>
  <si>
    <t>Domingo Fernández de Palacios El</t>
  </si>
  <si>
    <t>, 40. . T ;• /í D. Manuel de Albuerñé 2 263 t&amp;J i 9J D. Vicente Lozqno 60. mrsi en vales ‘reales. 1 D. Domingo Fernandez de Palacios El brigadier D. Antonio de Castilla 300 4585 rs. 22 mrs. en id. D. Juan de Mata Duque 1800 en D. Pedro Marcelino Blanco 45 2 j rs. efectos de, estado. .... 5/mrsi"enOíd. Doña María G</t>
  </si>
  <si>
    <t>Fernández de Quesáda, Juan</t>
  </si>
  <si>
    <t>Juan Fernández de Quesáda</t>
  </si>
  <si>
    <t>a, por una vez...................................................... ................ ...... . loo, D. Juan Fernandez de Quesáda, relator del consejó, por Una vez........».».»».»».»..»»»..»»........ . 300*: D. Pedro de Roxas, por una vez......... ................................... 400... D. Timoteo Rodrígu</t>
  </si>
  <si>
    <t>Fernández de Roxas, Juan</t>
  </si>
  <si>
    <t>Juan Fernández de Roxas</t>
  </si>
  <si>
    <t>retender, dirigirán sus memoriales dentro del término de 60 días, y seguirán su correspondencia con D. Juan Fernandez de Roxas, procurador general noble 4e aquella.villa y concejo, y comisionado de su ayuntamiento, ■ LIBROS. Breve exposición, de la doctrina de Adam Smíth, y método .para facilitar el e»r t</t>
  </si>
  <si>
    <t>Fernández de Santo Domingo y Costa, Antonio</t>
  </si>
  <si>
    <t>Antonio Fernández de Santo Domingo y Costa</t>
  </si>
  <si>
    <t>de mvimbre. El Rei, y en sq real nombre U suprema Junta de gobierno del reino, ha‘ nombrado al Sr. D. Antonio Fernandez de Santo Domingo y Costa secretario del tribunal extraordinario y tempdral de Vigilancia y Protección, con honorés del del Rei; y para que llegue á noticia de todo.*;, y sepan el conducto por donde se han</t>
  </si>
  <si>
    <t>Fernández de Velasco, Francisco</t>
  </si>
  <si>
    <t>Francisco Fernández de Velasco</t>
  </si>
  <si>
    <t>arcelona.... ,50® 962 D. Francisco López Nuñez...................... ....... Madrid....... óoo 1038 D. Francisco Fernandez de Velasco. y Pantoja................................................................... Madrid..!.... 500 2083 D. Dionisio Prendezgast.................................... Cádiz......... . 5</t>
  </si>
  <si>
    <t>Fernández del Burgo, Manuel</t>
  </si>
  <si>
    <t>Manuel Fernández del Burgo</t>
  </si>
  <si>
    <t>eal. = Excmo. Sr. D. Josef Vasallo. = Excmo. Sr. marques de Alcpcebar. = Sr? p. Josef Salazar. =Sr. D. Manuel Fernandez del Burgo. = Sr. D. Josef Antonio de Bor ja. =sSr.D. Vicente Aguí lar y Jurado.,=:Sr. D. Felipe González Vallejo.=Sr. D. Juan Ibañez de la Rentería.=Sr. í). Esteban Antonio de Orellana. =rS</t>
  </si>
  <si>
    <t>contestación ,del consejo - supremo de Guerra á la suprema junta central de! reino, donde dice Sr. D. Manuel Fernandez del Burgo, debe decir Sr. D. Manuel Fernando Ruiz del Burgo. ■ .......................... AVISOS. El gefe de la oficina de vales reales se halla con noticias ciertas de haberse extraviado v</t>
  </si>
  <si>
    <t>Fernández Dorado, Gregorio</t>
  </si>
  <si>
    <t>Gregorio Fernández Dorado</t>
  </si>
  <si>
    <t>dio-Bóutblbii 24. Una Sra. viuda 2. Doña J. M. H. 2 sábanas y 2 .camisas. D. I. G/C. S; 15 camisas. D. Gregorio Fernandez Dorado 4 camisas &lt;y&gt;4 pares de calcetas. Doña; Francisca Chollez y Caballero de Noriega camisas. Dia 4. Una bienhechora 12 pares de mediasr negras; El real monasterio de RR. PP. Gerónimo</t>
  </si>
  <si>
    <t>Fernández Elias, Francisco</t>
  </si>
  <si>
    <t>Francisco Fernández Elias</t>
  </si>
  <si>
    <t>00 2044 D. Josef Ganeda................................................ . Cádiz,.......... 300 2423 D. Francisco Fernandez Elias....»........................ Cádiz...;..... ..... 500 876 D. Francisco Aparicio..................................... Madrid..,...;; 300 953 D. Benito de Lamata Linares............</t>
  </si>
  <si>
    <t>Fernández Fálbina, Juan</t>
  </si>
  <si>
    <t>Juan Fernández Fálbina</t>
  </si>
  <si>
    <t>. D. Gregorio García j id............................... ................................... icco.: D. Juan Fernandez Fálbina, id............................................ .. . 600. D. Gabriel Rossi, id.................................................................... 240. D. Josef Sánchez, profesor</t>
  </si>
  <si>
    <t>Fernández Gamponjanesministros, Domingo</t>
  </si>
  <si>
    <t>Domingo Fernández Gamponjanesministros</t>
  </si>
  <si>
    <t>e D. Arias Antonio Moit, decano gobernador interino-del consejo Real, de D. Sebastian de Torres , y D. Domingo Fernandez Gamponjanesministros del propio consejo, y para que hiciese de secretario ai alcalde de corte D. Benito Añas de Prada. Concluida la sumaria nombró para fiscal al mas antiguo del propio consejo D. Simón de</t>
  </si>
  <si>
    <t>Fernández García, Francisco</t>
  </si>
  <si>
    <t>Francisco Fernández García</t>
  </si>
  <si>
    <t>... Coruña........ 500 2317 D. Juan Antonio Alcázar de Tejada............. . Cádiz........ 500 2368 D. Francisco Fernandez García......................... Zaragoza....... 300 212 D. Juan Rusheu................................. ............... Alicante........ 300 358 D. Manuel de Irazabal............... ....</t>
  </si>
  <si>
    <t>Fernández Gonzalo del Rio, Luis</t>
  </si>
  <si>
    <t>Luis Fernández Gonzalo del Rio</t>
  </si>
  <si>
    <t>ña Cesaría Estella una camisa y un par de calcetas. Dia /j. D. Josef Manuel de Izaguirre 6 camisas. D. Luis Fernandez Gonzalo del Rio 281 varas de paño pard¿&gt; para capotes. Francisco Sánchez 2 camisas y un par de medias. D. Domingo Trota 2 camisas. D. F. M. 7. Doña Manuela Roca y Vasozabal 6. Dia 14. Doña Josefa</t>
  </si>
  <si>
    <t>Fernández Gonzalo, Luís</t>
  </si>
  <si>
    <t>Luís Fernández Gonzalo</t>
  </si>
  <si>
    <t>. 43oq. Josef de Úrisabel, id................................... ............. ...... ........ 320^ D. Luís Fernandez Gonzalo del.Rio* id........ ......................... tcooo. v D. M. P., id................................................... ,................. ................. I 2G. D. Bernardino Maceda</t>
  </si>
  <si>
    <t>Fernández Haro, Juan Francisco</t>
  </si>
  <si>
    <t>Juan Francisco Fernández Haro</t>
  </si>
  <si>
    <t>erto. D. Josef Molina , diputado de Pinto. D. Francisco Martínez Abad, diputado eclesiástico de id. D. Juan Francisco Fernandez Haro , se** cretario. D. Saturnino Feal, diputado eclesiástico de S. Justo. Fr. Calixto Nuñez, abad de'S. Basilio. P. Juan Guerra, prepósito del Espíritu Santo. P. Francisco Pis, prepó</t>
  </si>
  <si>
    <t>Fernández Navarrete, Sebastián</t>
  </si>
  <si>
    <t>Sebastián Fernández Navarrete</t>
  </si>
  <si>
    <t>el de* lá Cámara, D. Josef Ramón Fernandez, y D. Manuel de Abad; gefes de trozo D. Manuel Ferrando, D. Sebastian Fernandez Navarrete, D. Pedro Sánchez Pavón, Di Pablo línda , Di Bonifacio Otiveuda, D. Francisco; Martínez , y D. Pablo Ferrando, cadéte déí regimiento* de infantería de Soriaf seminaristas D. Josef</t>
  </si>
  <si>
    <t>Fernández Nieto, Pedro</t>
  </si>
  <si>
    <t>Pedro Fernández Nieto</t>
  </si>
  <si>
    <t>ad, tasados en 56661 rs. Quien quisiere hacer postura, lo executará por la escribanía que desempeña D. Pedro Fernandez Nieto. A pedimento de su poseedor se vende una casa sita en la villa de Pastrana, provincia do la Alcarria, donde dicen la Quadrilla de Boceguillás, y tiene un aceitero, con 2pvtinajas,</t>
  </si>
  <si>
    <t>Fernández Pividal, Felipe</t>
  </si>
  <si>
    <t>Felipe Fernández Pividal</t>
  </si>
  <si>
    <t>.3. dial — á 4 rs. en cadauno............. .................. ....................... ........ 612. D. Felipe Fernandez Pividal, portero de la secretaria de Ha- ? cienda de Indias , por 5 meses á 4 rs. diarios........ 612, Antonio y Pedro Olías , maestro de obra prima, por un tercio áv6 rs. diarios........</t>
  </si>
  <si>
    <t>Fernández Reguera, Vicente</t>
  </si>
  <si>
    <t>Vicente Fernández Reguera</t>
  </si>
  <si>
    <t>Coruña... 600 1830 D. Manuel Raygada........................................... Zaragoza. 500 2170 D. Vicente Fernandez Reguera........................ Coruña....... 500 2381 D. Miguel Peyro................................................. Zaragoza..... 300 47 D. Lorenzo Alonso Castillo, presbítero........</t>
  </si>
  <si>
    <t>Fernández Rubio, Juan Antonio</t>
  </si>
  <si>
    <t>Juan Antonio Fernández Rubio</t>
  </si>
  <si>
    <t>.........«........'..^ t2/ ; 2r Josef D. Juan Nepomuceno dé Rosales.,..,.........;. 1 y 1 cabez¡4* ,D. Juan Antonio Fernandez Rubio, presbítero................... ...... 1 .. , i ^ D. Juan Alana C^a^tidie..#...j».,.. *.;j[ t D. Juan deM?ta Donativos de otra especie. v t, ’. ;Por disposición del ¿Excmo. §r.. ma</t>
  </si>
  <si>
    <t>Fernández Villamil, Francisco</t>
  </si>
  <si>
    <t>Francisco Fernández Villamil</t>
  </si>
  <si>
    <t>.. 60. Alvaro Rodríguez, id.................... .................................... .......... 40. D. Francisco Fernandez Villamil, en efectivo y un libramiento de vitalicio , id................... ....... ............................................... 2129. D. Josef Vázquez Cerbela, id......................</t>
  </si>
  <si>
    <t>Fernández Ximenez, Diego</t>
  </si>
  <si>
    <t>Diego Fernández Ximenez</t>
  </si>
  <si>
    <t>. Zaragoza,....; -500 1471 D. Juan Poíuar.........*........v.»*»..*..*....' Málaga........ 300 2295 D. Diego Fernandez Ximenez-.v.-.v.»&gt;....».....*..*»*i Cádiz.300 2074 D. Juan Pedro de Trigoyen............. .......... Cádiz......... 000 476 D. Nicolás de Ochazan...................... ...........*.» Bilbao</t>
  </si>
  <si>
    <t>Fernández'de Córdoba y Pimeotel, Luis</t>
  </si>
  <si>
    <t>Luis Fernández'de Córdoba y Pimeotel</t>
  </si>
  <si>
    <t>re de todos los sobreguardas y guardas de dicho real sitio......................... ............. 2 D. Luis Fernandez'de Córdoba y Pimeotel............................. ......... 1 X D. Josef Castro, alcalde del barrio de la calle deja Montera......... 1 D. Pantaleon Vázquez Zapata, vecino y procurador síndico de la V</t>
  </si>
  <si>
    <t>Fernández, Antonio</t>
  </si>
  <si>
    <t>Antonio Fernández</t>
  </si>
  <si>
    <t>ero próximo á las 1 2 de su mañana, á ia&gt; puertas de la audiencia de dicho señor teniente, por ante Don Antonio Fernandez, escribano del número. Quien quisiere comprar una casa sita en esta corte, plazuela de Jesús Nazareno , núm. 17 , manz. 23 2 /tasada en 330,600 rs. , acuda ante.el Sr. D. Andrés g</t>
  </si>
  <si>
    <t>Fernández, Antonio Ramón</t>
  </si>
  <si>
    <t>Antonio Ramón Fernández</t>
  </si>
  <si>
    <t>ra de Santiago. D. Miguel Wanderbick, diputado de la Bueña-dicha. D. Josef Aldave , de Sta. Isabel. D. Antonio Ramón Fernandez, secretario de la Buená-dicha. D. Estéban Cormes, diputado de id. D. Francisco Martínez, diputado. D. Juan Antonio Aiicedo, alcalde.,D..Roque Antonio Lema, diputado de .Mosteases.</t>
  </si>
  <si>
    <t>Fernández, Francisco</t>
  </si>
  <si>
    <t>Francisco Fernández</t>
  </si>
  <si>
    <t>por ahora............. ...»..................................................... ............ 1000. D. Francisco Fernandez, fabricante de pianos, á cuenta de 360 rs. por una-vez.................... ............ .............................. ....... 60. D. Matías Angel González, oficial jubilado de la</t>
  </si>
  <si>
    <t>s. mensuales........ „ 60. D. Antonio Marina, por 2 me§es á 8 rs. en cada uno......... ........ 16. D. Francisco Fernandez, quinquillero, 20 rs. cada mes............ . 20. Doña Manuela Miralles y Real, 120 rs. mensuales...... ............... 120. D. Diego de Cañas, oficial de la contaduría de pósitos,</t>
  </si>
  <si>
    <t>........... 50. D. Diego de Códes, del comercioid¡................ ........................... 320. D. Francisco Fernandez.Suarez, oficial del banco, por ahora.... IOO. D. Juan Luis- Ortiz de Zárate, cura* del real colegio de Santa Rabel, á* cuenta- de. 480. rs...................................... ..</t>
  </si>
  <si>
    <t>Fernández, Francisco Alonso</t>
  </si>
  <si>
    <t>Francisco Alonso Fernández</t>
  </si>
  <si>
    <t>, id........roo* D. Luis Marcos Bocherini, presbítero, id................................... . 200. D. Francisco Alonso Fernandez , botillero, id...... ........................ 120. D. Juan Rubio, id. id....... ................................... ........................ 1000. . • (Se continuará,*).........</t>
  </si>
  <si>
    <t>Fernández, Jacinto</t>
  </si>
  <si>
    <t>Jacinto Fernández</t>
  </si>
  <si>
    <t>oña Ines Nuevo, id............................................................................ 200. D. Jacinto Fernandez, cirujano, id..................... ............................. 100. D. Antopio Fernandez Osorio, escribiente de la contaduría de SS. A A., en un recibo de intereses de vales rs.</t>
  </si>
  <si>
    <t>Fernández, Joaquín Manuel</t>
  </si>
  <si>
    <t>Joaquín Manuel Fernández</t>
  </si>
  <si>
    <t>rcio Perez Cuervo, de Oviedo, de 22 años. Premios segundos. Medallas de oro de 2 onzas. Pintura : á D. Joaquín Manuel Fernandez, de;!Xe.rez deja Frontera, arzobispado de Sevilla, de 26 años* Escultura ; á D. Francisco de Elias, de Soto de Cameros, obispado de Calahorra^ de ? f. gñps. Arquitectura: á D.: .R</t>
  </si>
  <si>
    <t>Fernández, Manuel</t>
  </si>
  <si>
    <t>Manuel Fernández</t>
  </si>
  <si>
    <t>er incurrido en pena alguna de ordenanza por motivo grave ni leve, los caballeros seminarista mayor D. Manuel Fernandez; gefes de sala D. Josef Martínez, D. Manuel de la Cámara, D. Josef Ramón Fernandez y D. Manuel de Abbad; gefes de trozo D. Manuel Ferrando, D. Pedro Sánchez Pavón y D. Pablo Unda;</t>
  </si>
  <si>
    <t>Josef Navarro y Marcos^j d^i comercio de génerps ultrama» . i r, / ,VJL rinos, por’ id*•••.,.»...»• D. Manuel Fernandez, su dependiente, por id.................... ........ .. 120. Miguel ,PereR.l4mttea, id., - ~24©*'*»■***</t>
  </si>
  <si>
    <t>.... 4400. D. Felipe Mayo, músico, id.................... ............ ...........&gt;............ 40. D. Manuel Fernandez, á cuenta de 300 rs., por id.................... loo. D. Ramón Jo ver, del comercio, id......... ............... ...................... 2500.’ D. Juan de Herrezuelo, agente de neg</t>
  </si>
  <si>
    <t>Fernández, Manuel Gonzalo</t>
  </si>
  <si>
    <t>Manuel Gonzalo Fernández</t>
  </si>
  <si>
    <t>goza..... 500 1770 D. Juan Manuel de Peralta................... ........... Cádiz.......... 50© 731 D. Manuel Gonzalo Fernandez..................... .... Madrid........ 300 3545 D. Pedro Manuel de Lariz........ ............ ...... . Bilbao......... 300 355 D. Domingo Dencel.................................</t>
  </si>
  <si>
    <t>. Zaragoza..... 0 0 IO87 D. Braulio González Peré............................ Madrid....... 300 732 D. Manuel Gonzalo Fernandez................... Madrid........ 3°j 1742 D. Domingo Guerrero................................... Cádiz.......... 3 00 ,838 D. Diego Herce.........................................</t>
  </si>
  <si>
    <t>Fernández, Miguel</t>
  </si>
  <si>
    <t>Miguel Fernández</t>
  </si>
  <si>
    <t>D. Francisco Prieto, id............................... ....... .................. ipo. 200000. 120. D. Miguel Fernandez, id........................................................ ...... 500. Antonio de la Peña, maestro peinero, id.................................... 100, D. Genaro del Otero, admin</t>
  </si>
  <si>
    <t>Fernández, Ramón</t>
  </si>
  <si>
    <t>Ramón Fernández</t>
  </si>
  <si>
    <t>e de granaderos ai de fusileros EH Gabriéh Aíanuel delturbe é .Iraeta, y á subteniente de bandera á D. Ramón Fernandez. , i‘ - .. VENTAS JUDICIALES. i; Por el juzgado del Sr. D. Diego-Gil,Fernandez, alcalde d^: casa .y corte, y e$r. ^ribattíp &gt;de provincia de^D. ¿Juan Ajntqn joDiaz Noriega, se.hii</t>
  </si>
  <si>
    <t>.............. 552. D. Pascual Rodríguez, 2 id. por 5 id...................................... 306. D. Ramón Fernandez, uno id. por2 id..¿................ 61. D. Miguel Lop?z del Postigo, del comercio, 3 id. por agosto.. 93. Josef TeriJe , plumista, 2 id. id........................................</t>
  </si>
  <si>
    <t>Fernández, Santiago</t>
  </si>
  <si>
    <t>Santiago Fernández</t>
  </si>
  <si>
    <t>de calcetas / Dos señoras hermanas viudas 2. ¡ un pantalón dé paño. - J D. Andrés'!Pcr¿zG¿rrt¡ca 4. D. Santiago Fernandez una ¿ámrsa. D. Ramón'Prieto y Ortega 12. D. Jacebo Obispó, una. / Btyñi Fyancíica Márquez una i Doña María-Margarita Llprde 2l 4 D. Juan Antonio Gironda 2* D. Francisco .Antonio d</t>
  </si>
  <si>
    <t>Fernández, Vicente</t>
  </si>
  <si>
    <t>Vicente Fernández</t>
  </si>
  <si>
    <t>...».».». 600 3 733 D. Julián Negrete..................................... Cádiz.......... 300 2360 D. Vicente Fernandez.............................. Zaragoza..... 300</t>
  </si>
  <si>
    <t>Fernandezypor, Miguel</t>
  </si>
  <si>
    <t>Miguel Fernandezypor</t>
  </si>
  <si>
    <t>iarios.....124. Josef Moreno , maestro--vidriero, por id. á 6 rs. id .................. • i.8&lt;jí# " D. Miguel Fernandezypor 6 meses á 2 rs. diarios.-.*..¿ 3fc Josef Pujadas y por agosto -á 'y' 124* Juan Atftonio -Teresa-ypor una'-vez;.*;.-....';.-.-;;;::;:;;;;;;;;.*.......;.4...;!. 1 too. ; D. Sebastia</t>
  </si>
  <si>
    <t>Fernando Esteban</t>
  </si>
  <si>
    <t>....... 150a 309 Manuel Robles de Nieto.................................... Málaga........ 600 1386 D. Fernando Esteban.......................................... Burgos........ 500 2182 D. Francisco Martinez Gaiisoga..................... Coruña....... 500 478 D. Simón Antonio de Goycoechea.........</t>
  </si>
  <si>
    <t>Fernando Tomás</t>
  </si>
  <si>
    <t>ontinúan los donativos y ofertas voluntarias que constan en el hamo nacional de S, Carlos. R*. Mrs. D. Fernando Tomas, por 4 meses á 120 rs,?cada uno..»........... 480. D. Juan de Aranzabal, oficial de la administración general de rentas de.esta provincia, por agosto á 60 rs. mensuales......... 6</t>
  </si>
  <si>
    <t>Fernanúo</t>
  </si>
  <si>
    <t>orden, di*e: ,¿Que el Emperador4e los franceses quería exigir imperiosamente del Rei nuestro Señor D. Fernanúo vii *ue re* nünclase per sf, y en nombré de la familia toda de los Bórbones, el tronos de España y todos sus dominios ep favor del mismo Emperador y de su dinastía, prometiéndole</t>
  </si>
  <si>
    <t>Ferrando, Manuel</t>
  </si>
  <si>
    <t>Manuel Ferrando</t>
  </si>
  <si>
    <t>ef Martínez, D. Manuel de* lá Cámara, D. Josef Ramón Fernandez, y D. Manuel de Abad; gefes de trozo D. Manuel Ferrando, D. Sebastian Fernandez Navarrete, D. Pedro Sánchez Pavón, Di Pablo línda , Di Bonifacio Otiveuda, D. Francisco; Martínez , y D. Pablo Ferrando, cadéte déí regimiento* de infanter</t>
  </si>
  <si>
    <t>sef Martínez, D. Manuel de la Cámara, D. Josef Ramón Fernandez y D. Manuel de Abbad; gefes de trozo D. Manuel Ferrando, D. Pedro Sánchez Pavón y D. Pablo Unda; seminaristas D. Matías Oiivencia,D. Josef María Carrillo, D. Félix GHman, cadete de reales guardias Valonas, D. Félix Palacios, D. Manuel</t>
  </si>
  <si>
    <t>Ferrando, Pablo</t>
  </si>
  <si>
    <t>Pablo Ferrando</t>
  </si>
  <si>
    <t>varrete, D. Pedro Sánchez Pavón, Di Pablo línda , Di Bonifacio Otiveuda, D. Francisco; Martínez , y D. Pablo Ferrando, cadéte déí regimiento* de infantería de Soriaf seminaristas D. Josef María Carrillo D - Eugénio Zuíoaga i D¿ t Félix Pa-¿ lacios &gt; D. Manuel-Entrambasaguas, D. Pedro Geridéja, D.</t>
  </si>
  <si>
    <t>Ferrari, Juan Bautista</t>
  </si>
  <si>
    <t>Juan Bautista Ferrari</t>
  </si>
  <si>
    <t>...... . 500. Doña F. M., id.................................................... .............. 20* D. Juan Bautista Ferrari, id........................ ........................ 6o. D. Francisco Calleja González, id............ ............. ...................... 200. Doña Manuela Martin Pintado, sirvi</t>
  </si>
  <si>
    <t>Ferrer y García, Vicente</t>
  </si>
  <si>
    <t>Vicente Ferrer y García</t>
  </si>
  <si>
    <t>Morales Gallegos 2 para la&gt; ración entera vacante en la misma,.por muerte de D.Jorge de Flores , a D. Vicente Ferrer y García : y para* el canonicato vacante, por muerte del Dr. D. Ignacio Valencia, á D. Fernando Medina y Cabanas ,, racionero roas aurígero : para esta^ ración al. medio racionero mas anti</t>
  </si>
  <si>
    <t>Ferrer, Félix</t>
  </si>
  <si>
    <t>Félix Ferrer</t>
  </si>
  <si>
    <t>gencia al-subteniente de granaderos D. Fernando Diaz de Tuna, y subtenencia de bandera aí ca^* dete D. Félix Ferrer. . ■ S. M. se ha servido conceder en el regimiento de infantería de voluntarios de Castilla tenencia al subteniente de granaderos D.-Estanislao Sarralde; y en el de Ñapóles subten</t>
  </si>
  <si>
    <t>Ferrer, Francisco</t>
  </si>
  <si>
    <t>Francisco Ferrer</t>
  </si>
  <si>
    <t>. mensuales.......................... ............... .............................. ........... 75 D. Francisco Ferrer, oficial de la Nunciatura, 20 rs. cada mes. 20. D. Manuel Miquelez, ayuda de cocina del Reí ,10 rs. cada mes. 10. D. Josef María de Ormaegui, capellán de las señoras comendadoras,</t>
  </si>
  <si>
    <t>FerÚiinaCálculi</t>
  </si>
  <si>
    <t>ona María Pastor 38 varas de lienzo. D. Lorenzo Rubro Abarran 2. Doña Jacoba Atíenza de Durango una Doña FerÚiinaCálculi 2 y 2paresde camisa. ■■.■-‘■.••J:.. ‘ zapatós. ^ • s D. Manuel Escudero f., tinas hilas y D. Blas 'Menertdé¿ ¿Ccartri&amp;s. - ■— ’ paños. •. [Éscuefas pias dé Ampies 12^ * ' D. Vicen</t>
  </si>
  <si>
    <t>Ffa’ñcisco Arnainz-y Bringas</t>
  </si>
  <si>
    <t>.. . Zaragoza..... 300 192 Excmd. Sr. D. Joaquin de Cañaveral.............. Alicante...... 300 1607 D. Ffa’ñcisco Arnainz-y Bringas.................... . Bilbao.......... 500 1091 D. Pedro dél Rio»» ...................................... . Madrid....... 500 739 D. Jüán Bautista Goycoechea......................</t>
  </si>
  <si>
    <t>Ffere, Juan</t>
  </si>
  <si>
    <t>Juan Ffere</t>
  </si>
  <si>
    <t>do, y qüe en él se hallan lós Sres. Peña, Coupigaí y Grima res t* El Exemo* Sr; Juan Ffere, ministro plenipotencia* rio de $. M. británica llegó á esta Ciudad Ja tarde* del 18 4 ¿ quien salió á recibir el Exemo* Sr* P. Mro. Manuel Gil, vicepresidente de esta Junta Suprema, acompi</t>
  </si>
  <si>
    <t>Fhui</t>
  </si>
  <si>
    <t>s de aquella .ciudad r para’ otra,'*'canongía 'de,1ÍA!: catedral cb Cahárík-,‘vacante por muerte de D. Fhui&amp;’scó ííeririqdez de'Qtiüitánápá Df Josef Pablo' Dáviia y Aldaiía: para otra caiiongía de la catedral de Orensé, vahante por promoción de 1). Manuel Joseí'.Ot^ro Quevedo á la digni</t>
  </si>
  <si>
    <t>Fíanciseo Xavier de Dicido</t>
  </si>
  <si>
    <t>T Pedro* Ignacio de PieasarrfV á-IX Antonio"Redriguez dé Vida z para el arcedianato que este dexa á D. Fíanciseo Xavier de Dicido 'y Zaríiudio; y para la* chantría q\ie este obtiené'á^^Méidtor Fernandez, canónigo magistral: para la dignidad de maestrescuela de la.^ propia...iglesia,*vacante pdr iratterte dé</t>
  </si>
  <si>
    <t>Fícente Hore</t>
  </si>
  <si>
    <t>ores ¡ pues ¡os conserva de justicia y en propiedad^ así como los de mas que obtiene el Exorno. Sr. D. Fícente Hore9 vocal de esta Suprema Junta y Consejero honorario de Estado. PON SUPERIOR PERlVÍISg. EN LA IMPRENTA DE LA VIUDA PE HIDALGO Y SOBRINO. « ... . ^ .1</t>
  </si>
  <si>
    <t>Fidel Fernández Bretón</t>
  </si>
  <si>
    <t>de tirador de oro arrimada á la casa del Excmo. Sr. conde de Oñate¿\ Se desea saber el paradero de D. Fidel Fernandez Bretón, que estaba en Madrid á principios y aun en abril del año 1806. Quien supiere de él, y si ha fallecido, de sus herederos ó de alguno de ellos, acuda á D. Juan López Fando, escriba</t>
  </si>
  <si>
    <t>Fíeyre, Felipe</t>
  </si>
  <si>
    <t>Felipe Fíeyre</t>
  </si>
  <si>
    <t>iente D. Juan Benosa, que coa 1? hombres detuvo en el puente al enemigo ; é igualmente al capin tan D. Felipe Fíeyre , alférez de reales guardias Waioñas, por la prontitud coa que desde Esterri acudió £ la acción coa 31 hombres de dichp cuerpo y 300 pah quelete3. Con fecha de 19 de Noviembre últ</t>
  </si>
  <si>
    <t>Figarola y Bosch, Antonio</t>
  </si>
  <si>
    <t>Antonio Figarola y Bosch</t>
  </si>
  <si>
    <t>DE 1808. TViimeros Lotes de las ea acciones. Nombres dé los Interesados. Comisionados. Rs. vn. 2378 D. Antonio Figarola y Bosch......................... Zaragoza...... 500 ,1902 D. Martin de Enseña................. ..................... . Zaragoza.. 4,. 600 2169 D. Juan Manuel de Peralta...................</t>
  </si>
  <si>
    <t>Fij del de España</t>
  </si>
  <si>
    <t>tf contria los fiéré* ges áe estos tiempos, en particular contra Napoleón Bqna.pa.rte y los suyosc,(D, Fij del de España, sostenido por Prudenció Leal, catedrático de derecho patrió eiji el colegio clementino de León. La palestra se prepara eri érgran' templó del pa-* triotismo. Se hallará en las li</t>
  </si>
  <si>
    <t>Fiori, Juan</t>
  </si>
  <si>
    <t>Juan Fiori</t>
  </si>
  <si>
    <t>la de cañón le arrebató ei sombrero llevándose las dos alas. El teniente de voluntarios de Valencia D. Juan Fiori no solo llenó los deseos de su comandante, sino que dio repetidos motivos para la admiración y el aprecio, por la intrepidez y acierto con que mandó el fuego de fusilería; y el ma</t>
  </si>
  <si>
    <t>Firmo Vallés</t>
  </si>
  <si>
    <t>agregar á la numerosa lista de nuestros distinguidos guerreros al coronel comandante de este punto D. Firmo Vallés, cuyas enérgicas y acertadas disposiciones le darán un nombre mui esclarecido, y el agradecimiento eterno de sus compatriotas. No son menos dignos del aprecio, de las atenciones d</t>
  </si>
  <si>
    <t>Fita, Juan</t>
  </si>
  <si>
    <t>Juan Fita</t>
  </si>
  <si>
    <t>r otro tercio 1 a 6 rs. diarios............................................... ......... ........ . D. Juan Fita, clérigo menor, por 6 meses á 3 rs. diarios......... 5 $2. D. Juan Ignacio de Berriozabal, comisionado principal de consolidación en Madrid, 500 rs. por una vez , y 186 por agosto</t>
  </si>
  <si>
    <t>Fita, Ventura</t>
  </si>
  <si>
    <t>Ventura Fita</t>
  </si>
  <si>
    <t>aragoza.... ¿ 3 00 524 D. Manuel de Mazon Carrea.......................... Bilbao........ . 000 869 D. Ventura Fita................................................. Madrid........ 1000 783 D. Baltasar de Andrade............ ......... ............... Madrid........ 3°° 812 Doña Rafaela Martin...</t>
  </si>
  <si>
    <t>,..,. Joo 1805 D. Joaquín Gispert................................. .......... Zaragoza..... 300 868 D. Ventura Fita................................................. Madrid......... 300 208 Doña, María Concepción, Royo............. ABcante..,.-. 300 7 796 I). Pedio García Ipimllos M 2 d rid. • •</t>
  </si>
  <si>
    <t>Fiuguer</t>
  </si>
  <si>
    <t>uella Junta los destinarán á donde convenga. Estos dias murió á la cabeza de algunos Somatenes otro Mr. Fiuguer, gran soldado, cuya muarte no bardará en vengar su digno hermano*• s K . * • Oviedo 30. de Junio. ‘ El gobierno ingles ha enviado cerca de- esta Junta una comisión militar, ■ comp</t>
  </si>
  <si>
    <t>e el Rosellon se habia sublevado, no queriendo obedecer á Napoleón. El mismo dia salió de Cambriles Mr. Fiuguer, capitán suizo , quien conduce á Tarragona 800 paisanos y 200 de su nación, que van á disposición de aquella junta: los destinarán adonde convenga. Estos dias murió á la cabeza de</t>
  </si>
  <si>
    <t>Fivaller, Diego</t>
  </si>
  <si>
    <t>Diego Fivaller</t>
  </si>
  <si>
    <t>30 de octubre de 1808</t>
  </si>
  <si>
    <t>Madrid 139 (extraord.)</t>
  </si>
  <si>
    <t>rimer tercio de Huesca, que son los que han participado mas de la acción. He prevenido al brigadier D. Diego Fivaller, que estaba en Leire, pase á ocupar á Lumbier, para estrechar mas los enemigos por mi derecha. Dios guarde á V. E. muchos años. Sangüesa 24 de octubre de 1 80S. = Excmo. Sr. = Jua</t>
  </si>
  <si>
    <t>Fleuri</t>
  </si>
  <si>
    <t>negocios extranjeros tuvo la honra de presentar el 20 por la mañana i S. A. I. el príncipe Virei á Mr. Fleuri, cónsul general de Francia en este reino. Habiendo expedido un decreto el príncipe Virei para que 15 jóvenes de las principales familias del departamento del Metauro formasen part</t>
  </si>
  <si>
    <t>Fligaus, Vicente</t>
  </si>
  <si>
    <t>Vicente Fligaus</t>
  </si>
  <si>
    <t>.... ................. . 120. D. Domingo Diaz del Valle, un real diario, por un año......... 36$. . D. Vicente Fligaus, 2 id. por 2 meses......................................... 122. D. Francisco Amat , 4 id. por agosto....... ........ 124. D. Antonio Barcones, contador del real Seminario de nobl</t>
  </si>
  <si>
    <t>Flore, Bartolomé</t>
  </si>
  <si>
    <t>Bartolomé Flore</t>
  </si>
  <si>
    <t>las provincias en que pueden hacerse las entregas de los donativos á la patria. En Almagro......... D. Bartolomé Flore*. En Ciudad-Real.. D. Miguel Recio. En Cuenca....... . Los Sres. viuda de Escolar y Noriega. En Toledo............ D. Juan Cruz Sanz de la Torre. En Avila.............. D. Fernand</t>
  </si>
  <si>
    <t>Florencio</t>
  </si>
  <si>
    <t>Gan$pbverde^4eniente corqnehD^etriaiido* Arguelles., comandante D. Ma* nuel Elordui, sargento mayor D. Florencio. Aihaya. Fuerzi .de ^hombres y caballos •670'.':’ -í:&gt;’ e!; '.ri :*.„ ¡ 7 y,: ¡ Artillería. Una compañía completa de á caballo y compuesta de capitán, teniente y 2 subtenientes: 1</t>
  </si>
  <si>
    <t>Florencio de Irbarguengoytia</t>
  </si>
  <si>
    <t>...... Alicante...... 3°° 234í Exorno. Sr. Marques de Villafranca............ Zaragoza..... 600 460 D. Florencio de Irbarguengoytia..... ............... Bilbao....... 500 2246 D. Lorenzo de Solocta Valsóla...... ...... ......... ‘ Bilbao......... OOO 1098 D. Josef Maurino y Sánchez......................... Mad</t>
  </si>
  <si>
    <t>Florencio de Olazabal, Francisco</t>
  </si>
  <si>
    <t>Francisco Florencio de Olazabal</t>
  </si>
  <si>
    <t>......... Cádiz......... óco D. Francisco Grimar............................ Zaraccza..... 6co 1734 D. Francisco Florencio de Olazabal.......»••••«»•» CL^*tCÍ lZi av 3c° 772- IX. j Vidente García .Diez,................................ Madrid....... 3 Qo i i 01 ■D. Miguel Damasieres............................i.*,</t>
  </si>
  <si>
    <t>Florencio Lozano</t>
  </si>
  <si>
    <t>2. D. Ramón López, ropero, 94 corbatines. Antonio y Pedro Olías y -zapateros, 24 pares de zapatos, D. Florencio Lozano 84 pares de calcetas. Doña María Teresa Escoiz y Trigo 6 camisas, 6 pares de calcetas y 2 pares de zapatos. D. Miguel Antonio de Amandi 27 corbatines negros de seda. D. Pedro Marc</t>
  </si>
  <si>
    <t>Florencio Martín</t>
  </si>
  <si>
    <t>stras con colgantes , y toda la casa iluminada con abundantes hachas y bujías; . La casa que habita D. Florencio Martin, calle de las Platerías, estaba adornada con un cuerpo de arquitectura mui sencillo y elegante. Los tres intermedios de los balcones colgados de una primorosa y exquisita colgadur</t>
  </si>
  <si>
    <t>Florencio Pedro Marzon</t>
  </si>
  <si>
    <t>8 Rs. Mrs„ ciñas, por una vez» ..••..••.•«•«.i. ¡} 20. D. Florencio Pedro Marzon, por una vez . 500. D. Francisco de Irusta, contador de, rentas de .esta provincia, por agosto á 8 rs. diarios IX. Francisco' Velez Cosío, por los meses de agosto y setiembre á 3</t>
  </si>
  <si>
    <t>Florentina de la Pipa</t>
  </si>
  <si>
    <t>que se han exercitado en él todos los dias del año, particularmente los lunes: Florentina de la Pipa, hija de Josef, ya varias vecés citad», ha hilado en el discurso del año, después de las labores domésticas, 25 li-’ bras asturianas de lino, cosecha nueva de sq país: Doña Gertrudis Ga</t>
  </si>
  <si>
    <t>Florentina Orfiz</t>
  </si>
  <si>
    <t>nombrado judicialmente para la aprobacipn y demas dííigencias relativas á la partición de bienes de Doña Florentina Orfiz, viuda de D. Leandro Escalona, y tía del D. Pablo Ortiz; y 110 habiéndose tenido todavía aviso alguno, se previene que el dia 5 de abril próximo está señalado para la repartición</t>
  </si>
  <si>
    <t>Florentina Ortiz</t>
  </si>
  <si>
    <t>no, se previene que el dia 5 de abril próximo está señalado para la repartición de dichos bienes de Doña Florentina Ortiz entre los herederos que se conocen, por ausencia de D. Pablo Ortiz, en el juzgado deí alcalde mayor de Cartagena D. Manuel Sainz de Villegas. Se publica para que si alguien supiere</t>
  </si>
  <si>
    <t>Florentina Sotó</t>
  </si>
  <si>
    <t>y ^.. . .¿ ‘ 80^ ; D. Manuel cte Sáücal-, oficia! de la cóótáduna de Consolidación, * \ y$ü muget ’Doña Florentina Sotó tufa’ y'ez..:.V...í.)á¿.¿00.' D. Joaquín -Serrano, médico y |d,.;;;i;.»;;...«i.;..;.V¿......y.i.vá. yí.í... ;' iob. ; D. Miguel ^ISí'Herráh^Ti^án^ dóntádSr (^la;cbndl¿sá dérBe-K¿</t>
  </si>
  <si>
    <t>Florez, Bernardo</t>
  </si>
  <si>
    <t>Bernardo Florez</t>
  </si>
  <si>
    <t>.............. . 400. D. Julián Rincón, maestro dorador á fuego, id........................... 300. D. Bernardo Florez, confitero, id................................. ................... 600. D. (gemente Reguero, médico, id............. ................................. . 500. D. M. M., id........</t>
  </si>
  <si>
    <t>Fluguer</t>
  </si>
  <si>
    <t>osellon se había suble-1 vado, no queriendo obedecer á Napoleón,; ; El mismo día salió de Cambriles Mr. Fluguer, capitán Suizo, quien conduce á Tarragona 800. paysanos y 200.^ de su nación, que van á disposición, de aquella Junta los destinarán á donde convenga. Estos dias murió á la cabeza</t>
  </si>
  <si>
    <t>FnjTGÍ</t>
  </si>
  <si>
    <t>.. ........ ....j....... ............ I...................oí;: E^l conde da N &gt;blej.¿^.... ...... . D. FnjTGÍ$cc Ituruiendi................. D. Bartolomé López Pilas, vvteino de Fresnedo................................</t>
  </si>
  <si>
    <t>Fo, Pablo</t>
  </si>
  <si>
    <t>Pablo Fo</t>
  </si>
  <si>
    <t>...... 368. D. Antonio.Fabeyrae ,.4 id. po-r. 2 id •••&gt;,***5*v,»***fV**í*V*Vll»|***M».,tt . 244. Y; D. Pablo Fo.z , oficial de Ja secretaría del $r. Infante D. Ánío- , nio;,-en libramientos de Vitalicio, por una vez................ . . 1440. ' D. Ramón Tamáyo, teniente de. fragata de la, re</t>
  </si>
  <si>
    <t>Foache</t>
  </si>
  <si>
    <t>e un proyecto de armamentos combinados para lasco?lpnias francesas de las islas de Barlovento , por Mr. Foache, deÍ Hayre. te proyecto tiene por objeto el proveernos de mercaderías y efectos coloniales. Mr. Foache, uno de nuestros mas hábiles negociantes, declara que conservará un fuerte i</t>
  </si>
  <si>
    <t>Focke</t>
  </si>
  <si>
    <t>perecido casi todos los pasageros. Entre los muertos se cuentan el lord Roiston, el coronel Folien, Mr. Focke,Mr. Pereira, muchas mugeres y niños. Los que se han salvado son el capitán del buquey 3 marineros, la muger del coronel Pollen, la que escribe, esta carta, 2 niños y 2 criados. In</t>
  </si>
  <si>
    <t>Folguera, Santiago</t>
  </si>
  <si>
    <t>Santiago Folguera</t>
  </si>
  <si>
    <t>ricio, del comercio, 15 id. D. Santiago Folguera 6 id. D. Carlos Abancini, del comercio, 3 id. D. Pedro de Orve y Larreategui 6 camisas finas nuevas y 6 pares de calcetas id. D. Antonio Villasante 6 camisas nuevas. D. Fermiñ Mar</t>
  </si>
  <si>
    <t>Fón, Tadeo</t>
  </si>
  <si>
    <t>Tadeo Fón</t>
  </si>
  <si>
    <t>s Sanz Ibarrola , Maravilla- ; D. Roque Antonio de Lema, Afligidos ; D. Bernardo Orozco, Barquillo; D. Tadeo Fón , San Martin. Diputación por el cuerpo de vecinos honrados de las parroquias de Madrid. D. Pedro Gorron de Cisneros, D. Esteban de la Torre, D. Nicolás García Caballero, D. Pedro</t>
  </si>
  <si>
    <t>Font y Closas, Cayetano</t>
  </si>
  <si>
    <t>Cayetano Font y Closas</t>
  </si>
  <si>
    <t>os. Rs. va. 1442 D. Francisco Salinas...................................... . Málaga........ 500 78 D. Cayetano Font y Closas........................ . -Barcelona.... 3°o 366 Doña Angela de Mellet................................ . Cádiz.......... TOO I4JO D. Adrián Ernaez.................................</t>
  </si>
  <si>
    <t>Font, Tadeo</t>
  </si>
  <si>
    <t>Tadeo Font</t>
  </si>
  <si>
    <t>algo, diputado de los Angeles. D. Manuel Lozano, de id. D.-Josef Fernandez Garrida, diputado de id. D. Tadeo Font, diputado id. D. Tomas Tordesiilas, secretario. El señor conde de Ibangrande, hermano mayor de la congregación del Espíritu Santo. Fr. Gabriel Rubio, prior y presidente de S. Mart</t>
  </si>
  <si>
    <t>Fontales</t>
  </si>
  <si>
    <t>s , ademas de otros recursos é ingresos. ' Por im decreto: del mismo dia ha nombrado el Emperador a Mr. Fontales ¿ presidente det cuerpo legislativo, gran maestre de la universidad; canciller de ella á Mr. Vil laret, obispo de Cassal, y tesorero á Mr. Delambre* secretario perpetuo de la prim</t>
  </si>
  <si>
    <t>Fontana, Nicolás</t>
  </si>
  <si>
    <t>Nicolás Fontana</t>
  </si>
  <si>
    <t>• 1 '20® Alexandro Rott Sabattro , id................................................ ......... 20. D. Nicolás Fontana, id........... ................................... 20. 8</t>
  </si>
  <si>
    <t>Fontanes</t>
  </si>
  <si>
    <t>o. Se ha adjudicado el accessit á Mr. Auger ; y se ha hecho mención honrosa de otros dos discursos. Mr. Fontanes leyó el elogio premiado: Mr. Legouvé leyó una noticia y algunos trozos del discurso de Mr. Auger y de los otros dos que han merecido la mención honrosa dei cuerpo. Todo fue oido c</t>
  </si>
  <si>
    <t>Forcada, Esteban</t>
  </si>
  <si>
    <t>Esteban Forcada</t>
  </si>
  <si>
    <t>............. . 4JD. Juan Pi, 40 rs. mensuales, por 4 meses................................... 160. D. Esteban Forcada, 20 id. id..... ...................................... .............. 80. D.-Francisco de la Vega, oficial de la regalía de la Casa aposento, 30 id., por agosto...................</t>
  </si>
  <si>
    <t>Fordice</t>
  </si>
  <si>
    <t>asionada por la abundante transpiración que experimentaba, y mas yendo aliviado de ropa. En 1775 el Dr. Fordice, Sir Josef Banks, Sir Cárlos^Blagden, el Dr. Solander y otros físicos hicieron algunas experiencias directas sobre la «materia. .Son mui, sabidos sus resultados para que nos tomem</t>
  </si>
  <si>
    <t>ne diferentes grados, según resulta de la comparación hecha entre núes-; tros experimentos, los del Dr. Fordice, y los de Sir Cirios Blagden* ,,En igual temperatura es mucho mas fuerte la sensación causada por el aire carghdo de vapores , que por el aire seco;, lo que hemos probado por noso</t>
  </si>
  <si>
    <t>Forner, Juan Pablo</t>
  </si>
  <si>
    <t>Juan Pablo Forner</t>
  </si>
  <si>
    <t>iones. LIBRO. Noticia de las aguas minerales de Solan de Cabras en la sierra de Cuenca, escrita por D. Juan Pablo Forner, con las análisis y síntesis que hizo de ellas y de las del Rosal de la villa de Beteta D. Domingo García Ferf nandez: un tomo en 4.0 mayor. Se hallará en la librería de Cerro , c</t>
  </si>
  <si>
    <t>Fornies, Juan</t>
  </si>
  <si>
    <t>Juan Fornies</t>
  </si>
  <si>
    <t>D, Manuel de Villanueva, del comercio, por una vez............... 2026. D. Juan Fornies, á cuenta de 360 rs. por id............................... 30, D» Josef Forn, del comercio ^ id-...•«•«■..••••• . T j00. El convento de, §♦.Felipe el Real».ademas de una caxa de o</t>
  </si>
  <si>
    <t>Fosa, Francisco</t>
  </si>
  <si>
    <t>Francisco Fosa</t>
  </si>
  <si>
    <t>y rondó:un minué y una contradanza: minué flauteado: minué patético y contradanza para guitarra, de D. Francisco Fosa: miserere, y todas las lamentaciones del miércoles, jueves y viernes santo á solo, .á dúo y á tres para piano ú órgano: dos juegos de quartetos del famoso Venincori para dos violi</t>
  </si>
  <si>
    <t>Fox</t>
  </si>
  <si>
    <t>dres 30' de eneró, - ’ •'1 El manuscrito de la historia dél reinádo de los Estuárdos, compuesta por Mr. Fox , que forma un volumen en 4.0, sé ha vendido por sus testamentarios en 4500 libras esterlinas ( 406588 rs, vn.). Es regular que -esta' obra ino tárde en darse á la luz publica. ■•</t>
  </si>
  <si>
    <t>erto del Ferrol ha vuelto á Plimourh á proveerse de víveres. Acaba de publicarse la obra postuma de Mr. Fox , intitulada Historia de l.i primera parte del reiit ido de Carlos n, precedida de una introducción sobre la h sloria de Inglaterra, y la exaltación al trono de la casa de Ticdor</t>
  </si>
  <si>
    <t>Madrid 153</t>
  </si>
  <si>
    <t>n mas que fautores de guerras civiles.” Estas palabras memorables, dirigidas por el primer cónsul á Mr. Fox durante la paz de Amiens, encierran las basas de la verdadera política europea, y presentan el único punto de vista, baxo del qual deben los verdaderos estadistas considerar los actu</t>
  </si>
  <si>
    <t>Fra</t>
  </si>
  <si>
    <t>AA t «•«*• 30o *7 99 D: Juan Antonio'de‘Yafdióla y Garay:..;;;;.. ;jiádíz.. Cádiz;; A.;... 000 2050 D. Fra ncLsco XáVler' Ca í taños. ;.. a..C / j,.AA f $ 00 2383 Lie. D. Francisco Ordonéz.•••••••.........i...f.v.,. ■ZitVA^óka. AJ. 7 3 00 '^33 D. lonias de Lainadrid.......i.. /LiaráuóZ</t>
  </si>
  <si>
    <t>Fra'ncisco Xavier Cienfuegos</t>
  </si>
  <si>
    <t>pilla mayor, donde comenzó ia misa de pontifical, ea la que estuvo de mayor asistente el Excmo. Sr. D. Fra'ncisco Xavier Cienfuegos, yocal de la suprema junta ; y"cantaron el evangelio y epístola los canónigos Dr. D. Manuel María de Caraza y Dr. D. Nicolás Briseño, doctoral de esta sapta ¡iglesia. Predicó el s</t>
  </si>
  <si>
    <t>Fraaciseo Xavier Castañas</t>
  </si>
  <si>
    <t>aatfo i Arando efe Duero ; y al Exento*.'Srs D. Fraaciseo Xavier Castañas, tu general en xefe , lo esperamos |&gt;or Somosierra. El día 2 pasaron por Vega la Serranaefe io á 129 hombres efiel exército del Sr.. Blake, y mañana se e«peran de 5 á 69. El exérc</t>
  </si>
  <si>
    <t>Frah</t>
  </si>
  <si>
    <t>aguás, géfe de sala D. Josef 'Ramón Fernandez , gefe de^ trozo DvBonifacid’ Olí^éneia , seminarista D. Frah1cisco Muñoz, gefes dé trozo D. Sebastian Fernandez Navarrete, D. Manuel Ferrando, y el cadete D. Pablo Ferrando, quienes hablaron respectivamente del principio y progresos de la r</t>
  </si>
  <si>
    <t>Frahcisco</t>
  </si>
  <si>
    <t>candeleras de plata, con .peso de 187 onzas. Domingo Fernandez, tratante de vino , por uña vez 160; D. Frahcisco.de. Arieta , agente de Indias., por una vez......¿..... 500. D. Pedro Palacio Veiarde, del comercio de lienzos, por una i &gt; 5OO. D. Antonio Gil. y Arriba, por una vez.............</t>
  </si>
  <si>
    <t>Fraiit</t>
  </si>
  <si>
    <t>Muñoz, y para la segunda á D. Leonardo Santander y VHláviceñdio: se haliábah vacantes por muértéde D. Fraiit?sCcí Covelo y-'DvDiégp Blázquez. *'■-iv '*-■'/ "■■■■ : fi:i ■ ' ' En la-extracción de. la real -loteríacelebrada el lunes 2 f del corriertté¿ salieron los números 3 , 54, 34, 6 y</t>
  </si>
  <si>
    <t>Fran</t>
  </si>
  <si>
    <t>otros dos que han merecido la mención honrosa dei cuerpo. Todo fue oido con mucho gusto y aplausos. Mr. Fran^ois de Neufchateau dió fin á la junta leyendo una noticia de las obras postumas del difunto poeta Lebrun , individuo que fue de la academia , y un canto del poema inédito de la na</t>
  </si>
  <si>
    <t>Franciico Milán</t>
  </si>
  <si>
    <t>nglaterra. Mantesa 3 de Octubre. Por el parte que comunicó el comandante de la división de Monearla D. Franciico Milán?, coa f-cha del 1. 0 del corriente, hemos sabido , que en la noche del *9 deí anterior salió con 6co miqueleres,y la compañía de S. Feliú de 150 hombres, dirigiéndose á las espald</t>
  </si>
  <si>
    <t>Francis</t>
  </si>
  <si>
    <t>de la parroquia de S. Cristóbal de las Fons, en la diócesi de Gerona, vacante por muerte del mismo D. Francis* co del Castillo, á D.. Fernando Velez, capellán, de honor de la real capilla : para el beneficio residencial de la parroquia dé. la villa de Puerto-Mingalvo, en la diócesi de Zar</t>
  </si>
  <si>
    <t>Francisca</t>
  </si>
  <si>
    <t>.... : Zaragoza., ;(3P® 1999 D. Juan Pedro. .Cantón■%M*.*,* **•• •*•* * ‘ Zaragoza.,.:. :■íP9® 2262 Dona Francisca ds••*•••*•»•♦• ¡ S ilbao o 5po 603 D. Mateo Agüero Marcos........... . hladrid....... 300 1455 D. Manuel Carretero.................................. 3o® 1832 D. Francisco de. Tole</t>
  </si>
  <si>
    <t>D. Antonio .tlgnipa, pfidal.de Ja contaduría de los, señores. Inr fardes, 8 id*, id»».•••■ v , 248. Doña Francisca .Xaviera de Garai, viuda, 6; id. por. un; año....»; 2190. D. FelicianoAei Arcó, del comercio, 6 id. id.......................... 219O. D. Joaquín Lorenzo.Vilianueya,d ^d’; P9r ago</t>
  </si>
  <si>
    <t>Francisca Antonia Matei</t>
  </si>
  <si>
    <t>e Sepúlve- libra y media de hilas. da 6. Doña Evarísta Vizcaíno 4. La Sra. de ligarte 2. D. F. N. 2 Doña Francisca Antonia Matei 8 va­ D. Josef Antonio Perez Benito 2 caras de lienzo. : misas, una sábana y una corta porD. Fernando Barcena 2 camisas. ción de hilas. Doña Xaviera de Osma 2. D. Joaquín de Guper</t>
  </si>
  <si>
    <t>Francisca Arias Pérez</t>
  </si>
  <si>
    <t>rés García 2.’ una. La viuda de D. Josef de la Dehesa €. D Juan Mazarron 2 usadas. D. Juan Aceto 2. Doña Francisca Arias Perez 12, D. Francisco y Doña María Corche- D. Manuel de Salazar 2. ro 4. - D. V. M. 8 varas de lienzo. D. Antonio Sánchez Trapero 2. D. Jorge López 6camisas y 8 vendas. D. Vicente Rome</t>
  </si>
  <si>
    <t>Francisca Arroteta</t>
  </si>
  <si>
    <t>D. Francisco de Moya y Cortés 6. Doña Juana María del Val 2 camisas* Doña María Damiana de Otaolá 6 Doña Francisca Arroteta, su criada. Doña Nicolasa Perez de Castro 2, una. D. Vicente Diratigo 3. D. Francisco Torres 4. D. Benito García Perez de Castro D. Severo Andrés García 2.’ una. La viuda de D. Jo</t>
  </si>
  <si>
    <t>Francisca Bernaldo</t>
  </si>
  <si>
    <t>misas. Doña Josefa Ruiz 2. id. M. A. una. La Excmá. Sra. marquesa de Montea! y Santiago 12. La Sra. Doña Francisca Bernaldo vde Qu/rós ^2,-Doña'María T, 4; .Doña Francisca Mana de Paz y Carrasco., hija de la Sra. marquesa.de la Corona, 100 ponchos parat que se .destinen al exército de Andalucía en las</t>
  </si>
  <si>
    <t>Francisca Bonabia y Villamayor, María</t>
  </si>
  <si>
    <t>María Francisca Bonabia y Villamayor</t>
  </si>
  <si>
    <t>de negocios, en libramientos de intereses de vales reales, y pico en efectivo, ¡i............ 320. Doña María Francisca Bonabia y Villamayor, en intereses de Vitalicio, id.....................................................i.................. 4500. La marquesa de Fontanar, en iJ. id....................................</t>
  </si>
  <si>
    <t>Francisca de Cabrera</t>
  </si>
  <si>
    <t>tinúan los cbaiativos y ofertas voluntarias que constan en el banco nacional de S. Carlos. Rs. Mra, Doña Francisca de Cabrera , por una vez........................................ ioo. D. Blas del .Castillo y Escribano, del comercio de libros, id..... ioo. Doña Rafaela y Doña Gala Saltana, id............</t>
  </si>
  <si>
    <t>Francisca de Torres</t>
  </si>
  <si>
    <t>D. Juan Salamon, por una vez......................................................... 40. Doña Francisca de Torres, un vale de 150 pesos id................... 2323 19. D. Rafael Pascual y Bayot, oficial de la contaduría general de Propios, id....................................................</t>
  </si>
  <si>
    <t>Francisca Gil</t>
  </si>
  <si>
    <t>s de cotonía y 2 pares de botines de paño. D. Manuel de Salas 70 pares de botines de lienzo cortos. Doña Francisca Gil 15 varas de paño. D. Andrés Peña 6 varas de paño. Doña María Felipa de Mendinueta</t>
  </si>
  <si>
    <t>Francisca Laliga</t>
  </si>
  <si>
    <t>ma 1. Doña Josefa Semolinos 4. Doña Francisca Villa 2. Doña Juana Prieto 2. Monjas de Sta. Clara 2. Doña Francisca Laliga 1. Doña Nicolasa Montero 2. Doña María Rodríguez 1. El colegio de S. Antonio 3. Doña Faustina Bustarviejo 3. Doña Catalina Villa 3. Doña Joaquina Alberto de Zülueta 2 camisas y 2</t>
  </si>
  <si>
    <t>Francisca López</t>
  </si>
  <si>
    <t>............................. 8. D. Joaquín González de la Vega, catedrático de S. Isidro, id. 120. Doña Francisca López , sirviente , id................................................ IOO. Tomas Hernández, cucharero en la calle de Postas , id................ IOO. D. Pedro Antonio Barbero, teniente</t>
  </si>
  <si>
    <t>Francisca Madrid</t>
  </si>
  <si>
    <t>2 de coruña. Las señoras mugeres y familias de los dependientes de la real biblioteca de S. M. 100. Doña Francisca Madrid, y sujiija Doña .Raymunda Sastre, vecinas de Arganda, 4* y 3 varas de paño pardo. Doña Viqenta Miranda 2 camisas. D. Josef Linacero 2. Doña María Antonia Martínez una. Doña María</t>
  </si>
  <si>
    <t>Francisca María de Paz y Carrasco</t>
  </si>
  <si>
    <t>marquesa de Montea! y Santiago 12. La Sra. Doña Francisca Bernaldo vde Qu/rós ^2,-Doña'María T, 4; .Doña Francisca Mana de Paz y Carrasco., hija de la Sra. marquesa.de la Corona, 100 ponchos parat que se .destinen al exército de Andalucía en las divisiones de Reding y la de Peña. : *■.' ¡ J;j.. . Dia 18... La marque</t>
  </si>
  <si>
    <t>.. 20. D. JoseYGomez, id................... ............. ........................... ...... , loo. Doña Francisca María de Paz y Carrasco, 12 rs. diarios, por r 5 meses.................. ................. ................... ........... ......... ........ . 1836. La sacramental de la parroquia de S. Luis de esta cor</t>
  </si>
  <si>
    <t>Francisca Monfort</t>
  </si>
  <si>
    <t>Madrid....... 1500 23 53 Doña María Josefa Fernandez........................ Zaragoza..... 500 1172 Doña Francisca Monfort............................ Zaragoza..... 3 00 510 D. Vicente Manuel de Zumelzu......... Bilbao....... . 300 23 °4 D. Francisco Miguel Gil............ »».».»»».».... Cádiz.,»1....</t>
  </si>
  <si>
    <t>Francisca Muñoz</t>
  </si>
  <si>
    <t>62^2 D. Josef Badan 1442 en efectos de rs. 17 mrs. en;ÍU ; ■ o . ,:¡ .-o estado. D. Juan Robira 60. Doña Francisca Muñoz 180 rs., 17 JD. T-. B. zop.r, ,r - -;t : ; ;5 - , -&gt;• ■ ■■ mrs. .enlidi-..¿ ¿-■ •':tt: -J,,D.-R&lt;;.-A oh r'á Donativos de camisas y otros efectos,para ej exéretío de 'Aidgon, Á D.</t>
  </si>
  <si>
    <t>Francisca Nicolasa Corzon</t>
  </si>
  <si>
    <t>izas, id................................................................... .................. 2CO. Doña Francisca Nicolasa Corzon, id................................. ............ 100. Doña Isabel de S. Martin Cueto, viuda, id.......................i......... 320. D. Francisco de Amandi, un vale de 300 pesos</t>
  </si>
  <si>
    <t>Francisca Ñuño</t>
  </si>
  <si>
    <t>hermoso las compañías dejas costas de Granada, y 150 tiradores de «Mentor o, que mandaba el capitán D. Francisca Ñuño. En este orden, ;y adelantándose los indultados de Málaga y guerrillas de cada cuerpo á reconocer les. olivares de las inmediaciones, íueron~atacados por los enemigos en: la. maña</t>
  </si>
  <si>
    <t>Francisca Paula de Irala</t>
  </si>
  <si>
    <t>Madrid....... • 300 972 D. Felipe de-Satostegui.............. ......... . iMadrid....... ; 300 506 Doña Francisca Paula de Irala..................... Bilbao...j 000 23) Doña María Benita Rocandio..................... Burgos..,,..,. Joo 1805 D. Joaquín Gispert................................. .......... Zara</t>
  </si>
  <si>
    <t>Francisca Pozo</t>
  </si>
  <si>
    <t>.' ¡ J;j.. . Dia 18... La marquesa de Bedmar y Escalona 12 camisas de coruña. D. Manuel Escudero 4. Doña Francisca Pozo 2. D. Domingo Yubero una. D; Feli^rBausstc 6-id-:de coruña. D.; F. R: una. ■ ' Dia 1$, Jp. jG.vE- íU.n capote pardo . usado/ Doña Joaquina González 4 camisas. Doña ManudefPjfar y</t>
  </si>
  <si>
    <t>Francisca Pueyo</t>
  </si>
  <si>
    <t>361 rs. en efectos .^qtqsjde estado. ^ ■&lt; y- de estado.' " "¿V,.. D. Manuel Gutiérrez de Rozps 30Q. Doña Francisca Pueyo .íGO iS1.;en i¿. ] '' u- A ';• D. Luis Robledo 1,60» ; , s , ¡¡0,1 . i; *TT.- i a Z, C , ‘ ;■ i ^ SL. ¿1 ---l* D. Juan Mata Ribera 320. St'contmúafd* - -" • í * ■ V •, t ú</t>
  </si>
  <si>
    <t>Francisca Ramirez</t>
  </si>
  <si>
    <t>rcía Roa 12. Doña R. F. L. 2. D. Francisco Ignacio de Arríeta 6. Doña María Sánchez Badillo 2 id. y Doña Francisca Ramirez una. una. libra de hilas. Doña Joaquina Blanco una. D. Mariano Blanco 6 camisas. Doña Manuela Martínez Carranza 6* D. Félix Manzaneda 6. Doña Isabel Ilarranza 2. D. Rosendo Saturí</t>
  </si>
  <si>
    <t>Francisca Rosa Ulloa</t>
  </si>
  <si>
    <t>0 D. Juan Francisco Muro......................... .......... Cádiz........ .. 600 2324 Herederos de Doña Francisca Rosa Ulloa..... Cádiz....... . 3000 256 D. Francisco Sánchez de María........................ Burgos........ 300 2024 D. Melchor García Duran................................ Cádiz...........</t>
  </si>
  <si>
    <t>Francisca Sainz de Baranda</t>
  </si>
  <si>
    <t>de la casa de Moneda, ño id. por agosto.......................... .................... ....... 60. Doña Francisca Sainz de Baranda y D. Francisco Gómez Urbano , 20 id. por 2 meses............................................... .......... 40. D. Josef Navarrete, presbítero, por 6 meses.............................</t>
  </si>
  <si>
    <t>Francisca Villa</t>
  </si>
  <si>
    <t>Paula Fuentes 1. LaSra. de Carranza 2. Marquesa del Valle de la Paloma 1. Doña Josefa Semolinos 4. Doña Francisca Villa 2. Doña Juana Prieto 2. Monjas de Sta. Clara 2. Doña Francisca Laliga 1. Doña Nicolasa Montero 2. Doña María Rodríguez 1. El colegio de S. Antonio 3. Doña Faustina Bustarviejo 3.</t>
  </si>
  <si>
    <t>Francisca Yarto</t>
  </si>
  <si>
    <t>tabaco, id. 40. Doña Manuela Carrasco, sirviente, id......................................... 100. Doña Francisca Yarto, sirviente, id............................................. 100. Doña Sinforiana Alvarez , sirviente , id................... .................... 100. Doña Vicenta López, sirvient</t>
  </si>
  <si>
    <t>Francisca Zaragoza, María</t>
  </si>
  <si>
    <t>María Francisca Zaragoza</t>
  </si>
  <si>
    <t>a la pagaduría general de Juros, por una vez................................................ 727 32 Doña María Francisca Zaragoza, en 2 libramientos delicado vitalicio , id...................... ............................ ................. ..................... 3285. D - Josef A-lbuerne, id................</t>
  </si>
  <si>
    <t>Francisca, María</t>
  </si>
  <si>
    <t>María Francisca</t>
  </si>
  <si>
    <t>completa: sale con el retrato verdadero del P. Isla , copiado de un original’ que posee su hermana Doña María Francisca.de Isla, traído cíe Italia; donde murió este grande hombre el dia 2 de noviembre de 1781, á los 78 años y medio de su edad; Se hallará en la librería de Castillo, y en otras de es</t>
  </si>
  <si>
    <t>Francisco Antonio</t>
  </si>
  <si>
    <t>............... ............................ .............................................. 5500. . D. Francisco Antonio de. Allende ,.id..... ................................... . 300. D. León de Altoiaguirre, aumenta.ásus donativos anteriores ,-id. 2000• Doña Joaquina Gómez una bandeja de plata con.</t>
  </si>
  <si>
    <t>;íf D. Estébaií de Foircada 2. Doña R-átaelaRódriguez de VéíjtifDv D.JE D. 4. ■ ’! : - ra 2. • v-'} D. Francisco Antonio -de Rivacotyi y D. Mariano Quefol y Gabaneé. «' Gorveau-2. &gt;1‘üs ■ . ? !• Doña Magdalena dé Utida;2. • ; l Doña Manuelft^RámirO’d.'--y • 5 Doña N. 6. -c . - v íva’r-.u'it D. G. A.</t>
  </si>
  <si>
    <t>Francisco Gregorio</t>
  </si>
  <si>
    <t>e lo sublime y de lo bello, el Kempis de los literatos, noticias biográficas de Valmont de Bomare y D. Francisco Gregorio de-Salas, crítica de los dramas el Coriolano, las armas de la hermosura y el bandolero honrado, y estado del producto anual de los tres teatros de esta corte, varias anécdotas, y not</t>
  </si>
  <si>
    <t>Francisco Ignacio</t>
  </si>
  <si>
    <t>.li;.. Cádiz»...... .. 3 00 356 B. Domingo de ‘flormache.»«»»»».»»«»»»*v*■ J Cádiz..»»..» 300 '99 8 D. Francisco Ignacio deArrieta..........»».i»»» Madrid»»».. 50Ó 2í&gt;26 D. Andrés Dorticos.......................i.............i...... Zaragoza.».. 1500 . *r 7 / D. Juan Bautista Smith..»........ .........</t>
  </si>
  <si>
    <t>Francisco Manuel</t>
  </si>
  <si>
    <t>posiciones de Jáuregui, inclusa la traducción del Aminta, de Góngora, de Quevedo, de Esquiladle, de D. Francisco Manuel y otros autores del siglo xvii , concluyendo con las obras mas estimadas de los buenos poetas del siglo siguiente desde Luzan hasta Cadalso. Se hallará, al mismo precio en rústica q</t>
  </si>
  <si>
    <t>Francisco María</t>
  </si>
  <si>
    <t>iguiendo pleito sobre Ja.sucesión de uíi?niayorazgpyqi-; ya decisión pende de, saber el paradero de D. Francisco María de^Gongora Aguado, natural de la villa de; Céhegiñ, en el reino,¡de Murcia, y sol,^ájáó^dei .rp^imiep*», to de S.oria, que estuvo en esta corte por Jos, años de íjtpjk*-.¿e'- aplica:</t>
  </si>
  <si>
    <t>Francisco Martín</t>
  </si>
  <si>
    <t>r dos meses á 10 rs. cada uno. 20. Doña Gabriela Bravo, viuda, por dos meses á 20 rs. cada uno. 40* D. Francisco Martin, cirujano, por 2 meses á 10 rs. cada uno. 20. D. Manuel Quiróga , por 3 meses á 20 rs. cada uno................ 60. Manuel Isidoro Bleñy, á 30 rs. mensuales.......................</t>
  </si>
  <si>
    <t>Francisco Pedro</t>
  </si>
  <si>
    <t>Madrid 95</t>
  </si>
  <si>
    <t>224793, 225067, ¿25348, 225881 y 2,2.5895, creación de enero, renovados á su nombre, y-endosados a D. Francisco Pedro,de Arratia, vecino.de Toledo. Quien supiere de su paradero, ¿e servará .entregarlos ,en Madrid á dichos .señores, &lt;y en Tólcdo al interesado. xEn la tarde del domingo 17 del corri</t>
  </si>
  <si>
    <t>Francisco Pedro Alonso</t>
  </si>
  <si>
    <t>a uno á llenar sus deberes; y si és posible se distinguiera alguno de los demas, fue el subteniente Don Francisco Pedro Alonso, que se mantuvo de los últimos cerca de los enemigos con la partida de guerrilla , y el capellán Fr. Juan de Málaga, dei orden de capuchinos, y ti cirujano D. Antonio Ortiz, que s</t>
  </si>
  <si>
    <t>Francisco Xavier</t>
  </si>
  <si>
    <t>Sevilla 41</t>
  </si>
  <si>
    <t>Castromarin, montero mayor del reyno, del consejo de S. A. R. y teniente general de sus exércitos* D. Francisco Xavier de: Noronha, dei consejo de S. A. R. gran Cruz dél orden de Santiago, presidente de la mesa de conciencia y teniente general de exérciío. Francisco de Acuña y Meneses, del consejo de</t>
  </si>
  <si>
    <t>300. D. Patricio de Zuazo, id........... ...................... ............................. 160. D. Francisco Xavier y D. Isidro Pareja, id....................... 200. D. Francisco Espi, 30 rs. mensuales, por 3 meses.......... ........... 90. D. Guillermo Eloy González, 30 id. por 4 id..........••..</t>
  </si>
  <si>
    <t>................................... . 1000. El comisario de guerra D. Pedro de Berindoaga y su hijo Don Francisco Xavier, regidor de Madrid, 1104 rs. por 3 meses D. Alfonso G-utierrez, id.................. ...................... ................... 320. *9</t>
  </si>
  <si>
    <t>Francisco'Baldrich</t>
  </si>
  <si>
    <t>a, D. Antonio Echavarri, D. Josef Rivas, D. Ramón Gorrondona, D. Juan Bastarte, D. Antonio Zavala , D. Francisco'Baldrich , D. Eugenio de Iturraga, Don Basilio Viola, D. Julián Viola , D. Juan Viola, D. Mauricio Xaplaneta, D. Pedro Nicolás Ximenez , D. Ventura Carbonell , D. Félix Victoriano Gómez, D</t>
  </si>
  <si>
    <t>Francisco'Xavier Cavaza</t>
  </si>
  <si>
    <t>1604 id. D. Josef Perez, diputado id. D. Francisco'Xavier Cavaza, alcalde de San Isidro. D. Vicente Tercilla, secretario. D. Angel de Diego , diputado de id. D. Diego Uriondo , diputado id. D. Francisco Rodríguez ¿ diputado del Ave María. D. Ma</t>
  </si>
  <si>
    <t>Francisco-Pérez Velazquez</t>
  </si>
  <si>
    <t>53. D. Jaime Jilvá , del comercio-^2-id. por agosto.......... . - 63. Pablo Boneta* cocinero,*2 id. D. Francisco-Perez Velazquez , 3 id. por 5 ;mesés...,...l............1 45^ D. Gaspar García j cirujano, 2 id. pwí&gt;ri 2 id........ ...... 122. D. Josef Rosinos, uno y medio id. por 5 id......,.*......... . ...</t>
  </si>
  <si>
    <t>Francisco-Rodríguez Maqueda</t>
  </si>
  <si>
    <t>or una vez......... 40. D. Ramón Cacerradá, carpintero, por una vez............. ............. 100. D. Francisco-Rodríguez Maqueda, abogado del colegio, por una vez...;.».........,...&gt;........................................................... . 640. Antonio LoftéU, nú&gt;zo de oficio honorario de la? real cocin</t>
  </si>
  <si>
    <t>FranciscoEucheli y Molina</t>
  </si>
  <si>
    <t>sé/vidó promover á mariscales dé campo dé sus exércitos á ípV brigadieres X). Pedro *de .Cáñaveral, D. FranciscoEucheli y Molina, D;~. Pedrp Gqqsens , D. Josef; A,ügus^ de Laporte y 1). Juan María. De-» lanne, los tres últimos comandantes de batallones de reales guardias de ¡n-t. fautoría^Valoba&gt; . &gt; • t&lt;vü</t>
  </si>
  <si>
    <t>Franciscollamados</t>
  </si>
  <si>
    <t>gue descarriar al populacho. El anuncio del golpe fue la salida de la Reyna de Etruria y el Infante D. Franciscollamados á Bayona portel Reí su padre. Un edecán mió, que se hallaba í La sazón en palacio; se ha visto á pique de perecer por mano de los sediciosos, y af mismo tiempo en todos los barrio</t>
  </si>
  <si>
    <t>Franciscos Blanco</t>
  </si>
  <si>
    <t>^ ' - ' ; •'; ; ' de lienzo. • f : : D. Josef María de Egüren i. ' D. Cosme de Miguel García 6 cá* D. Franciscos Blanco112. misas. La diputación del barrio de las Des- Doña María la Oiancia 8 varas de calzas Reates ^53;. — T „ lienzo. ■ Doña María Corta^aTífla^i- ■ t La diputación del barri&lt;y de la</t>
  </si>
  <si>
    <t>Franciscq Gutiérrez</t>
  </si>
  <si>
    <t>2272 D. Pascual de Atristain,,, Bilbao. I 5 OO 1890 D. Fausto Juara.,,.......... goza..... 300 85 7 D. Franciscq Gutiérrez,Solana. 9* • * • t » «■« • • • ■».% •AJajitid !•••« Sr j OO 452 D. Manuel Antonio de Boloqui,..,..1.,..-.;,;. Bilbao..../... 303 *74 D. Gaspar Morera, comerciante,........4.......</t>
  </si>
  <si>
    <t>Franciseo Varona</t>
  </si>
  <si>
    <t>...... Madrid............. 300 5242 D. Josef Antonio de Lorca... Bilbao................ 1500 .5 205 D, Franciseo Varona........... Barcelona.... 300 4.5.80 JD. Gabriel )de Eguillor......... Bilbao................ 300 r; &gt;36 J)..Pedro Felu, presbítero... Barcelona.... -300 875 Doña Joaquina Serra...</t>
  </si>
  <si>
    <t>Franck</t>
  </si>
  <si>
    <t>El diario aleman que habla de este descubrimiento menciona un quadro de la circuncisión copiado por Mr. Franck de otro de Alberto Durero. Es lástima que se ciña á copiar obras agenas, y que no pinte cosas de su invención.. Jíoenigsberg&amp;demarzo. : ! - r ' Hoi á las quatro de la tarde ha sido b</t>
  </si>
  <si>
    <t>Franclco Orchell</t>
  </si>
  <si>
    <t>; y el beneficio préstamo de Carrascal del Rio, en el obispado de Segovia, vacante por premoción de D. Franclco Orchell al arcedianato'titular de la catedral de Torosa, á D. Alexandro Alvarez. S. M. ‘sé’* ha servido conferid la tenencia .coronela del regimiento de iníantéría de, España gt*tupiente</t>
  </si>
  <si>
    <t>Franco, Luis</t>
  </si>
  <si>
    <t>Luis Franco</t>
  </si>
  <si>
    <t>.................. 3x0. D. Juan Junqueras, del comercio &gt; Jo* uña vez..*...................... 100. D. Luis Franco.,.almacenista de,carbón^ por una vez............... 4.00. D. Alexo Axus,. por.una&gt; ..... ........................ . 40o. _ 1). Francisco*.Tenaquero.,.a cuenta.de .2®.,rs^....y^&gt;.,</t>
  </si>
  <si>
    <t>Franco, Pedro</t>
  </si>
  <si>
    <t>Pedro Franco</t>
  </si>
  <si>
    <t>la soberana autoridad del Rei nuestro SeValiente. ñor D. Fernando vii, manifestando la ternura con D. Pedro Franco. que asistían á este agradable y solemne acto, bien D. Juan Fernando de contrario al que se celebró el 24 de julio dé este Aguirre. año , en fuerza de las violentas sugestiones de</t>
  </si>
  <si>
    <t>Francúco</t>
  </si>
  <si>
    <t>paños y verdas. D. Miguel Angel Sancho , D. Antonio Yarretu , Doña Josefa de Olavarrieta y su hijo D. Francúco, Doña Ana Zulueta, D. Francisco Iriarte, D. Pedro Zubiaga , herederos de D. Francisco Maria de Retes y Bustamante, D. Manuel Saenz del Prado y D. Ramón de Vasualdo, individuos de</t>
  </si>
  <si>
    <t>Franees Caballero, Bernardo</t>
  </si>
  <si>
    <t>Bernardo Franees Caballero</t>
  </si>
  <si>
    <t>ale de 150 pesos y 6 libramientos de-injtereses del año de 1800, id........... ........... 4340 27b D. Bernardo Franees Caballero,-presbítero, en un libramiento de Vitalicio y efectivo, id................................................ . 1000. I I). J. S. , id........ ............ . ........ e • ...........</t>
  </si>
  <si>
    <t>Franeisco López Moya</t>
  </si>
  <si>
    <t>............... ....... ........................ ............. ................. ........... . 2FO. D. Franeisco López Moya, oficial de la Contaduría general de ; Espolies, por una vez.................. .............................................. JOO. D. Domingo Burgos , rector de la Inclusa y coleg</t>
  </si>
  <si>
    <t>Franklín</t>
  </si>
  <si>
    <t>pecie mas de lo que permite la cantidad de subsistencias 6 alimentos que están á su disposición. El Dr. Franklín observa que el único límite que tiene la facultad productiva de las plantas y de los animales, es que aumentándose su número, se roban mutuamente su alimento. Si la superficie de</t>
  </si>
  <si>
    <t>Frántisco</t>
  </si>
  <si>
    <t>n-z recibos ,de rédftóz sobre, la rénta del1 tabaco, pór úna lvéz........................ 1100 .12s D. Frántisco l^iaz, por uña vez................................................ íob. D. Juan Anronfo del Portillo, pof una vez...................zcíeo. D. Santiago de la Peña, de este comercio</t>
  </si>
  <si>
    <t>Frdllclsco</t>
  </si>
  <si>
    <t>• " r _ ; D. Pablo Orduñez, id ....•.•••.....••......................•.................•.... . ~40. D. Frdllclsco d~i C.-tmpQ·; contador ~ ió~ Sres. Jnf.iotes º~ 9á~~ lo~ y D .. FraQcjsco ·de P.aut~, el) y~le~ .re~l~s,:,)~.:.~ .. ;~~~.~ .•~... ,~~~.. ~~79' IO~ D. Ger6Him"d: ~~I'Gáínl'~ Y.:' R</t>
  </si>
  <si>
    <t>Frdncfscb de Bbrjá Sánchez</t>
  </si>
  <si>
    <t>s él métibk éxpuestó á monopolios , séah !a$ qüe fUeteé sobre este ptíhto lás opiniones vulgares.”— D, Frdncfscb de Bbrjá Sánchez. ,, Las eTcpedeUciáS J&gt;á¥a mejorar Tá industria sé débén haber geUeralménté por particulares, y rara vez por el góbieráo.”- ZX JoséfMarra Perez. „Lí perfección de las manufacturas</t>
  </si>
  <si>
    <t>Freile, Antonio</t>
  </si>
  <si>
    <t>Antonio Freile</t>
  </si>
  <si>
    <t>. Doña Ana Arroyo 5 y libra y media tí. Josef Sayes y su parienta Doña de hilas. Manuela Labarta 3. D. Antonio Freile 6 camisas. Df Martin de la Puerta 6, , ( Doña María López libra y media de Marquesa del Castillo de S. Felipé 24. , hilas? ~ D. Bedrpdel Rió ¿ó. ,, , ; D: F;T£-Gd C; -M. L.acamisa</t>
  </si>
  <si>
    <t>Freire, Gerónimo</t>
  </si>
  <si>
    <t>Gerónimo Freire</t>
  </si>
  <si>
    <t>tivo , por una vez............................... ........................................... 1500. D, Gerónimo Freire , un vale real, id..................... ........... ........... 2321 28. D. Diego de Fuentes, del comercio, id..................... .................... icoo. •&lt;D. Juan Puertolas</t>
  </si>
  <si>
    <t>Frere</t>
  </si>
  <si>
    <t>Sevilla 24</t>
  </si>
  <si>
    <t>I DO salido para embarcarse en Portsmouth: , llevando ya contestación de S. E. Mr. Frere se embarcará en breve para Cádiz : se dice que está nombrado ministro de Inglaterra cerca de la Suprema Tunta de Sevilla. Se asegura que Bonaparte ha consentido en que eí sumo Pon</t>
  </si>
  <si>
    <t>en este puerto la fragata de guerra inglesa la Semíramisi ha traído á su bordo á los Exentos. Sres. Mr. Frere, enviado de S. M. B., al marques de la Romana, y al Sr. D. Lázaro de Heras, Ministro de Hacienda que ha sido en el exército del Norte: trae también 20 millones de reales para Espa</t>
  </si>
  <si>
    <t>, . 14^5 . La gazeta del sábado último anuncia el nombramiento de Mr. Frere , como enviado extraordinario y ministro plenipotenciario cerca de S. M. católica Fernando vii. Ya ha salido para Madrid, y presentará sus credenciales á la suprema Junta central</t>
  </si>
  <si>
    <t>Frere, Bartolomé</t>
  </si>
  <si>
    <t>Bartolomé Frere</t>
  </si>
  <si>
    <t>quí para Aranjnez el Excmo Sr. D. Juan Frere , ministro extraordinario de S. M. británica, y el Sr. D. Bartolomé Frere, secretario de su legación, para presentar sus credenciales á S» M. la Junta central gubernativa de los Reynos. El mismo dia á las 9 de la mañana partió igualmente para Cartagena</t>
  </si>
  <si>
    <t>Frere, Juan</t>
  </si>
  <si>
    <t>Juan Frere</t>
  </si>
  <si>
    <t>rid 11 de Noviembre• El miércoles 9 á las 4 de la tarde salieron de aquí para Aranjnez el Excmo Sr. D. Juan Frere , ministro extraordinario de S. M. británica, y el Sr. D. Bartolomé Frere, secretario de su legación, para presentar sus credenciales á S» M. la Junta central gubernativa de los R</t>
  </si>
  <si>
    <t>Freyse, Antonio</t>
  </si>
  <si>
    <t>Antonio Freyse</t>
  </si>
  <si>
    <t>.......Burgos.. 3:0.0 '240 D. Juan González de Lafuente,&gt;,........... ......... Burgos.. ‘3'°a 5 86 D. Antonio Freyse......... .................................... Madrid/....;, rooo 2047 D» Joaquin "Sánchez .Manan. ...............l. Cádiz........;. 30o 1089 D. Pedro dél Rio......................</t>
  </si>
  <si>
    <t>Frochot</t>
  </si>
  <si>
    <t>Excmo. Sr. Manuel Cretet, comandante de la legión de Honor, ministro del interior. En presencia de Mr. Frochot, consejero de estado, prefecto del departamento del Sena, presidente perpetuo de la cámara de comercio; y de Mr. Dubois, consejero de estado vitalicio, prefecto de policía, encarg</t>
  </si>
  <si>
    <t>edia de la mañana á k expíaíiáda inmediata al depósito de aguas de la Viilette. Acompañaban á S. E. Mr. Frochot, conde del imperio, comandante de la legión de Honor , consejero de Estado, prefecto del departamento del, Sena;.Mr. Dubois, conde del imperio, comandante de la legión de Honor, c</t>
  </si>
  <si>
    <t>Frontón</t>
  </si>
  <si>
    <t>ulo de oficio sino el de Madrid» TURQUIA1; r\ '■'ti. k ; &gt; rri&gt;OK. Constantiyppla ii de mayo. ;; rj Mr. Frontón , primer intérprete de laj anterior legación rusa, jf otros sugetos dependientes de la misma ,qne hafcianjirenido hace poco; tiempo á esta capital, se han embarcado paraOdessa, de</t>
  </si>
  <si>
    <t>embargo, tenemos algunos temores en orden á las negociaciones de paz con Rusia desde que se marchó Mr. Frontón y otros individuos de la legación rusa. Los otomanos han hecho muchos honores al embajador francés durante su viage hasta las fronteras del imperio. Se le han hecho salvas de las fo</t>
  </si>
  <si>
    <t>Frtecisco XaviebCastáño</t>
  </si>
  <si>
    <t>nté se cümplió; en esta Iglesia cátedtab él-rélíglósó wtpc dé nuestro general en gefe él Excmoi Sr. D. Frtecisco XaviebCastáño?,</t>
  </si>
  <si>
    <t>Frutos Alvaro Benito</t>
  </si>
  <si>
    <t>una vez 320 rs. D. Manuel y D. Fernando Garcia de la Prada 20© rs. anuales durante la guerra, 20©. D. Frutos Alvaro Benito, cambiante, por mitad de su oferta, y ademas de presentar 6 soldados de caballería vestidos, armados y con caballos, 12© reales. D. J. L., por una vez 30 rs. D. Severo Andrés Garc</t>
  </si>
  <si>
    <t>Frutos Tenaquero</t>
  </si>
  <si>
    <t>........................ 2 O. D. Manuel López y Marichavar, presbítero, 60 id. id.............. 60. D. Frutos Tenaquero, zapatero de cámara de S. M., 600 rs. . por una vez, y 100 rs. mensuales desde i.° de octubre......... 600. D. Francisco Lorente, oficial de la caxa de la tesorería de Cor. reos,</t>
  </si>
  <si>
    <t>Fuentes Lopéz, Antonio</t>
  </si>
  <si>
    <t>Antonio Fuentes Lopéz</t>
  </si>
  <si>
    <t>n efectos de 128.. r estado» í : . .....r,' :■ D. Josef Ruiz 206.. D. Juan Bautista deCiaran 300* j D. Antonio Fuentes Lopéz 60. D.í Pedro Nalda 240/ : ,.. D. Mariano Sancho, 100., Doña Manuela Moron 160. ' £ : D. Custodio Alcalde.y su hijo Don D. Antonio Ramón Gome? 60. Sebastian 4537 rs. 5 mrs. en vaf</t>
  </si>
  <si>
    <t>Fuentes, Julián</t>
  </si>
  <si>
    <t>Julián Fuentes</t>
  </si>
  <si>
    <t>de D. Luis Marcelino Pereira hará las de los barrios de S. Gines, Santiago y Sto. Tomas. El regidor D. Julián Fuentes, S. Justo, Sta. Cruz y la Panadería. Quartel de S. Francisco. El alcalde D. Tomas Casanova hará la de los barrios de S. Andrés , Humilladero y la Latina. El regidor D. Ramón Vitor</t>
  </si>
  <si>
    <t>Fuentes, María</t>
  </si>
  <si>
    <t>María Fuentes</t>
  </si>
  <si>
    <t>ayisós-quej $,e pubjicarpú elijas gaz^/aSid^ di setiembre y 20 de noviembre relativos a D. Juan y á Doña María Fuentes» hijos de Doña María Bourdaiseau, Vecina de Badajoz. Lo que se previene por lo que puede importar al hqnpr.vy -buen, nombre de los interesados, y á consecuencia de la justificació</t>
  </si>
  <si>
    <t>Fuertes, Julián</t>
  </si>
  <si>
    <t>Julián Fuertes</t>
  </si>
  <si>
    <t>... 183. Benito Garrido, 4 id. por agosto..................................................... 124. D. Julián Fuertes , comisario ordenador de Marina, 4 id. por 4 meses.................................................. ............................................ 488. Juan Hoffsschneiders, maestr</t>
  </si>
  <si>
    <t>Funter, Manuel</t>
  </si>
  <si>
    <t>Manuel Funter</t>
  </si>
  <si>
    <t>Madrid 117 (supl.)</t>
  </si>
  <si>
    <t>​= E*cma; Sr.=Atanasio Pi ños. ;= Ignacio Forocilias. = De acuerdo de la junta, Manuel Funter , secretario. =Excmo. Sh. eápítan general'del .éxércitony.¡reiQio. dc Aragpn.’*'!; r rr&gt; :ij ir • -i; - ^ ‘ ' • : ■- I- - 1 ^ • ••• ' * &gt; w I ■ .. ..4 v t i 1 Por varias, cartas .recibidas* en</t>
  </si>
  <si>
    <t>Fuster, Joaquín</t>
  </si>
  <si>
    <t>Joaquín Fuster</t>
  </si>
  <si>
    <t>e de 1808. sfc Excmo. = Gibriel Hevia y Noriega, vice- decano. = Excmo. Sr. conde de Floridabianca. Don Joaquín Fuster, presbítero, secretario del Reí nuestro Señor, y dfel consejo de Si M. de la santát general Inquisición por lo tocante i U coronare Castilla y León: = • - i Certifico que habiéndo</t>
  </si>
  <si>
    <t>Fustér, Vicente</t>
  </si>
  <si>
    <t>Vicente Fustér</t>
  </si>
  <si>
    <t>ei mismo tribunal D. Josef López de-Co¿afr-;t y para la plaza ‘de alcaldedéí crimen qué eSte dexa á D. Vicente Fustér. AsiAiismó para {lá’plaza de" alcalde de mi:'casa y corte j, vafeante por promoción deD. Éráhciscb Lope¿‘ Lisperguer á plaza de; mi consejó5dé; Indias , nbmbVb á^t). Jfílártin Leo</t>
  </si>
  <si>
    <t>FuU'osio, Francisco</t>
  </si>
  <si>
    <t>Francisco FuU'osio</t>
  </si>
  <si>
    <t>sus apellidos, y el 2.0 del de voluntarios de estado: y en 27 siguiente lo fue también á brigadier D. Francisco FuU'osio, coronel del regimiento de América. En consideración á los distinguidos servicios de D. Manuel de Sanpelayo, director de la real caxa de descuentos de Madrid, se ha dignado el Reí</t>
  </si>
  <si>
    <t>G-alisteo, Juan</t>
  </si>
  <si>
    <t>Juan G-alisteo</t>
  </si>
  <si>
    <t>edicina de los caballos, por Mr. Laf'sse, céiebre hipiatra, traducido del francés al castellano por D. Juan G-alisteo 7 Xiorro, profesor de medicina. El nombre solo del autor hace el elogio de esta obra, la qual ha merecido un aprecio tan general de todos los sabios de la Europa, que la han tradu</t>
  </si>
  <si>
    <t>G-arcía, Andrés</t>
  </si>
  <si>
    <t>Andrés G-arcía</t>
  </si>
  <si>
    <t>8 de julio de 1808</t>
  </si>
  <si>
    <t>Madrid 80</t>
  </si>
  <si>
    <t>l sábado 1 del corriente, á las 2 de la tarde. Quien le hubiese encontrado, se servirá entregarlo á D. Andrés G-arcía, sillero de S. M., que vive en Ja cálle de Fuencarral, junto ai maestro de coches , quien dará mas señas y el hallazgo. nodriza. • Angela Martínez, viuda, de edad de 20 años, soli</t>
  </si>
  <si>
    <t>Ga'spár de Lerin</t>
  </si>
  <si>
    <t>.... 300 5 96 Dona Polonia A. P. .M......................................... Madrid....7... 600 854 D. Ga'spár de Lerin.......................... Madrid)......./ 1500 92 2 D. Nicolás de Villar................................ ........... Madrid....... 700 238 6 D. Ignacio María Villa................</t>
  </si>
  <si>
    <t>Ga, Manuel</t>
  </si>
  <si>
    <t>Manuel Ga</t>
  </si>
  <si>
    <t>,por- J ;s .» 2 id............................... .............. ............. .v............ 60;. D. Manuel Ga.yoso , 20 id. id...................... .................................. 40.. D. Félix de Andechaga , oficial, de lat extinguida dirección de *Jientas^»a.*rs»«d,iarios.4ÍuraRte &amp;</t>
  </si>
  <si>
    <t>Gabaídon y López, Luis</t>
  </si>
  <si>
    <t>Luis Gabaídon y López</t>
  </si>
  <si>
    <t>Joaquina Gómez una bandeja de plata con. peso de' 96 y media onzas y dos cubos id. con 78 y media. D. Luis Gabaídon y López, abogado del colegio...... ,...... .......;... 55©* Doña Joaquina Alberto de Zuíúeta las alhajas de su uso siguientes:-un alfiier.de oro con perlas,,un.relox de oro, un peine con</t>
  </si>
  <si>
    <t>Gabriel'Balez</t>
  </si>
  <si>
    <t>Jtjmilla.............. .......... D. Ramón de Vitoria, regidor de Madrid....................... X X D. Gabriel'Balez, del comercio..... X X La condesa de la Coruña................ o::.. {2ciones. guarniEl marques de Casa García............ x 2 pistolas» D. Manuel Villareal i tesorero de Abastos.</t>
  </si>
  <si>
    <t>Gabriela Bravo</t>
  </si>
  <si>
    <t>.......... ....... ........... loo. Ramón Guiloche, herrador i por dos meses á 10 rs. cada uno. 20. Doña Gabriela Bravo, viuda, por dos meses á 20 rs. cada uno. 40* D. Francisco Martin, cirujano, por 2 meses á 10 rs. cada uno. 20. D. Manuel Quiróga , por 3 meses á 20 rs. cada uno................ 60</t>
  </si>
  <si>
    <t>Gacel, Luis</t>
  </si>
  <si>
    <t>Luis Gacel</t>
  </si>
  <si>
    <t>arques de Tolosa, y. los señores marques de Ovieco , marques de Fuerte Híjar, D. Antonio de Aranda, D. Luis Gacel, D. Ignacio Abadía, y el secretario D. Tomas Lobo ; no habiéndolo podido hacer los señores D. Josef García de León y Pizarro y D. Luis de, Onis y González por hallarse en ese real</t>
  </si>
  <si>
    <t>Gáceres, Francisco</t>
  </si>
  <si>
    <t>Francisco Gáceres</t>
  </si>
  <si>
    <t>por uná vez1 :ií i v2&gt;-rs., y 6to-rs. por-1-fueses á -10 rs. diarios....;..v.v.........v.v " 1610. D. Francisco Gáceres, ballestero'-de S; M.-&gt; por agosto á'4 rs.* *, ' MárCÓs Perez , tahonero , por -y meses á real diarió...»'...'.;/!...^;.. 92» D. Antonio Rodríguez y por agosto á 4 rs. diarios....</t>
  </si>
  <si>
    <t>Gados Lalande</t>
  </si>
  <si>
    <t>a.contaduría general de Valores, un libramiento á cargo de la tesorería mayor á 2 rs. diarios. 48$. D. Gados Lalande, presbítero, por una vez 1® rs., y 62 de un mes á 2 diarios......*................. ..................................... ....... 1062. D. Juan Andrés Comenge, tesorero de los rea</t>
  </si>
  <si>
    <t>Gaíeart, Juan</t>
  </si>
  <si>
    <t>Juan Gaíeart</t>
  </si>
  <si>
    <t>paradero, se servirá avisar en Madrid á D, Domingo Albert, calle de la Cruzj núm, 3; en Zaragoza á D, Juan Gaíeart, en Valencia i B. Agustín Vilaé hijos, en Cádiz á los señores Llauge Roma y compañía, y en Barcelona al referido D. Josef Vila y Carrera.</t>
  </si>
  <si>
    <t>Galan, Fernando</t>
  </si>
  <si>
    <t>Fernando Galan</t>
  </si>
  <si>
    <t>..... 300 1826 0..Felipe de la Calle............... ......................... Zaragoza..... 300 177 D. Fernando Galan............................................. Valencia..... 300 ' 1949 D. Francisco de Nestarez......... ,....................... Zaragoza..... 600 5.68 D. Ramón Romero............</t>
  </si>
  <si>
    <t>Galán, Fernando</t>
  </si>
  <si>
    <t>Fernando Galán</t>
  </si>
  <si>
    <t>iguel Perez, secretario de la diputación de S. Luis. D. Agustín López, diputado eclesiástico de id. D. Fernando Galán, diputado del barrio de Seo. Tomas. D. Francisco Moreno, diputado id. D. Eugenio Diaz, diputado interino id. D. Andrés Perez « diputado dei barrio dei Ave María. D. Ignacio Ucelai</t>
  </si>
  <si>
    <t>Galan, Juan</t>
  </si>
  <si>
    <t>Juan Galan</t>
  </si>
  <si>
    <t>por agosto y setiembre................................................... 40. D. Juan Galan , 20 id. id................................... ............. 40. D. Francisco Angulo, 4 rs.rdiarios, por 5 meses...................i.. 612. D. Jacinto Z icarias Ruiz, por una vez.</t>
  </si>
  <si>
    <t>Galan, Manuel</t>
  </si>
  <si>
    <t>Manuel Galan</t>
  </si>
  <si>
    <t>. y 25 § mrs. y 7 mrs. en efectos de estado. Doña Luisa Benito'80. D. Angel de Aragón y Alvarez 20o D. Manuel Galan 20. . ¿ en cédulas. , D. Francisco Fernandez Bellido 60; D. Manuel de Escudero ico. Josef Saavedra 30. * :• ¡ ‘ Doña María Gertrudis Tamayo 2400 Agustina Pinillos 8, , en efectos</t>
  </si>
  <si>
    <t>Galarza, Martín</t>
  </si>
  <si>
    <t>Martín Galarza</t>
  </si>
  <si>
    <t>dos; D. Josef González de ía Torre, capitán de exército; D. Antonio Perez del Castillo, presbítero; D. Martin Galarza y D. Claudio Blanco, alféreces retirados; D. Justo Pastor Perez, administrador del real Noveno; D. Juan Antonio Leonardo, D. Tomas de ia Torre, D_ Felipe Garai, D. Cecilio Saez Gordoa</t>
  </si>
  <si>
    <t>Galdiano, Joaquín</t>
  </si>
  <si>
    <t>Joaquín Galdiano</t>
  </si>
  <si>
    <t>rambasaguas, D. Pedro Geridéja, D. Josef Manuel del Valle, D. Josef María Bassoco^ D. JoaquinDsés , D. Joaquín Galdiano, D. Josef María Baquedago, y D. Francisco Xavier de Ezpeleta. Ganaron el premio extraordinario dé instrucción religiosa los caballeros seminarista mayor D. Manuel'Fernández^ géfé</t>
  </si>
  <si>
    <t>Gales, Príncipe</t>
  </si>
  <si>
    <t>Príncipe Gales</t>
  </si>
  <si>
    <t>era mui favorable y decisivo. ESPAÑA. Corana 22' de agosto. 'El correo marítimo ingles nombrado el^ Príncipe Gales llegó el dia 20 á este puerto procedente del de Falmouth con 4 dias de navegación; y asegura que la isla francesa de la Martinica ha sido tomada por los ingleses; y que el bergant</t>
  </si>
  <si>
    <t>Galiano, Vicente</t>
  </si>
  <si>
    <t>Vicente Galiano</t>
  </si>
  <si>
    <t>biese noticias del paradero de algunos de dichos efectos, las comunicarán al señor tesorero general D. Vicente Galiano, ó al señor corregidor. Se halla vacante el partido de cirujano de la villa de Cubas , que se compone de 40 vecinos, y dista 5 leguas de esta corte: su dotación es de 6 rs. diario</t>
  </si>
  <si>
    <t>Galiard, Salvador</t>
  </si>
  <si>
    <t>Salvador Galiard</t>
  </si>
  <si>
    <t>ontinente el malvado Napoleón. El dia 4 del presente mes los señore^D. Francisco Paula de Plazaola, D. Salvador Galiard, pretendiente aprob.,*io á plaza de caballero cadete del real cuerpo de artillería, y D. Juan Bautista Caballero, discípulos de la academia pública de matemáticas, que con la real</t>
  </si>
  <si>
    <t>Gall</t>
  </si>
  <si>
    <t>que la facultad de médicína de París está imprimiendo actualmente un dictamen contra el sistema del Dr. Gall. ' Mr. Sónnini, uno de nuestros mas célebres naturalistas, ha Hecho insertar en los diarios una carta sobre la mona recien llegada á París, deque hemos hablado anteriormente. Dice</t>
  </si>
  <si>
    <t>y que en quarito al desarrollo del celebro como una membrana., en los descubrimientos atribuidos á Mr. Gall, que mas ruido han hecho en e1 mundo, no solo no se trata, como desde luego lo han reconocido los autores de la memovia, de desplegar todo el celebro, sino también de reducir much</t>
  </si>
  <si>
    <t>Gallardo, Manuel</t>
  </si>
  <si>
    <t>Manuel Gallardo</t>
  </si>
  <si>
    <t>....... 500 1788 D. Josef Alonso Caballero................................ Cádiz.......... 500 2069 D. Manuel Gallardo.......................................... Cádiz.......... 5 00 1554 D. Santiago de Golidura.......................... ........ Bilbao......... 300 2113 D. Pedro Abric.............</t>
  </si>
  <si>
    <t>.. 1000 1473 D. Tomas Martínez............................................ Málaga....... . 600 2068 D. Manuel Gallardo........................................... Cádiz.......... 300 496 D. Mariano Ordoñez de Barraiqua................. Bilbao......... 500 1980 D. Josef Francisco Mornau.............</t>
  </si>
  <si>
    <t>Gallardo, Victoriano</t>
  </si>
  <si>
    <t>Victoriano Gallardo</t>
  </si>
  <si>
    <t>.... . JOO 419 P- Francisco Galindo..... ................................... Santander.... IOOO 4*4 D. Victoriano Gallardo.................................... La Coruña.. 3co 15 78 Doña Rosa Ventura de Alcedo y Las Casas. Bilbao......... 1 jco 1907 D. Félix Alvarez de Alvarez..........................</t>
  </si>
  <si>
    <t>.......... Madrid....... 6go Sres. D. Nicolás de Sarachaga y compañía..... Bilbao.......... 300 415 D. Victoriano Gallardo.................................... ■Santander.;.. loo 2254 D. Cándido Ramón de Meave............ ............ Bilbao......... 7^ 1026 D. Plácido Ortiz de Eléialde................</t>
  </si>
  <si>
    <t>Gallego, Julián</t>
  </si>
  <si>
    <t>Julián Gallego</t>
  </si>
  <si>
    <t>......... 2264 2J. El Príncipe de Castelfranco , id.......................................... 6000. D. Julián Gallego , artífice dorador, id............ ................ . 300. D. Manuel Robustiano Martínez, id................................................ iodo. D. Antonio de Laiseca, en vale.s</t>
  </si>
  <si>
    <t>Gallego, Máñuél</t>
  </si>
  <si>
    <t>Máñuél Gallego</t>
  </si>
  <si>
    <t>n ancho. D» Vicénte Alcátá 4 pares de calzones de cotonía. D. Pedro García Frailé i2 várás ifétiñá; D. Máñuél Gallego' 12 -vhras de' paño cóíor. D/Jósef Fer— jréírb‘i65 viñas dé' páñd; D. ‘Gregorio Nuñéz 1L pares;de botines de pa-^ ño negro, 2 camisas, 3 pantalones, 6 varas; de saiga Manca y ^; ar</t>
  </si>
  <si>
    <t>Gallo, Felipe Santiago</t>
  </si>
  <si>
    <t>Felipe Santiago Gallo</t>
  </si>
  <si>
    <t>.. ............ 500. D. Josef de Hernando......... ........................................... 400. D. Felipe Santiago Gallo, procurador de los reales "Consejos......................................................................... 240. D. Baltasar Doncel...... ,.......................................</t>
  </si>
  <si>
    <t>Cartagena............. ...................................................................... 1250. D. Felipe Santiago Gallo , procurador de los reales Consejos, 9© rs. mensuales, por 3 meses................. ......................... ................ 270. D. Salvador fiesols, abogado, 30 id. durante 6</t>
  </si>
  <si>
    <t>Gallovay, Lord</t>
  </si>
  <si>
    <t>Lord Gallovay</t>
  </si>
  <si>
    <t>ontra Inglaterra, la expedición de Copenhague era justa, y debía hacerse sin dolor ni pesar alguno. Lord Gallovay supone que los dinamarqueses se preparaban á hacernos la guerra porque sus almacenes estaban llenos de efectos navales ; pero si esto probase algo, sus disposiciones hostiles son</t>
  </si>
  <si>
    <t>Galludo, Mateo</t>
  </si>
  <si>
    <t>Mateo Galludo</t>
  </si>
  <si>
    <t>comandante at teniente coronel! i&gt;. Martin Martínez, captan del de Málaga, y el de sargento mayor á D. Mateo Galludo, del de Burgos. La Junta suprema ha mandado se diga en la gazeta que el no hallarse entre los sugetos nombrados para el tribunal de vigilancia y protección Don Juan Ibañez de ía R</t>
  </si>
  <si>
    <t>Galmares, Antonio</t>
  </si>
  <si>
    <t>Antonio Galmares</t>
  </si>
  <si>
    <t>era-muestra la-voz española, la segunda la francesa escrita, y la tercera la misma pronunciada: por D. Antonio Galmares : un tomo en 4.0, á 10 rs; en rústica ,12 en pergaVnino, y 15^11 pasta. Se hallará en casa de Castillo, y en el despacho de la Borda, calle del Arenal. Prontuario del valor diario</t>
  </si>
  <si>
    <t>Galvez, Manuel</t>
  </si>
  <si>
    <t>Manuel Galvez</t>
  </si>
  <si>
    <t>e hilas. 1 ‘ Doña María dé Lóréto Hurtado de D. Lu is Francisco 2 camisas. Mendoza 2. '•-f ' ■ :' 4 D. Manuel Galvez 6 y 12 vendas¿ 1 DoiJ&lt;Ksbfi.TÍo dantos 3. ' j ! D. Juan Antonio Montemayor ó^ CaLa marquesa de Pesadilla , condesa misas;. " ’ 0 ' : • -"• t ’;i de Canillas, 24; :i • D. Damián de</t>
  </si>
  <si>
    <t>Galvo, Lorenzo</t>
  </si>
  <si>
    <t>Lorenzo Galvo</t>
  </si>
  <si>
    <t>o en el diario de e$ta corte del día 19 dé se* tiembre último, y gazeta del 30 del mismo por el Sr; D. Lorenzo Galvo¿ intendente general del reino y exército de Aragón, se insertan á continuación loa donativos hechos para dicho exércitó en dinero metálico, en vales reales ¿cédulas y efectos de e</t>
  </si>
  <si>
    <t>Gamacho, Diego</t>
  </si>
  <si>
    <t>Diego Gamacho</t>
  </si>
  <si>
    <t>Antonio Salgado; cirujano D. Manuel Gómez, en Altona: enfermos. Alférez D. Josef Perez; portaguión D. Diego Gamacho, en Mompeller, id. Idem de Villavkiosa. Capitán D. Luis Bouch; teniente D. Ventura Montero, en Langeland: luego que trascendieron la determinación del embarco de las tropas, se de</t>
  </si>
  <si>
    <t>Gamarra, Juan</t>
  </si>
  <si>
    <t>Juan Gamarra</t>
  </si>
  <si>
    <t>an con destino en Zelanda. Regimiento de infantería de Zamora. Capitán D. Mariano Vaquer; tenientes D. Juan Gamarra y D. Manuel</t>
  </si>
  <si>
    <t>Gambon, Gerónimo</t>
  </si>
  <si>
    <t>Gerónimo Gambon</t>
  </si>
  <si>
    <t>s de lienzo. D. Antonio Sánchez Trapero 2. D. Jorge López 6camisas y 8 vendas. D. Vicente Romero 6. D. Gerónimo Gambon 2 camisas. D. Benito Uit de Miiins 3. Doña María Ximenez de Traporcr, Doña Nicolasa García una y 2 pares vecina de Méritrida ,6. - • de calcetas. El Sr. D. Pedro de Mora y Lomas,</t>
  </si>
  <si>
    <t>Gambon, Vicente</t>
  </si>
  <si>
    <t>Vicente Gambon</t>
  </si>
  <si>
    <t>f., tinas hilas y D. Blas 'Menertdé¿ ¿Ccartri&amp;s. - ■— ’ paños. •. [Éscuefas pias dé Ampies 12^ * ' D. Vicente Gambon 2 camisas, Ún súgeto bienhechor rió libras dé Fr. A. F. t). M.IÍ. 2. quina y 22 id. de bálsamo. D. Manuel Sedaño y. sus hijos 6. D, Manuel de Sampelayo 5ó cambas. D. Juan Ignacio</t>
  </si>
  <si>
    <t>Gamborinó, Miguel</t>
  </si>
  <si>
    <t>Miguel Gamborinó</t>
  </si>
  <si>
    <t>r^sérita el retrato dé Napoleón 1 de medio cuerpo, dibnxadó, por Mr. Jsabey- enPáris, y grabado por D. Miguel Gamborinó, dedicado ál Exorno. Sr. E): Francisco Beauharnois, epibaxador de Francia. Se hallará en la librería de Escribano, cálle de bis Carretas, y enty do Campo, calle de Alcalá. . , . V</t>
  </si>
  <si>
    <t>Gamborino, Miguel</t>
  </si>
  <si>
    <t>Miguel Gamborino</t>
  </si>
  <si>
    <t>300* • D. Antonio Vázquez, por agosto á 20 rs. mensuales.................. 20, .Miguel Gamborino, grabador de láminas, por agosto.......... . 20. D. Francisco del Corte, del comercio, por agosto..............U.... 60. D. Josef Pico Santisteban, oficial del patronato de Aragón, por agos</t>
  </si>
  <si>
    <t>Gámiz, Antonio</t>
  </si>
  <si>
    <t>Antonio Gámiz</t>
  </si>
  <si>
    <t>de ídem. D. Gregorio de; Arce 240 pares de calcetas. La condesa de Villapaterna 12 libras de hilas. D. Antonio Gámiz 2. La condesa de Vallencourt 2. La condesa de Castelflorido 4. La condesa de Belveder una. Doña Teresa Samper una. La Sra. de Lángara 2. La real casa de noviciado de hijas de ¡a C</t>
  </si>
  <si>
    <t>Gancedo Pelaez, Santiago</t>
  </si>
  <si>
    <t>Santiago Gancedo Pelaez</t>
  </si>
  <si>
    <t>D. Josef Francisco Lema, por 6 meses á 30 rs., 180. D. Lorenzo Garcia Robredo, por una vez 1100 rs. D. Santiago Gancedo Pelaez, id. 300 rs. D. Vicente Montenegro, secretario de las fábricas de Alcaraz, id. 300 rs. Pedro de Prado', maestro de obra prima, por una vez 2200 rs. D. Josef Pablo Malnero, criado</t>
  </si>
  <si>
    <t>Gano Manuel, Antonio</t>
  </si>
  <si>
    <t>Antonio Gano Manuel</t>
  </si>
  <si>
    <t>publico para el que quiera mejorarla y hacerla ú los seles y efectos referidos,, acuda ante el Sr. D. Antonio Gano Manuel, alcalde de ca4 sa y corte, por la escribanía de D. Juan Garrido, donde se’admitirán las que se hin qierencor? tal que ao s,ea manos muertas-,^ní en^enoy cantidad que en l¡a en qu</t>
  </si>
  <si>
    <t>Gaoua, Manuel Vicente</t>
  </si>
  <si>
    <t>Manuel Vicente Gaoua</t>
  </si>
  <si>
    <t>............ 60. Bernarda Pavón., id...,.,......... ..................... ............. ..... . 10. D. Manuel Vicente Gaoua, en réditos de vales, id................... 180$. D. Manuel Manzano, id......................... ............................. ......... 40. D. Antonio Pomareda, tapicero de la ca</t>
  </si>
  <si>
    <t>Gara</t>
  </si>
  <si>
    <t>enado, del instituto y de Ja escuela de medicina de París, y varios parientes y amigos del difunto. Mr. Gara*, senador, pronunció el elogio fúnebre, que éxcitó los mas profundos afectos de dolor en todos los circunstantes.</t>
  </si>
  <si>
    <t>Garay, Martín</t>
  </si>
  <si>
    <t>Martín Garay</t>
  </si>
  <si>
    <t>secretario, el ExcrwvSr. D.. Pedro Cevallos. La sección de Hacienda se compone de los Excmos. Sres. D. Martin Garay, D. Lorenzo Calvo, D. Félix Ovalíe,. D¿ Luis de Funes, D.. Sebastian.de Jocano, D. Francisco de Paula Castañeda : su secretario el Exorno. Sr. D. Francisco Saavedra. La sección de</t>
  </si>
  <si>
    <t>García Caballero, Nicolás</t>
  </si>
  <si>
    <t>Nicolás García Caballero</t>
  </si>
  <si>
    <t>.......... 100. Doña Vicenta López, sirviente, id....... ..................................... 300. D. Nicolás García Caballero, fiscal del honrado Concejo de la Mesta , 3300 rs. anuales, á cuenta én-intereses de vales reales. 1173 8. D. Juan Térmens, coronel de Milicias agregado á esta plaza, á‘cuenta de</t>
  </si>
  <si>
    <t>rsonero; D. Juan Xaramillo, regidor; D. Diego del Rio, también regidor, y D. Matías Bayo, diputado; D. Nicolás García Caballero, D. Juan Bautista Nieto, D. Pedro Marcelino Blanco , D. Miguel Martínez, D. Pedro Queipo de Llano, D. Juan Ruiz Dávila, D. Josef Bausá, D, Rafael Ricote, D. Josef Antonio CanosaD.</t>
  </si>
  <si>
    <t>de todos los cuerpos y gremios menores. Fueron nombrados los señores siguientes: Vecinos honrados. D. Nicolás García Caballero. D. Esteban de la Torre. D. Pedro Gorron de Cisneros. Apoderados de los gremios menores. D. Eugenio Diaz. Manuel de la Viuda. D. Miguel Martínez. Francisco Perez. Hoi al medio día</t>
  </si>
  <si>
    <t>García de Acevedo, Pedro</t>
  </si>
  <si>
    <t>Pedro García de Acevedo</t>
  </si>
  <si>
    <t>agones de Queretáro en Nueva-España se ha servido S. M. promover á coronel al capitán de granaderos D. Pedro García de Acevedo, y á teniente coronel al capitán de fusileros Don Francisco Crespo Gil. Asimismo se ha dignado S. M. conceder plaza de oidor de la audiencia de Sta. Fe de Bogotá a D. Joaquín Carr</t>
  </si>
  <si>
    <t>García de García, Juan Antonio</t>
  </si>
  <si>
    <t>Juan Antonio García de García</t>
  </si>
  <si>
    <t>a vez, y 6 diarios, por 2 meses. 866, D. Isidoro Sanz Valles, 4 id................ ........... 284. D. Juan Antonio García de García, 2 id. por 2meses............. 122. D. Camilo Ruiz, 20 rs. mensuales, por 2 meses....................... 40. D. Joaquín Blazquez , 60 id. id...................... ................</t>
  </si>
  <si>
    <t>García de la Cámara, Santiago</t>
  </si>
  <si>
    <t>Santiago García de la Cámara</t>
  </si>
  <si>
    <t>JuSn Francisco Xeres..... i..... Cádi¿**....U 606 1023 B.’ Manuel Lloi ente.Madrid.....»'* 500 1922 D. Santiago García de la Cámara.......... Zaragoza..».. 500 19Ó1 D. J uan Narciso de Torres........... ..................... Zaragoza..... 500 Doña Gertrudis de Zaldo......... ......................... Madrid.».</t>
  </si>
  <si>
    <t>García de la Cuesta, Gregorio</t>
  </si>
  <si>
    <t>Gregorio García de la Cuesta</t>
  </si>
  <si>
    <t>ro maestrante de Valencia D. Josef Leandro Pimentel, se hallan depositadas por orden del Excmo. Sr. D. Gregorio García de la Cuesta, capitán general de Castilla la vieja, 2$ arrobas de algodón en rama apresado á los franceses en aquella villa, para proceder á su venta, y emplear su producto en la manutención d</t>
  </si>
  <si>
    <t>García de la Erran, Manuel</t>
  </si>
  <si>
    <t>Manuel García de la Erran</t>
  </si>
  <si>
    <t>..... ............... 1210. D. Miguel Palomero, 20 rs. mensuales, por agosto................. . 20. D. Manuel García de la Erran, del comercio de lienzos, 120 id. id....................................... .......................................... 120. D. Ramón Biospa, capellán de las Descalzas reales, 30 i</t>
  </si>
  <si>
    <t>García de la Hoz, Manuel</t>
  </si>
  <si>
    <t>Manuel García de la Hoz</t>
  </si>
  <si>
    <t>....................... 306. D. Manuel de Barbería, del comercio, 8 id., por 4 id..*....... . 976. •D. Manuel García de la Hoz, oficial de gremios, 4 id., por agosto..................................... ........................................ . 124. Francisco Suarez, uno id., por 2 meses.................</t>
  </si>
  <si>
    <t>García de la Vega, Francisco</t>
  </si>
  <si>
    <t>Francisco García de la Vega</t>
  </si>
  <si>
    <t>Ignacio de Iturmendi por una vez 4© rs. D. Manuel Rivacoba y Gorbea, cambiante, por una vez 20© rs. D. Francisco García de la Vega, del comercio, por medio año á 6 rs. diarios durante la guerra , 1095. D. Luis Ducós, presbítero, por agosto á 2 rs; diarios, por id. 62. D. Josef Casas, por agosto á 120 rs. mens</t>
  </si>
  <si>
    <t>García de Lama, Juan</t>
  </si>
  <si>
    <t>Juan García de Lama</t>
  </si>
  <si>
    <t>ndo vitalicio , id...««..............»»»...♦*•..................»m.......................... 27 5®* D. Juan García de Lama, visitador general de policía, id............ 160. D.- Juan López , id 60. D.- Silvestre Abad Aparicio, 2 vales reales, id......... ............................. 9044 ióD. Francis</t>
  </si>
  <si>
    <t>García de Lia, Pedro</t>
  </si>
  <si>
    <t>Pedro García de Lia</t>
  </si>
  <si>
    <t>ía y Tomasa, criadas de servir, una camisa y un pac de, calcetas.,Doña Vitoria Camarero una camisa. D. Pedro García de Lia-, nps 2.. D. Alexo Santa María una sábana. D. Fernando Ibirrola, 6 camisas., I). Ramón de Sandra, vecino de Almería , 6. D. Francisco Moreno 12. D. Pantaleon de Castro una. El grem</t>
  </si>
  <si>
    <t>García de Millar, Diego</t>
  </si>
  <si>
    <t>Diego García de Millar</t>
  </si>
  <si>
    <t>, D. Angel de Sata y Zubiria, D. Manuel de Negueruela, D. Andrés de Larreta y D. Joaquín de Romaña; D. Diego García de Millar, Manuel Alonso Gómez, del gremio de botilleros; Santiago Rulica, del gremio de sombrereros; D. Josef de Liona, D, Miguel Sainz , Ángel Josef de la Cruz y Jacinto Majolero, del gre</t>
  </si>
  <si>
    <t>García de Pelayo, Manuel</t>
  </si>
  <si>
    <t>Manuel García de Pelayo</t>
  </si>
  <si>
    <t>»;»»:»»»......... Cádiz.......... 300 493 D. Juan de Énestrosa.............. Bilbao......»; 300 784 D. Manuel García de Pelayo.;».»»;.».;»»»»» Madrid....... 1500 23 53 Doña María Josefa Fernandez........................ Zaragoza..... 500 1172 Doña Francisca Monfort............................ Zaragoza....</t>
  </si>
  <si>
    <t>García de Roa, Antonio</t>
  </si>
  <si>
    <t>Antonio García de Roa</t>
  </si>
  <si>
    <t>ara en piedras ñnas, por 5 meses á 60 rs. mensuales en cada uno.............. . 180. 3E1 Intendente D. Antonio García de Roa, administrador general de rentas de Madrid, por agosto á 300 rs. mensuales....... 300* • D. Antonio Vázquez, por agosto á 20 rs. mensuales.................. 20, .Miguel Gamborino,</t>
  </si>
  <si>
    <t>García de Sena, Rafael</t>
  </si>
  <si>
    <t>Rafael García de Sena</t>
  </si>
  <si>
    <t>en efec*fiVó, id Sé #*'él'*'l'*«'é*B«é&gt;tl#**é«4 •••*••»• •4*»»t*»é •«.••** *«.» |.4I ééMMMt * 20©0. D. Rafael García de Sena, id............................................. ............................... 300. Dona María Josefa de S. Martin-, un libramiento del fondo vitalicio , id...««..............»»</t>
  </si>
  <si>
    <t>García de Tovar, Diego</t>
  </si>
  <si>
    <t>Diego García de Tovar</t>
  </si>
  <si>
    <t>00. D. Antonio Guardia......................................................................... 40. D. Diego García de Tovar en un recibo de réditos de vales.. 180. Donativos de otra especie. D. Juan Josef Moyano 6 camisas de bravante nuevas. B. Juan Escolano 6 id. D. Pedro Antonio de Sobrado 4 id. La Exc</t>
  </si>
  <si>
    <t>García de Trevilla, Francisco</t>
  </si>
  <si>
    <t>Francisco García de Trevilla</t>
  </si>
  <si>
    <t>... 300 355 D. Domingo Dencel........................................ .... Cádiz.......... 300 J052 D. Francisco García de Trevilla....... ............. * Madrid .....i.* 500 *2339 D. Pedro Ricarde.............................. ......... Zaragoza.. je© 1325 D. Josef Serrano y Monzon............................</t>
  </si>
  <si>
    <t>García de Trevillai, Domingo</t>
  </si>
  <si>
    <t>Domingo García de Trevillai</t>
  </si>
  <si>
    <t>0. .‘4 Miguel Pilero, por una-vez.....-.,••••»»«.,,.¿^.«»«íi»*«v.-.»«'».«.t4ííy.y?¿*ct»&gt;¿«»»« ■ ai. D. Domingo García de Trevillai por(pna:'Ver;/4i.44Í;;;vA.,.i.i.¿;.;^ 4o®* D. Antonio del Castillo, por un*¿4e«.¿v.5;;i:..;'.v.*:á3.vjJÍí*¿;.'¿l,jL... . 400. Isabel de la Peña, sirviente, por una;vez4;..^.;.....</t>
  </si>
  <si>
    <t>García de Villa, Juan</t>
  </si>
  <si>
    <t>Juan García de Villa</t>
  </si>
  <si>
    <t>sta de los .señores D. Manuel de Rerillá, D. Juan d.el Castillo y Carróz, D. Fernando de la Serna , D. Juan García de Villa, D. Francreco NogueVy D. Juan Facundo Caballero, no ha reconocido ni jurado la constitución de Bayona: lo que se manifiesta ai público, porque como dichos señores son ministros ho</t>
  </si>
  <si>
    <t>García de VinueSa, Gregorio</t>
  </si>
  <si>
    <t>Gregorio García de VinueSa</t>
  </si>
  <si>
    <t>á los soberanos,preceptos. En la propia forma que los dos primeros asesores prestaron su juramento D. Gregorio García de VinueSa , contador general de Cruzada, D. Diego Alarcon Lozano, fiscal del tribunal, y el citado D. Ventura Padilla.</t>
  </si>
  <si>
    <t>García del Castillo, Antonio</t>
  </si>
  <si>
    <t>Antonio García del Castillo</t>
  </si>
  <si>
    <t>r de las salas deí crimen de la cHandllería , de Aíranáda: para la plaza; de oidor qiie este dexa á D. Antonio García del Castillo, alcalde del crimen mas antiguo de aquel, tribunal; y para, esta’ resulta al. alcalde del crí-, ¿ten supernumerario del .nii^mp.í?^ M^gin Eerrer. Tendrás^, entendido en&lt;* la cámar</t>
  </si>
  <si>
    <t>García del Castillo, Ignacio</t>
  </si>
  <si>
    <t>Ignacio García del Castillo</t>
  </si>
  <si>
    <t>................. . 1000. I I). J. S. , id........ ............ . ........ e • ...........I. tOO« ■ D. Ignacio García del Castillo, pura de la real parroquia, una s boleta de casa real, id................................................¡ 666 Francisco Aparicio, en libramientos contra Consolidación y efeo i .</t>
  </si>
  <si>
    <t>García del Rio, Antonio</t>
  </si>
  <si>
    <t>Antonio García del Rio</t>
  </si>
  <si>
    <t>Madrid....... 300 333 D. Diego Moreno y Delgado...................... ... Cádiz........ . 1000 2289 D. Antonio García del Rio............................. Cádiz......... 600 1097 D. Antonio’Villareal................................ . ... Madrid....... 606 1981 Sres. D. Josef Francisco Mornau....... ... Z</t>
  </si>
  <si>
    <t>.............. Bilbao.,.....;. IOOO 992 D. Manuel de Palomera...,........ . Madrid.....;. :3?P 3287 D. Antonio García del Rio.*,....................... Cádiz......*,'. ; 3p° 2181 D. Antonio Perez del Ingerto..,,...,......i....... Coruña.....*. '39.® 639 Doña Francisca. María de Paz y Carrasco..... . Madr</t>
  </si>
  <si>
    <t>de la Havana.......... ........................................ ......... Cádiz........* '500 2288 D. Antonio García del Rio.................... . Cádiz......... IOOO 178 D. Francisco San Martin Silico................ ... Valencia..... IOOO1295 D. Vicente Gil de Arias............................... . Va</t>
  </si>
  <si>
    <t>García Duran, Melchor</t>
  </si>
  <si>
    <t>Melchor García Duran</t>
  </si>
  <si>
    <t>diz....... . 3000 256 D. Francisco Sánchez de María........................ Burgos........ 300 2024 D. Melchor García Duran................................ Cádiz........... 600 512 D. Ignacio María de Zavala.............................. Bilbao.......... 30® 1740 D. Antonio Prudencio de Olavarria......</t>
  </si>
  <si>
    <t>García Ferf, Domingo</t>
  </si>
  <si>
    <t>Domingo García Ferf</t>
  </si>
  <si>
    <t>ablo Forner, con las análisis y síntesis que hizo de ellas y de las del Rosal de la villa de Beteta D. Domingo García Ferf nandez: un tomo en 4.0 mayor. Se hallará en la librería de Cerro , calle Mar yor, portal de Manguiteros. ' MUSICA. En la librería de Campo, calle de Alcalá, se hallan las obras de</t>
  </si>
  <si>
    <t>García Fernández, Domingo</t>
  </si>
  <si>
    <t>Domingo García Fernández</t>
  </si>
  <si>
    <t>r 3 meses á 3 rs. diarios........................ ................ ......................... . 184. D. Domingo García Fernandez, ministro de la junta de comercio y moneda, por ahora neo rs., y ademas 6 diarios......... 1100. D. Josef Fermín y Garrida, agente de negocios, por agosto á 4 rs. diarios...... ..</t>
  </si>
  <si>
    <t>eal colegio de S. Carlos, á cuenta de 4 rs. diarios........................................... 5°°» D. Domingo García Fernandez ,. ministro de la junta general de Comercio, por 2 meses á 6 rs. diarios.................. .................... 366.. Manuel Perez, maestro, cerrajero , por agosto á 2 rs. diarios</t>
  </si>
  <si>
    <t>García Fernández, Miguel</t>
  </si>
  <si>
    <t>Miguel García Fernández</t>
  </si>
  <si>
    <t>042 D, Ignacio Esteves ...................................... ............ Cádiz..;.;..... 300 2193 D. Miguel García Fernandez................... ............ Coruña........ 500 322 D. Adrián Hernaez.............. ...........i—-............. ..... Málaga......... 00o 1387 D. Estéban de Alvarellos.........</t>
  </si>
  <si>
    <t>García Frailé, Pedro</t>
  </si>
  <si>
    <t>Pedro García Frailé</t>
  </si>
  <si>
    <t>y tercia de paño azul y 50 varas barragan ancho. D» Vicénte Alcátá 4 pares de calzones de cotonía. D. Pedro García Frailé i2 várás ifétiñá; D. Máñuél Gallego' 12 -vhras de' paño cóíor. D/Jósef Fer— jréírb‘i65 viñas dé' páñd; D. ‘Gregorio Nuñéz 1L pares;de botines de pa-^ ño negro, 2 camisas, 3 pantal</t>
  </si>
  <si>
    <t>García Fúer, Luis</t>
  </si>
  <si>
    <t>Luis García Fúer</t>
  </si>
  <si>
    <t>ntófi^ada del juramento prestado por él miuístn? ¿el Cun&amp;ejo Eope dé Béiiáfanda, el honorario'de él D. Luis García Fúer</t>
  </si>
  <si>
    <t>García Gómez Xara</t>
  </si>
  <si>
    <t>primero con honores de la propia cámara: D. Nicolás de Sierra, fiscal de dicho consejo de Castilla: D. García Gómez Xara, ministro del consejo de las Indias: D. Manuel Vicente Torres Cónsul, fiscal del consejo de Hacienda : D. Ignacio de Alava, teniente general, y ministro del consejo de Ma-4 riña:</t>
  </si>
  <si>
    <t>binete ....?..........;&lt;..................... I I I El iriQíQuae Tturfcieta.............. .ti 1 • • D. García Gómez Xara.................. 2 2 2 D. Juan Antonio Villa, ayudante mayor de las reales caballerizas.. I D. Luis de Onis............................ «i 1 El marques de Camarasa.... 4........</t>
  </si>
  <si>
    <t>García González, Ambrosio</t>
  </si>
  <si>
    <t>Ambrosio García González</t>
  </si>
  <si>
    <t>................. . 300. D. Fermín Villalpando, en intereses de vales reales, id............ 956 4. D. Ambrosio García González, id............................................... 610. Manuel Martínez , cirujano, id.................................................... 4o* Domingo Santa Olalla , id...........</t>
  </si>
  <si>
    <t>García Gpmez Xara</t>
  </si>
  <si>
    <t>Castilla á JD. Gonzalo Josef de Vilches, y á D. Ee-rt lipe Canga Argliellés. ' i „ DeL de indias á D. García Gpmez Xara. :. . ir; ,,Del de Hacienda á D. Josef Perez Caballero,]*. v j v.t ,, Pará Secretario al marques;de Fuerté-Híjar.'fn . I .'■&lt;ru;: • Kj „Y reservo por ahora el nombramiento del sup</t>
  </si>
  <si>
    <t>García Isla, Manuel</t>
  </si>
  <si>
    <t>Manuel García Isla</t>
  </si>
  <si>
    <t>22 por 2 meses á 2 rs. diarios, que pagará durante un año..................................... 322. D. Manuel García Isla, 2 id. por agosto.......................................... 62. D. Josef García Abella, 3 id. por 2 meses..................................... 183. D. Alateó Larreta , 3 id. por 5</t>
  </si>
  <si>
    <t>García López, Gregorio</t>
  </si>
  <si>
    <t>Gregorio García López</t>
  </si>
  <si>
    <t>mensuales.................................................. ............... ............... . 20. ~ D. Gregorio García López, administrador de los departamentos V</t>
  </si>
  <si>
    <t>García Marín, Miguel</t>
  </si>
  <si>
    <t>Miguel García Marín</t>
  </si>
  <si>
    <t>n Ruiz Dávila, D. Josef Bausá, D, Rafael Ricote, D. Josef Antonio CanosaD. Pablo Muñoz de la Vera y D. Miguel García Marín, diputados de parroquias; D. Nicolás Nicol y Josipf González, por el gremio de menuderos; D; Francisco Galvez de Quirós, D. Manuel González Rodríguez, D. Pedro Gorron de Cisneros,</t>
  </si>
  <si>
    <t>García Montenegro, Manuel</t>
  </si>
  <si>
    <t>Manuel García Montenegro</t>
  </si>
  <si>
    <t>a de Pesadilla , condesa de Canillas, presentó 24 camisas. , , D. Felipe Ramírez 8¡ camisas nuevas. D. Manuel García Montenegro, procurador de los rea* les consejos, 2 camisas nuevas. D. Francisco Xavier Martínez Remon 2 camisas id. Doña M. A. S 12 camisas id. Doña Eugenia Muñoz 3 camisas i&lt;l. Doña Irene R</t>
  </si>
  <si>
    <t>García Moreno, Manuel</t>
  </si>
  <si>
    <t>Manuel García Moreno</t>
  </si>
  <si>
    <t>... ......... . xfce. D. Antonio Oliveros, canónigo de S. Isidro,.id........... .............. 800. D. Manuel García Moreno, presbítero, 124 rs. mensuales, por agosto.......... ............ .................................... ................. ............... 124. D. R amon Alvarez, ,ro. id. por 3 rne</t>
  </si>
  <si>
    <t>García Muñoz, Ramón</t>
  </si>
  <si>
    <t>Ramón García Muñoz</t>
  </si>
  <si>
    <t>............ 30. El marques de Bendaña, 320 id. por id................ ..................... . 320. D. Ramón García Muñoz, 60 rs. id. id........................................ 60. D. Josef Ugena, 30 id. id..... ................................. ............. ........... 30. D. Tomas García Prieto, p</t>
  </si>
  <si>
    <t>García Nieto, Andrés</t>
  </si>
  <si>
    <t>Andrés García Nieto</t>
  </si>
  <si>
    <t>1 varas y quarta de barragan de Cuenca. La Excma. Sra. marquesa de la Vera 4 capotes de paño pardo. D. Andrés García Nieto 2 camisas. Dia 5. La villa de Aibares, por mano de su regidor Eugenio Corra!, tina sábana y 19 camisas. D. Miguel Entrena, cura de Albalate de Tajuña, 4 camisas. Doña Alfcnsa Lópe</t>
  </si>
  <si>
    <t>García Ontiveros, Felipe</t>
  </si>
  <si>
    <t>Felipe García Ontiveros</t>
  </si>
  <si>
    <t>..... 500 223 D. Josef de Olaegui........................................... Alicante...... 300 842 D. Felipe García Ontiveros............... . Madrid...... 500 923 D. Bonifacio Saenz de Tejada y compañía..... Madrid'.'....O '3 00 2132 D. Cayetano Luis Maeso y compañía....... ».v Zaragoza....: 3°o 879 D.</t>
  </si>
  <si>
    <t>García Pericacho, Juan</t>
  </si>
  <si>
    <t>Juan García Pericacho</t>
  </si>
  <si>
    <t>Garcia Plaza, por una vez 300 rs. D. Wenceslao de Argumosa, abogado del colegio, por una vez 6© rs. D. Juan Garcia Pericacho, por una vez 320 rs. D. Manuel y D. Fernando Garcia de la Prada 20© rs. anuales durante la guerra, 20©. D. Frutos Alvaro Benito, cambiante, por mitad de su oferta, y ademas de pre</t>
  </si>
  <si>
    <t>García Plaza, Francisco Xavier</t>
  </si>
  <si>
    <t>Francisco Xavier García Plaza</t>
  </si>
  <si>
    <t>18284 rs. y 20 mrs. D. Antonio Rodríguez, por una vez 60 rs. D. Antonio Zavala, por una vez 320 rs. D. Francisco Xavier Garcia Plaza, por una vez 300 rs. D. Wenceslao de Argumosa, abogado del colegio, por una vez 6© rs. D. Juan Garcia Pericacho, por una vez 320 rs. D. Manuel y D. Fernando Garcia de la Prada 20©</t>
  </si>
  <si>
    <t>García Plaza, Isidoro</t>
  </si>
  <si>
    <t>Isidoro García Plaza</t>
  </si>
  <si>
    <t>.. Sres. viuda de Escolar, Noriega é hijo. En Granada......... D. Francisco Unzaga. En Guadalaxara. D. Isidoro García Plaza. En Jaén................. D. Ramón María Montoro. En León................. . D. Josef Rio del Pino. En Málaga............ D. Juan Ximeno.4 En Mahon.............. Doña Catalina Ger</t>
  </si>
  <si>
    <t>Sres. viuda de Escolar, Noriega á hijo* En (dranada........ D. Francisco de Unzaga. En Guadalaxara. D. Isidoro García Plaza. En Jaén................ D. Ramón María Montoro. En L eon................. D. Gerónimo Gómez. En Malaga....... . D. Juan Ximeno. En Mahon............. Doña Catalina Germán y Hugal</t>
  </si>
  <si>
    <t>res. v-iuda de Escolar, Noriega é hijo. £n Granada........ D. Francisco de Unzaga. £ñ Cruadálaxaru. D. Isidoro García Plaza. £n Jaén............. D. Ramón María Montoro. £n León....... . D. Francisco Pió del Pino. £n Málaga........... . D. Juan Ximeno. £n Mahon......... . Doña Catalina Germán y Hugalde</t>
  </si>
  <si>
    <t>García Prieto, Francisco</t>
  </si>
  <si>
    <t>Francisco García Prieto</t>
  </si>
  <si>
    <t>Noriega Ribero , de Carabanchél, por id. 60 rs. \ i D. Miguel Antonio Oquendo* por una vez 200 rs. D. Francisco Garcia Prieto, oficial de la secretaría de la presidencia de Castilla, sus 6 cubiertos de plata, y 60 rs. mensuales ínterin las circunstancias: por agosto 60. D. Ramón Monroi, por una vez 150 r</t>
  </si>
  <si>
    <t>García Prieto, Tomás</t>
  </si>
  <si>
    <t>Tomás García Prieto</t>
  </si>
  <si>
    <t>.. 600 2303 D. Vicente DufFoo.......... .................................. Cádiz........... 300 761 D. Tomas García Prieto y compañía.............. Madrid....... 300 335 D. Valentin y D. Josef Segura, hermanos..... Cádiz..........* 300 110 D. Francisco Paula Carrillo.............................. Tudela</t>
  </si>
  <si>
    <t>... Zaragoza..... 600 73 D. Francisco Xavier Maguerola....................... Barcelona.... 300 760 D. Tomas García Prieto y compañía............... Madrid....... 5 00 2036 D. Benito Picardo............................ ................. Cádiz.......... 5 00</t>
  </si>
  <si>
    <t>....... 300 988 D. Miguel Amandi............................................. Madrid....... 500 762 D. Tomas García Prieto y compañía............. Madrid....... 500 1021 D. Diego de Herce............................................. Madrid....... 300 152 D, Josef Echevarría..............................</t>
  </si>
  <si>
    <t>60. D. Josef Ugena, 30 id. id..... ................................. ............. ........... 30. D. Tomas García Prieto, procurador de fos reales Consejos ,500 rs. por una vez, y 186 por agosto á 6 rs. diarios.....*............. 686. D. M. C. A., 100 rs. mensuales, por 2 meses...... ...............</t>
  </si>
  <si>
    <t>García Ramírez, Francisco</t>
  </si>
  <si>
    <t>Francisco García Ramírez</t>
  </si>
  <si>
    <t>gar en vales reales. Quien quisiere hacer mejora lo cxecufará por la escribanía que está á cargo de D. Francisco García Ramírez. uPor providencia dé D. Francisco Arcos y Sancho, juez comisionado regio en la '-móéeísi de Cádiz, se ha señalado1 ¿1 dia 9 d el corriente para el remate de 88 fanegas •déIfiéria</t>
  </si>
  <si>
    <t>García Roa, Antonio</t>
  </si>
  <si>
    <t>Antonio García Roa</t>
  </si>
  <si>
    <t>s y unas hilas. D. Cayetano de la I ana y su criada D. Andrés de Tejada 6 camisas. Isabel García 6. D. Antonio García Roa 12. Doña R. F. L. 2. D. Francisco Ignacio de Arríeta 6. Doña María Sánchez Badillo 2 id. y Doña Francisca Ramirez una. una. libra de hilas. Doña Joaquina Blanco una. D. Mariano Bl</t>
  </si>
  <si>
    <t>García Robredo, Lorenzo</t>
  </si>
  <si>
    <t>Lorenzo García Robredo</t>
  </si>
  <si>
    <t>ios, 310. D. Carlos Rodrigo, por una vez 60 rs. D. Josef Francisco Lema, por 6 meses á 30 rs., 180. D. Lorenzo Garcia Robredo, por una vez 1100 rs. D. Santiago Gancedo Pelaez, id. 300 rs. D. Vicente Montenegro, secretario de las fábricas de Alcaraz, id. 300 rs. Pedro de Prado', maestro de obra prima, por</t>
  </si>
  <si>
    <t>García Roxas, Pedro</t>
  </si>
  <si>
    <t>Pedro García Roxas</t>
  </si>
  <si>
    <t>te y en el de Vimenes, 2232:. Andrés García Junco, de S. Martin de Lorio, 2122: Pedro García Roxas, vecino de Aller:, sembró 26 dias de bueyes de nabos gallegos: Francisco Alvarez Santullano, de este concejo de Oviedo, 20 dias de bueyes del mismo fruto: Francisco Rodríguez de Cabaña Qu</t>
  </si>
  <si>
    <t>García Sainz, Julián</t>
  </si>
  <si>
    <t>Julián García Sainz</t>
  </si>
  <si>
    <t>as y 4 D. Silvestre Abad de Aparicio 15 capares de calcetas. misas. ■: D. Pc:dro Velarde 2 camisas. D. Julián García Sainz 12. Doña N. F. 2. La marquesa de Viilaverde 100 finas.» El hermano Antonio Peribañez 2.. Los dependientes de la contaduría de D. Ignacio Abadía, del consejo de los Sres. infantes</t>
  </si>
  <si>
    <t>García Sánchez, María</t>
  </si>
  <si>
    <t>María García Sánchez</t>
  </si>
  <si>
    <t>n de Mata Duque 1800 en D. Pedro Marcelino Blanco 45 2 j rs. efectos de, estado. .... 5/mrsi"enOíd. Doña María García Sánchez 40.' D. J. G. de Á. 1200 en cédulas. Doña Gila .Moreno 30. ; &lt;• D. Joaquín Solanas 90. . P, Pedro Rubio 2©. D. J. A. V. G. 960. D. Joaquín Ervias ioo.rs. en metá­ Doña Margarita C</t>
  </si>
  <si>
    <t>García Serralde, Manuel</t>
  </si>
  <si>
    <t>Manuel García Serralde</t>
  </si>
  <si>
    <t>una camisa. Doña Ramona Tapies y Muya 2. £1 Excmo. Sr. marques de; Montealegre, conde de Oñate, 48. D. Manuel García Serralde 2. La condesa de S. Rafael 36. D. Josef Ortega y sus dos hijas 2. D. Mariano Sancho, administrador de la fábrica de Valdemoro, 68 varas de paño pardo dieziocheno. La condesa de la</t>
  </si>
  <si>
    <t>García Suelto, Tomás</t>
  </si>
  <si>
    <t>Tomás García Suelto</t>
  </si>
  <si>
    <t>la real academia médica de Madrid, en junta ordinaria del 24 de diciembre último, por su discípulo D. Tomas García Suelto, académico de número. Se hallará en las librerías de Castillo, frente á las gradas de S. Felipe, de Pascual, calle de Preciados,..y de Cerro, portal de Manguiteros. " EN LA IMPREN</t>
  </si>
  <si>
    <t>: noticia de Ausias March y sus obras: crítica dél elogio de D. Josef Severo López , compuesto por: D. Tomas García Suelto: noticia crítica dél .papel intitulado Idea del teatro pintoresco y mecánico; y el artículo variedades, que contiene la relación dé un fenómeno de agricultura,, modas/fábulas*&amp;c.</t>
  </si>
  <si>
    <t>14 de julio de 1808</t>
  </si>
  <si>
    <t>Madrid 86</t>
  </si>
  <si>
    <t>Joscf Severo López, primer- catedrático del real estudio de Medicina-práctica &amp;c., por su discípulo D. Tomas García Suelto, médico dé número de los reales hospitales, y miembro de la real academia médica de Madrid. Se hallará á 4 rs. en las librerías de Castillo, frente á las gradas de S. Felipe el Re</t>
  </si>
  <si>
    <t>García Velarde, Carlos</t>
  </si>
  <si>
    <t>Carlos García Velarde</t>
  </si>
  <si>
    <t>adrid.....í, 300 769 D. Felipe Salcedo y compañía.......................... Madrid....... JOO 24 )S D. Carlos García Velarde................................. Zaragoza...., lOOO 1296 D. Vicente Gil de Arias................................... Valencia.... JOO 01 Doña Josefa Squid y de Castellarnau........</t>
  </si>
  <si>
    <t>García Vinuesa, Gregorio</t>
  </si>
  <si>
    <t>Gregorio García Vinuesa</t>
  </si>
  <si>
    <t>55 Rs. MrS. D. Josef Gómez de Herrera, 20 mensuales por 2 meses............. 40. D. Gregorio García Vinuesa , por 3 meses...................................... 600. D. Pedro Perez , 2 rs. diarios, en intereses de vales..................... 1468. D. Ign acio Pajares, 200 rs. por una vez,</t>
  </si>
  <si>
    <t>Garciá Ximenez, Ramón</t>
  </si>
  <si>
    <t>Ramón Garciá Ximenez</t>
  </si>
  <si>
    <t>D. Torquato Antonio Collado, teniente corregidor dfe «esta villa y por la escribanía del número de D. Ramón Garciá Ximenez. :-Por providencia dél S£. D. Ignacio Martínez de Villéla, del consejó de S. eh;eV real y supterno de'CastilIa, superintendente general de: policía de ésta villa, juez en virtud d</t>
  </si>
  <si>
    <t>García Ximenez, Ramón</t>
  </si>
  <si>
    <t>Ramón García Ximenez</t>
  </si>
  <si>
    <t>del señor D. Torquato Antonio Collado, teniente corregidor de esta villa, y.escribana del número de D, Ramón García Ximenez, dentro del término de 30 días contados desde el 27 de febrero próximo pasado, Quien quisiere hacer postura á la dehesa intitulada Sierras de Valhondó, sita en término de la villa</t>
  </si>
  <si>
    <t>.. Madrid........ 3o o 802 D.'Carlos Simón Pon tero y sobrino............... Madrid........ 500 646 D. Ramón García Ximenez............................ Madrid....... 600' 2424 D. Josef Carlos de Reisig............................... Cádiz.......... 300 621 D. Francisco de Irusta........................</t>
  </si>
  <si>
    <t>del señor D. León de Sagasta, teniente corregidor de esta villa, por ante el escribano de su número D. Ramón García Ximenez. libros. Exposición de los hechos y maquinaciones que han preparado la usurpación de la corona de España, y ios medios que el imperador de los franceses ha .puesto en obra para re</t>
  </si>
  <si>
    <t>Perez. por el quarrel de Avapies; D. Juan de Mata Iliana, Palacio; D. Ignacio García, Plaza mayor; D. Ramón García Ximenez , San Francisco; D. Gregorio Uriondo, S. isidro; D. Juan Bautista Elasa , San Gerónimo ; D. Tomas Sanz Ibarrola , Maravilla- ; D. Roque Antonio de Lema, Afligidos ; D. Bernardo Or</t>
  </si>
  <si>
    <t>García y Piniilos, Pedro</t>
  </si>
  <si>
    <t>Pedro García y Piniilos</t>
  </si>
  <si>
    <t>ía de estado, por una vez........ ............................... ........... ............... 1000. D. Pedro García y Piniilos, del comercio de joyería , por una vez.......... 3000. . Manuel Pellico, posadero, por una vez............ióp. Josef Branieiia,mozo dei anterior, por una vez............ . 60. Ram</t>
  </si>
  <si>
    <t>García y PiniÜos, Pedro</t>
  </si>
  <si>
    <t>Pedro García y PiniÜos</t>
  </si>
  <si>
    <t>;....; Madrid/v....*-» 600¿ 226 D. Manuel Sebastian Gil.................. . Alicante..... . 500 795 D. Pedro García y PiniÜos................. . Madrid......., 3001 616 D. Carlos Josef Conrote.;*»»................ ............ Madrid....... ooq 1736 D. Josef Perez Muñoz.....*....................Cádiz..;*</t>
  </si>
  <si>
    <t>García y Romero, Ángel</t>
  </si>
  <si>
    <t>Ángel García y Romero</t>
  </si>
  <si>
    <t>za..... 300 305 Rafael Medina y Lafita...................... ................ Málaga........ 300 48 D. Angel García y Romero....... ....................... Barcelona.... 300 1909 Doña Rosa Marco................................................ Zaragoza..... 3 00 1611 D. Nicolás de Sarachaga..............</t>
  </si>
  <si>
    <t>García Zorrilla, Juan Antonio</t>
  </si>
  <si>
    <t>Juan Antonio García Zorrilla</t>
  </si>
  <si>
    <t>........... 93D. Felipe Arroyo , por una vez....i........................................... 1000,? D. Juan Antonio García Zorrilla , del comercio , por una vez... 1100* D. Manuel Rodrigo, por áhorá,..*»» ................... *00, D. Antonio Rubio, por ahora....................................... ..............</t>
  </si>
  <si>
    <t>García, Antonio</t>
  </si>
  <si>
    <t>Antonio García</t>
  </si>
  <si>
    <t>Números . Lotes de las en acciones. Nombres 4e los interesados. Comisionados. Es. vn., 871 D. Antonio García y compañía....................... Madrid....... 500 223 D. Josef de Olaegui........................................... Alicante...... 300 842 D. Felipe García Ontiveros.............</t>
  </si>
  <si>
    <t>-de S. Carlos. ' r' ' R*. Mn. D. Juan Rui* Atvarez, por agosto á 3 rs. diarios............... . 93. D. Antonio García, maestro carpintero, por agosto á 4 rs. diario*.............. ——......*...................................... ................. ........ . 124. D. Jpsef Gv)m&gt;-z Gascón, oficial de</t>
  </si>
  <si>
    <t>......... 70nnr&gt;, D. Juan de Escovar, alguacil de corte, id................ .................. 100, D. Antonio García, id..................... ................................................ iao. O. Manuel Vázquez, id................................................................ 60, D. Francis</t>
  </si>
  <si>
    <t>García, Benito</t>
  </si>
  <si>
    <t>Benito García</t>
  </si>
  <si>
    <t>. loco. D. Antonio María Jaime, id........................................................... 500. D. Benito García, 20 rs. mensuales, por agosto.......................... 20. D. Francisco Crodey , 60 id. id.............. ......................... ............. 60. D. Estanislao Gaya , 60 id. i</t>
  </si>
  <si>
    <t>García, Bernardo</t>
  </si>
  <si>
    <t>Bernardo García</t>
  </si>
  <si>
    <t>pio reino , se ha servido promover á capitán al teniente D. Ignacio As.tegui; á teniente al alférez D. Bernardo García, y á alférez á D. Manuel Sánchez , vecino de la demarcación del regimiento. ■ —1 v " j wi 1 -• ■" ■ ........ - - -i ■ ■ VENTAS JUDICIALES. Por.providencia de D. Sandalio de Orúe y</t>
  </si>
  <si>
    <t>García, Carlos</t>
  </si>
  <si>
    <t>Carlos García</t>
  </si>
  <si>
    <t>;................... 200. Leonarda Alonso, hortelana, 30 rs. id. por 2 meses............. ¿..i. 60, D. Carlos García , oficial del real Albeiterato, 20 id., por agosto. 20. D# Jacinto García, decano del real Albeiterato, 30 ia.-id........ 30. D. Francisco Suria, abridor de láminas, 10 id. id....</t>
  </si>
  <si>
    <t>García, Domingo</t>
  </si>
  <si>
    <t>Domingo García</t>
  </si>
  <si>
    <t>co García* de Arias 12a. r nirs&gt; • -y D. Domingo Chavarri 400. D. Isidro Velazquez 1263 rs. 17 mrs. D. Domingo García 60. ‘ en efectos de estado. ; ; D; Pedro Martin 60. D. Fermín María de Uria NafarroaD. Sebastian del Conde 200. ; ; - .40-73-rs. 23ímrs. eu,metálico, 2265 D. Peregrino de Llandera</t>
  </si>
  <si>
    <t>García, Felipe</t>
  </si>
  <si>
    <t>Felipe García</t>
  </si>
  <si>
    <t>............. . 60. D. Domingo Palacios,-por una vez.................... ..................... 300. D. Felipe García, batidor de oro, en intereses de vales de 1800 y.pico enefectivo, id.............................................................. 1173. Ei colegio de paires Trinitarios de Alcalá</t>
  </si>
  <si>
    <t>García, Félix</t>
  </si>
  <si>
    <t>Félix García</t>
  </si>
  <si>
    <t>.... 1 El marques de Casa-Pontejos............. 5 El conde de Valdeparaiso................... 1 X x D. Félix García, párroco de la viila de Mejorada...................................... 1 I 1 La condesa de Alcudia........................ 1 1 D. Josef Paulo Valiente................. i.. 1 El ma</t>
  </si>
  <si>
    <t>García, Francisco</t>
  </si>
  <si>
    <t>Francisco García</t>
  </si>
  <si>
    <t>36 Rs. Mr*. D. Francisco García, del comercio, id........................................... 400. D. Juan Josef de Ojanguren, por una vez un vale de 150 pesos de setiembre........................................</t>
  </si>
  <si>
    <t>rsíiófmrs; ! Di Manuel Ruiz González y su muD. Antonio García 200. ger Doña Josefa López 206 rs. 12 D. Francisco García* de Arias 12a. r nirs&gt; • -y D. Domingo Chavarri 400. D. Isidro Velazquez 1263 rs. 17 mrs. D. Domingo García 60. ‘ en efectos de estado. ; ; D; Pedro Martin 60. D. Fermín María de</t>
  </si>
  <si>
    <t>García, Gaspar</t>
  </si>
  <si>
    <t>Gaspar García</t>
  </si>
  <si>
    <t>Boneta* cocinero,*2 id. D. Francisco-Perez Velazquez , 3 id. por 5 ;mesés...,...l............1 45^ D. Gaspar García j cirujano, 2 id. pwí&gt;ri 2 id........ ...... 122. D. Josef Rosinos, uno y medio id. por 5 id......,.*......... . ... 229. D. Nicolás Palacios García, maestro de primerás letras, 2</t>
  </si>
  <si>
    <t>García, Gregorio</t>
  </si>
  <si>
    <t>Gregorio García</t>
  </si>
  <si>
    <t>.............. icco. D. Juan Cbavarría ,* rd.V„..............;................................ 750. D. Gregorio García j id............................... ................................... icco.: D. Juan Fernandez Fálbina, id............................................ .. . 600. D. Gabriel Rossi</t>
  </si>
  <si>
    <t>García, Ignacio</t>
  </si>
  <si>
    <t>Ignacio García</t>
  </si>
  <si>
    <t>quarteles de Madrid. D. Silverio Perez. por el quarrel de Avapies; D. Juan de Mata Iliana, Palacio; D. Ignacio García, Plaza mayor; D. Ramón García Ximenez , San Francisco; D. Gregorio Uriondo, S. isidro; D. Juan Bautista Elasa , San Gerónimo ; D. Tomas Sanz Ibarrola , Maravilla- ; D. Roque Anton</t>
  </si>
  <si>
    <t>García, Joaquín</t>
  </si>
  <si>
    <t>Joaquín García</t>
  </si>
  <si>
    <t>D. Francisco Goyá 21 varas de lienzo; D. L . 2. camisas. Doña Andrea Luna 4 camisas. D. B. S. una. D. Joaquín García 2. D. Miguel Herrero 2. El convento de religiosas de S. FerD. Joaquín Lemaire y Villareál 7 nando S. ; camisas, 4 pares de calcetas , 2 al­ DoñarFV F: ‘2t; ■■ millas y un chaleco</t>
  </si>
  <si>
    <t>García, Juan</t>
  </si>
  <si>
    <t>Juan García</t>
  </si>
  <si>
    <t>D. Antonio del Barrio para las compañías de Almería; D. Matías Carrascon para la de S. Sebastian, y D. Juan García para la de Ceuta. ^E1 Reí se ha servido conferir el empleo de teniente dé Rei de la plaza de Gerona al coronel D. Juan Bolívar, capitán de los esquadrones ligeros de la real briga</t>
  </si>
  <si>
    <t>................... •••»• o •••••••*• I •••• • ........ r,'.r{:\I* ¡i oza...:,r • * ¡. &lt; i. "f 1891 D. Juan García, regidor de Guridáia'JuráA/AA 300 362 D. Joaquin Sardén, sargento mayor............! GádiZii. 5 00 ?7.4 D. Josef Joaquin 'López.......... ...A....y/ Madrid....:.. ICOO 106 D. Manu</t>
  </si>
  <si>
    <t>. 109. D. Fernando Romera, id. id..... ....................................................... i©o. D. Juan García, id. id...................... .............................. ................ 100. D. Ciríaco Ximeno, id. id.......................... 1................................. roo. D. J</t>
  </si>
  <si>
    <t>García, Juan Agustin</t>
  </si>
  <si>
    <t>Juan Agustin García</t>
  </si>
  <si>
    <t>arcelona.... 500 2212 p. Benito Arias Carralbal............................... Coruña....... 500 46 D. Juan Agustin García, paborde................. Barcelona.... 500 501 D. Juan Josef de Yarraga............................... Bilbao......... 300 2407 D. Carlos Mesía de la Cerda.............. ........</t>
  </si>
  <si>
    <t>García, Juan Bautista</t>
  </si>
  <si>
    <t>Juan Bautista García</t>
  </si>
  <si>
    <t>sacristán de la colegial de Mora', diócesi de Teruel, vacante por renuncia de D. Josef Monterde : á D. Juan Bautista García para el beneficio de Sta. Mar ría y S. Juan de ía parroquial de Pego, diócesi, de Valencia, vacante poj fallecimiento de D. Sebastian Cholvi; y á D. Felipe Antonio Blasco para una</t>
  </si>
  <si>
    <t>García, Juan Manuel</t>
  </si>
  <si>
    <t>Juan Manuel García</t>
  </si>
  <si>
    <t>ao..... 300 242 D. Agustín Lozano........... .................................. Burgos.... 3°o 2027 D. Juan Manuel García................ ................... Cádiz...... 3°o 551 D. Pedro de Torres......... .................................. Madrid.... 300 2112 D. Manuel de la Presa......... . Zaragoz</t>
  </si>
  <si>
    <t>García, Luis Antonio</t>
  </si>
  <si>
    <t>Luis Antonio García</t>
  </si>
  <si>
    <t>ales, á 60 rs. mensuales ‘* * 4444 4 f ***•*• •*•••*• 44444.444 4 4 4 4 4&gt;4 44 4 4;4 44-4 4 4 4 6a. D. Luis Antonio García, por 3 meses á 20 rs. mensuales........ „ 60. D. Antonio Marina, por 2 me§es á 8 rs. en cada uno......... ........ 16. D. Francisco Fernandez, quinquillero, 20 rs. cada mes.......</t>
  </si>
  <si>
    <t>García, María</t>
  </si>
  <si>
    <t>María García</t>
  </si>
  <si>
    <t>onio Gay oso 10. D. M. F. A. 40, í D.. Antonio y D, Josef Zayas 100. Doña María «Carrascal 8q. 1, ; Doña María García 30. D. Josef Teodoro Santos, # ;abóga-i Juan de Noy a 20, - do, 180,•••. si f ro.rf 'Xi Manuel López 24. D. Josef Lese roo. v¡ ;/• 'A Julián D.elgado 20. Doña M. de A. una caxa de</t>
  </si>
  <si>
    <t>García, Matías</t>
  </si>
  <si>
    <t>Matías García</t>
  </si>
  <si>
    <t>rza' Í4©o. DeAlmería, coronel D. Juan Creagh, teniente co4 rdnet D. Josefa González, sargento mayor D. Matías García *, fuerza 2400. Total fuerza 7209 hombres.? 3 :.; &gt; Regimiento de Caballería húsares reales dé/ Granadas coronel marques de Gan$pbverde^4eniente corqnehD^etriaiido* Arguelles., co</t>
  </si>
  <si>
    <t>García, Nicolás Ramón</t>
  </si>
  <si>
    <t>Nicolás Ramón García</t>
  </si>
  <si>
    <t>íííf..¿.iv..!.;...\ 7f 47 17. D. Gregorio Morales, organista de S. Isidro, por'ahora........... 30. D. Nicolás Ramón García, por unaívez..u..v;..¿U¿¡i;y.V;.P:.,.,.&gt;í..r¿.... . go. &lt; Bartolomé Perez, maestro sombrerero ,* por una yi .........v 100. .‘4 Miguel Pilero, por una-vez.....-.,••••»»«.,,.¿^.«»«</t>
  </si>
  <si>
    <t>García, Ramón</t>
  </si>
  <si>
    <t>Ramón García</t>
  </si>
  <si>
    <t>Pedro Sánchez Castela 9 á D. Josef Torrecilla.'7 ;. " ■v ’' ' í ^ • El Reí se ha servido nombrar á D. Ramón García para una ración pa■ • ' ’l íl ' V '1* v- --f. -• r • t vi C,á I &gt; ■ ^ I, - ,JJ / _ ■•1 'J ■r7 ' ■ ' i : ■ :___ 'm regimienl ■ to de infantería de Jaén al sargento primero D. Melch</t>
  </si>
  <si>
    <t>García, Romualdo</t>
  </si>
  <si>
    <t>Romualdo García</t>
  </si>
  <si>
    <t>........ ............... 3000. D. Manuel de Basualdo, corredor de cambios , por una vez...... 3000. D. Romualdo García, á cuenta de 120 rs. poruña vez.*......... 20. D. Josef de Albert, notario mayor dé la visita, por una vez... 120. D. Manuel Barco, del comercio de libros , por una vez...........</t>
  </si>
  <si>
    <t>García, Santiago</t>
  </si>
  <si>
    <t>Santiago García</t>
  </si>
  <si>
    <t>48 dades médicas.efe París: traducidos del Trances al castellano por D. Santiago García , médico de familia de S. M.-&amp;C. Esta obra es el fruto de muclios anos de estudio,^ .el compendio de los' principios mas ciertos de fa cirugía: én ella sr- citan frecuentemente lo</t>
  </si>
  <si>
    <t>de los elementos de Patología externa, por L. C.P. Aubin, traducidos del francés al castellano por D. Santiago García, médico de la real familia, de la real inclusa de esta* corte Scc. Esta obra, fruto de muchos años de estudio, es el compendio de los principios mas ciertos de la cirugía y de la</t>
  </si>
  <si>
    <t>García, Tomás</t>
  </si>
  <si>
    <t>Tomás García</t>
  </si>
  <si>
    <t>elchor de Conéha , sargento mayor de los tercios de Tejas, fue heTÍdo-el 1-6 ; igualmente él cadete D. Tomas García, á quien atravesó un brazo una bala dé fusil. f ; v En el dia:;i9 murierbn el teñiente coronel graduado D. Francisco»- Coruet, sargento-mayor del regimiento de caballería de Farne</t>
  </si>
  <si>
    <t>de guardias Españolas; D. Cosme García, capitán graduado del regimiento de infantería de Borbon, y D. Tomas García , comandante de las fuerzas de la Veguda: todos merecen la gratitud de la nación, y son dignos de la consideración de V. E. También recomienda con particularidad á 3&gt;. Josef Aioi,</t>
  </si>
  <si>
    <t>preciso para que baxando Mourgeón del pueblo, se reuniera conmigo: á mi izquierda situé al capitán D. Tomas García con 40 hombres, y el capitán de caballería Gavilanes con el subteniente y 4c caballos , para que observasen y defendieran aquel vado , como Jo executaron completamente: el resto d</t>
  </si>
  <si>
    <t>D. Josef Gavilanes , tanto á mi vista , como en la retirada de ia tropa que estaba á las órdenes de D. Tomas García, me consta contuvo al enemigo en lo posible a tuerzas superiores^ que pasaron por aquel vado quando me puse en retirada; del mismo modo qué su subteniente D. Pedro Lanzarote, ofic</t>
  </si>
  <si>
    <t>García, Vicente</t>
  </si>
  <si>
    <t>Vicente García</t>
  </si>
  <si>
    <t>mensuales 120. D. Autopio garra, dependiente, del duque de Frías, por agosto á 20 rs, mensuales 20. D. Vicente García.Losaspor agosto, á. 30 rs.. mensuales..... .i.. 30. D. Jpaquin F.us.ter » presbítero, y secretario del .consejo de la Inquisición.,,por..agosto, á 60 rs. mensuales. ...... *.... *</t>
  </si>
  <si>
    <t>34 Rs. Mrs-i D. Josef Metzger, por agosto á 20 rs. mensuales......................... ... 20. D. Vicente García, ayuda de portero de damas de S. M., por agosto á 20 rs. mensuales........................... .................... . 20. . D. Alfonso Fernandez, por agosto á 20 rs.. mensuales....</t>
  </si>
  <si>
    <t>GarcíaManga Hornillo, Vicente</t>
  </si>
  <si>
    <t>Vicente GarcíaManga Hornillo</t>
  </si>
  <si>
    <t>..... a Eos Sres. Iruesas , .Sobrevilla y compañía... 3 yp3 nuevas. . Josefradros......... .... 1 1 D. Vicente GarcíaManga Hornillo............ t D. Luis Ucelai............................I................... 1 X). Rafael Gutiérrez, visitador de postas.. . 1 Juan Bautista González, maestro peluqúero. 1 El Sr.</t>
  </si>
  <si>
    <t>Garda Diego, Salvador</t>
  </si>
  <si>
    <t>Salvador Garda Diego</t>
  </si>
  <si>
    <t>Números Lotes «le las en acciones. Nombres de los interesados. los. Comisionados. Fs. vn. 74 D. Salvador Garda Diego y D. Mateo Marton. 3•• •• 3co 5 7° D. Domingo Villamil........................................ Madrid 300 *3?7 D, Juan Blot............................ .......................... Vale</t>
  </si>
  <si>
    <t>Garfia, Juan</t>
  </si>
  <si>
    <t>Juan Garfia</t>
  </si>
  <si>
    <t>9 de diciembre de 1808</t>
  </si>
  <si>
    <t>Sevilla 56</t>
  </si>
  <si>
    <t>efíor=rJcaq^uia ;Leardro de,. Solis. =rJouquin de Goy.eneta.zzDiego del Cánfe jo.—Marti» Saravia*===D. Juan Garfia de i^ejrra, escribano de cabildo. Los, acuerdos ; de que envié testimonio cita ciudad * coní¿r»ian fas rogativas púbíica», santas misione», y otro» exercicios de devoción, que de con</t>
  </si>
  <si>
    <t>Garibai, Francisco</t>
  </si>
  <si>
    <t>Francisco Garibai</t>
  </si>
  <si>
    <t>Angela Ugena una. D. Antonio Fabeyrae 6. Dia 28. Doña Angela Taulau 3 caminas. Una señora viuda 3. D. Francisco Garibai 12. Doña Antonia Bellas y García 2. Doña María Antonia Cano 2 camisas de coruña. Los señ res condes de Gausa 12. D. Josef Mariscal 4. Una viuda una. Doña María Rueda 2. Doña Ignac</t>
  </si>
  <si>
    <t>Garibay, Pedro</t>
  </si>
  <si>
    <t>Pedro Garibay</t>
  </si>
  <si>
    <t>300 2009 D. Josef Rech......... ........ ................... ••••...... .* Cádiz.......... 300 3013 D. Pedro Garibay............................... .............. Madrid...... 600 1591 D. Pedro Luis de Hormaeche.......................... Bilbao......... 300 767 D. Juan Esteban Tricio y compañía.</t>
  </si>
  <si>
    <t>Garios Rodríguez de Moya</t>
  </si>
  <si>
    <t>ante el Sr. D. Antonio Alcalá Galiano, alcalde de casa y corte , por la escribanía «de provincia de D. Garios Rodríguez de Moya, dentro del .terminó de 30 dias, que finalizarán en 5:de julio próximo. ^ ; • ' AVISOS. 'Por providencia del Sr- D. León d.e Sagasta, teniente corregidor de esta villa, J»e cita,</t>
  </si>
  <si>
    <t>Garlike</t>
  </si>
  <si>
    <t>mistad que subsiste entre él y las demás patencias -continentales, ha-dispuesto que -se notifique á Mr. Garlike, embaxador que ha sido de Inglaterra en la .corte de Dinamarca, y que Se hallaba aquí como simple particular, sin ckrácter alguno diplomático, y i Mr. de Hugo, secretario de émbax</t>
  </si>
  <si>
    <t>Garlos</t>
  </si>
  <si>
    <t>, independencia y religión de esta monarquía.” .. . Y ¡el, tenor, del reab decreto de. S. M. ebSr, D. Garlos iv, y proclama de S. A.dG el Sr. Príncipe dé Asturias Di Fernando , y de .los Sermos. Sré^. Infaiit»shD^Garlos^y „Dsí Antotóo ^fié-xi-tan en i]a;antetí¿ír&gt;real orden , es combifli</t>
  </si>
  <si>
    <t>Gárlos</t>
  </si>
  <si>
    <t>ros inmédiátoí contrá él estado presénte de las cosas; y considerando que las disposiciones dal Sr. D. Gárlos iv, poniendo su corona española y derechos al arbitrio de Napoleón i, Emperador de los franceses y Rei de Italia, han sido recibidas, registradas, obedecidas y mandadas cumplir po</t>
  </si>
  <si>
    <t>Garlos Gréner</t>
  </si>
  <si>
    <t>aspar Garth, el subteniente'de granaderos D. -Francisco-de Redirtg, y los subtenientes de fusileros D. Garlos Gréner y D.'Bonifacio Uirerch. D. Josef Escalera, del real duerpo dé artillería, fue asimismo contuso el dia 19. ? -- ID. Melchor de Conéha , sargento mayor de los tercios de Tejas, fue heTÍ</t>
  </si>
  <si>
    <t>Garlos, Archiduque</t>
  </si>
  <si>
    <t>Archiduque Garlos</t>
  </si>
  <si>
    <t>Madrid 63 (supl.)</t>
  </si>
  <si>
    <t>haber puesto algunos sus miras y su esperanza en la casa de Austria, nombrando por Rei de España al Archiduque Garlos: y ¿ qué puede la casa de Austria hacer por nosotros? ¡Qué miras tan lejanas, y qué socorro tan tardío 1 Entre tanto se obra sin plan, sin concierto, sin objeto; y ¿quál hade ser</t>
  </si>
  <si>
    <t>Gármona, Salvador</t>
  </si>
  <si>
    <t>Salvador Gármona</t>
  </si>
  <si>
    <t>no Salvador Maella , primer pintor de cámara de S. M., y grabada por D. Manuel; Salvador Gármona , grabador también de cámara de S. M. Véndese á 20 rs. en la sacristia.de S. Martimde esta corte. Estampa nueva intitulada Abre el ojo, ó el manchego escarmentado. Se hallara en las librería</t>
  </si>
  <si>
    <t>Garnerin</t>
  </si>
  <si>
    <t>La familia real y el príncipe de Vürtemberg han sido recibidos por el público con entusiasmo. El 10 Mr. Garnerin se remontó en un globo aereostático, adornado con las banderas de Baviera, Vürtemberg y Francia , y fue á descender al otro lado de Foehring. Asistió á este espectáculo el Rei y t</t>
  </si>
  <si>
    <t>Garrido de Cevallos, Rafael</t>
  </si>
  <si>
    <t>Rafael Garrido de Cevallos</t>
  </si>
  <si>
    <t>ezas de barragan de Cuenca con 290 varas para emplearlas en, auxilio de la tropa de dicho exéreito. D. Rafael Garrido de Cevallos, del comercio, presentó para el propio fin 140 varas de barragan azul y 60 varas de estameña de forros. D. Andrés Perez, del comercio, entregó 6&amp;§ varas de paño negro y verde obsc</t>
  </si>
  <si>
    <t>Garrido del Castillo, Rafael</t>
  </si>
  <si>
    <t>Rafael Garrido del Castillo</t>
  </si>
  <si>
    <t>Números totes de las . en acciones. Nombres de los Interesados. ________ Comisionados. Rs. va. 749 D. Rafael Garrido del Castillo..................... . Madrid....... 1 foo 162 Sra. Condesa de Toreno................................ . Valencia..... 300 71 D. Mariano Fontcuberta........................ . Barce</t>
  </si>
  <si>
    <t>Garrido, Domingo</t>
  </si>
  <si>
    <t>Domingo Garrido</t>
  </si>
  <si>
    <t>....... 72OO. D. 'Josef de la Plaza-, id........ ,................... . ...................... 320. D. Domingo Garrido, pintor de: las reales caballerizas , id......... IOO. D. Alfonso* Garrido,-di rector, de. pintura de id.,. id'..................... 300. D. Fernando Selma, grabador de. cámara,,</t>
  </si>
  <si>
    <t>. Mr*. D. Ceferino Sánchez, id................ ............................................. . 200. D. Domingo Garrido, id.............................. .................................... 500. D. Francisco CAbrios, criado de la marquesa de Paredes , en recibos de interese/? de vales reales, y 30</t>
  </si>
  <si>
    <t>Garrido, Francisco</t>
  </si>
  <si>
    <t>Francisco Garrido</t>
  </si>
  <si>
    <t>Teran..... ............ ........... x &gt; ., &gt; El Sr. D. Josef Ruiz de Santayana.............. xs ¿ i D. Francisco Garrido^ presbítero .;»«u».».. x x ■ 1 , &gt;ü D. Andrés SevilíanoU4»....^;i».....L..i;...i...j»' ? 2 ^ . 2 y x &lt;Jabe*.*f r D. B. M¡, del comerció de fierro.............. *y. * -y H D. B* si</t>
  </si>
  <si>
    <t>edo 3 camiD. Isidro Viota 20 varas de lienzo. sas y 3 chalecos. Real compañía de la Havana 3 40 va­ D. Francisco Garrido, presbítero, 3 ras de barragan. camisas. D. J. A. 10 varas y media de lienzo. D. Josef Mariano Vallejo 2. D. Vicente Ortiz de Urbina y su D. Estanislao Antonio Barreta ¿ pres*? mu</t>
  </si>
  <si>
    <t>sirviente, id.............. ................. ........... ............ ...................v.. 209. D. Francisco Garrido, colector de la parroquia de Sta. Cruz, en recibos de vitalicio icL.............. .............. ......... 1473. D. Josef Salomón Fernandez, procurador de villa, en un recibo del</t>
  </si>
  <si>
    <t>Garrido, Juan</t>
  </si>
  <si>
    <t>Juan Garrido</t>
  </si>
  <si>
    <t>600 rs. , acuda ante.el Sr. D. Andrés gomero Vaídés,alcalde decano de casa y corte, y escribanía de D. Juan Garrido; prer viniéndose que su remate está señalado para el dia 10 de febrero próximo, á las 12.. de su mañana, en la misma escribanía. AVISOS. Todas las pérsonas que se consideren con d</t>
  </si>
  <si>
    <t>feridos,, acuda ante el Sr. D. Antonio Gano Manuel, alcalde de ca4 sa y corte, por la escribanía de D. Juan Garrido, donde se’admitirán las que se hin qierencor? tal que ao s,ea manos muertas-,^ní en^enoy cantidad que en l¡a en que respecíivam^ute’ están justipreciabaspreviniéndose.-esta.señala</t>
  </si>
  <si>
    <t>abiéndose señalado el dia 25 del corriente y 9 de su mañana en la posada del escribano de provincia D. Juan Garrido, sita en la calle de Juanelo, núm. 16, quarto principal, junta general de acreedores á la quiebra ó concursó de D. Juan Llaguno, y mandado anunciarlo por los papeles públicos; se</t>
  </si>
  <si>
    <t>Garth, Gaspar</t>
  </si>
  <si>
    <t>Gaspar Garth</t>
  </si>
  <si>
    <t>mo asimismo el cadete D. Josef María Ortiz. En la acción de dicho día 19-fueron heridos el c-apitan D. Gaspar Garth, el subteniente'de granaderos D. -Francisco-de Redirtg, y los subtenientes de fusileros D. Garlos Gréner y D.'Bonifacio Uirerch. D. Josef Escalera, del real duerpo dé artillería,</t>
  </si>
  <si>
    <t>Gasanova, Tomás</t>
  </si>
  <si>
    <t>Tomás Gasanova</t>
  </si>
  <si>
    <t>............... 8. D. Pablo Alemani , 40 id. por 5 id......................................... too. D. Tomas Gasanova, alcalde de corte, y su hijo D* Iñigo, 120 id. por agosto.............................................. .............................. . 120. D. Miguel González, 12 id. id........</t>
  </si>
  <si>
    <t>Gascón de Tor, Gerónimo</t>
  </si>
  <si>
    <t>Gerónimo Gascón de Tor</t>
  </si>
  <si>
    <t>ida, prisión y muerte de D. Rodrigo Calderón, marqués de Siete-iglesias, conde de la Oliva &amp;c., por D. Gerónimo Gascón de Tor</t>
  </si>
  <si>
    <t>Gasea, Pedro</t>
  </si>
  <si>
    <t>Pedro Gasea</t>
  </si>
  <si>
    <t>á las 3 de la tarde, por lo que envié por la parte de Leache al comandante de Voluntarios de Aragón D. Pedro Gasea, y al .sargento.mayor del tercio de Huesca D. Pedro Villacampa con 400 hombres, y por la parte de Olas al coronel D. Felipe Perena con el resto de Voluntarios de Aragón y Huesca,</t>
  </si>
  <si>
    <t>Gaseo, Antonio Alonso</t>
  </si>
  <si>
    <t>Antonio Alonso Gaseo</t>
  </si>
  <si>
    <t>oz; tenencia al subteniente de granaderos D. Salvador Llobregat, y subtenencia de bandera al cadete D. Antonio Alonso Gaseo: en el de Extremadura compañía al teniente de granaderos , graduado de capitán, D. Domingo de Sierra ; tenencia ál subteniente D. Ignacio Texero , y subtenencia de bandera ál sarg</t>
  </si>
  <si>
    <t>Gaseo, Bartolomé</t>
  </si>
  <si>
    <t>Bartolomé Gaseo</t>
  </si>
  <si>
    <t>por, agosto a real ,;3i. D. Marcos Campillo, comisario de guerra , por uña'vez...:.....:. " 300; ^ D. Bartolomé Gaseo, platero, id......í........'.V.......................... 100. „ D. Juan Miguel Sevillano’, abogado del colegio de esta corte, id. 160. D : Jbsef Ignacio Joven de Salas, id. de id.</t>
  </si>
  <si>
    <t>Gaspar-de Aranzaru, Isidoro</t>
  </si>
  <si>
    <t>Isidoro Gaspar-de Aranzaru</t>
  </si>
  <si>
    <t>1^^j u D. Juan Polo y Catalina, oficial.de. la..misma, secretaría,:ppr ú agosto á 4-rs. diarios.^.« D. Isidoro Gaspar-de Aranzaru , oficial de la secretaría del se- ; ñor infante-D. Pedro, por 2-meses a 4 rs* diarios#,........244* D. Frañiso P&lt;rez, cir-ufano, $oc rs. por una vez., y 7,98 .por. ... ;&lt;J1 5 - m</t>
  </si>
  <si>
    <t>Gato</t>
  </si>
  <si>
    <t>de Viltanuéva de lá Sereba y su partido , territorio de la orden de ,Alcántara,,al teniente ebrohel D. Gato ¡Diez Madróñero, teniente de Rei de la plaza de Peñíscola. J ‘ 11 El Reí ha nombrado á D. Ramón Macía de Lleopart pafa lavara de a Ir calde mayor mas moderna de la ciudad de Valen</t>
  </si>
  <si>
    <t>Gaubeca, Antonio</t>
  </si>
  <si>
    <t>Antonio Gaubeca</t>
  </si>
  <si>
    <t>................. ............. Málaga...... 300 3613 D. Juan Simón de Arriaga , viuda de Bengoa, y D. Antonio Gaubeca.................................. Bilbao........ . 50a 2S83 D. Francisco Tamariz y Ribera............... ....... Cádiz.......... IOOO 206 D. Adrián Riser..... ............ '......</t>
  </si>
  <si>
    <t>Gaudo y Sobrinos, Juan Bautista</t>
  </si>
  <si>
    <t>Juan Bautista Gaudo y Sobrinos</t>
  </si>
  <si>
    <t>... Burgos....:., 30b 9)2 D. Andrés de Olave........... ¿.¿.i.......... ... Madrid....í.‘. 300 2338 D. Juan Bautista Gaudo y Sobrinos................ Zaragoza..... 300 2325 Doña María Magdalena Ulloa....................... .... Cádiz.......... 300 210 D. Juan Rusheu.......*.......................................</t>
  </si>
  <si>
    <t>Gauthier</t>
  </si>
  <si>
    <t>■ J í ■* ^ .-.s ^-v^;ít-s-. La corbeta de $. M. llamada &gt;Gr#0«, y mandada por el teniente de navio Mr. Gauthier, ha arribado á esta isla, y fondeado en el puerto del Marina en 17 de marzo ,• después de haberla perseguido infructuosamente 2, fragatas inglesas,-que yinieron dándola caza y cañ</t>
  </si>
  <si>
    <t>Gautier</t>
  </si>
  <si>
    <t>as á la conducta firme y prudente del mayor general conde de Ahlefeldt, el teniente coronel francés Mr. Gautier, arrestado por los españoles, recobró su libertad. „Se cree que en breve volverán á embarcarse las tropas españolas que se han reunido en la isla de Langeland. „ Los regimientos e</t>
  </si>
  <si>
    <t>Gavina López</t>
  </si>
  <si>
    <t>. Doña Ignacia Bueno 2 libras id. Doña Petra Muñoz libra y media de hilas, una de paños y 8 vendas. Doña Gavina López 4 libras de hilas, 13 docenas de paños y 260 vendas. Doña M. J. T. libra y media de hilas. Doña Agustina Ramírez 2 libras id. Don A. G. 3 libras id. Doña Telesfora Mateo 3 libras</t>
  </si>
  <si>
    <t>Gay, Antonio</t>
  </si>
  <si>
    <t>Antonio Gay</t>
  </si>
  <si>
    <t>es 100. Doña Margarita Cabrero 10. . . .i D. Sebastian Casado 20. D. Francisco Ximenez Panlagua 40i D. Antonio Gay oso 10. D. M. F. A. 40, í D.. Antonio y D, Josef Zayas 100. Doña María «Carrascal 8q. 1, ; Doña María García 30. D. Josef Teodoro Santos, # ;abóga-i Juan de Noy a 20, - do, 180,••</t>
  </si>
  <si>
    <t>Gayoso, Antonio</t>
  </si>
  <si>
    <t>Antonio Gayoso</t>
  </si>
  <si>
    <t>esmaltado, con caxa de similor, y hecho en París. Quien supiere de su paradero, se servirá avisar á Don Antonio Gayoso, teniente de la parroquia de S. Andrés, que vive en la misma. EN LA IMPRENTA REAL. 1</t>
  </si>
  <si>
    <t>Gaystano Stairla</t>
  </si>
  <si>
    <t>Rodríguez, D. Santiago Cerro, y Zamudie, &gt;. Biego Estanislaor Imaces, Xbr josef fiaría; AgU&amp;tini,! D, Gaystano Stairla, D. Gaspar Sampier; y á los capitanes del cuerpo de patriotas 0. Mi</t>
  </si>
  <si>
    <t>Gazola</t>
  </si>
  <si>
    <t>primeros, y que se habian augmentado los estragos y perjuicios en los valles de Pelis y de Clason. Mr. Gazola, capitán de Ingenieros, que ha llegado últimamente de Briquerasc, ha traído la feliz noticia de que desde el día 15 los temblores han vuelto á ser menos en número y fuerza. Vofmes</t>
  </si>
  <si>
    <t>GblJinwood, Almirante</t>
  </si>
  <si>
    <t>Almirante GblJinwood</t>
  </si>
  <si>
    <t>eneral para escaparse. Sevilla? 23. de Junio. Por dos- barcos^ que llegaron , uno á la esquadra del Almirante GblJinwood* y otro á Cádiz el 20. del corriente</t>
  </si>
  <si>
    <t>Gblomer Antentas, Salvador</t>
  </si>
  <si>
    <t>Salvador Gblomer Antentas</t>
  </si>
  <si>
    <t>■V y . }. . • - \y de ¡as s ¿ lotes acciones. Nombres de los Interesados, Comisionados. Rs. vn. 977 D. Salvador Gblomer Antentas././..//../.L/...... Madrid... 300 1531 D. Apolinar de Isuazan....................................... Bilbao.... ^ 300 I977 Tadeo López........................ .................. .</t>
  </si>
  <si>
    <t>Geilles, Antonio</t>
  </si>
  <si>
    <t>Antonio Geilles</t>
  </si>
  <si>
    <t>D. Antonio Cardos : empleo de alférez al portaguión D. Joaquín Lainez; y el de portaguión al cadete D. Antonio Geilles; y en el de cazadores de Olivencia al ayudante y teniente, graduados de capitán, D. Miguel de Cárdenas y D. Juan de Estrada. y*S. M. se ha servido nombrar subtenientes de las comp</t>
  </si>
  <si>
    <t>Genaro del Otero</t>
  </si>
  <si>
    <t>...... ...... 500. Antonio de la Peña, maestro peinero, id.................................... 100, D. Genaro del Otero, administrador de Lotería, id.................. 320. D. Fermín de Uria-Nafárroñdo, en 2 vafes de á 600 pesos y efectivo, id.»....................... *..... ................. .....</t>
  </si>
  <si>
    <t>Genaro Faustino Rincón</t>
  </si>
  <si>
    <t>lbao....... .* 500 912 D. Fernando de Ximeno.,..„...,—&lt;..... ............... Madrid....... yoo 1004 D. Genaro Faustino Rincón..,......... Madrid....... .300 2300 D», .Josef dedos Rcye$»wiwrtw/. Cádiz.......... yoo 2327 D. Josef Glosa........................................... ..u-nu.. Cádiz....;....- 30o</t>
  </si>
  <si>
    <t>............... ........ 60.^ D. Manuel de Revilla, director general de correos, por una vez. 2200. D. Genaro Faustino Rincón , por una vez.....';................ . 500. D. Francisco de la Viña é Iriarte, oficial de consolidación, en =■ 6 libramientos de intereses de vales del año de 1800 y 1808, por una</t>
  </si>
  <si>
    <t>Genaro Fontenla</t>
  </si>
  <si>
    <t>....... 300 622 D. Francisco de Irusta...................................... Madrid....... 300 2153 D. Genaro Fontenla.............. ........................... . Coruña....... 1000 558 D. Josef Merlo......................... ......................... Madrid....... 500 253 D. F rancisco Antonio Ro</t>
  </si>
  <si>
    <t>Genaro Pérez</t>
  </si>
  <si>
    <t>e Estado, 8 rs. diarios por agosto;;.*.*.......;.........,.4....^..;........^..... ........... 240. D. Genaro Perez, oficial de la -contaduría d^l*duque del' Infantado , por 2 meses á 2 rs.* diarios....i....... 12%\ D. Diego Mallada, archivero del du^ue de Híjar, por agosto á</t>
  </si>
  <si>
    <t>Genaro Rezabal</t>
  </si>
  <si>
    <t>fantería inmemorial del Rei la tenencia coronela al comandante del tercer batallón del de la Corona D. Genaro Rezabal: en el de la Corona compañía al ayudante, graduado dé capitán, D. Miguel Vaca, y tenencia al subteniente D. Joaquín Morales : en el de Africa tenencia al subteniente de granaderos</t>
  </si>
  <si>
    <t>n............. . Bilbao., 500 65 5 Doña Antolina Francisca de S". Peláyo........... Madrid IOOO 287 D. Genaro Rezabal , teniente coronel............ . Málaga........ 600 1937 Juan Martin Ballesteros...... .............. .......... Zaragoza..... 300 50 Dr. D. Manuel Barba..........................</t>
  </si>
  <si>
    <t>Genera, Capitán</t>
  </si>
  <si>
    <t>Capitán Genera</t>
  </si>
  <si>
    <t>1^2 Conociendo el Exornó, Sr- Capitán Genera! de Bsfre* madura los crecidos gastos de un exército mantenido ea pie de guerra, para cuya subsistencia no bastan los auxilios ordinarios, ha pedido i toda su Provincia un donativ</t>
  </si>
  <si>
    <t>General de Cádiz, Capitán</t>
  </si>
  <si>
    <t>Capitán General de Cádiz</t>
  </si>
  <si>
    <t>na embarcación en bahía, armada para este fin, y que llaman Ponton. Oficio del Almirante francés al Capitán General de Cádiz, al tiempo de la rendición de la Esquadra• Sr. Capitán General. =r Me veo obligado por todos los medios que V. E. ha reunido contra mí á entregar los navios, y no oponer mas resis</t>
  </si>
  <si>
    <t>General de Castilla la Vieja, Capitán</t>
  </si>
  <si>
    <t>Capitán General de Castilla la Vieja</t>
  </si>
  <si>
    <t>erana, y gran tren de artillería y municiones : obrará muy en breve. . í Benavenle 18. de Junio, El Capitán General de Castilla la Vieja está en me-*</t>
  </si>
  <si>
    <t>General de Exércko, Capitán</t>
  </si>
  <si>
    <t>Capitán General de Exércko</t>
  </si>
  <si>
    <t>la mañana llegaron i esta capital JosJJxcrnos. Sres.Conde de Tilly y D. Francisco Xavier Castaños , Capitán General de Exércko y general fn acfe del nuestro. Ai estruendo de las descargas del parque, y entre los vivas y aclamaciones de todo el pueblo,que había concurrido á ver entrar a) vencedor de BayUn ,</t>
  </si>
  <si>
    <t>General de la Provincia, Capitán</t>
  </si>
  <si>
    <t>Capitán General de la Provincia</t>
  </si>
  <si>
    <t>o copia de una carta del General Dupont al General D’Oubril, interceptada y entregada al Excmo. Sr. Capitán General de la Provincia, cuyo contenido es el siguiente. o &lt; Exército de observación de la Gironda.=Imperio Francés, en el Quartel General de Andújar, 3. de Junio de i8o8.rrEl General Duponf, caballero d</t>
  </si>
  <si>
    <t>General del Ejército de Andalucía, Capitán</t>
  </si>
  <si>
    <t>Capitán General del Ejército de Andalucía</t>
  </si>
  <si>
    <t>t43 Con fecha de 24. del corriente comunican los Exentos* Sres. D. Francisco Xavier Castaños, Capitán General del Ejército de Andalucía, y el Conde de Tilly, Vocal de esta Suprema Junta, /os partes siguientes• Serenísimo Señor: Incluyo á V, A. la Capitulación original celebrada con el General Dupont, Grande Aguila</t>
  </si>
  <si>
    <t>General del Principado, Capitán</t>
  </si>
  <si>
    <t>Capitán General del Principado</t>
  </si>
  <si>
    <t>al campo del honor á defender la Patria. Por una embarcación procedente de Barcelona se sabe que el Capitán General del Principado había desaparecido, y que toda la Provincia estaba en insurrección y tomaban las armas: en conseqüencia las tropas francesas dueñas de los fuertes de la Capital han puesto un cano</t>
  </si>
  <si>
    <t>generale Ackland</t>
  </si>
  <si>
    <t>estaba la del brigadier general Niehtingalé , y las brigadas de los brigadieres generales Boues y Ackland se iormaron en cotanas á la retaguardia* Las tropas portuguesas que habían estado en el fondo del valle cerca de Vimieira se situaron sobre las alturas últimam</t>
  </si>
  <si>
    <t>la primera línea cop el regimiento núm. 29.°* y las brigadas de los brigadieres generales Boues y Ackland, al mismo tiempo¡ que las brigadas del brigadier general Craufurd, y la tropa portuguesa en dos líneas, avanzaron por la izquierda á. lo Jargo, de] la altura.</t>
  </si>
  <si>
    <t>generale Arispe</t>
  </si>
  <si>
    <t>pasado asimismo por eSta Villa, son el general en gefe mariscal Moncejf, y los generales Arispe, Morlot, Lefebre, Meunier, Bedel, Gonis, Vatier, Éruchier y Gober. Madrid 26 de enero. S. M. se ha servido conferir la tenencia coronela del regimiento de real</t>
  </si>
  <si>
    <t>generale Baird</t>
  </si>
  <si>
    <t>......... 194000 (2). A este estado deben añadirse los exércitos que mandan los generales Moore y Baird, y las demás fuerzas británicas que están en Portugal, con lo que llegará el exército a cerca de 25r.(D hombres. Verdad es que la mitad de él se comphne de vol</t>
  </si>
  <si>
    <t>Generale Bedel</t>
  </si>
  <si>
    <t>sfacción de V. A. Hoy por ¿a mañana han entrado en Baylen las divisiones de los Generales Bedel y Goubot compuestas da nueve mil hombres de todas tropas, marcha mañana, habiendo depositado sus armas, y artillería con arreglo á las artículos de la capitulación, est</t>
  </si>
  <si>
    <t>generale Bedel</t>
  </si>
  <si>
    <t>acción de V. A. ,,Hoi por la mañana han entrado en Bailen las divisiones de los generales Bedel y Goubot compuestas de 9® hombres de todas tropas; marcha mañana, habiendo depositado sus armas y artillería con arregloá los artículos de la capitulación: estoi recogi</t>
  </si>
  <si>
    <t>generale Beilegarde</t>
  </si>
  <si>
    <t>de hacer este verano. Añaden que los archiduques Cárlos, Juan y Fernando, y los generales Lichtcnstein y Beilegarde mandarán dichos campamentos, y dirigirán las maniobras; en ió demas ao se sabe aun la época Juca de ia formación de estos campamentos.</t>
  </si>
  <si>
    <t>generale Berd'er</t>
  </si>
  <si>
    <t>en ios consecutivos hasta el 2a. se repitieron* sin cesar estas remesas cen los generales Berd'er y Le-Febre. Estas víctimas son tratadas con la humanidad francesa. Las hacen caminar de noche á toda intemperie, y las tienen 15. ó mas horas sin alimentar: no es mala do</t>
  </si>
  <si>
    <t>generale Boues</t>
  </si>
  <si>
    <t>generale Brevjer</t>
  </si>
  <si>
    <t>ombres, y todos los cañones, excepto dos : dos generales fuéron muertos, y Jos. generales Brevjer y Pilliet, con, otros oficiales dé graduación, fueron temados prisioneros, y han sido conducidos Á. Inglaterra*</t>
  </si>
  <si>
    <t>Generale Castaños</t>
  </si>
  <si>
    <t>T’5® fusible Jos retratos de los Excmo. Sres. Condes de Tilly, y de jo» Generales Castaños , Dupont, Redíng y .Coupignu Se depositarán los qbadros que concurran al premio en el saldó de la Junta Suprema 9 y serán examinados por los sugetos que esta n</t>
  </si>
  <si>
    <t>generale Castaños</t>
  </si>
  <si>
    <t>quanto sea posible los retratos de los Excmos. Sres. conde de Tilli &gt; y de los generales Castaños, Dupont, Rediñg y Coupigni. ' Se depósitarán los quadros que concurran *1 premio en el salón de la</t>
  </si>
  <si>
    <t>i6-24 exércitos dé los generales Castaños y Cuesta han efectuado su reunión coa él que manda el general Blake (i). . Estado de los exércitos españoles sacado de los diarios de esta nación. Exército del centro a</t>
  </si>
  <si>
    <t>generale Castella</t>
  </si>
  <si>
    <t>ONFEDERACION DEL RIN. Francfort 1 -° de diciembre, Se hallan en esta cindad los generales Castella y Tririon. Esta tarde h* llegado el tercer transporte del trén de artillería deFuIda. Ha llegado á Hanau ei general Oudinot con la mayor parte del cuerpo de su mando. ^</t>
  </si>
  <si>
    <t>generale Cotton</t>
  </si>
  <si>
    <t>nmediatos són Sir Jonh Móóre, David Baird, Arthuro Velleslei, y los brigadieres generales Diott y Cotton. Los habitantes de Manchester, en numero de 3500, han hecho una representacipn al parlamento pidiendo la paz. El general Stuart ha partido para Malta, y lleva</t>
  </si>
  <si>
    <t>generale Coupigni</t>
  </si>
  <si>
    <t>D. Josef Sanabria , han hecho servicios mui distinguidos. Si la conducta de los generales Reding y Coupigni es digna del mayor elogio, no lo es menos la del teniente general D. Manuel de la Peña, que con su cuerpo de reserva y la tercera división, al mando del mariscal</t>
  </si>
  <si>
    <t>generale Craufurd</t>
  </si>
  <si>
    <t>a caballería, con intento de atacar la izquierda del enemigo; y los brigadieres generales Nightingale y Craufurd se pusieron en movimiento con la artillería por el camino real, hasta que en íin formó la primera én</t>
  </si>
  <si>
    <t>generale Cuesta</t>
  </si>
  <si>
    <t>colección de cartas dirigidas á la suprema junta de gobierno de Sevilla y á los generales Cuesta y Palafox. Se hallará en las librerías de Bengoechea, calle de las Carretas, y de Cerro, portal de Manguiteros. Puede ir en carta. Lo que pueden quatro borrachos, o sea</t>
  </si>
  <si>
    <t>generale de Pedro</t>
  </si>
  <si>
    <t>ue dirigí por derecha, izquierda y centro del camino real, baxo el mando de los generales Gelo y de Pedro; apresuré mi marchad pesar del excesivo calor hasta alcanzar al enemigo; hice á mi vanguardia tirar algunos cañonazos para que las divisiones de Reding y Cupig</t>
  </si>
  <si>
    <t>generale Delaborde</t>
  </si>
  <si>
    <t>sir Arturo tuvo el 16 un ataque mui serio contra 6® franceses,»mandados por los generales Delaborde y Loison. El valor que manifestaron los franceses en este ataque , obligó á sir Arturo á mudar de plan, y á emprender su marcha contra las líneas enemigas de Torces-Ve-</t>
  </si>
  <si>
    <t>generale Delorpes</t>
  </si>
  <si>
    <t>muchos oficiales de superior graduación , entre los quales se cuentan Mrs. los generales Delorpes y Loison. La ciudad de Burdeos continúa dando magníficas funciones a las tropas que atraviesan el departamento del Gironda para entrar en España. Escriben de Vanneí que</t>
  </si>
  <si>
    <t>generale Dierike</t>
  </si>
  <si>
    <t>to prusiano han sido condecorados con diferentes órdenes; de Rusia. Los mayores‘generales Dierike, Rembov, Stutter— li* im, Prittvitz, Baczhov y Zeten han recibido la orden de Sta. Ana de primera clase. La de segunda clase se le ha dado al teniente coronel</t>
  </si>
  <si>
    <t>generale Diott</t>
  </si>
  <si>
    <t>generale Ducos</t>
  </si>
  <si>
    <t>mañana en Santander, después de la reunión de ios dos cuerpos mandados por los generales Merle y Ducos. De Santander se nabia enviado una diputación al general Merle, á quien se presentó el dia 21 en Somachos, solicitando la clemencia de las tropas francesas á f</t>
  </si>
  <si>
    <t>generale Dufour</t>
  </si>
  <si>
    <t>. ¿o-J'gi. Trescientos veinte hombres de infantería eh varias partidas, con los generales Dufour v Borel. s 1,° defebrero. Qnatro batallones incompletos, que ascienden á,i8oo hombres, deinfantería. . ; , ' ■ - o/i. Hoi han salido de aquí para Aran juez i5c</t>
  </si>
  <si>
    <t>generale Duhesme</t>
  </si>
  <si>
    <t>ría y botín* 20 de Julio, as En los din 15, 16 y 17 salid* coa de Barcelona lo» generales Duhesme y Lechi coi» un tren formidable de Artillería, dirigiéndose á Gerona. Su» fuerzas son corno unos 59 hombres entre soldados y «y** traugeros de Ja capital, donde apéuas</t>
  </si>
  <si>
    <t>a, quienes al anochecer pasaron al campo enemigo: fueron bien recibidos pór los generales Duhesme y Lechi; y habiéndoles aquel pedido, como preliminar de la negociación, la entrada del exército en la ciudad, ofreciendo dar por escrito sus pretensiones, contestaron</t>
  </si>
  <si>
    <t>generale Dupont</t>
  </si>
  <si>
    <t>ios puntos, tienen el mismo froto que las grandes expediciones mandadas por los generales Dupont, Bedel, Moncei y Lefebvre. El objeto de la mayor parte de ellas es procurarse los víveres y auxilios de que carecen j pero las tropas de nuestro exército, situ</t>
  </si>
  <si>
    <t>generale Fane</t>
  </si>
  <si>
    <t>la acción la coluna de la izquierda; y al mayor general Hill, y ios brigadieres generales Nightingale y Fane por el modo con que dirigieron los ataques que mandaron. Me han auxiliado asimismo y desempeñaron á satisfacción sus respectivos destinos los tenientes coronel</t>
  </si>
  <si>
    <t>generale Ferguson</t>
  </si>
  <si>
    <t>ue serán oidos en esta acusación son el teniente general Velleslei, los mayores generales Murrat y Ferguson, el brigadier general Nightingale, los mayores generales Spencer y H. Burrard (llegarán mui en breve), los tenientes coroneles Torrens , Brown, Tucker y Campbe</t>
  </si>
  <si>
    <t>generale Fergusor</t>
  </si>
  <si>
    <t>ón que han perecido. Las brigadas nras empeñadas «n la acción fueron las de los generales Fergusor, Fany Hiil y Anstrut Heroz. El regimiento 50. hizo prodigios de valor, y se le dió gracias en el mismo campo de batalla por el caballero Arturo Wellesley. El c</t>
  </si>
  <si>
    <t>generale Fergusson</t>
  </si>
  <si>
    <t>que seria mui impolítico de parte nuestra el usar de rigor con los rusos.” Los generales Fergusson, sir David Dundas, el capitánBligh y algunos otros oficiales han sido interrogados sucesivamente: algunos de ellos han dado respuestas poco importantes, y los</t>
  </si>
  <si>
    <t>generale Gelo</t>
  </si>
  <si>
    <t>Generale Goubot</t>
  </si>
  <si>
    <t>generale Goubot</t>
  </si>
  <si>
    <t>generale Habert</t>
  </si>
  <si>
    <t>Madrid 152 (supl.)</t>
  </si>
  <si>
    <t>a él. Se pusieron en marcha el general Vatier, que mandaba la caballería, y los generales Habert, Brun y Razou con sus brigadas. En todo el dia 27 fue derrotado el enemigo por todas partes. Intentaron hacer defensa unos 1200 hombres que estaban cercados en</t>
  </si>
  <si>
    <t>generale Hope</t>
  </si>
  <si>
    <t>» no ha habidoporaqui ningún acontecimiento importante. El almirante Krats,los generales Hope» Clinton y otros muchos están tan ociosos como los soldados que mandan ; se podría decir que los ingleses están bloqueados en Gothenburgo» y que soló tienen pe</t>
  </si>
  <si>
    <t>a esta expedición. Sirven en ella el teniente general Burrard de segundo, y los generales Hope, lord Paget, Frazer, Wellesley y Moore. Ademas se prepara con actividad otra expedición do hombres de infantería y 89 de caballería. El pretexto de qne se ha v</t>
  </si>
  <si>
    <t>despachado á Suecia al mensagero Silvestre con pliegos para aquella corte. Los generales Moore y Hope han pasado de Portugal á España'con parte de las tropas de su mando. No son mui satisfactorias las últimas noticias que hemos recibido de Madrid. ]Uno de nuest</t>
  </si>
  <si>
    <t>generale Iskajew</t>
  </si>
  <si>
    <t>rdeties del general Miloradowitsch, que debe mandar el centro del exércitoj los generales Iskajew y Kamenskoi, baxd cuyas órdenes mandan los generales Sass, Hartmk y Rehbinder, salieron de . sus acantonamientos el 10, 20 y 2i de marzo con 11 regimientos de infantería ,</t>
  </si>
  <si>
    <t>generale Kamenskoi</t>
  </si>
  <si>
    <t>generale La</t>
  </si>
  <si>
    <t>egado á Madrid con su cuerpo de exército. - Las divisiones de caballería de los generales La*salle y Milhaud van marchando hacia Talavera de la Reina. • Los ingleses caminan con gran priesa hácia Lisboa; y si no toman mui pronto la ruga, podrán llegar</t>
  </si>
  <si>
    <t>generale Lasalle</t>
  </si>
  <si>
    <t>n en numero de 5® al rio Pisuerga para impedir el paso. El 12 del corriente los generales Merle y Lasalle llegaron, y empezaron á maniobrar para atacarlos. Una división que empezó á desplegarse, y 4 cañonazos, sobraron para que huyese precipitadamente esa caterva d</t>
  </si>
  <si>
    <t>generale Le-Febre</t>
  </si>
  <si>
    <t>agoza después de Iosataques de los dias 3. y 4* Luego que las divisiones de los generales Le-Febre y Ve rdier lograron abrir brecha por la puerta de Sta. Engracia y por las- tapias del cementerio de S. Miguel, se extendieron por varias calles de la ciudad, llenos</t>
  </si>
  <si>
    <t>generale Lechi</t>
  </si>
  <si>
    <t>generale Lichtcnstein</t>
  </si>
  <si>
    <t>generale Loison</t>
  </si>
  <si>
    <t>generale Mannirgham</t>
  </si>
  <si>
    <t>a. Coruña de octubre. ( Extracto de una carta particular.) Sir David Baird, los generales Mannirgham, Warde y Crauford asistieron ayer al teatro, donde se representó una pieza, en la qual Fernando vil y el Rei Jorge ni se abrazaban much-as veces. Dicha pieza f</t>
  </si>
  <si>
    <t>generale Merie</t>
  </si>
  <si>
    <t>nifestado su satisfacción á los vencedores de Medina de Rioseco y de Burgos los generales Merie y Mouton. EN LA IMPRENTA REAL.</t>
  </si>
  <si>
    <t>generale Merle</t>
  </si>
  <si>
    <t>ría y 200 de caballería en varios destacamentos. En el mismo tiempo pasaron los generales Merle, Couin, Hortoland y Quenell. En los dias 18 y 19 llegaron 1158 hombres. El 20 un batallón suizo de 535 hombres con destino á Pamplona, y una partida de 3 5 fra</t>
  </si>
  <si>
    <t>generale Miüoradovitsch</t>
  </si>
  <si>
    <t>de los cuerpos del ethman de los cosacos, ei general Piatov¿y de los tenientes generales Tutschkov y Miüoradovitsch. „Mustafá Bairaktar está trauquilo en Giurgevo. Los baxaes de Scútari y de Janina se han reconciliado después de una larga desavenencia; han concentrado sus tr</t>
  </si>
  <si>
    <t>generale Moore</t>
  </si>
  <si>
    <t>rd Castlereagb. Sir HeW Dalrympfe mandará en gefe la expedición* del Sur, y los generales Moore , Wdiesley y Spencer servirán baxo sus órdenes. Gibraltar será el quartel general de este exército , compuesto de 409 hombres, que obrará baxo el mando de uno</t>
  </si>
  <si>
    <t>en regocijos. ; Sir Hev Dairimple mandará en gefe la expedición del Sur, y los generales Moore , Velleslei y Spencer servirán baxo sus órdenes. Gibraltar será el quartel general de este exército, compuesto de 40© hombres , que obrará baxo el mando de uno</t>
  </si>
  <si>
    <t>generale Mouton</t>
  </si>
  <si>
    <t>generale Murrat</t>
  </si>
  <si>
    <t>generale M’Farlane</t>
  </si>
  <si>
    <t>ra traerse 60 hombres que nos habíamos dexado en aquel puerto.__ Han salido los generales M’Farlane, Stevart y Disner; los dos primeros para Inglaterra, y el último para reunirse á ia expedición del general Spencer. Esperamos en breve al general Cunsming. El</t>
  </si>
  <si>
    <t>generale Nightingale</t>
  </si>
  <si>
    <t>generale Palafox</t>
  </si>
  <si>
    <t>generale Pemg</t>
  </si>
  <si>
    <t>as, presidente; los enerales Moira, Peter-Craig, Lord Heathfield; los tenientes generales Pemg roke, G. Nugent, Nichols. *Los oficiales que serán oidos en esta acusación son el teniente general Velleslei, los mayores generales Murrat y Ferguson, el briga</t>
  </si>
  <si>
    <t>generale Pilliet</t>
  </si>
  <si>
    <t>generale Pino</t>
  </si>
  <si>
    <t>Madrid 154 (supl.)</t>
  </si>
  <si>
    <t>Cír, empieza ya á obrar. El 6 de noviembre han embestido la pía2a de Rosas los generales Reille y Pino de las alturas de S. Pedro. Se han apoderado los italianos, con aquel ímpetu propio de su nación en el siglo xv, y de que han dado repetidas pruebas en la última camp</t>
  </si>
  <si>
    <t>generale Platou</t>
  </si>
  <si>
    <t>e anuncia la próxima llegada de otro cuerpo de 15® hombres á las órdenes de los generales Platou , Isaiff y Kamenskoi.. La ©pinion es varia sobre el objeto de todos estos movimientos. Los unos piensan que la marcha de las tropas rusas es á socorrer los ser</t>
  </si>
  <si>
    <t>generale Reding</t>
  </si>
  <si>
    <t>generale Reille</t>
  </si>
  <si>
    <t>generale Sass</t>
  </si>
  <si>
    <t>del exércitoj los generales Iskajew y Kamenskoi, baxd cuyas órdenes mandan los generales Sass, Hartmk y Rehbinder, salieron de . sus acantonamientos el 10, 20 y 2i de marzo con 11 regimientos de infantería , 3 de dragones, 5 de cosatos , y algunas divis</t>
  </si>
  <si>
    <t>generale Sassanof</t>
  </si>
  <si>
    <t>on puesto á las i ¿ del dia. Los rusos estaban mandados en esta facción por los generales Sassanof y y Scablacof, y su perdida, según cuentan los prisioneros, asciende á 4$ hombres. La de las tropas suecas que han tenido parte en la batalla llega escasamente á ‘2$. ' *'■</t>
  </si>
  <si>
    <t>generale Spencer</t>
  </si>
  <si>
    <t>ores generales Murrat y Ferguson, el brigadier general Nightingale, los mayores generales Spencer y H. Burrard (llegarán mui en breve), los tenientes coroneles Torrens , Brown, Tucker y Campbell. Del 5 de noviembre. ( Extracta del Mirrour of the times.) Se ha r</t>
  </si>
  <si>
    <t>generale Tririon</t>
  </si>
  <si>
    <t>generale Tutschkov</t>
  </si>
  <si>
    <t>generale Tutschkow</t>
  </si>
  <si>
    <t>eraciones decisivas. ,,Debiendo obrar dé concierto los cuerpos de los tenientes generales Tutschkow 1.® y Kaménski 2.°'para executar el plan principal de operaciones, se han formado dos reservas para sostenerlos: la una en Vilmanstrand, bax© las órdenes del m</t>
  </si>
  <si>
    <t>generale Tzizerew</t>
  </si>
  <si>
    <t>ríncipe Prosorouski salió de oucharest pira :&lt;J[assi el 2 de noviembre con ios. generales Tzizerew, Harting, Kuscnnikow y: Apraxin, comandante del cuerpo; de ¡tropas:jrusasr: que, ha venido últimamente de Mohilof á Valaquial Xos1 generales -Milloradoviq , ¡</t>
  </si>
  <si>
    <t>generale Ve</t>
  </si>
  <si>
    <t>generale y Scablacof</t>
  </si>
  <si>
    <t>Generalísiiho Almirante, Príncipe</t>
  </si>
  <si>
    <t>Príncipe Generalísiiho Almirante</t>
  </si>
  <si>
    <t>l; y también el. Corregidor há exhortado al Aiismo efectó por circular á los pueblos. El Sermo. Sr. Príncipe Generalísiiho Almirante les ha dado gracias por tan verdadero patriotismoy enterado el Reí dé todo y há mandado qué Se publique éií gazeta una accioii tan .j pá curación y asistencia de los póbfes enferm</t>
  </si>
  <si>
    <t>Generalísimo Almirante, Príncipe</t>
  </si>
  <si>
    <t>Príncipe Generalísimo Almirante</t>
  </si>
  <si>
    <t>alidad las que,deben formar época , como son la admisión del dictado de protector por el Sermo. Sr. Príncipe Generalísimo Almirante , la explicación de la medalla acuñada por la sociedad pbr su exaltación á esta dignidad, y las esperanzas lisonjeras de mejorar la pública instrucción baxo sus auspicios: también</t>
  </si>
  <si>
    <t>servicio, de dicho .cuerpo., I13 tenido á.bien, conformándose con el modo dé pensar del Sermo. Sr. Príncipe Generalísimo Almirante ^ concederles las gracias siguientes: Ai teniente coronel D._Fcaueisco Agustint, comandante de; artillería , el grado de coronel de infantería &gt; y, sueldo de coronel del real cuer</t>
  </si>
  <si>
    <t>Gennote</t>
  </si>
  <si>
    <t>Monseñor Gravina , e! encargado de negocios de París Mr. Bel loe, el encargado de negocios de Viena Mr. Gennote , el encargado de"negocios de Dresde Mr. Persch , el encargado de negocios de los Estados-Unidos Mr. Erving, el ministro plenipotenciario de Copenhague Mr. Bourke, el ministro ple</t>
  </si>
  <si>
    <t>Geoffroi</t>
  </si>
  <si>
    <t>anear (schwatzen), como otros literatos de su nación , sobre la perfección de la tragedia francesa, Mr. Geoffroi se esfuerza á distinguir los defectos de las bellezas, aun en las obras mas selectas de Racine; confiesa: con sinceridad no solamente que muchas de las mejores escenas de este; po</t>
  </si>
  <si>
    <t>George Moore</t>
  </si>
  <si>
    <t>óndres , que alcanzan hasta el 10. del corriente. Las noticias que dan, son estas. La expedición de Sir George Moore llegó felizmente á Gothemburgo. De un momento á otro debía salir de Cork otra expedición formidable, de la qual hay ya prontos io$. hombres con un gran parque de artillería. Se pr</t>
  </si>
  <si>
    <t>Ger</t>
  </si>
  <si>
    <t>9á~~ lo~ y D .. FraQcjsco ·de P.aut~, el) y~le~ .re~l~s,:,)~.:.~ .. ;~~~.~ .•~... ,~~~.. ~~79' IO~ D. Ger6Him"d: ~~I'Gáínl'~ Y.:' Rqs~lJ.o ~. J.d ••• ~ ....,•._.~ ••~·•.•.~. •,: .~ •••••~•••• ~ "",;,~, _'IOno.·· . B~rnardo G¡)rlzalez' t ld .. ~ .... ~~ ..••... ~ ..... :~ ...•..·......</t>
  </si>
  <si>
    <t>Gerardo Roberti</t>
  </si>
  <si>
    <t>al ayudante, graduado de capitán, D. Manuel de OrdoVas; ayudantía al teniente, graduado de capitán, D. Gerardo Roberti; tenencia al subteniente D. Poíicarpo Algarra, y subtenencia de bandera al cadete D. Josef Valdés: en el de Valencia compañía al tememc de granaderos, graduado de capitán, D. Joaq</t>
  </si>
  <si>
    <t>Geridéja, Pedro</t>
  </si>
  <si>
    <t>Pedro Geridéja</t>
  </si>
  <si>
    <t>as D. Josef María Carrillo D - Eugénio Zuíoaga i D¿ t Félix Pa-¿ lacios &gt; D. Manuel-Entrambasaguas, D. Pedro Geridéja, D. Josef Manuel del Valle, D. Josef María Bassoco^ D. JoaquinDsés , D. Joaquín Galdiano, D. Josef María Baquedago, y D. Francisco Xavier de Ezpeleta. Ganaron el premio extraordin</t>
  </si>
  <si>
    <t>Germán García</t>
  </si>
  <si>
    <t>rs. La viuda de Barco Lópezdel comercio de libros, por id. 500 rs. D. Antonio Montero, id. 100 rs. D. Germán García de laPinilla á 3 rs. diarios durante la guerra, y un tercio-anticipado, 365 rs. D. Juan Vilar, platero, una escribanía nueva de plata valuada en 1264 rs. D. Francisco, D. Julián, D. Jua</t>
  </si>
  <si>
    <t>Gerónima Pérez del Barrio</t>
  </si>
  <si>
    <t>lencia..... 500 1072 D. Francisco Martínez del Valle........ '............. Madrid........ 300 2434 Doña Gerónima Perez del Barrio.................... Cádiz.......... 600 2351 D. Eugenio Sanz Calvo..................................... Zaragoza..,.. 300 864 D. Pedro Porter......................................</t>
  </si>
  <si>
    <t>Gerónimo'Antonio Diez</t>
  </si>
  <si>
    <t>pacho de lós negocios tocantes á las provincias del territorio'de la chancUiería de Granada: el Sr. D. Gerónimo'Antonio Diez de los de las provincias de la corona de Aragón; y el Sr. D. Picolas de Sierra de los de las provincias del territorio de la chancillería de Valladolid. . ■ ' VENTAS JUDICIALES. Por providencia</t>
  </si>
  <si>
    <t>Geróninio Puig de Amigó</t>
  </si>
  <si>
    <t>stín Sánchez, sargento mayor delde Pavía; y la del de cazadores de OI i vene ¡a al teniente coronel D. Geróninio Puig de Amigó, sargento mayor del de cazadores voluntarios de España: en el de dragones del Rei compañías á los ayudantes , graduados de capitán, D. Joset Alvarez de Lara y D. Ignacio Palieja;</t>
  </si>
  <si>
    <t>Gertrudis Cosió, María</t>
  </si>
  <si>
    <t>María Gertrudis Cosió</t>
  </si>
  <si>
    <t>gado y poruña vez.»»»..». 500. ; D. Pedro Villareai, á cuenta de‘900 rs.y por una vez»»»»»..» 225.. Doña María Gertrudis Cosió,! viuda, por una vez.»»»»...»»&gt;». 40. Francisco Rubio, tendero, á cuenta de 365 rs., por una vez.». 182 17. D. Manuel Laso de la Vega, por una vez.................................</t>
  </si>
  <si>
    <t>Gertrudis de Aranguren' y Sobrado, María</t>
  </si>
  <si>
    <t>María Gertrudis de Aranguren' y Sobrado</t>
  </si>
  <si>
    <t>........................... Madrid.... 300 2112 D. Manuel de la Presa......... . Zaragoza: 300 1208 Doña María Gertrudis de Aranguren' y Sobrado........... ............ ..................... ................... Bilbao., 3000 1465 D. Bernardo Unzaga....................... ................... Málaga, 300 881 D. Celedonio y D</t>
  </si>
  <si>
    <t>Gertrudis de Sálás' Calderón</t>
  </si>
  <si>
    <t>. A''0Tudelá‘. 'I'5óo 153 Sres. Valero Andreu y MárzolA.A...AAA.4..... ' Valencia..... • 5 óo *°5 3 Doña Gertrudis dé Sálás' Calderón;; A, A. A; Ai A Madrid.!..:/. 500 821 D. Manuel AlBüerne........’.7...............V..7. Madrid...'../. ' 300 589 D. Felipe Martínez de Viergol............... Madrid/.....'. 600 22</t>
  </si>
  <si>
    <t>Gertrudis de Zaldo</t>
  </si>
  <si>
    <t>aragoza..».. 500 19Ó1 D. J uan Narciso de Torres........... ..................... Zaragoza..... 500 Doña Gertrudis de Zaldo......... ......................... Madrid.»..... 600 D. Juan Bautista Perez................... ....v.......,.; Madrid....... 5 00 2344 Excmo. Sr. Marques de Villafranca...........</t>
  </si>
  <si>
    <t>Gertrudis García</t>
  </si>
  <si>
    <t>año, después de las labores domésticas, 25 li-’ bras asturianas de lino, cosecha nueva de sq país: Doña Gertrudis García, ciega, ha hilado varias partidas de lino, y texido otras de lienzo. ( con-, tinuard.) ■ --* ■ Cádiz 12 de febrero de 1808. ¡ ' A pesar de que tenemos á la vista 11 navios de guer</t>
  </si>
  <si>
    <t>Gertrudis Padella de Cano</t>
  </si>
  <si>
    <t>n 6. Don Antonio Ribera 6 camisas de coruña. Las religiosas de las Vallecas 10. D. Josef Benitez 6. Doña Gertrudis Padella de Cano una. Doña María Ricarte 2. Día 27. D. Manuel González Peral 2 camisas. Una señora viuda de un militar 2. Doña María del Rosario Alarcon 2. D. Diego Alarcon 4. Doña María Teresa Fe</t>
  </si>
  <si>
    <t>Gertrudis Tamayo, María</t>
  </si>
  <si>
    <t>María Gertrudis Tamayo</t>
  </si>
  <si>
    <t>édulas. , D. Francisco Fernandez Bellido 60; D. Manuel de Escudero ico. Josef Saavedra 30. * :• ¡ ‘ Doña María Gertrudis Tamayo 2400 Agustina Pinillos 8, , en efectos de estado. Facundo Méndez 21. . . D. Fernando Cárnico 300. D. Josef Bonilla 160. r d: f. m. 75. D. Josef Viñas 20. . D. M. F. 30. D. Manuel</t>
  </si>
  <si>
    <t>Gertrudis, María</t>
  </si>
  <si>
    <t>María Gertrudis</t>
  </si>
  <si>
    <t>3.' - * -■ D. Manuel Navarro 6. f Una sirviente:;una¿ ; :f JD. JJdanuel Barrio 2. ,' * ■' \ i r (l Doña María Gertrudis.Támaró y $» Dona María Manuela Gil 4. criada María Bonilla A y 2 pares D. Josef Espinosa 6. - * de calcetas. Doña Tétesrora Mateo Perez 2‘ y 2 D. Baltasar Novales-2-camisas. \ * p</t>
  </si>
  <si>
    <t>Gestal y Castro, Manuel</t>
  </si>
  <si>
    <t>Manuel Gestal y Castro</t>
  </si>
  <si>
    <t>toriano Gómez, D. Juan Godoi, D. Juan Jorge, D. Juan Vicente Vandeli, Don Andrés Alvarez de Toledo, D. Manuel Gestal y Castro, D. Matías Cámara: á los tenientes del cuerpo de patriotas de la Union D. Antonio Santiago 'Ulano, D. Juan: Pedro Zerpa'p D. Francisco Alvarez de Labraría, D. Juan Tornáguera, D.</t>
  </si>
  <si>
    <t>Géválló, Pedro</t>
  </si>
  <si>
    <t>Pedro Géválló</t>
  </si>
  <si>
    <t>cátedras de agricultura y materia médica-, promovidas por el ilustrado y activo zelb del Excmo. Sr. D. Pedro Géválló^, primeé sécretiario de e'siadCj iyprótéCtcr dél estabiédmíento y de las ciencias &lt;jue en él se enseñan'.- ■' ■ y\- ¡ v':.--: r •. . : ¡ ¡ 'v'-Ijl segundo profesor dé botánica'y p</t>
  </si>
  <si>
    <t>Gevallos, Pedro</t>
  </si>
  <si>
    <t>Pedro Gevallos</t>
  </si>
  <si>
    <t>ue dió el Rei á ella, y estar concebidas en los términos que expresa en su exposición el Excmo. Sr. D. Pedro Gevallos, por haberlas visto, y haber pasado ambas por nuestras manos; y para que conste lo firmamos en Madrid á 3 de setiembre de 1808. = Eusebio de Bardaxí y Azara. = Luís de Onis. La ju</t>
  </si>
  <si>
    <t>GHman, Félix</t>
  </si>
  <si>
    <t>Félix GHman</t>
  </si>
  <si>
    <t>, D. Pedro Sánchez Pavón y D. Pablo Unda; seminaristas D. Matías Oiivencia,D. Josef María Carrillo, D. Félix GHman, cadete de reales guardias Valonas, D. Félix Palacios, D. Manuel Entramfbasaguas, D. Pedro Cendeja , D. Josef Manuel del Valie, D. Josef María Bassoco, D. Matías de la Torre, D, F</t>
  </si>
  <si>
    <t>Gibanel, Antonio</t>
  </si>
  <si>
    <t>Antonio Gibanel</t>
  </si>
  <si>
    <t>...... Madrid........ 300 477 Sres. Martínez, Callejo, Muñoz y Ibarrola... Bilbao......... JOO 1133 D. Antonio Gibanel............................................ Zaragoza..... 500 140 D. Pascual Mora.................................................. Valencia..... 300 221 D. Josef de Mollinedo....</t>
  </si>
  <si>
    <t>Gibert, Lorenzo</t>
  </si>
  <si>
    <t>Lorenzo Gibert</t>
  </si>
  <si>
    <t>. . D. Manuel Rubiano y Nieto, F JEPatencia........... D. Josef María Caíonge. £n Palma............ D. Lorenzo Gibert. . £n Pamplona........ Sres. viuda de Barbería é hijo. £n Salamanca...... Sres. Urrero y Casaseca. £n Santander....... Sres. Vial, hijo y compañía. , v,jE|m Segovia.,Sres., viuda</t>
  </si>
  <si>
    <t>Gíf Fernández, Felipe</t>
  </si>
  <si>
    <t>Felipe Gíf Fernández</t>
  </si>
  <si>
    <t>120 rs, mensuales. rxKté' Manuel Bereda, tendero, por idi a‘6,5"rs. id'.v..................... 60. D. Felipe Gíf Fernández, abogadoHe los reales consejos ,’por id. á 100 rs. id......................... ••......................... ................... . IOO. D. F. N., men^ualmente.........,.....p.......</t>
  </si>
  <si>
    <t>Gifillermo, Príncipe</t>
  </si>
  <si>
    <t>Príncipe Gifillermo</t>
  </si>
  <si>
    <t>:i : , y , ' Francfort; $ de fcbt^ta v „,. t: y i 1. Léese en una de las gazetas de Alemania que el Príncipe Gifillermo, de Prusía, que se halla en la actualidad ,en.Paris* está .encargada-.m.ui,particularmente de solicitar la agregación: de la monarquía prusiana á. la,confederacion del Rin. ; . -•</t>
  </si>
  <si>
    <t>Gii Fernández, Luis</t>
  </si>
  <si>
    <t>Luis Gii Fernández</t>
  </si>
  <si>
    <t>Bayo. D. Andrés Grande, diputado id. D. Francisco Carreño , alcalde del &gt; barrio del Amor de Dios. D. Luis Gii Fernandez , del del Hospital general. ) D. Francisco Josef Ofer, diputado del Amor de Dios. D. Francisco Perez de las Muelas, diputado id. D. Antonio Sánchez, diputado del barrio del Hospit</t>
  </si>
  <si>
    <t>Gil Antonio Laguna</t>
  </si>
  <si>
    <t>rs. póri - /1 úna vez..'....................... ........»..»»..»».»».........................iooo. D. Gil Antonio Laguna, procurador de villa, por una vez...... 200O. D. Lorenzo González, portero de la secretaría de Gracia y Justicia, por una vez...;..»............ *..... «.«...............»».;»»».»</t>
  </si>
  <si>
    <t>Gil de Arana, Juan</t>
  </si>
  <si>
    <t>Juan Gil de Arana</t>
  </si>
  <si>
    <t>0. r d: f. m. 75. D. Josef Viñas 20. . D. M. F. 30. D. Manuel de Roxas 80. ' D. Pedro Barbería 200. D. Juan Gil de Arana 60, . * D.; £.; B. 1$. I D ña Justa Rutina de la Puente 20¿ D. Manuel Olivares 100. Doña Margarita Cabrero 10. . . .i D. Sebastian Casado 20. D. Francisco Ximenez Panlagua 40i D.</t>
  </si>
  <si>
    <t>Gil de Arias, Vicente</t>
  </si>
  <si>
    <t>Vicente Gil de Arias</t>
  </si>
  <si>
    <t>....... JOO 24 )S D. Carlos García Velarde................................. Zaragoza...., lOOO 1296 D. Vicente Gil de Arias................................... Valencia.... JOO 01 Doña Josefa Squid y de Castellarnau............. Barcelona.... 500 2105 D. Josef María Gadeyne..............................</t>
  </si>
  <si>
    <t>. Cádiz......... IOOO 178 D. Francisco San Martin Silico................ ... Valencia..... IOOO1295 D. Vicente Gil de Arias............................... . Valencia..,.. 300 741 D. Josef María de Urrutia............................... Madrid........ 300 1943 D. Francisco Sensevé y Fon.......... ......</t>
  </si>
  <si>
    <t>Gil de Lemos, Francisco</t>
  </si>
  <si>
    <t>Francisco Gil de Lemos</t>
  </si>
  <si>
    <t>icado.” ■ - "*M&lt;? i ,, La junta suprema de gobierno, reunida y compuesta en este dia de los señores D. Francisco Gil de Lemos, D. Miguel Josef de Azanza , D. Se4 b.stian Piñuela y D. Gonzalo O-Farril, secretario del despacho; y de los señores Duque de Granada de Ega, presidente del consejo de las Órdenes</t>
  </si>
  <si>
    <t>........... D. Fernando de la Vera, gobernador de Madrid.... .......................... x ir El Sr. D. Francisco Gil de Lemos. 2 D. Pablo Recio, sumiller de cortina. l............ El marques de Alcañices................. .......r El marques de Bendaña........ . %■ D. Andrés Julián, subteniente de la part</t>
  </si>
  <si>
    <t>Gil de Lemus, Francisco</t>
  </si>
  <si>
    <t>Francisco Gil de Lemus</t>
  </si>
  <si>
    <t>o, se ha servido expedir los dos reales decretos siguientes: ^Habiéndome répresentado'el bailío Fr. D. Francisco Gil de Lemus, consejero de Estado, secretario de Estado y del despacho de Marina, y director general de la Armada, el decadente estado de su quebrantada salud, y la imposibilidad en que por es</t>
  </si>
  <si>
    <t>Gil de Santibanez, Juan Gregorio</t>
  </si>
  <si>
    <t>Juan Gregorio Gil de Santibanez</t>
  </si>
  <si>
    <t>d........ 300 2175 D. Francisco Saber Bernete........................... . Coruña........ oco 233 5 D. Juan Gregorio Gil de Santibanez............... Zaragoza..... 500 429 D. Josef González de Ribera........................... Santander.... 600 1535 Sres. Mena é hijos..............................................</t>
  </si>
  <si>
    <t>Gil Delgado, Antonio</t>
  </si>
  <si>
    <t>Antonio Gil Delgado</t>
  </si>
  <si>
    <t>► D. Ramón Zapata, id................. ........................;..í.v.;^.......;;..í.^í i : 32J. nJ D. Antonio Gil Delgado,.id.........................rV :32. ; Alonso Arias, id............................................................................. 32» • D. Pascual de Mingo, maestro de lienzos d</t>
  </si>
  <si>
    <t>Gil FaBra y Baznola</t>
  </si>
  <si>
    <t>.. . Alicante...... 300 ^433 *D. Joséf Saturnino de.la.Quintana......... . Cádiz......... 3 co 1 80 D. Gil FaBra y Baznola...... ............................. Barcelona.... 0 0 : 803 D. Juan Saenz de Santa María.......................... Madrid........ 500 r25 5 D. Diego Antonio Cabezón, prior y canón</t>
  </si>
  <si>
    <t>Gil Fernández, Diego</t>
  </si>
  <si>
    <t>Diego Gil Fernández</t>
  </si>
  <si>
    <t>inteligencia de que se ha de celebrar su remate el djá 3 de febrero próximo. Por providencia delSr. D. Diego Gil Fernandez, alcálde de casa y corte, y escribanía de D. Juan Antonio Díaz N oriega, se ha mandado sacar á pública subas» ta por término de 30 dias, una casa sita en esta corte, calle de S. M</t>
  </si>
  <si>
    <t>es dse esta corte, núm. 3, manz. 389, tajada *n 58631.5 rs., que se remató por la audiencia del Sr. D. Diego Gil Fernandez,alcalde de casa y corte, y escribanía de provincia de D. Juan Antonio E&gt;iaz Noiíeen «¡90© á pagar en vales reajes, se publica por vi 5 dias mas, y vuelve,á señalar el último para</t>
  </si>
  <si>
    <t>que se remató en 1 en vales, y de ellos 3® en metálico, por la audiencia del señor alcalde de corte D. Diego Gil Fernandez, y escribanía de provincia de D. Juan Antonio Diaz Noriega. .. , . . ,, , Para el remate de una casa sita en esta corte en I3 calle del Ave Mana, esquina á la de S. Carlos, níim.</t>
  </si>
  <si>
    <t>, ntim. 3, manz. 3B9, tasada en 586315 rs., y se remató por la audiencia del señor alcalde de corte D. Diego Gil Fernandez y escribanía de D. Juan Antonio Diaz Noriega en 704200 rs. en vales, y de ellos $ o® en metálico. ‘ avisos. ;; : ' ' ¡ : ■&gt; Habiéndose aprobado por el real consejo de -las Ordenes el</t>
  </si>
  <si>
    <t>idor D, Mariano San Juan, S. Antón , guardias Españolas y Salesas. Quartel de S. Martin. El alcalde D. Diego Gil Fernandez, barrio de los Angeles, plazuela de Moriana y Descalzas Reales. El regidor D. Bernardo Diosdado, Carmen calzado , S. Luis y niñas de Xeganés. Quartel de S. Gerónimo. El alcalde D.</t>
  </si>
  <si>
    <t>na y geometría práctica, á satisfacción de rodo el concurso; habiendo presidido el exércicio el Sr. D. Diego Gil Fernandez, del consejo de S. M. , y alcalde de casa y corte, juez comisionado para el cuidado de este establecimiento. Y siendo tan notoria la utilidad que resulta á todo joven de tomar alg</t>
  </si>
  <si>
    <t>a ante dicho señor por la escribanía de provincia de D. Valdomero Moraleda. Por providencia del Sr. D. Diego Gil Fernandez, alcalde de casa y corte, se ha mandado sacar á pública subasta, por término de 30 días, un oficio de corredor de lonja, tasado en 33ÍD rs. en moneda metálica. Quien quisiere hace</t>
  </si>
  <si>
    <t>Gil Naranjo, Luis</t>
  </si>
  <si>
    <t>Luis Gil Naranjo</t>
  </si>
  <si>
    <t>....... ............... ........... .......................................................... 918. D. Luis Gil Naranjo, en rédiros de vales reales, por una vez... 361 ij, D. Dámaso Santos Martínez, id....... ................................................ 60. •'£ D. Josef Badan, un vale de 150 pe</t>
  </si>
  <si>
    <t>Gil Sáenz de Tejada</t>
  </si>
  <si>
    <t>y puesta en fuga precipitada por el bien dirigido fuego dé un cañón violento y un Obús al mando de D. Gil Saenz de Tejada, capitán de artillería, y comandante de la vanguardia, y del de fusilería de los zapadores leales mandados por su capitán D. Melchor Silvestre. «Al instante se presentó á la salid</t>
  </si>
  <si>
    <t>Gil Samibañez, Manuel</t>
  </si>
  <si>
    <t>Manuel Gil Samibañez</t>
  </si>
  <si>
    <t>Piélagos 4. camisas y 42. varas de lienzo. D' Santiago Malo 2 sábanas. Peña Ana-Roxo • i a camisas* D. Manuel Gil Samibañez ico varas D. Angel Abril, tesorero honorario de lienzo» de exércitó, 6. D. Pedro de Prado 3 camisas. D. Juan Francisco Rodrigo 6. D. Francisco de las Barreras 50 pares D. Femando</t>
  </si>
  <si>
    <t>Gil Santibañez, Gregorio</t>
  </si>
  <si>
    <t>Gregorio Gil Santibañez</t>
  </si>
  <si>
    <t>, Bringas, Zorrilla y v Miera.................. ....................... . Bilbao......... 300 213 T D. Gregorio Gil Santibañez ■•i*............. ».&lt;........ Zaragoza...*. 600 1869 Doña Antonia García y Mancho:..:...»............ Zaragoza...^ % 00 1976 Doña Juana Peñalba ..................... ............</t>
  </si>
  <si>
    <t>Gil Taboada, Vicente</t>
  </si>
  <si>
    <t>Vicente Gil Taboada</t>
  </si>
  <si>
    <t>es, y 29796 rs. en efectivo, id........................ ................ ................... 60000. D. Vicente Gil Taboada, intendente honorario deExército, id. 6000. Doña Josefa Garrido y Güejnes, id........... ........................... .......... 300. Doña Manuela Pozuelo, sirviente de la anterior</t>
  </si>
  <si>
    <t>Gil y Lemus, Francisco</t>
  </si>
  <si>
    <t>Francisco Gil y Lemus</t>
  </si>
  <si>
    <t>o. Sr. Gran Duque de Berg la orden de S. Juan de Jerusaíen, presidida por el Excmo. Sr. Bailíd Freí D. Francisco Gil y Lemus , como Lugar-Teniente del gran Prior. DióS. A. id cuerpo y á.su, digno presidente muestras dél mayor aprécio y cónsideíracion. 'y y / ■ '■ ■ . ■ ' . :| *" En la audiencia .solemne</t>
  </si>
  <si>
    <t>......... loo* D. Santos de Pando, dependiente del Banco nacional, id........... 120* El bailíó Fr. D. Francisco Gil y Lemus, en vales reales, y 29796 rs. en efectivo, id........................ ................ ................... 60000. D. Vicente Gil Taboada, intendente honorario deExército, id. 6000</t>
  </si>
  <si>
    <t>Gil, Antonio</t>
  </si>
  <si>
    <t>Antonio Gil</t>
  </si>
  <si>
    <t>ramina 2. La marquesa de Valdecarzana 4. Doña Luisa Robinet una. Doña Tomasa de la Cueva 2 camisas. D. Antonio Gil, conde de Berverana, seis camisas, hilas, paños y vendas. En el dia 19 de mayo último falleció, á los 71 años de edad, en la ciudad de Valencia su patria, el Excmo. Sr. D. Ventura</t>
  </si>
  <si>
    <t>., por una vez......¿..... 500. D. Pedro Palacio Veiarde, del comercio de lienzos, por una i &gt; 5OO. D. Antonio Gil. y Arriba, por una vez................ .................. 3000. D. Cristóbal de Rlpa y Jaureguizar, comisario de Guerra jubilado, por una vez. «■ 600. D Cosme de Miguel Garcíj , o</t>
  </si>
  <si>
    <t>Gil, Domingo</t>
  </si>
  <si>
    <t>Domingo Gil</t>
  </si>
  <si>
    <t>..................... ......... 60. D. Juan Montero, cirujano, 2.rs. diarios, por 2 meses..... 122. D. Domingo Gil, v.ista de la reai Aduanar, 3. id. en intereses de vales reales............................ .................................... .1173 8|. D. Simón de Santa María, dependiente de</t>
  </si>
  <si>
    <t>Gil, Felipe</t>
  </si>
  <si>
    <t>Felipe Gil</t>
  </si>
  <si>
    <t>consejo de las Ordenes, vacante por fallecimiento de D. Eugeniq.Manuel Alvarez Caballero , nombro á D. Felipe Gil de ‘Taboada , alcalde de mi casa y corte: para la plaza que este dexaáD. Alfonso Ángel de Noreña, oidor decano de la real audiencia de Sevilla: para esta plaza de oidor al; alcaide d</t>
  </si>
  <si>
    <t>Gil, Francisco</t>
  </si>
  <si>
    <t>Francisco Gil</t>
  </si>
  <si>
    <t>de granaderos del propio cuerpo; y agregación de coronel al regimiento de infantería real de Lima á D. Francisco Gil de; Tabeadacapitán dé fragata de la real armada: FABRICA BE ACIDÓ CÍTRICO. Algunos discípulos del real estudio de química de esta corte Irán establecido en Sevilla, con real privileg</t>
  </si>
  <si>
    <t>o y del despacho D. Pedro Cevallos , el marques Caballero, D. Antonio Olaguer Feliu , el baylí© Fr. D. Francisco Gil, y D. Miguel Cayetano Soler, y necesitando por tanto de mi nombramiento, he venido eir ratificarlo respectivamente al despacho de que cada uno estaba encargado , en consideración*</t>
  </si>
  <si>
    <t>tencia de los excelentísimos señores vocales de la junta de gobierno marques Caballero , balito Fr. D. Francisco Gil y D. Gonzalo O-Farril, son los siguientes: Protesta,, Protesto y declaro que todo lo que manifiesto en mi decreto del 19 de marzo abdicando la corona en mi hijo, fue forzado , por pre</t>
  </si>
  <si>
    <t>24 de julio de 1808</t>
  </si>
  <si>
    <t>Madrid 96</t>
  </si>
  <si>
    <t>de la Roca. El Excmo. Sr. conde del Campo de Alange. El Excmo. Sr. marques Caballero. El Excmo. Sr. D. Francisco Gil. El Sr. D. Josef García de.León y Pizarro, secretario del consejo. Los Excmos. Sres. ministros, el Excmo. Sr. duque de Frías, y otros, como los gefes de la casa real, habían prest</t>
  </si>
  <si>
    <t>demas oficiales que le custodiaban. En honor de la verdad es preciso decir que el señor bailío Fr. D. Francisco Gil, secretario de Estado y del despacho de Marina, y por lo mismo individuo de la Junta de gobierno, se opuso á la entrega del preso, porque el Rei no la autorizaba. No es fácil conc</t>
  </si>
  <si>
    <t>Aranjuez, del tenor siguiente: D. Pedro Cevallos. „Por la conformidad de votos de casi todósdo£ Fr, D. Francisco Gil. vocales , que representan lor reinos de España , se hizo la instalación de la Junta central;del gobierno de ellos y de las Indias en el dia de ayer 2$ del corriente con las cerem</t>
  </si>
  <si>
    <t>é Gamboa y X). F. 2 y 2 medias. su hermana 4. D. Vicente Pereda 6 camisas. r Doña Joaquina Gómez 2. D. Francisco Gil una. . "v / D Francisco Antonio de Ibarreche 12. D. F.”4. f ; . ■ /;: ■; Doña N. 2V ; y Doña, María Concepción de Ifusta 6. Doña Isabel Carvajal y Castañeda 2. tí, Juan Lopéz una'</t>
  </si>
  <si>
    <t>Gil, Francisco Miguel</t>
  </si>
  <si>
    <t>Francisco Miguel Gil</t>
  </si>
  <si>
    <t>............ Zaragoza..... 3 00 510 D. Vicente Manuel de Zumelzu......... Bilbao....... . 300 23 °4 D. Francisco Miguel Gil............ »».».»»».».... Cádiz.,»1...... 10000 adío Sr.-Conde del Parque..............v..»;»»»».í..;.li;.. Cádiz»...... .. 3 00 356 B. Domingo de ‘flormache.»«»»»».»»«»»»*v*■ J</t>
  </si>
  <si>
    <t>Gil, Juan</t>
  </si>
  <si>
    <t>Juan Gil</t>
  </si>
  <si>
    <t>drid....... 300 275 D. Rafael Perez Romo...................................... Burgos...... 300 193 D. Juan Gil, presbítero.......................... ;........ Alicante......' 300 2400 D. Mateo Ruiz............................ Zaragoza».» 600 2361 D. Antonio Terrer................... ».....</t>
  </si>
  <si>
    <t>Gil, Juan Bautista</t>
  </si>
  <si>
    <t>Juan Bautista Gil</t>
  </si>
  <si>
    <t>e Ordenes, uno id. por 5 meses.......................... ...... ............ ................. 153. D. Juan Bautista Gil,.del comercio, 4 id. por 2 meses............ 244. Un religioso mercenario, 4 id. por agosto........ ........ .................. 1 D. Santiago Rabasa, maestro sombrerero, 4 id. por</t>
  </si>
  <si>
    <t>Gil, Manuel Sebastián</t>
  </si>
  <si>
    <t>Manuel Sebastián Gil</t>
  </si>
  <si>
    <t>RIFA. * 1 : - t 594 D. Felipe Martínez Viergol..................... ;....; Madrid/v....*-» 600¿ 226 D. Manuel Sebastian Gil.................. . Alicante..... . 500 795 D. Pedro García y PiniÜos................. . Madrid......., 3001 616 D. Carlos Josef Conrote.;*»»................ ............ Madrid..</t>
  </si>
  <si>
    <t>Gil, Pedro</t>
  </si>
  <si>
    <t>Pedro Gil</t>
  </si>
  <si>
    <t>s. Los franceses habían salido la noche anterior de Viliareal para Tavira. A Castromarin se dirigió D. Pedro Gil, capitán de guerrilla, con 4. hombres de su partida en un bote. Al acercarse á la plaza, un oficial portugués les gritó desde un falucho, que 'no saltaran en tierra, que iba entra</t>
  </si>
  <si>
    <t>Gil, Pedro María</t>
  </si>
  <si>
    <t>Pedro María Gil</t>
  </si>
  <si>
    <t>es al agregado D. Antonio Bonilla y al portaguión D. Josef Aguilar * y á portaguiones á los cadetes D. Pedro María Gil y D. Ramón Carrillo. En la extracción de la real lotería, celebrada el lunes 21 del corriente* salieron los números 67,35 * 9 * 38 y 72 ; y con ellos han ganado los jugadores 69,7996</t>
  </si>
  <si>
    <t>Gil, Vicente</t>
  </si>
  <si>
    <t>Vicente Gil</t>
  </si>
  <si>
    <t>.... . Valencia..... 300 71 D. Mariano Fontcuberta........................ . Barcelona.... foo 1051 D. Vicente Gil y compañía................... .......... Madrid........ 6eo 138 D. Pascual Mora.............*..................................... Valencia..... 300 38 D. Manuel Vicente Poza y D. P</t>
  </si>
  <si>
    <t>Gila</t>
  </si>
  <si>
    <t>ectos de, estado. .... 5/mrsi"enOíd. Doña María García Sánchez 40.' D. J. G. de Á. 1200 en cédulas. Doña Gila .Moreno 30. ; &lt;• D. Joaquín Solanas 90. . P, Pedro Rubio 2©. D. J. A. V. G. 960. D. Joaquín Ervias ioo.rs. en metá­ Doña Margarita Casanova, sirvienta, lico y po rs. 8 J mrs. en e</t>
  </si>
  <si>
    <t>Gila, Bernardo</t>
  </si>
  <si>
    <t>Bernardo Gila</t>
  </si>
  <si>
    <t>ovia, y están tasadas en 745118 rs. Quiéii quisiere hacer póstúfa, acuda á la escribanía que exerce D. Bernardo Gila.l».El mismo ¿pmisionado regio ha señalado;dicho dia 10 para el remate de 373 obradas y 3 quartas de tierra de' pan llevar, sitas en término del lugar de Carbonero, jurisdicción &lt;f</t>
  </si>
  <si>
    <t>Gimes, Andrés</t>
  </si>
  <si>
    <t>Andrés Gimes</t>
  </si>
  <si>
    <t>ezclada con los invencibles soldados españoles , pelee animosa* mente por su Rey y per su religión. D. Andrés Gimes, encargado do los prisioneros es* pañoles en la isla de' Malta, escribe i esta Junta suprema , con fecha de 25 de Septiembre, manifestándole todo so amor á la nación española, y s</t>
  </si>
  <si>
    <t>Gimo, Matías</t>
  </si>
  <si>
    <t>Matías Gimo</t>
  </si>
  <si>
    <t>s Ramírez 8. - eo y 1 r oo en cédulas.. : Doña María Teresa Briz; 203. ?; l D. Josef Fernandez 30,. D. Matías Gimo por sí y su muger 6&lt;&gt;. D. Mariano de Auísa 242. i). Josef García Alvarez 160, Doña Isabel Perez 90 rs. 8 mrs. y D. Manuel Martínez de Aedo 60* medio en efectos de estado. D. Pedro</t>
  </si>
  <si>
    <t>Gines Funes, Luis</t>
  </si>
  <si>
    <t>Luis Gines Funes</t>
  </si>
  <si>
    <t>stino y exercicio de vocal de la JunD. Rodrigo Riquelme. ta central suprema y gubernativa del reino D. Luis Gines Funes, promoveréis y defenderéis la conservación y Por Jaén. aumento de nuestra santa religión católica D. Sebastian de Joca- apostólica romana, la defensa y fidelidad á no. nuestro aug</t>
  </si>
  <si>
    <t>Gines Romero López</t>
  </si>
  <si>
    <t>cer postura, lo. execulará por la escribanía que desempeña L). León Ar.uiz., • r Por providencia de D, Gines Romero López, subdelegado en el depártame rio de los Veloz del juez comisionado regio en la diócesi de Almería, se ha señalado el dia 28.de} presente para el remate de un.cortijo en Ja vega de</t>
  </si>
  <si>
    <t>Giraldo de Arquellada, Ramón</t>
  </si>
  <si>
    <t>Ramón Giraldo de Arquellada</t>
  </si>
  <si>
    <t>er otra autoridad alguna. Y á continuación hizo el secretario el propio juramento, y también el Sr. D. Ramón Giraldo de Arquellada, del Consejo de S. M., y fiscal en el supremo del reino de Navarra, que inflamado del mismo zelo, fidelidad y amor, quiso aprovecharse de esta coyuntura, manifestando ardientes de</t>
  </si>
  <si>
    <t>Giraldo, Pedro</t>
  </si>
  <si>
    <t>Pedro Giraldo</t>
  </si>
  <si>
    <t>bien inocente: se ha intentado complicar en esta causa al duque de San Carlos, conde de Bornos, y á D. Pedro Giraldo; pero no ha podido ve* rificarse. De las declaraciones tomadas á esfos sugetos, y otros que ha sido preciso examinar, resultó que una de las cansas impulsivas para tomar medidas d</t>
  </si>
  <si>
    <t>Girard</t>
  </si>
  <si>
    <t>ia un campo mas dilatado, donde tendrá gráridés acrecentaiiiíéñlps y ventajas el comercio interior. Mr. Girard, ingéíiíero en ge fe y director del canal del Gurcq, ha ciado cuenta á; S. E. de los trabajós qué Se le hábian confiado. - . . El prefecto del departamento del Sena expuso el resp</t>
  </si>
  <si>
    <t>os mas vastos siempre que pueden contribuir á la prosperidad de su capital. A cierta señal que hizo Mr. Girard se abrió el dique que contenía las aguas del canal, las quales inmediatamente se precipitaron en el surtidor, en medio de las aclamaciones de una infinidad de espectadores. En seg</t>
  </si>
  <si>
    <t>Girardin de Montgerald</t>
  </si>
  <si>
    <t>unidos mas de óoo hombres. ,v.¿ La pérdida más sensible que hemos* tenido en *está ocasión es la de Mr. Girardin de Montgerald, capitán de la guardia nacional de Sta. Ana. La muerte de este joven, que era de una de las familias mas ilustres de la Martinica, ha causado en. todos ei mas vivo sentimiento, y</t>
  </si>
  <si>
    <t>Giraut y Dávalos, Antonio</t>
  </si>
  <si>
    <t>Antonio Giraut y Dávalos</t>
  </si>
  <si>
    <t>pico en dinero.......... ........................ .................. ......................... 968. D, Antonio Giraut y Dávalos, boticario, á cuenta de neo rs, anuales...,.,......................... ..................... -..... ..... ............... ...... 550. D. Rafael Valdemoros, del comercio, 1173 id..</t>
  </si>
  <si>
    <t>Giro, Jacinto</t>
  </si>
  <si>
    <t>Jacinto Giro</t>
  </si>
  <si>
    <t>500. El marques de Z, id................................ -................................... 1000. D. Jacinto Giro, administrador de Rentas provinciales del lugar de S. Sebastian de los Reyes, por sí y á nombre de los individuos de la administración, id.........................................</t>
  </si>
  <si>
    <t>Giró, Miguel</t>
  </si>
  <si>
    <t>Miguel Giró</t>
  </si>
  <si>
    <t>. León d.e Sagasta, teniente corregidor de esta villa, J»e cita, llama y emplaza á D. Josef Pastor, D. Miguel Giró ó sus herederos, Don Manuel Ezquerra , D,. Vicente García ó su heredera, Julián González, maestro espartero , D. Melchor Manconel, Josef Escólau ó sus herederos, D. Josef Borrull,</t>
  </si>
  <si>
    <t>Gironda, Juan Antonio</t>
  </si>
  <si>
    <t>Juan Antonio Gironda</t>
  </si>
  <si>
    <t>Ortega 12. D. Jacebo Obispó, una. / Btyñi Fyancíica Márquez una i Doña María-Margarita Llprde 2l 4 D. Juan Antonio Gironda 2* D. Francisco .Antonio de Rivacobay D. Manuel «de íaHóz 2. Gdrvea una silla para caballo y i Dtejiiín «Matméi Lopéz-una. sables. r: D. Juan Colomer y Girald 2. * '•* D. Manuel G</t>
  </si>
  <si>
    <t>Gispert, Joaquín</t>
  </si>
  <si>
    <t>Joaquín Gispert</t>
  </si>
  <si>
    <t>........ Bilbao...j 000 23) Doña María Benita Rocandio..................... Burgos..,,..,. Joo 1805 D. Joaquín Gispert................................. .......... Zaragoza..... 300 868 D. Ventura Fita................................................. Madrid......... 300 208 Doña, María Concepción,</t>
  </si>
  <si>
    <t>Glaró, Juan</t>
  </si>
  <si>
    <t>Juan Glaró</t>
  </si>
  <si>
    <t>r la mañana fue admitido á esta: junta suprema jdel principado, él distinguido y benemérito dficial D. Juan Glaró^, .qoe;venia ;á despedirse, para regresar i su destino, :y á ,ponerse á las órdenes de ía junta: con estai ocasión. le animó el ilustrísímo Sr¿ vice-presidente á que; siguiese en</t>
  </si>
  <si>
    <t>GlutzRuebti</t>
  </si>
  <si>
    <t>con que la usa -.el abad del convento de!S. Urbán en el cantón de Lucerna. Este prelado, hermano de Mr. GlutzRuebti, landaman que ha sido de Suiza, anuncia que no ha ordenado basta ahora , y publicado su isistema hidro-eléctrico, únicamente por falta de tiempo , pero que en breve espera tener t</t>
  </si>
  <si>
    <t>Go, Lorenzo</t>
  </si>
  <si>
    <t>Lorenzo Go</t>
  </si>
  <si>
    <t>bres ilustres, se llegaría al ano de 1808. y se leería esta-noticia' tan honorífica; como sencilla: D. Lorenzo Go? micz Romero, Presbítero, natural He la -villa de Aroche, fué victima del ■ furor francés en el reyno de Portugal, guando iba á entregair las proclamas de nuestro católico monarca</t>
  </si>
  <si>
    <t>Go, Manuel</t>
  </si>
  <si>
    <t>Manuel Go</t>
  </si>
  <si>
    <t>l embajador de V. M. I. y R. han hecho en diferentes ocasiones instancias verbales para obtener que D. Manuel Go** doi, preso por crimen de estado en el real palacio de Villaviciosa, sea puesto á la disposición de V. M. ,,Nada me seria mas agradable que el poder acceder á su demanda; pero la</t>
  </si>
  <si>
    <t>Go, Ramón</t>
  </si>
  <si>
    <t>Ramón Go</t>
  </si>
  <si>
    <t>argentías mayores del inmemorial del Reí -al rcapotan del de Navarra, graduado de teniente coronel, D. Ramón Go¿méz: la del de Sabóya al capitán del de Toledo D. Julián Murillo: la del de ía Corona al capitán del de Murcia, graduado dé teniente coronel, Don MaftuePFranco : la del de Sevilla</t>
  </si>
  <si>
    <t>Góárne Ramosydel</t>
  </si>
  <si>
    <t>......... rooo. D. Manuel -Palacios y Corte, id. de id., id................................ . rooo. D. Góárne Ramosydel comercio de esta córte, á cuenta de r© rs. ápuales..........«¿.v**.«.«*.«.;.v.......i.*.»».......... ^oo. D. Pahtaleonr AznarV intprésor, por Una vez.-.......,;........ . r6o.. Do</t>
  </si>
  <si>
    <t>GOBERNADOR EL GENERAL REDING</t>
  </si>
  <si>
    <t>de dicho retrato, la inscripción siguiente: EL PUEBLO DE MALAGA AGRADECIDO A SU GOBERNADOR EL GENERAL REDING. Y por baxo del escudo en el reverso: LIBERTADOR DE LA PATRIA VENCEDOR DE LOS FRANCESES EN BAILEN. Símbolos todos que indican la importancia de la victoria y e</t>
  </si>
  <si>
    <t>gobernador Ingres</t>
  </si>
  <si>
    <t>ucha y hermosa madera de construcción. Según caricias da Ceyian, se sabe quj el gobernador Ingres se ocupa tn facilitar la comunicación de ios puertos con el interior de aquel extenso pays. El canal de PutUiñin, que proporciona la importante navegación de J</t>
  </si>
  <si>
    <t>gobernador Mr</t>
  </si>
  <si>
    <t>do di 14* habitantes una .pérdida de mas de ún millón de libras esterlinas:, el gobernador Mr. Tomas Hislop ha escritaiinmediátamente. á la&gt; Barbadá ; a Granada* v á-,diferentes puertos del continente español), solicitando;ios ñias* prontas corros pará</t>
  </si>
  <si>
    <t>Godine</t>
  </si>
  <si>
    <t>pital, y muchísimos hacendados y mariscales de los contornos concurrieron á esta solemne ceremonia. Mr. Godine, uno de los profesores, leyó un discurso, manifestando los progreses de la. medicina veterinaria, y describiendo las tareas de la enseñanza durante el año académico que acaba de e</t>
  </si>
  <si>
    <t>Godinez de Paz, Antonio</t>
  </si>
  <si>
    <t>Antonio Godinez de Paz</t>
  </si>
  <si>
    <t>o de hidropesías, proponiendo. la curación-de la que sfc dice incurable; obra original, escrita por D. Antonio Godinez de Paz, profesor de medie iná en la universidad de Salamahca. 'Se vende en da librería dé la viuda de Quiróga, calle de la*s¿C:arréttis^ á'8^r^ ' !j ;;MTISICA Y GRABADO. Divertimiento in</t>
  </si>
  <si>
    <t>Godoi, Diego</t>
  </si>
  <si>
    <t>Diego Godoi</t>
  </si>
  <si>
    <t>mpulsivas para tomar medidas de precaución, y á fin de desengañar al Reí padre, fue haber propuesto D. Diego Godoi, duque de Almodovar del Campo, al brigadier D. Tomas de Jáuregui, coronel del regimiento de Pavía, que era preciso mudar de dinastía por el fatal estado de la.salud del Rei¿ y otr</t>
  </si>
  <si>
    <t>Godoi, Juan</t>
  </si>
  <si>
    <t>Juan Godoi</t>
  </si>
  <si>
    <t>D. Mauricio Xaplaneta, D. Pedro Nicolás Ximenez , D. Ventura Carbonell , D. Félix Victoriano Gómez, D. Juan Godoi, D. Juan Jorge, D. Juan Vicente Vandeli, Don Andrés Alvarez de Toledo, D. Manuel Gestal y Castro, D. Matías Cámara: á los tenientes del cuerpo de patriotas de la Union D. Antonio</t>
  </si>
  <si>
    <t>Godói, Manuel</t>
  </si>
  <si>
    <t>Manuel Godói</t>
  </si>
  <si>
    <t>etarios suyos y oficiales de las secretarías de Gracia y Justició y Guérra, resulta ser dé letra de D. Manuel Godói, príncipe de la Paz, que á la sazón se hallaba en Madrid; mas no obra original en el proceso, porque se entregó á S. M. luego que se copió para mandarlo publicar. En el mismo diá</t>
  </si>
  <si>
    <t>Godoy, Manuel</t>
  </si>
  <si>
    <t>Manuel Godoy</t>
  </si>
  <si>
    <t>;„Mi augusto Padre y Señor tuvo por conveniente exonerar por su real decreto de 18 del corriente á D. Manuel Godoi, príncipe de la Paz, del empleo de almirante general de España é Indias, que se digno concederle* por reales cédulas de 13 de enero y 27 de febrero del año pasado de 1807* en que</t>
  </si>
  <si>
    <t>n reducida á manifestar coa el mayor respeto al Reí padre teda la vida y extravíos bien notorios de D. Manuel Godoi, príncipe de la Paz. En él se cuenta desde su nacimiento, sus hechos, fortuna, orgullo y despotismos y pedia S. M. á su augusto Padre se d»gaase salir á una batida * en la que á s</t>
  </si>
  <si>
    <t>sií augusta Madre, que ambas se insertaron en el decretó de 5 de noviembre, que de letra del mismo D. Manuel Godoi, príncipe de la Paz, se entregó al marques Caballero, de lo que han * certificado también dichos oficiales secretarios de S. M. El haber recibido el referido decreto el duque del</t>
  </si>
  <si>
    <t>que le manifestó el Emperador, dado orden para la entrega á las -tropas francesas de la persona de D. Manuel Godoi, principal autor de tantos males, y á quien S. M. había libertado del furor del pueblo, que le tuvo en su poder para asesinarle, ofreciendo que se le castigaría conforme á los del</t>
  </si>
  <si>
    <t>l corriente Haber habido órdenes de nuestro Soberano el Sr. D. Fernando vu para poner en libertad á D. Manuel Godoi, condescendiendo á los deseos del Emperador de los franceses. Y conviniendo al honor de S. M. y al desengaño del público el de hacer esta involuntaria equivocación, en que no tien</t>
  </si>
  <si>
    <t>corriente haber, habido órdenes de nuestro Soberano el $r. Don Fernando vn para poner en libertad á D. Manuel Godoi, condescendiendo á los deseos del Emperador de los franceses. Y conviniendo al honor de; S. M. y al desengaño del público el deshacer esta involuntaria equivocación, en que no tie</t>
  </si>
  <si>
    <t>1132 puso variar de medió, y aparentó tomar un grande interes en la suerte de D. Manuel Godoi, con quien había tenido correspondencia de la mayor intimidad, aunque no se conocían personalmente. No se ocultó á su sagacidad el grande empeño que tenían los Reyes Padres en sal</t>
  </si>
  <si>
    <t>gran duque de Berg, diciéndole que el Príncipe de Asturias había puesto á su disposi^ cion al preso D. Manuel Godoi, y mandándole que lo reclamase con energía. No fue menester mas para que Murat, cuyo carácter es naturalmente violento y osado, hiciese pasar la siguiente nota á la Junta de gobie</t>
  </si>
  <si>
    <t>unal en su manifiesto , folio 14 de la impresión en 4.0, que dice así: ,,Por lo respectivo al preso D. Manuel Godoi, me manda el Rei enterar á la Junta , para que haga de esta noticia el uso conveniente, que hace S. M. demasiado aprecio de ios deseos que ha manifestado el Emperador de los franc</t>
  </si>
  <si>
    <t>isión Duroc, aposentador mayor de palacio; y S. M. el Rei de las Españas y de lar Indias ¿ S. A. S. D. Manuel Godoi, príncipe de la Paz, conde de Ebora-Monte. . „ Los quales, después de haber cangeado sus plenos poderes, hanconvenido en los artículos siguientes: art. 1, ,,No habiendo S. M. el R</t>
  </si>
  <si>
    <t>cios esenciales, y la dignidad y entereza con que rehusó y desechó las interesadas ventajas con que D. Manuel Godoi trató de entorpecer la probidad sostenida y austera de este general, jamas podrán dexar de aparecer en la historia de los grandes hombres de su profesión» _ Sus persecuciones, su</t>
  </si>
  <si>
    <t>ominio que exercia en España el gobierno francés,' y de la vergonzosa facilidad con que el favorito D. Manuel Godoi se pres-' taba á las intimaciones del gabinete de Paris, tomó el Sr. D. Carlos iv- erf 9 de junio de i8o&gt; la determinación de prohibir la entrada de los buques* suecos en los puer</t>
  </si>
  <si>
    <t>Godpy, Manuel</t>
  </si>
  <si>
    <t>Manuel Godpy</t>
  </si>
  <si>
    <t>ues me consta muy bien que sin embargo de estar casado con una prima hermana del príncipe de la Paz D, Manuel Godpy, nunca ha entrado en las ideas y designios injustos que se suponen en este hombre, y sobre los que he mandado se tome conocimiento , lo que acredita tener un corazón noble y fiel</t>
  </si>
  <si>
    <t>Goethe</t>
  </si>
  <si>
    <t>entre el partido de Goethe y el de Kotzebue se sigue coja obstinación. Los poetas de la escuela de Mr. Goethe no componen mas que sonetos, tercetos y octavas; y en tpdo imitan las formas de la poesía italiana.y española. La escuela de Goethe se llama poética por excelencia; acusa á la esc</t>
  </si>
  <si>
    <t>Gofin, Pedro</t>
  </si>
  <si>
    <t>Pedro Gofin</t>
  </si>
  <si>
    <t>itos, de 10. vales de 150 pesos de 1800, y en id. de 2 de 150 de.1808, id.................. . 1083. D. Pedro Gofin, criado de la duquesa del Arco, id........roo* D. Luis Marcos Bocherini, presbítero, id................................... . 200. D. Francisco Alonso Fernandez , botillero, id....</t>
  </si>
  <si>
    <t>Gomenge, Juan Andrés</t>
  </si>
  <si>
    <t>Juan Andrés Gomenge</t>
  </si>
  <si>
    <t>. .................V Zaragoza.....* 300' •656 D.■-JosefLáínorv................ Madrid. r j o&lt;sr 667 D. Juan Andrés Gomenge............... Madrid....... 300 23 23 D. Pablo Josef de Loysaga................................. Cádiz......... 500 814 D. Manuel Ramírez.........................................</t>
  </si>
  <si>
    <t>Gómez Bafion, Pablo</t>
  </si>
  <si>
    <t>Pablo Gómez Bafion</t>
  </si>
  <si>
    <t>quisiere hacer postura lo executará por la escribanía que desempeña en dicha villa de Velez-Blañco D. Pablo Gómez Bafion. Por providencia de D. Josef Tagle y Velarde, juez comisionado regio en la ; diócesi de Sigtienza , se ha señalado el dia ió del presente para el remate de una casa-huerta fanegáá</t>
  </si>
  <si>
    <t>Gómez Capón, Pedro</t>
  </si>
  <si>
    <t>Pedro Gómez Capón</t>
  </si>
  <si>
    <t>nto á la cárcel de villa una cartera, que contenía varios papeles, 7 entre ellos la fe de muerto de D. Pedro Gómez Capón, presbítero, 7 unas tixeras 7 navaja de afeitar. Quien la ha7a encontrado se servirá entregarla en la hostería de la calle de los Tintes, junto á Puerta cerrada, donde darán mas s</t>
  </si>
  <si>
    <t>Gómez de Acedo, Lorenzo</t>
  </si>
  <si>
    <t>Lorenzo Gómez de Acedo</t>
  </si>
  <si>
    <t>dcs. Rs. vn. 533 D. Manuel Carnicero......................................... Madrid....... 500 780 D. Lorenzo Gómez de Acedo........................... Madrid....... 600 573 D. Manuel de Barajas......................................... Madrid....... 1000 1473 D. Tomas Martínez...........................</t>
  </si>
  <si>
    <t>Gómez de la Serna, Gaspar</t>
  </si>
  <si>
    <t>Gaspar Gómez de la Serna</t>
  </si>
  <si>
    <t>ndada por D. Carlos Montero, teniente coronel del regimiento de infantería de Soria; la segunda por D. Gaspar Gómez de la Serna, coronel del dé Granadaí y la tercera por el coronel D. Juan O-Donovan, comandante del tercer batallón del de Ultonia : llevaban la vanguardia los húsares al mando de su sargento</t>
  </si>
  <si>
    <t>al de campo D.; Gregorio; Laguna: la segunda al del coronel del regimiento de infantería de Granada D. Gaspar Gómez de la Serna: la tercera al de D. Carlos Montero, teniente coronel del regimiento de infantería de Soria: la quarta al de D. Bruno Barrera, coronel delsegundó de Sabóya.j estando esta y la ter</t>
  </si>
  <si>
    <t>Gómez de la Torre, Melchor</t>
  </si>
  <si>
    <t>Melchor Gómez de la Torre</t>
  </si>
  <si>
    <t>de Segovia. D. Manuel Medina, diputado id. D. Antonio Urandurraga, diputado del barrio de S.'Juan.-'D. Melchor Gómez de la Torre, diputado de t)oña María de Aragón. D. Francisco Villegas. D. Juan Francisco Molina* pretvbítero. D. Ignacio Guerra. D. Mam e) Ramos. D. Pedro Ezquerra, secretario de la diputació</t>
  </si>
  <si>
    <t>Gómez de Leis, Mateo</t>
  </si>
  <si>
    <t>Mateo Gómez de Leis</t>
  </si>
  <si>
    <t>onsulado de Cádiz se manda emplazar á quantosse consideren con derecho al concurso de acreedores de D. Mateo Gómez de Leis, para que en el preciso término perentorio de un año acudan ante el tribunal á formalizarlo con los documentos comprobantes; baxo la prevención de que pasado dicho plazo se cancel</t>
  </si>
  <si>
    <t>Gómez de Lugones, Miguel</t>
  </si>
  <si>
    <t>Miguel Gómez de Lugones</t>
  </si>
  <si>
    <t>e 5 de •junio se presentó en-su plaza, con otros sugetos de la primera nobleza de aquel vecindario, D. Miguel Gómez de Lugones, regidor perpetuo de la misma villa , y arengando breve, pero enérgicamente á los que le acompañaban, ofreció la capa de grana, que á la sazón tenia puesta, para que allí mismo se</t>
  </si>
  <si>
    <t>Gómez de Meneses, Manuel Alexo</t>
  </si>
  <si>
    <t>Manuel Alexo Gómez de Meneses</t>
  </si>
  <si>
    <t>de Duero en el mes de agosto próximo, quando se retiraron de esta corre, se extraviaron de casa de D. Manuel Alexo Gómez de Meneses, vecino de ella, entre otras cosas, 2 vales reales de 150 pésos de enero, núms. 143163 y 328566, con endoso á su fa\'or, firmados pqr los Sres. Ruiz de'Brízüela. hermanos, del com</t>
  </si>
  <si>
    <t>Gómez de Ostos, Juan</t>
  </si>
  <si>
    <t>Juan Gómez de Ostos</t>
  </si>
  <si>
    <t>to primero D. Pascual Blanco: en el de la Princesa compañías á los ayudantes, graduados de capitán, D. Juan Gómez de Ostos y D. Benito Panigo; ayudantías á los tenientes de granaderos D. Juan Montoya y D. Francisco los Cobos; tenencias á los subtenientes de granaderos D. Antonio Cano , D. Rafael Gutiérrez</t>
  </si>
  <si>
    <t>Gómez del Castillo, Diego</t>
  </si>
  <si>
    <t>Diego Gómez del Castillo</t>
  </si>
  <si>
    <t>arios, y y 6046 y 2$ mrs.&gt; en intereses de vales , id............................ ....... 7 576 2^í D. Diego Gómez del Castillo, id................ ........................... . 200. D. Agustín Jaime Andrés ,3® rs. en efectivo, y 1024 y 31 mrs. en boletas de carruage, id............................ .......</t>
  </si>
  <si>
    <t>Gómez Falcon, María</t>
  </si>
  <si>
    <t>María Gómez Falcon</t>
  </si>
  <si>
    <t>¿ id.................. .................................................................... 1001 3» Doña María Gómez Falcon, en libramientos contra la renta del Tabaco, id................... ..................... ............................................. 1200. Marías de Frutos, 20 rs. mensuales, po</t>
  </si>
  <si>
    <t>Gómez Ibáñez, Simón</t>
  </si>
  <si>
    <t>Simón Gómez Ibáñez</t>
  </si>
  <si>
    <t>e la colegial de Talayera, en el arzobispado de Toledo, que se hallaba vacante por fallecimiento de D. Simón Gómez Ibañez, á D. Martin Yanguas Vallejo. S. M. en consideración á los distinguidos servicios, conocimientos y demas circunstancias que concurren en el teniente general marques de la Romana,</t>
  </si>
  <si>
    <t>Gómez Lugones, Miguel</t>
  </si>
  <si>
    <t>Miguel Gómez Lugones</t>
  </si>
  <si>
    <t>; ., ; Para que fuese todo con Ja dirección y Buen gobierno que exigían las circunstancias, propuso D. Miguel Gómez Lugones á la junta se diese noticia de io executado al Excmo. Sr. D. Gregorio de la Cuesta, capitán general de Castilla la vieja; y accediendo aquella á tan. justa y acertada propuestaVc^</t>
  </si>
  <si>
    <t>Gómez Romero, Benito</t>
  </si>
  <si>
    <t>Benito Gómez Romero</t>
  </si>
  <si>
    <t>dedicado á S« M. el Rei! nuestro señor D. Fernando vusiendo Príncipe de Asturias, por el presbítero D. Benito Gómez Romero. Esta obra, miradá como una de las producciones mas sublimes é interesantes en su especie , y cuyo fondo es la pintura de la naturaleza; presenta.quatro grandes quadros igualmente</t>
  </si>
  <si>
    <t>Gómez Romero, Lorenzo</t>
  </si>
  <si>
    <t>Lorenzo Gómez Romero</t>
  </si>
  <si>
    <t>T35 CARTA DIRIGIDA A ESTA SUPREMA JUNTA POR su comisionado D• Lorenzo Gómez Romero, natural de Atoche, Presbítero. 2Vp si. Je Junio. Llegue á Oporto. No encontré al Excmo Sr. Conde de Maceda, que ya se había venido^ á Galicia con todas Jas tropas de España: de consiguien</t>
  </si>
  <si>
    <t>Gómez Roubeau, Rafael</t>
  </si>
  <si>
    <t>Rafael Gómez Roubeau</t>
  </si>
  <si>
    <t>a* Junta*, Juegos que haya* alguna ¿cantidad, consideráble. El factor dé* tabacos» dé aquella isla, D. Rafael Gómez Roubeau, ha¡ embarcado desde luego para España, y á disposición de esta Suprema Junta,, mas de 4* n millones de ljr</t>
  </si>
  <si>
    <t>Gómez Toledano, Francisco</t>
  </si>
  <si>
    <t>Francisco Gómez Toledano</t>
  </si>
  <si>
    <t>rsona que guste, servirse de él para los expresados fines., dexara las señas en la casa comercio de Don Francisco Gómez Toledano , calle de la Montera^.advirtiendo que .el Interesado tiene personas de carácter que .abonarán su conducta. ' •‘VJE'NTAá^’ ' ■ Í • -• . ; ’ En la cálle sin salida de Embaxadorés.,</t>
  </si>
  <si>
    <t>Gómez y Frías, Vicente</t>
  </si>
  <si>
    <t>Vicente Gómez y Frías</t>
  </si>
  <si>
    <t>.... 300 &lt;. 403 Doña Carlota Barric.......................................... Coruña....... 600 224 D. Vicente Gómez y Frías............................. Alicante...... 600 .1421 Matías y Juan Koops................................ ...... Málaga........ 300 146 D. Antonio Gutiérrez de Novales, coiner« ci</t>
  </si>
  <si>
    <t>Gómez, Diego Benito</t>
  </si>
  <si>
    <t>Diego Benito Gómez</t>
  </si>
  <si>
    <t>os............................................................................................ )6(. D. Diego Benito Gómez y D. Antonio Gómez, su hijo, por agosto á 2 rs. diarios................................................... 6l, Manuel Pastor, criadp .de un lavadero, por agosto á real diario. 3l* D.</t>
  </si>
  <si>
    <t>Gómez, Félix</t>
  </si>
  <si>
    <t>Félix Gómez</t>
  </si>
  <si>
    <t>dé V. E., reducidos todos á envolver y batir al general Dupont, se dispuso que el mariscal de campo D. Félix Gómez con la tercera división de su mando, y reforzado con parte de mi reserva, tomase la mañana del 15 los visos de Andujar, como felizmente se verificó. V. E. determinó sabiamente que</t>
  </si>
  <si>
    <t>Gómez, Félix Victoriano</t>
  </si>
  <si>
    <t>Félix Victoriano Gómez</t>
  </si>
  <si>
    <t>ián Viola , D. Juan Viola, D. Mauricio Xaplaneta, D. Pedro Nicolás Ximenez , D. Ventura Carbonell , D. Félix Victoriano Gómez, D. Juan Godoi, D. Juan Jorge, D. Juan Vicente Vandeli, Don Andrés Alvarez de Toledo, D. Manuel Gestal y Castro, D. Matías Cámara: á los tenientes del cuerpo de patriotas de la Un</t>
  </si>
  <si>
    <t>Gómez, Francisco</t>
  </si>
  <si>
    <t>Francisco Gómez</t>
  </si>
  <si>
    <t>...................... 22f8 23. D* Valentín Ignacio de Urquijo, del comercio, por una vez.... icoó. D. Francisco Gómez, i cuenta de 365 rs................ . 184. D. Miguel Baguer, interventor de la real fabrica de pan de munición, por una vez............................ ................ ..........</t>
  </si>
  <si>
    <t>Gómez, Gabriel</t>
  </si>
  <si>
    <t>Gabriel Gómez</t>
  </si>
  <si>
    <t>. 26542 14. D. Francisco Antonio González, id................................................ 1500. D. Gabriel Gómez , ayuda de gefe del ramillete de S. M., id... ico. Doña María Teresa Vázquez y su criada Doña Ramona Navarro, id.;..... ............................................ ..............</t>
  </si>
  <si>
    <t>Gómez, Gerónimo</t>
  </si>
  <si>
    <t>Gerónimo Gómez</t>
  </si>
  <si>
    <t>D. Isidoro García Plaza. En Jaén................ D. Ramón María Montoro. En L eon................. D. Gerónimo Gómez. En Malaga....... . D. Juan Ximeno. En Mahon............. Doña Catalina Germán y Hugalde. En Murcia............ Sres. Moreda y Ladalid. En Oviedo............. D. Manuel Rubiano y</t>
  </si>
  <si>
    <t>Gómez, Joaquín</t>
  </si>
  <si>
    <t>Joaquín Gómez</t>
  </si>
  <si>
    <t>e , 1© rs. por una. vez, y. 3 72 P°.r agosto á 12 rs. diarios ••*******•••*•*••••••••••!•••«•••••*« D. Joaquín Gómez ? oficial de la contaduría de pósitos, por agosto á 2 rs. diarios........... .................................................. 6ié D. Francisco deí Valle, del comercio de paños,</t>
  </si>
  <si>
    <t>Gómez, Juan</t>
  </si>
  <si>
    <t>Juan Gómez</t>
  </si>
  <si>
    <t>e Lodosa delante de una gran guardia de 40 caballosdel regimiento de Borbon, que mandaba el capitán D. Juan Gómez, quien despreciando la superioridad del número , y contando con Ja del valor de su tropa y con el suyo propio, atacó á los enemigos con la mayór valentía. La guerrilla del mismo c</t>
  </si>
  <si>
    <t>Sevilla 46</t>
  </si>
  <si>
    <t>ntaron delante de una gran guardia de 40. caballos del regimiento de Borbon, que mandaba el capitán D. Juan Gómez, quien acometió á los franceses con la mayor intrepidez, sin pararse en la superioridad del número. D. Pedro Loscertales con su guerrilla corrió al auxilio de esta gran guardia, y</t>
  </si>
  <si>
    <t>Gómez, Manuel</t>
  </si>
  <si>
    <t>Manuel Gómez</t>
  </si>
  <si>
    <t>siguieron, ocultando su resolución. Idem dragones de Almansa. Teniente D. Antonio Salgado; cirujano D. Manuel Gómez, en Altona: enfermos. Alférez D. Josef Perez; portaguión D. Diego Gamacho, en Mompeller, id. Idem de Villavkiosa. Capitán D. Luis Bouch; teniente D. Ventura Montero, en Langeland:</t>
  </si>
  <si>
    <t>Gómez, Miguel</t>
  </si>
  <si>
    <t>Miguel Gómez</t>
  </si>
  <si>
    <t>duación de coronel, la de teniente coronel á D. Manuel de Coca , y la de sargento mayor del mismo á D. Miguel Gómez, r Los-sucesos que ocurrieron con las trolpas francesas en algunas provincias,i yi;que dieron motivo á desarmarse; ni la proximidad'en que* aquellas esta-; ban de Alba, fue sufici</t>
  </si>
  <si>
    <t>o; añadiendo en él, seria mas completa su satisfacción si realizase la junta la propuesta hecha por D. Miguel Gómez al Excmo. Sr. capitán general de armar una compañía de garrocheros de á caballo , vestidos al uso del país: asi se efectuó, constando Ja compañía de 5 ó plazas, con sus respectivo</t>
  </si>
  <si>
    <t>Gómez, Pablo</t>
  </si>
  <si>
    <t>Pablo Gómez</t>
  </si>
  <si>
    <t>o, apreciado en 57$) r?. Quien quisiere hacer postura, lo executará por la escribanía que desempeña D. Pablo Gómez Da ñon. ; : . LIBROS. Reflexiones sobre.la naturaleza, escritas en aleman para todos los días dei año por el. célebre Mr. C. C. Stuvmdadas á luz- metódicamente en ii anees con el tít</t>
  </si>
  <si>
    <t>Gómez, Pedro Tomás</t>
  </si>
  <si>
    <t>Pedro Tomás Gómez</t>
  </si>
  <si>
    <t>....... Valencia....v 13 00 964 0. Valentín de. XJrí&gt;uegma.*.*«.«....v».í;» Madrid.....;.; 300 2149 D. Pedro Tomas Gómez, de -Carril,.....*........ Córuña....... 1000 2437 D. Ernesto Rittnageii.........;.....1.4....»;.......¿. Málaga...1.... 1000 569 D. Eusebio Perez Mozun..... ................... M</t>
  </si>
  <si>
    <t>Gómez, Ramón</t>
  </si>
  <si>
    <t>Ramón Gómez</t>
  </si>
  <si>
    <t>cree pasaron al exército de Aragón. El resto, compuesto del coronel D. Juan Rengel, sargento mayor D. Ramón Gómez, capitán D. Luis Aifaráz, tenientes D. Gerónimo Ríos , D. Marcos Arnaiz, D. Rafael León, subteniea</t>
  </si>
  <si>
    <t>Gómez, Tadeo Segundo</t>
  </si>
  <si>
    <t>Tadeo Segundo Gómez</t>
  </si>
  <si>
    <t>lo., D. Sancho de Llamas y D. Manuel de Echeverría.; los señores fiscales de él D. Josef de Ibarra, D. Tadeo Segundo Gómez y D. Manuel de Torres Cónsul, y el secretario de millones D. Ignacio de Rivas. VENTA. Habiéndose aprobada por el señor intendente de esta proxóncía el remate celebrado en 14 de julio</t>
  </si>
  <si>
    <t>ijo,,, id , 60.. B. Fulgencio Rubín de;,Celis,,.por agosto á 3 rs. diarios.,,..*....., r-:.' SS-.O. D. Tadeo Segundo Gómez, fiscal del consejo de Hacienda, por r 'X agosto y setiembre á 12 rs. diarios......................................... . , D. Leon Pablo Blanco ,. platero,, por 6 meses a 2 rs.- d</t>
  </si>
  <si>
    <t>Gongora Aguado</t>
  </si>
  <si>
    <t>iayorazgpyqi-; ya decisión pende de, saber el paradero de D. Francisco María de^Gongora Aguado, natural de la villa de; Céhegiñ, en el reino,¡de Murcia, y sol,^ájáó^dei .rp^imiep*», to de S.oria, que estuvo en esta corte por Jos, años de íjtpjk*-.¿e'- aplica:- á, quaíqpierá qúe sepa</t>
  </si>
  <si>
    <t>Gonzalen, Rafael</t>
  </si>
  <si>
    <t>Rafael Gonzalen</t>
  </si>
  <si>
    <t>ridí'..,Ci. 7(^oo * 1^ D. Josef González de Ribera,........V.............. Santander. 4. ($ 00 1737 D. Rafael Gonzalen............ ....i' Cádiz.1..,..... • ^d© 64 8 D. Josef Bueno.................. .................. ........ . Madrid...... 300 2204 D. Josef de Sugasti...................... ;.....</t>
  </si>
  <si>
    <t>González Álvarez, Bernardo</t>
  </si>
  <si>
    <t>Bernardo González Álvarez</t>
  </si>
  <si>
    <t>á 15 rs. mensuales, 30. D. Matías Cano, empleado en la fábrica de aguardientes, por una vez 300 rs. D. Bernardo González Alvarez, por una vez 640 rs. D. Matías Brieva, por una vez 100 rs. D. Mateo Ortiz de la Iglesia, por una vez jco rs, D. N. Taranco, 1© rs. D. N. Zámorano, 2© rs. D. N. Villanueva, 100 rs,</t>
  </si>
  <si>
    <t>González Arnao, Vicente</t>
  </si>
  <si>
    <t>Vicente González Arnao</t>
  </si>
  <si>
    <t>.. .................. 60. D. Baltasar Viguera, médico, 30 id. por 4 meses..................... 120. D. Vicente González Arnao, apoderado general del Rei de Erruria, en vales reales por una vez.......................................... 4585 fD. Matías Lizardi, oficial de diamantista, id...................</t>
  </si>
  <si>
    <t>empréstito de 160 millones. 4000. El R. P. prior y comunidad de S. Gerónimo de esta corte... 60C0. D. Vicente González Arnao en un vale de 150 pesos de enero, valor lntegro.de....................................... *................. ......... 2327... 28. D. Ignacio Salgado en un libramiento vencido de ré</t>
  </si>
  <si>
    <t>González Barreiro, Ángel</t>
  </si>
  <si>
    <t>Ángel González Barreiro</t>
  </si>
  <si>
    <t>cuentro con el trozo que se halla revocado , acuda á la secretaría de ayuntamiento al cargo del Sr. D. Angel González Barreiro a ,presentar sus proposiciones, que siendo arregladas Se admitirán, en el término de 15 dias contados desde esta fecha; cí*yinteligencia:de'quef.se ha de celebrar el remate el dia</t>
  </si>
  <si>
    <t>González Cal, Pedro</t>
  </si>
  <si>
    <t>Pedro González Cal</t>
  </si>
  <si>
    <t>iguel de García, su hija, por una vez**#•*■* V** *.#*•** . 200 Doña María Josefa de Luna., viuda de D. Pedro González Cal* 3 ■■</t>
  </si>
  <si>
    <t>González Cárrilld, Juan Antonio</t>
  </si>
  <si>
    <t>Juan Antonio González Cárrilld</t>
  </si>
  <si>
    <t>l duque del Infantado. = D. Benito Arias. =s T). Tomas; Moyano.rs D, Ignacio Martínez de VilleIa. = D. Juan Antonio González Cárrilld.rr Yo D. Bartolomé Muñoz, secretario del Rei nuestro Señor, y sii éscribaño de cámara, la hice escribir por su mandado con acuerdo de los de. su Consejo. = Registrada, D. Josef Al</t>
  </si>
  <si>
    <t>González de Cosío, Manuel</t>
  </si>
  <si>
    <t>Manuel González de Cosío</t>
  </si>
  <si>
    <t>e granaderos at de fusileros D. Ignacio Contreras; á capitán de fusileros al teniente de granaderos D. Manuel González de Cosío; á teniente de granaderos al de fusileros D. Domingo Malo; á tenientes al subteniente de granaderos D. Manuel Muñíz y al de fusileros D. Josef María Tapia; á subteniente de granad</t>
  </si>
  <si>
    <t>González de Guiral, Martín</t>
  </si>
  <si>
    <t>Martín González de Guiral</t>
  </si>
  <si>
    <t>e mérito. (Se continuara.) &gt; AVISOS. Habiendo fallecido en la villa de la Rambla, reino de Córdoba, D. Martin González de Guiral, presbítero, por cláusula de su testamento dexa por herederos del líquido de sus bienes raíces á sus sobrinos, hijos de D. Francisco, t&gt;. Manuel, Doña Domisila y Doña Bernardina,</t>
  </si>
  <si>
    <t>González de la Fuente, Juan</t>
  </si>
  <si>
    <t>Juan González de la Fuente</t>
  </si>
  <si>
    <t>!.... 500 2083 D. Dionisio Prendezgast.................................... Cádiz......... . 500 241 D. Juan González de la Fuente........... ............ Burgos........ 500 214 Sres. D. Juan Rusheu y compañía.................. Alicante...... 503 914 D. Manuel de Llano y compañía*........... ....... Madrid ..</t>
  </si>
  <si>
    <t>González de la Hoyuela, Antonio</t>
  </si>
  <si>
    <t>Antonio González de la Hoyuela</t>
  </si>
  <si>
    <t>onedo, é inquisidor del tribunal de esta ciudad; D. Josef Cortes y Barrientos, comisario de guerra; D. Antonio González de la Hoyuela y D. Juan Manuel Martínez, abogados de los reales Consejos; D. Josef Pantoja y D. Ramón Montiel, tenientes coroneles retirados; D. Josef González de ía Torre, capitán de exército; D.</t>
  </si>
  <si>
    <t>González de la Vega, Joaquín</t>
  </si>
  <si>
    <t>Joaquín González de la Vega</t>
  </si>
  <si>
    <t>2Í Francisco Perez, id.......................................................................... 8. D. Joaquín González de la Vega, catedrático de S. Isidro, id. 120. Doña Francisca López , sirviente , id................................................ IOO. Tomas Hernández, cucharero en la calle de Postas , i</t>
  </si>
  <si>
    <t>González de Lafuente, Juan</t>
  </si>
  <si>
    <t>Juan González de Lafuente</t>
  </si>
  <si>
    <t>ñía.... ... - Valencia...:. 3°o 789 D. Juan Bautista de Elajaga....f.V.. ... Madrid........ 500 279 D. Juan González de Lafuente....1 ... Burgos........ 3°° 2163 D. Miguel Escaxa...... ........... . ... Coruña....... 300 1179 .i Zaragoza..... 30 o 1308 ... 'Valencia.;... 600 2382 D. Narcisco; Alvarez- y ■ c</t>
  </si>
  <si>
    <t>.. ............... ............. Alicante 30a ■237 D. Roque Gallo...............Burgos.. 3:0.0 '240 D. Juan González de Lafuente,&gt;,........... ......... Burgos.. ‘3'°a 5 86 D. Antonio Freyse......... .................................... Madrid/....;, rooo 2047 D» Joaquin "Sánchez .Manan. ...............l. C</t>
  </si>
  <si>
    <t>González de Latorre, Juan</t>
  </si>
  <si>
    <t>Juan González de Latorre</t>
  </si>
  <si>
    <t>... 300 1988 D. Juan Lurbe...,............. ................................ Zaragoza..... 1500 231 D. Juan González de Latorre.......................... Burgos........ 600 166 D. Francisco Izquierdo Moneda....................... Valencia..... 300 155 D. Luis Gutiérrez de los Ríos..........................</t>
  </si>
  <si>
    <t>González de Llamas, Pedro</t>
  </si>
  <si>
    <t>Pedro González de Llamas</t>
  </si>
  <si>
    <t>rancisco Xavier Castaños. Las tropas del exército de Valencia y Murcia con su general el Excmo. Sr. D. Pedro González de Llamas, se apostaron en el paseo del Prado para reci* bir á los aguerridos campeones del exército de Andalucía.</t>
  </si>
  <si>
    <t>la división de Murcia en Alfaro 13 de octubre de 1808. =Excmo. Sr. = Luis de Villaba. = Excmo.-Sr. D. Pedro González de Llamas. Enterada ia suprema Junta del glorioso resultado de esta jornada , ha manifestado al Sr. Viilaba el justo aprecio que le han merecido sus acertadas disposiciones, el valor é intr</t>
  </si>
  <si>
    <t>aballería de línea y ligera; se ha servido S. M.- nombrar para la de infantería al teniente general D. Pedro González de Llamas, y para la de cabaileríaiai mariscal de campo é inspector de JU ligera D. Ra^on de,Vilial?</t>
  </si>
  <si>
    <t>D!/F rnnciscO de Égt&amp;a para Inspector general de infantería, por haber renufréiírdo el ExCÍviík Sr. D. Pedro González de Llamas, que había sido nombrado. .1 Fi Rei nuestro señor D. Fernando vii , y en su real nombre la Junta central suprema y gubernativa del. reinp, se ha servido nombrar capitán ge</t>
  </si>
  <si>
    <t>González de Lobera, Manuel</t>
  </si>
  <si>
    <t>Manuel González de Lobera</t>
  </si>
  <si>
    <t>.......... Madrid......... 300 1783 D. Josef González de Bernedo.............. Cádiz...... too 1900 D. Manuel González de Lobera.......... ....... ¿... Zaragoza..... 300</t>
  </si>
  <si>
    <t>............. 2000. D. Manuel de Yarritu , id................... ........... ................ 1000. D. Manuel González de Lobera, id.................. ............ 1000. D. Manuel Isidoro del Corral, id....................... ......... 2000. 0. Manuel Gil de Santiyañez................................ ......</t>
  </si>
  <si>
    <t>resentación Garridocolegiala en el dé Legaiiés 9 6¿ •; -' Dia &lt;T.- Doña María Mendipuetá 6 camisas; D, Manuel González de Lobera y compañía5 42‘ varas y mjtdj3 dé paño azül turqur veíntiquátréno. Doña P. G!1 A. a'CamisáS' JoséF^aeriá^z.'Ddñía JfEsía ElHret una^^Dqña-Maíría Francisca Vaz^üéz 6, Geronima María</t>
  </si>
  <si>
    <t>González de Santa Marta, Domingo</t>
  </si>
  <si>
    <t>Domingo González de Santa Marta</t>
  </si>
  <si>
    <t>....................... 1000. D. Estéban Carranzo, 20 rs. mensuales,por 2 meses................ 40. D. Domingo González de Santa Marta,io id.id......................... 20. D. Carlos Muñoz, 60 id. por un mes...................................... 60. D. Paulino Juan Fernandez, 2 rs. diarios, por 2 meses...........</t>
  </si>
  <si>
    <t>González de Zurbano, Miguel</t>
  </si>
  <si>
    <t>Miguel González de Zurbano</t>
  </si>
  <si>
    <t>ta. Doña J. M., id....:;........................................ .............................. 40. D. Miguel González de Zurbano, 20 rs. mensuales, por 5 meses. 100. D. Mariano S. Juan, 3081 rs. en vales reales y en intereses de esta moneda, por una vez, y 366 por 2 meses, á 6 diarios... "3447. D. F. T . ,</t>
  </si>
  <si>
    <t>González del Campo, Manuel</t>
  </si>
  <si>
    <t>Manuel González del Campo</t>
  </si>
  <si>
    <t>...... .. Barcelona. 300 584 D. Isidro de Ponte y Andrade............ ....... Coruña....... 300 804 D. Manuel González del Campo......... ............ Madrid....... 300 486 D. Francisco Xavier de Laviesca.................... Bilbao........ 500 2453 D. Hilario Ximenez......................... ........ Zarago</t>
  </si>
  <si>
    <t>González Earreiro, Ángel</t>
  </si>
  <si>
    <t>Ángel González Earreiro</t>
  </si>
  <si>
    <t>de Madridllamadas de dia y noche, acuda á la secretaría de ayuntamiento de esta villa del cargo de D. Angel González Earreiro á presentar sus proposiciones en el término de 15 dias contados desde el 4 del presente, que se admitirán las posturas que se hicieren en porciones pequeñas por lo ¡respectivo á l</t>
  </si>
  <si>
    <t>González Llamas, Pedro</t>
  </si>
  <si>
    <t>Pedro González Llamas</t>
  </si>
  <si>
    <t>on en esta corte 8© hombres del exéreito de Valencia y Murcia, con su capitán general el Excmo. Sr. D. Pedro González Llamas, que se adelantó á sus tropas y fue aí santuario de nuestra Señora de Atocha á dar gracias al Dios de las batallas por los beneficios que había dispensado á su exéreito y á toda l</t>
  </si>
  <si>
    <t>............ D. Fernando Echepare y sobrinos* En Quadalaxara. D. Isidro García Plaza. El Excmo. Sr. D. Pedro González Llamas, general en gefe del exército de defensa de Valencia y Murcia que se halla en esta corte, dirigid á las tropas de su mando antes de llegar á ella la siguiente proclama: Orden del</t>
  </si>
  <si>
    <t>gubernativa del reino ha recibido el parte que el mariscal de campo D. Luis Villaba dio al general D. Pedro González Llamas , que es el siguiente: Excmo. Sr.: A mi llegada á este punto el 7 del actual me comunico, entre otras cosas, mi segundo el brigadier D. Gerónimo Moreno haber tratado con V. E. sob</t>
  </si>
  <si>
    <t>González Montaos, Manuel Gaspar</t>
  </si>
  <si>
    <t>Manuel Gaspar González Montaos</t>
  </si>
  <si>
    <t>............... 600. Francisco de Paula Kramer, maestro sastre, id............................ 320. D. Manuel Gaspar González Montaos, diputado del Común, id. 6000. Doña Lucía Orrea, id................................ .................................. 120. Jacinto Majolero, maestro peluquero, á cuenta de 300 rs</t>
  </si>
  <si>
    <t>González Peral, Manuel</t>
  </si>
  <si>
    <t>Manuel González Peral</t>
  </si>
  <si>
    <t>Vallecas 10. D. Josef Benitez 6. Doña Gertrudis Padella de Cano una. Doña María Ricarte 2. Día 27. D. Manuel González Peral 2 camisas. Una señora viuda de un militar 2. Doña María del Rosario Alarcon 2. D. Diego Alarcon 4. Doña María Teresa Fernandez Delgado 3. Doña Agustina Martin 2. Doña Teresa López</t>
  </si>
  <si>
    <t>González Pérez, Juan</t>
  </si>
  <si>
    <t>Juan González Pérez</t>
  </si>
  <si>
    <t>...... ........... 2451 i8. D. Ped ro Regalado Moreno , cura párroco de Getafe, id......... . 1787. D. Juan González Perez, oficial de ia .secretaría de, Gracia y /. Justicia , en -intereses de 'Vitalicio, y pico..en efectivo* foco. El marques defVrillafráñcay 50^, rs¿.mensuales, .por un mes..,..,i 50</t>
  </si>
  <si>
    <t>González Piñuela, Manuel</t>
  </si>
  <si>
    <t>Manuel González Piñuela</t>
  </si>
  <si>
    <t>Madrid 146 (supl.)</t>
  </si>
  <si>
    <t>Manuel Gili ‘Re inoso. = Por acuerdo de la M. N. y M. L. ciudad de Valladolid, Manuel González Piñuela, secretario. =Sermo. Sr. conde de Floridablaiica. La junta de gobierno de la villa de Fuente de Cardes en Extremadura , con fecha de 30 de octubre expone , que desde principios de mayo remiti</t>
  </si>
  <si>
    <t>González Pola, Felipe</t>
  </si>
  <si>
    <t>Felipe González Pola</t>
  </si>
  <si>
    <t>exemplo de beneficencia y liberalidad. Carta dirigida d los señores D. Manuel Benito de Cauné do, y D. Felipe González Pola, sobrino, del comercio y matrícula de este real consulado de la Coruña. Mui señores míos : Serán vds. servidos tener y entregar en mi nombre rs^. vn. 45,176,^17 mrs. á la suprema</t>
  </si>
  <si>
    <t>González Robles, Pedro</t>
  </si>
  <si>
    <t>Pedro González Robles</t>
  </si>
  <si>
    <t>z:.:....... 20co. Manuel Galbe, casullero, por una vez..................................... 200. Vi D. Pedro González Robles , agertte'de negocios........... ............. 120. D. Manuel Aibuerne, grabador, mensualqiente.^.................... 30. D. Antonio de Gimbernat, cirnjano de cámara, á cuenta de</t>
  </si>
  <si>
    <t>González Rodríguez, Manuel</t>
  </si>
  <si>
    <t>Manuel González Rodríguez</t>
  </si>
  <si>
    <t>ias; D. Nicolás Nicol y Josipf González, por el gremio de menuderos; D; Francisco Galvez de Quirós, D. Manuel González Rodríguez, D. Pedro Gorron de Cisneros, D. Manuel Ramos Zafra, D. Angel de Sata y Zubiria, D. Manuel de Negueruela, D. Andrés de Larreta y D. Joaquín de Romaña; D. Diego García de Millar, M</t>
  </si>
  <si>
    <t>González Saez, Julián</t>
  </si>
  <si>
    <t>Julián González Saez</t>
  </si>
  <si>
    <t>la audiencia-del señor jiiez comisionado I). Torquato Antonio Cólladoy ante el escribano del número D. Julián González Saez. ‘?t Quien quisiere hacer postura á una casa sita en la callé de las Platerías de esta corte, núm. 7, manz. 417, tasada en-66,588 rs., acuda ante el Sr D. Mariano Alonso, alcalde</t>
  </si>
  <si>
    <t>Sr&gt; D. Torquato Antonio Colladoj teniente corregidor de esta villa, ante el escribano del nííniérb D. Julián González Saez. , ; •, ... . . . T Por providencia de ÍX XüisBermudcz' de Castró ,, subdelegado ;cn éjL‘departa^ xnentb.de Tebra y la Guardia enr lás diócesis de1 Tui;yr Orense-, se* ha áeñálaáó</t>
  </si>
  <si>
    <t>el Sr. D. Torquato Antonio Collado, teniente corregidor de esta villa, ante el escribano del número Don Julián González Saez, AVISOS. El dia 24 de marzo último se entregó en la ciudad de Zaragoza por D. Juan Casaus, oficial de aquella contaduría de exército, á Luis Andrea, ordinario de Castejon de las A</t>
  </si>
  <si>
    <t>a, 3 2b rs. tir. por «na vez,y iéó-mVfl§uató.1.aÍfí¡.^..'.í¿.A.^Í.v.y.Íi.'.¿w.;;;..;ii...V'-‘ : j/T D. Julián González Saez, escribano del numeró',' por agosto á 60 rs * mens ^ales.¿¿¿¿... a........ .-. ^q. ..Antonio Tomas-Dieguezyoficiál de la pagaduría de Juros, )de(Tl J. a. • bViV.'.'.'.i. ... . . .</t>
  </si>
  <si>
    <t>González Salmón, Manuel</t>
  </si>
  <si>
    <t>Manuel González Salmón</t>
  </si>
  <si>
    <t>2. \ ' dicho de paño negror un par de D. Santos Sánchez Molero 2. medias botas nuevas , y un par de D. Manuel González Salmón 6. calzones. ■ Doña Isabel Perez de Cifuentes 12. D; Josef Navarro' y Márcos 6 ca­ D. Zacarías Velázquez 2 y 6 pares misas. '■ ■ . /: de calcetas; ‘^ ^ • Doña Ignacia Vellido 12;</t>
  </si>
  <si>
    <t>González Toraño, Juan</t>
  </si>
  <si>
    <t>Juan González Toraño</t>
  </si>
  <si>
    <t>........ ................. 160. D. Joaquin Hernández Llano, corredor de cambios, por una vez. 4000. D. Juan González Toraño, por una vez.....................t................... 32°. D. Pedro Texedor, oficial de la contaduría de juros, por una vez. 2CO. D. Pedro Fernandez de Cañaveral, por una vez.....</t>
  </si>
  <si>
    <t>González Vallejo, Felipe</t>
  </si>
  <si>
    <t>Felipe González Vallejo</t>
  </si>
  <si>
    <t>uel Fernandez del Burgo. = Sr. D. Josef Antonio de Bor ja. =sSr.D. Vicente Aguí lar y Jurado.,=:Sr. D. Felipe González Vallejo.=Sr. D. Juan Ibañez de la Rentería.=Sr. í). Esteban Antonio de Orellana. =rSr. D. Miguel Munarriz.=:Sr. D. Guillelmo de Vargas. Sr. D. Juan Josef Polo. = Sr. D. Josef Joaquin Mart</t>
  </si>
  <si>
    <t>González Viejo, Antonio</t>
  </si>
  <si>
    <t>Antonio González Viejo</t>
  </si>
  <si>
    <t>d........ 000 1707 D. Juan Manuel de Peralta....,......................... Cádiz.......... 500 2150 D. Antonio González Viejo.............................. Coruña........ 600 Se continuará.</t>
  </si>
  <si>
    <t>González Villamil, Antonio</t>
  </si>
  <si>
    <t>Antonio González Villamil</t>
  </si>
  <si>
    <t>do de Toledo, de 25 años. Tercera clase. Premios primeros. Medallas de plata de $ onzas. Pintura: á D. Antonio González Villamil, de Madridj de1 18 años. Escultura: á D. Josef Giorgi........ de id., de 21 años. Arquitectura : á D. Manuel Sánchez, dePalencia, de 2# años. Premios segundos. Medallas de plata d</t>
  </si>
  <si>
    <t>González Yebra, Antonio</t>
  </si>
  <si>
    <t>Antonio González Yebra</t>
  </si>
  <si>
    <t>es que formaban la junta, á otros ocho, que son D. Gonzalo Josef de Vilches, D. Antonio Villanueva, D. Antonio González Yebra, el marques de Casa García, D. Andrés Lasauca, D. Antonio Alvares Contreras, D, Miguel Alfonso Vilagómez, del propio conseje*</t>
  </si>
  <si>
    <t>obernador interino del consejo; los limos. Sres. D. Gonzalo Josefde Vilches, D. Antonio Villanueva, D. Antonio González Yebra , y los Sres. marques de Casa^García, D. Eugenio Manuel Alvarez Caballero, D. Sebastian de Torres, D. Domingo Fernandez Campomanes, D. Andres Lasauca, D. Antonio Alvarez de Contre</t>
  </si>
  <si>
    <t>González, Agustín</t>
  </si>
  <si>
    <t>Agustín González</t>
  </si>
  <si>
    <t>lencia..... 500 822 Conde de Montefuerte.................................... Madrid....... 500 2055 D. Agustín González.......................................... Cádiz.......... 500 2313 D. Domingo de la Piedra y Angulo............... Cádiz........... 300 1829 D. Pedro Bezares......................</t>
  </si>
  <si>
    <t>González, Ángel</t>
  </si>
  <si>
    <t>Ángel González</t>
  </si>
  <si>
    <t>o t sábanas, un corregidor de esta villa,'una silla capote, una casaca y una manta. nueva completa. D. Angel González 3 eamisas. El marques de Campo-Villar 12 caD, Antonio Martínez Alonso 2. misas. D. Clemente Reguero 6.' D. T. A. O. 28 varas de lienzo. La Alcaldesa de la cárcel de la Co? D. Dieg</t>
  </si>
  <si>
    <t>González, Antonio</t>
  </si>
  <si>
    <t>Antonio González</t>
  </si>
  <si>
    <t>de mayo, núms, 445117, 471550, 478118, 478648,479725 y 484771, y/i' renovados por su legítimo dueño D. Antonio González, sin endoso alguno; como asimismo el recibo de intereses de ios mismos vales, importante 1083 rs.; y habiéndose extraviado, quien supiere su paradero se servirá avisar al expresad</t>
  </si>
  <si>
    <t>orredor de cambios, 4® rs. en efectivo y 10$ en dos ereotos de tesorería, por una vez....... 14000. D. Antonio González, dorador, por agosto á 20 rs. mensua~ les................. ....... ........................ ............. ................. ........... . 2FO. D. Franeisco López Moya, oficial de</t>
  </si>
  <si>
    <t>González, Bartolomé</t>
  </si>
  <si>
    <t>Bartolomé González</t>
  </si>
  <si>
    <t>A., id....................................................................................... 1000. D. Bartolomé González, id................ ............................................ . 20. D. Antonio Batanero, id................................................ .................. 20. D. C. H., id.</t>
  </si>
  <si>
    <t>González, Diego Benigno</t>
  </si>
  <si>
    <t>Diego Benigno González</t>
  </si>
  <si>
    <t>a ante el Sr. D. León de Sagasta, teniente corregidor de esta villa,por la escribanía del número de D. Diego Benigno González; en inteligencia que no presentándose otro conipíador, sin mas aviso se llevará á efecto é'l Referido remate, • - • -r " V ' - " . \ ■ avisos. 1 Y’:' J Por providencia del Sr. D.</t>
  </si>
  <si>
    <t>. 25, manz. 417, tasado en 18,154^ rs. Quien quisiere comprarle acuda á la escribanía del número de D. Diego Benigno González dentro de 30 dias, contados desde 25 de enero último. AVISOS. Se previene á los portadores de letras de cambio tiradas en Eeverley porD. Isfael Thorndike á cargo de D. Juan Leonard,</t>
  </si>
  <si>
    <t>sa posada del Sr, D, León de Sagasta, teniente corregidor de esta villa, á Jas 9 de Ja mañana, ante D. Diego Benigno González, escribano del número; advertidos que á los que no asistan les parará el perjuicio que haya lugar. Por providencia qel tribunal del consulado de Cádiz, y escribanía de D, Melchor</t>
  </si>
  <si>
    <t>r. D. Torquato Antonio Collado, teniente corregidor de esta villa, por la escribanía *del numero de D. Diego Benigno González, á exponer lo que se les ofrezca en razón de los expresados sobrantes ; con apercibimiento de que pasad® sin. haber ocurrido* siñ mas citación ni emplazamiento, se procederá á sus</t>
  </si>
  <si>
    <t>González, Domingo</t>
  </si>
  <si>
    <t>Domingo González</t>
  </si>
  <si>
    <t>rcelona.... 600 1042 D. Manuel de Goycoechea................................ Madrid........ 500 848 D. Domingo González........................................ Madrid........ 600 1844 D. Gerónimo Alvaro.......................................... Zaragoza..... 30a 190) D. Marcelo de San Román........</t>
  </si>
  <si>
    <t>González, Francisco Antonio</t>
  </si>
  <si>
    <t>Francisco Antonio González</t>
  </si>
  <si>
    <t>anuales.................................. ....... .................. ...................... ‘ 300. D. Francisco Antonio González, 10 rs. mensuales, por 6 meses. 60. D. Francisco Velasco., 30 id. por agosto .v.................................... 30* D. Manuel Ortiz.de Velasco, .capellán .y cura castrense de</t>
  </si>
  <si>
    <t>id...................................................................................... 26542 14. D. Francisco Antonio González, id................................................ 1500. D. Gabriel Gómez , ayuda de gefe del ramillete de S. M., id... ico. Doña María Teresa Vázquez y su criada Doña Ramona Nav</t>
  </si>
  <si>
    <t>González, Joaquín</t>
  </si>
  <si>
    <t>Joaquín González</t>
  </si>
  <si>
    <t>preclso de dias, qué empezarán á correr ¡desde 28 de junio último, por la, escribanía del numero de D. Joaquín González de^Castr.o,: con*apercionniento de qpe pasado dicho termino sin haber comparecido, les parara el perjuicio que ha* ya, Lugar. », / ;•&gt; - ■- ' ■ • . r. . í-.—,- * A '.h ;' i ■i .. ■'</t>
  </si>
  <si>
    <t>González, Juan</t>
  </si>
  <si>
    <t>Juan González</t>
  </si>
  <si>
    <t>:.............. . . .... 50. D, Alexandro Berges y celador del alumbrado i 2Ó id,; por 2 meses. 40. D. Juan González, 20 id.por 6meses.................. 120. D, Félix Josef Martínez y portertydel consejo de Marina , 20 id. por agosto.......................................... .................. .</t>
  </si>
  <si>
    <t>González, Juan Antonio</t>
  </si>
  <si>
    <t>Juan Antonio González</t>
  </si>
  <si>
    <t>de Es­ pondiente; en la qual se prevendrá también trada. que en los libros de ayuntamiento se copie D. Juan Antonio González este auto, tildándose el asiento de proclamaCarrillo. ción de Josef 1 en los pueblos donde se haya D. Juan AntonioTnguanzo. executado, y qualquiera nota puesta en ellos D. Alfonso D</t>
  </si>
  <si>
    <t>González, Juan Miguel</t>
  </si>
  <si>
    <t>Juan Miguel González</t>
  </si>
  <si>
    <t>Henares.......................................... I D. Andrés Raboso, id........................ 1 D. Juan Miguel González, vecino de Ajalvir....................................... i D. Roque García Maganto................. 1 I ' X D. Juan Josef Perez, vecino de Fuente el Saz..........................</t>
  </si>
  <si>
    <t>González, Juliana</t>
  </si>
  <si>
    <t>Juliana González</t>
  </si>
  <si>
    <t>................................................... .................... .................. . 269». Doña Juliana González, viuda, y sus hijas Doña María, Doña Manuela y Doña Eugenia Ximenez y González, id............. . 600. Miguel del Rei, botillero, id...............................................</t>
  </si>
  <si>
    <t>González, Lorenzo</t>
  </si>
  <si>
    <t>Lorenzo González</t>
  </si>
  <si>
    <t>».........................iooo. D. Gil Antonio Laguna, procurador de villa, por una vez...... 200O. D. Lorenzo González, portero de la secretaría de Gracia y Justicia, por una vez...;..»............ *..... «.«...............»».;»»».» 160., D. Juan Ramón Ozta* y Errazu, abogado y poruña vez.»»»..».</t>
  </si>
  <si>
    <t>González, Manuel</t>
  </si>
  <si>
    <t>Manuel González</t>
  </si>
  <si>
    <t>- Alfonso de la Guardia. Cádiz.:.**!.... 600 I067 Sres* Gil y }3enisia.1 ih^adrid.*..**»" 5©P 1712 D. Manuel González. ................... ....*. Cádiz.:.*...*.*. 300 920 D. Bartolomé de Anivarro............................ . Madrid!...*!. ifód 2398 D. Pedro Bernardo de Lapeña.............. .....</t>
  </si>
  <si>
    <t>vez....................................................................................... . 26000. D. Manuel González, tratante en pescados, pór úna vez:.:....... 20co. Manuel Galbe, casullero, por una vez..................................... 200. Vi D. Pedro González Robles , agertte'de negocios</t>
  </si>
  <si>
    <t>.*............... 90. D. Gerónimo Rodríguez, pintor, 30 id. id...,...,........ ................ 30. D. Manuel González, 20 id. id........... ............20.</t>
  </si>
  <si>
    <t>una silla para caballo y i Dtejiiín «Matméi Lopéz-una. sables. r: D. Juan Colomer y Girald 2. * '•* D. Manuel González dé 'Lobera y. Doña Juliana Barraficd y pares de caL* compañía 36 camisas. : .. ¡ srdqtasl' í-r;? - \ • •• Doña Cecilia Simancas tina. - : rBb Juan Ahtopk) de Urraza 6 camisas. D. Gre</t>
  </si>
  <si>
    <t>González, María</t>
  </si>
  <si>
    <t>María González</t>
  </si>
  <si>
    <t>a Éscauya y 0oña Rita Varas 7 libras y medía de hilas. 0. Rafael Acosta 3. 0. Antonio Villascñor 2. Doña María González 2. Las monjas de Sta. Catalina 2. Doña María Colchero 2. Doña Encarnación Latís 2. 0. Manuel López 1. Las monjas de la Encarnación 4. El conde Galvez 3. 0. Diego Erran 1. 0. Simón</t>
  </si>
  <si>
    <t>González, Matías Ángel</t>
  </si>
  <si>
    <t>Matías Ángel González</t>
  </si>
  <si>
    <t>de 360 rs. por una-vez.................... ............ .............................. ....... 60. D. Matías Angel González, oficial jubilado de la tesorería general,por una vez....................................... ;■ 100. Doña María Josefa González, ,vinda, por una vez.................. 20. D. Franc</t>
  </si>
  <si>
    <t>González, Miguel</t>
  </si>
  <si>
    <t>Miguel González</t>
  </si>
  <si>
    <t>id. por agosto.............................................. .............................. . 120. D. Miguel González, 12 id. id...................................................... 12. D. Pablo Infante, 100 id. por 2 meses.................. ............... 200. Manuel Perez, oficial de confitér</t>
  </si>
  <si>
    <t>González, Pablo</t>
  </si>
  <si>
    <t>Pablo González</t>
  </si>
  <si>
    <t>......... 500* D. Francisco de Ugarte , por una vez............................................ 80. D. Pablo González, empleado en la lotería................................... 60* D. Juan Crisóstomo Santander, relator del consejo de Castilla, por una vez..........................................</t>
  </si>
  <si>
    <t>González, Santiago</t>
  </si>
  <si>
    <t>Santiago González</t>
  </si>
  <si>
    <t>......................... 10r. D. Antonio Barra, criado de S. M., por 3 meses á 2 rs. diarios. 184. D. Santiago González, maestro abaniquero, por 3 meses á un real diario.............i....,..*..........».....*.*»,.................................. 92. Domingo Rodríguez, almacenista de carbón, por 3</t>
  </si>
  <si>
    <t>ntinúan los donativos y ofertas voluntarias que constan en el banco nacional de S. Carlos, R*. MfS. D. Santiago González * ayuda de Furriera de $. M., y su muger Doña Ines González, 500 rs. par una vez,, y 6 diarios, por 3 meses.................................................... ...................</t>
  </si>
  <si>
    <t>González, Vicente</t>
  </si>
  <si>
    <t>Vicente González</t>
  </si>
  <si>
    <t>lencia..... 300 1108 D. Francisco Hermoso Daza.......:.................. . Madrid....... . 300 2349 D. Vicente González......................................... Zaragoza..... 300 609 D. Santiago Neviet........................................ . Madrid........ 000 541 D. Esteban Fernandez de León....</t>
  </si>
  <si>
    <t>ses. 40. Antonio González, 12 id. i{i............................................... .......... 24. D. Vicente González, 60 id. por agosto..................................... 6 o. D. Mariano Falco , 20 id. por 2 meses......................................... 40. D. Antonio Mendez, 20 id. por agost</t>
  </si>
  <si>
    <t>González, Xavier</t>
  </si>
  <si>
    <t>Xavier González</t>
  </si>
  <si>
    <t>ada D. Juan López. S. M. se ha servido conceder tenencia en el regimiento de dragones de la Reina i D. Xavier González ; y en el de Almansa empleo de portaguión al cadete D. Antonio Baeza. El dia i .° de febrero á las 3 de la tarde se dará principio al curso de taquigrafía, 6 del arte de escribir</t>
  </si>
  <si>
    <t>González- Azaola, Gregorio</t>
  </si>
  <si>
    <t>Gregorio González- Azaola</t>
  </si>
  <si>
    <t>actual de la química se considérá entre los sabias como la mas completa y. metódica, sé traduce por D. Gregorio González- Azaola , y se imprime de cuenta de S. M. en la imprenta real á beneficio de los qué se dedican ah estudio de las ciencias naturales. El tomo 9.a está mui adelantado , y el io.° y último</t>
  </si>
  <si>
    <t>Gonzálezoficial, Francisco</t>
  </si>
  <si>
    <t>Francisco Gonzálezoficial</t>
  </si>
  <si>
    <t>e C. j id............................. ................................... .................. IICQ. D. Francisco Gonzálezoficial de lá*dirección dé Temporalidades, 61 rs. por agosto )■' setiembre a un real diario, y 270 y 25 mrs. en intereses de vales reales de i8co, id..........*.......... 331 25. p, Angel Ma</t>
  </si>
  <si>
    <t>Gonzalo-Q-Earrill</t>
  </si>
  <si>
    <t>reino. Dios guarde á V. E. muchos años. Bayona 20 de junia de i8o8.s=Miguel Josef de Azanza. = Sr. D. Gonzalo-Q-Earrill.” ■ ■■ . ,• ■ V? -yw-'- •: ■».■{. ■ v ^ -■ .-y • En el consejo pleno extraordinario de hoi se han publicado la real orden y decreto deI tenor siguiente: , „ limo. Sr. Ei OÍ. Migue</t>
  </si>
  <si>
    <t>Gorras, Pedro</t>
  </si>
  <si>
    <t>Pedro Gorras</t>
  </si>
  <si>
    <t>...... 1000 2001 D. Santiago Caharroy...... ...... ............. .......... Cádiz.......... 600 774 D. Pedro Gorras.............. ......... .......... .......... Madrid........ 3o o 802 D.'Carlos Simón Pon tero y sobrino............... Madrid........ 500 646 D. Ramón García Ximenez.............</t>
  </si>
  <si>
    <t>Gorreni, Gerónimo</t>
  </si>
  <si>
    <t>Gerónimo Gorreni</t>
  </si>
  <si>
    <t>suales....................................................... .......... ...... .............. loo. D. Gerónimo Gorreni, platero de oro, por agosto á 40 rs. mensuales............. .......................................................................... 40. D; Juan Caciatori, por agosto á 20 rs. m</t>
  </si>
  <si>
    <t>Gorrines, Ignacio</t>
  </si>
  <si>
    <t>Ignacio Gorrines</t>
  </si>
  <si>
    <t>nto de Guadalaxara ha seguido á la división el capitán de granaderos D. Ramón de Loya , el teniente D. Ignacio Gorrines, y 120 hombres que se hallaban prontos en Fionia para pasar á reunirse con su cuerpo en la isU de Zelanda ,, y que coa éste motivo fue posible el- proporcionar sü? embarco; La tro</t>
  </si>
  <si>
    <t>Gorriz, Juan</t>
  </si>
  <si>
    <t>Juan Gorriz</t>
  </si>
  <si>
    <t>anuel Saliquet, en Hamburgo: para el citado convite. Real cuerpo de artillería. Comisario de guerra D. Juan Gorriz, en Hamburgo: con licencia. Teniente D. Rafael Riesch, en id.: para él citado convite. Subteniente D. Josef Zacares: fue á llevar pliegos á los cuerpos del Jutland para que se uni</t>
  </si>
  <si>
    <t>Gorron de Cisneros, Pedro</t>
  </si>
  <si>
    <t>Pedro Gorron de Cisneros</t>
  </si>
  <si>
    <t>González, por el gremio de menuderos; D; Francisco Galvez de Quirós, D. Manuel González Rodríguez, D. Pedro Gorron de Cisneros, D. Manuel Ramos Zafra, D. Angel de Sata y Zubiria, D. Manuel de Negueruela, D. Andrés de Larreta y D. Joaquín de Romaña; D. Diego García de Millar, Manuel Alonso Gómez, del gremi</t>
  </si>
  <si>
    <t>ados los señores siguientes: Vecinos honrados. D. Nicolás García Caballero. D. Esteban de la Torre. D. Pedro Gorron de Cisneros. Apoderados de los gremios menores. D. Eugenio Diaz. Manuel de la Viuda. D. Miguel Martínez. Francisco Perez. Hoi al medio día una diputación de la villa de Madrid ha sido present</t>
  </si>
  <si>
    <t>Gorrondona, Ramón</t>
  </si>
  <si>
    <t>Ramón Gorrondona</t>
  </si>
  <si>
    <t>banas. A los tenientes de dichas milicias D. Juan de Viatica, D. Antonio Echavarri, D. Josef Rivas, D. Ramón Gorrondona, D. Juan Bastarte, D. Antonio Zavala , D. Francisco'Baldrich , D. Eugenio de Iturraga, Don Basilio Viola, D. Julián Viola , D. Juan Viola, D. Mauricio Xaplaneta, D. Pedro Nicolás</t>
  </si>
  <si>
    <t>Gorvea</t>
  </si>
  <si>
    <t>z,,’;3®®' ^^2 n. Ali^iijel *d]e ^clurn».whv&gt;^.‘.v»í¿• «i,*,&lt;.• 1.»í*í"»í.'Mídníí &lt;i• •&gt;.• i 3^® ¿41 D. Gorvea.^—/Zaragoza/..;.» 5©o 2101 D, DePpoldd/de ,S. Vicente, y GodoyCoruña .;...... 300 787 D.• JuanMá*ueLd.e Gandauqui.............. /Madrid$Q$ 2j£o D- Jdsef Arias Carvajal............</t>
  </si>
  <si>
    <t>Gossens, Pedró</t>
  </si>
  <si>
    <t>Pedró Gossens</t>
  </si>
  <si>
    <t>ientes: del citado real» cuerpo á’lós treinta chbáliéros. cadetes: de ñu-i mero y supernumerarios** D. Pedró Gossens \ y Ponías - dé León?, ¡D;-- Miguel,Coca y Sandoval, D. Rafael ~ — sef Fernandez Peñaranda y D . Juan Ponce, de Leony Tc__ r , _ . i: . ¡ ^ qñiñ Fernandez Catada y Opilantes, Alon</t>
  </si>
  <si>
    <t>Gotti, Pedro</t>
  </si>
  <si>
    <t>Pedro Gotti</t>
  </si>
  <si>
    <t>te del tercer batallón del de Málaga D. Alonso Rodríguez Valdés; compañía al teniente dé granaderos D. Pedro Gotti; tenencia al subteniente de granaderos D. Raimundo Girona, y subtenencia de bandera al sargento primero D. Pascual Blanco: en el de la Princesa compañías á los ayudantes, graduado</t>
  </si>
  <si>
    <t>Gousin, Martín</t>
  </si>
  <si>
    <t>Martín Gousin</t>
  </si>
  <si>
    <t>............ 10. D. Francisco Arévalo, mensualmente...................... .............. *■•••• 10. D. Martin Gousin, oficial de libros de la Inclusa, por 4 meses á 40 rs. cada mes......................i............................................ 160. D. Francisco Criado, corredor, 1® rs. por u</t>
  </si>
  <si>
    <t>Goya, Francisco</t>
  </si>
  <si>
    <t>Francisco Goya</t>
  </si>
  <si>
    <t>as al objeto de aquel dia: la de enmedio, hecha por E&gt;. Antonio Julia baxo la dirección del célebre D. Francisco Goya, representaba la fidelidad, y en segundo término un indio y una india peruanos, para indicar quesera la fidelidad limeña la que en un mflladon tenia en su mano el retrato de nuest</t>
  </si>
  <si>
    <t>Goyá, Francisco</t>
  </si>
  <si>
    <t>Francisco Goyá</t>
  </si>
  <si>
    <t>uger 70 varas de lienzo. bífero, 3. Doña M; A. A. B. G. 8 camisas y D. J. Y. 2: 56 varas de lienzo. D. Francisco Goyá 21 varas de lienzo; D. L . 2. camisas. Doña Andrea Luna 4 camisas. D. B. S. una. D. Joaquín García 2. D. Miguel Herrero 2. El convento de religiosas de S. FerD. Joaquín Lemaire y</t>
  </si>
  <si>
    <t>Goycoechea, Jüán Bautista</t>
  </si>
  <si>
    <t>Jüán Bautista Goycoechea</t>
  </si>
  <si>
    <t>........ 500 1091 D. Pedro dél Rio»» ...................................... . Madrid....... 500 739 D. Jüán Bautista Goycoechea...................... . Madrid....... tdoO 202 D. ■ Jóséf Adalid ..... ....~ .»f.» » »l ¿» Alicante...... 500 518 D. Juan Josef de Goycoechea ...... ...... : Bilbao...............</t>
  </si>
  <si>
    <t>Gqdoy, Manuel</t>
  </si>
  <si>
    <t>Manuel Gqdoy</t>
  </si>
  <si>
    <t>o trií* bunal , que ha resuelto confiscar todos los bienes, efectos , acciones y de-Jrechos del Sr. D. Manuel Gqdoy, príncipe de la Paz, preso en el quartel de reales guardias de Corps: que está pensando muy seriamente en desagraviar á todos sus amados vasallos que hayan padecido por su causa;</t>
  </si>
  <si>
    <t>Grabepvos, Tomás</t>
  </si>
  <si>
    <t>Tomás Grabepvos</t>
  </si>
  <si>
    <t>o espartero , D. Melchor Manconel, Josef Escólau ó sus herederos, D. Josef Borrull, D. Tomas Zalzo, D. Tomas Grabepvos ó sus herederos; D.. Francisco Puente, Josef Duran, maestro,sastre, los herederos de R. Jiiari Prada, D. Josef Vidal, Don Fermin Fernandez, y demas que tuviesen derecho ;á los bie</t>
  </si>
  <si>
    <t>Gramm</t>
  </si>
  <si>
    <t>intieron en la rendición S e Copenhague'.' También' han comparééidó anté^el. wibunal-ekcdnsuL sueco Mr. Gramm, que ha sido arrestado, el comerciante Hoppe y muchos individuos de casas de’coméfcio./Elj arresto; dél cónsul dp Suecia ha dado motivo á una correspondencia mui activa entre S. M</t>
  </si>
  <si>
    <t>Granados, Juan Antonio</t>
  </si>
  <si>
    <t>Juan Antonio Granados</t>
  </si>
  <si>
    <t>e lia servido promover en el batallón de infantería de Canarias primer teniente al ayudante segundo D. Juan Antonio Granados ; á ayudante segundo al segundo teniente D. Francisco Dugi; á este empleo al subteniente D. Francisco de Matos, y á esta subtenencia aLcadete D. Josefde Fuentes: en el regimiento</t>
  </si>
  <si>
    <t>Grande, Andrés</t>
  </si>
  <si>
    <t>Andrés Grande</t>
  </si>
  <si>
    <t>de Castilla, por úna vez........................................................ '•••••..... . 600. D. Andrés Grande, por una vez................. —■....... ..... ..... . 20o\ La comunidad de religiosas Bernardas (vulgo Vallecas) un vale de 300 pesos, y 1363 rs. y 29 mrs. en metálico............</t>
  </si>
  <si>
    <t>ríguez , presbí-, tero r diputado de S. Nicolás. D. Agustín Michel, diputado de la Huerta del Bayo. D. Andrés Grande, diputado id. D. Francisco Carreño , alcalde del &gt; barrio del Amor de Dios. D. Luis Gii Fernandez , del del Hospital general. ) D. Francisco Josef Ofer, diputado del Amor de Dios.</t>
  </si>
  <si>
    <t>Grattan</t>
  </si>
  <si>
    <t>hecho, no siendo natural, que. los católicos pidan cosas cóñtrárias d: sds intereses. _Ei mismo dia Mr. Grattan presentó en la cámara baxa otra petición, de los católicos de Irlanda con mas de nj® firmas, y añadió que aun vendrían otras muchas por el mismo estilo. La cámara señaló el dia 16</t>
  </si>
  <si>
    <t>Gre</t>
  </si>
  <si>
    <t>ctual de la química, se conlidera entre los sabios coido la mas completa y metódica; se traduce por D. Gre</t>
  </si>
  <si>
    <t>Greagh, Juan</t>
  </si>
  <si>
    <t>Juan Greagh</t>
  </si>
  <si>
    <t>Madrid 116 (supl. 2)</t>
  </si>
  <si>
    <t>pueda tener su repugnancia a lo que na puede dexat de ser.. jo ,, Las disposiciones dadas, por mí á D. Juan Greagh , y comunica -; das á V. E. son. las mismas cíe la junta suprema; y ademas son, indispensables en las circunstancias: el retardar su ejecución alarma los. pueblos, y atrae inconve</t>
  </si>
  <si>
    <t>Gregoria de Larrari</t>
  </si>
  <si>
    <t>V..7. Madrid...'../. ' 300 589 D. Felipe Martínez de Viergol............... Madrid/.....'. 600 2279 Doña Gregoria de Larrari....A........ Bilbao..!.. ¿,. 500 7^3 D. Victoriano 'Matute ‘de Tejada,.:;: ...vAA,...- Aíadrid....... - 500 867 Do.na María E.iirióma..-...»...r., • Madrid.;..:;. IOOO 112 D. Juar</t>
  </si>
  <si>
    <t>Gregoriodeia Cruz</t>
  </si>
  <si>
    <t>o Maroto, por una vez.&lt; 320. D. Ange 1 de Aragón y. Aivarez , por. una. vez................... $00. D. Gregoriodeia Cruz ,&gt;por una vez D. Andrés Visur, por una vez 134994 •••, too. D. Pedro Marcelino* Blanco ^ corredor de cambios, por unayez. íóoco. D. Francisco del Busto, ayuda de la real furriera,</t>
  </si>
  <si>
    <t>Grei</t>
  </si>
  <si>
    <t>tado de no poder sostenerla, y arriesgarnos de esta «lanera á una destrucción cierta é ignominiosa. Mr. Grei propone que los ministros exhiban á la cámara los papeles ne</t>
  </si>
  <si>
    <t>correspondencia presentada ya del gobierno ingles con las cortes de Viena y Petersburgo. En seguida Mr. Grei se detuvo á justificar en un discurso que duró 2 horas á los ministros anteriores de las acusaciones que se han hecho contra ellos con motivo de la última guerra del continente, a</t>
  </si>
  <si>
    <t>Grei, Lord</t>
  </si>
  <si>
    <t>Lord Grei</t>
  </si>
  <si>
    <t>retaña, ni gloriosa á los oficiales, mediante á las pocas dificultades qué había nabídó que vencer. Lord Grei habló casi en los mismos términos que el lord H’olland contralla propuesta; pero á pesar de esto fue aprobada por pluralidad de votos. CAMARA BAXA. ' Sesión del 2 8 de enero* ' Mr</t>
  </si>
  <si>
    <t>Gremadélfe, Alberto</t>
  </si>
  <si>
    <t>Alberto Gremadélfe</t>
  </si>
  <si>
    <t>ndias, por una vez.. 600. ]). Gabriel Alvares, gefe de la real cocina, por una vez:.......... 3 20. D. Alberto Gremadélfe, oficial de la lotería, por una vez......... 3 20* D. Manuel Sancho, oficial de la .administración del real* pósito, 1 oor g. _ una véz............................................</t>
  </si>
  <si>
    <t>Grenville, Lord</t>
  </si>
  <si>
    <t>Lord Grenville</t>
  </si>
  <si>
    <t>Aberdeen' aprobó en un todo la conducta de los ministros, y las cláusulas del discurso de gracias. Lord Grenville dixo que no tenia suficientes datos para aprobar ni desaprobar la expedición de Copenhague, aunque sí observaba alguna contradicción entre el mensage del Rei y las aserciones cont</t>
  </si>
  <si>
    <t>Gri, Pedro</t>
  </si>
  <si>
    <t>Pedro Gri</t>
  </si>
  <si>
    <t>ito con glorioso sacrificio de muchos de sus oficiales. Del mismo modo se ha conducido el brigadier D. Pedro Gri mares t, que con su actividad y zelo ha desempeñado noblemente sus funciones» como asimismo D. Francisco Copons y Navia. Los capitanes de zapadores D. Gaspar de Goicocheay D. Pasc</t>
  </si>
  <si>
    <t>Grimar, Francisco</t>
  </si>
  <si>
    <t>Francisco Grimar</t>
  </si>
  <si>
    <t>............... Coruña........ 3CO 17 «4 D.¡ Juan de Mata Gallardo.............. Cádiz......... óco D. Francisco Grimar............................ Zaraccza..... 6co 1734 D. Francisco Florencio de Olazabal.......»••••«»•» CL^*tCÍ lZi av 3c° 772- IX. j Vidente García .Diez,..........................</t>
  </si>
  <si>
    <t>Grimaresr, Pedro</t>
  </si>
  <si>
    <t>Pedro Grimaresr</t>
  </si>
  <si>
    <t>lo, que ocupaba el enemigo en una excelente posición , enviando las tropas ligeras á las órdenes de D. Pedro Grimaresr, y siguiéndole o con toda la caballería. Ei fuegoo vivísimo de los franceses hizo retroceder un poco las tropas ligeras: entonces adelantó su artillería y se dispuso á pasar los v</t>
  </si>
  <si>
    <t>Grimarest, Pedro</t>
  </si>
  <si>
    <t>Pedro Grimarest</t>
  </si>
  <si>
    <t>ventaja ambos oficiales y tropa este tan desigual combate ; pero avisado de él el mariscal de campo D. Pedro Grimarest , que mandaba las fuerzas de Lodosa, hizo salir inmer -diatamente un. destacamento al mando dti sargentomayor del batallon.de tiradores de España* D. Baltasar de; "Viílalba, compu</t>
  </si>
  <si>
    <t>ilio de esta gran guardia, y reunidas sus fuerzas sostuvieron el combate con mucho honor; hasta que D. Pedro Grimarest, que mandaba las fuerzas de Lodosa, hizo salir un destacamento de 100. hombres del batallón de tiradores de Empana y 60. de caballería de España, que alcanzaron á los de Borbon ce</t>
  </si>
  <si>
    <t>Grimatest, Pedro</t>
  </si>
  <si>
    <t>Pedro Grimatest</t>
  </si>
  <si>
    <t>odosa, adonde tenia la orden de 'retirarse en caso de ser atacado, expuso al general de su división D. Pedro Grimatest íqúé era materialmente imposible su retirada, por tener que pasar un llano que probablemente ocuparían los enemigos con su caballería - antes del ataqué. : -r; •' • ’ ’ • • El dia</t>
  </si>
  <si>
    <t>Griznarest, Pedro</t>
  </si>
  <si>
    <t>Pedro Griznarest</t>
  </si>
  <si>
    <t>a con glorioso sacrificio de machos de sos oficiales. A iguales elogios son acreedores el brigadier D. Pedro Griznarest y D. .Francisco Copons y Navia. Los capitanes de Zapadores D. Gaspar de Goycochea y D. P&amp;squal Maud.uk y demas oficiales de este cuerpo se han distinguido ai lado de la artille»ía. Du</t>
  </si>
  <si>
    <t>Guadalupe de Bañuelos y González, María</t>
  </si>
  <si>
    <t>María Guadalupe de Bañuelos y González</t>
  </si>
  <si>
    <t>D. ^Francisco Fernandez, García 18 camisas .nuevas? con igual número,d®2pares¿de medias,] ; r , r&gt; Doña María Guadalupe de Bañuelos y González .2 cá* ' misas nuevas. Las damas de la Excma. Sra. duquesa de AÍ&gt;rañtes' 25 camisas nuevas y 9 libras de hilas. Doña Manuela Alonso 4 camisas nuevas, y. 2 algo ( .usadas^ * P. Cr'</t>
  </si>
  <si>
    <t>Guardia Real</t>
  </si>
  <si>
    <t>s ; á su ayudante D.Juan Rafael Lasa1* * capitán de Campo mayor ; el marques de Guardia Real, teniente coronel.de milicias; D. Juan Pras, ayudante de los tercios de Tejas; D. Juan dé la Puente, capitán de fragata; D. Josef Sanmartín, capitán agregado á Bórbon;. D.* Josef Mauri , ca</t>
  </si>
  <si>
    <t>Guardia, Antonio</t>
  </si>
  <si>
    <t>Antonio Guardia</t>
  </si>
  <si>
    <t>...... 640. Doña Rosa Aguado ae Larena........................................................ 500. D. Antonio Guardia......................................................................... 40. D. Diego García de Tovar en un recibo de réditos de vales.. 180. Donativos de otra especie. D. Juan Jo</t>
  </si>
  <si>
    <t>Gueróla, Ignacio</t>
  </si>
  <si>
    <t>Ignacio Gueróla</t>
  </si>
  <si>
    <t>bteniente de granaderos D. Andrés Sánchez; y en el de Navarra tenencia al subteniente de granaderos Don Ignacio Gueróla , y subtenencias de bandera at cadete D. Joseph María Ladoux, y al sargento primero D. Ramón Alisoga. . " En el regimiento de infantería de Soria se ha servido S. M. conferir com</t>
  </si>
  <si>
    <t>Guerra Ximenez, Ramón</t>
  </si>
  <si>
    <t>Ramón Guerra Ximenez</t>
  </si>
  <si>
    <t>o, prior y presidente de S. Martin. D. Manuel López de Rivas , diputado del barrio del Humilladero. D. Ramón Guerra Ximenez, secretario. 35. Juan del Rio y Otero, diputado id. D, Manuel de Robles y González,' diputado de idy D. Josef María Furdinier, diputado del Rosario. Don' Francisco Iturmendi, dipu</t>
  </si>
  <si>
    <t>Guerra Zorrilla, Gregorio</t>
  </si>
  <si>
    <t>Gregorio Guerra Zorrilla</t>
  </si>
  <si>
    <t>madre. D. Antonio Rodríguez, eclesiástico. D. Antonio Rovillár, id. D. Francisco Perez y Velazquez, D. Gregorio Guerra Zorrilla, D. Josef Babea, D. Gregorio Dorado, diputación de las Descalzas. D. Benito Alfaya, diputado de S. Márcos. 35. Luis Bautró, diputado de S. Plácido. D. Pedro Rubio, director de los</t>
  </si>
  <si>
    <t>Guerra, Ignacio</t>
  </si>
  <si>
    <t>Ignacio Guerra</t>
  </si>
  <si>
    <t>e, diputado de t)oña María de Aragón. D. Francisco Villegas. D. Juan Francisco Molina* pretvbítero. D. Ignacio Guerra. D. Mam e) Ramos. D. Pedro Ezquerra, secretario de la diputación de S. Gines. D. Diego Crespo, diputado de Santa Cruz. D. Andrés Ortiz id. D. Feliciano Gómez id. D. JusnDuarez, se</t>
  </si>
  <si>
    <t>Guerra, Manuel</t>
  </si>
  <si>
    <t>Manuel Guerra</t>
  </si>
  <si>
    <t>^Aramburu . i El hermanó Antonio. Péribañez* dé .D. Pedro Lombardo- i00; . . .j id. 4Ó..C ñ bt ^ r ;D. Manuel Guerra 221; rs. áópmrs. D¿Josef Joaquín Ramosuy su mu- en metálícoLy 2978 rs. 8 mrs. en ger 367 rs. 5 mrs. en efectos,: dé-* &lt; efectos dé estado. : :^ estado.1 .wr oniwnv. . iD.^jMattdek</t>
  </si>
  <si>
    <t>Guerra, María</t>
  </si>
  <si>
    <t>María Guerra</t>
  </si>
  <si>
    <t>as de D. Manuel de Ureta 4. hilas y6;pánit0s. ; Doña B. A. una-. D. Diego Lamón, ingles, 2 camisas. Doña María Guerra 2 camisas. Se continuará.</t>
  </si>
  <si>
    <t>Guerra, Rafael</t>
  </si>
  <si>
    <t>Rafael Guerra</t>
  </si>
  <si>
    <t>alcalde. D. Luis Naranjo, diputado de la Latina. Don Cristóbal Olmedo, de id. D. Pedro Acevedo id. D. Rafael Guerra, eclesiástico de dicha. D. Juan Hermoso Dara,-alcalde. D. Bernardino Quirós, cura de Santiago. D. Miguel Wanderbick, diputado de la Bueña-dicha. D. Josef Aldave , de Sta. Isabel.</t>
  </si>
  <si>
    <t>Guerrero, Domingo</t>
  </si>
  <si>
    <t>Domingo Guerrero</t>
  </si>
  <si>
    <t>...... Madrid....... 300 732 D. Manuel Gonzalo Fernandez................... Madrid........ 3°j 1742 D. Domingo Guerrero................................... Cádiz.......... 3 00 ,838 D. Diego Herce............................................. Madrid....... 300 1287 D. Ignacio de Orellano, comerciante</t>
  </si>
  <si>
    <t>de la casa de Moneda, en un recibo de intereses del Empréstito de 160 millones, id.......... 1600. D. Domingo Guerrero, á cuenta de 365 rs. anuales................... 20^.v D. Juan Villcna, sobrestante de puertas, anualmente................ 100. Cayetano García, maestro xalmero, id................</t>
  </si>
  <si>
    <t>Guérrérob, Esteban</t>
  </si>
  <si>
    <t>Esteban Guérrérob</t>
  </si>
  <si>
    <t>--y • 5 Doña N. 6. -c . - v íva’r-.u'it D. G. A. y U. 2¿• : -l • ' D. JoíHf&amp;lSafr^'tí. 1' Sk. tf ry D. Esteban Guérrérob6.t \ .1 ¡ -■ D. J* A. 4. *c ^ ! l Doña Manuela 4gúado -36 ^araa dé D, N. 2. .tienzo. v - • &gt; S&amp;eontirtúar&amp;</t>
  </si>
  <si>
    <t>Guichot, Bernardo</t>
  </si>
  <si>
    <t>Bernardo Guichot</t>
  </si>
  <si>
    <t>antander.... 300 1626 D. Ramón‘de Sta.* Gruz*............................... Santander.... 300 1920 D. Bernardo Guichot................... . Zaragoza..... 300 192 Excmd. Sr. D. Joaquin de Cañaveral.............. Alicante...... 300 1607 D. Ffa’ñcisco Arnainz-y Bringas.................... . Bilbao...</t>
  </si>
  <si>
    <t>Guillelmo Atanasio Xaramillo</t>
  </si>
  <si>
    <t>el país-, .se ha dignado concederle la cruz supernumeraria de la real orden española de Carlos 111. D. Guillelmo Atanasio Xaramillo, profesor de gramática y ortografía del idioma español, ha deliberado adelantar su decimoquinto curso (,el que debia principiar en: 1&gt;de octubre.), dando su primera lección ea i,c</t>
  </si>
  <si>
    <t>Guillelmo de Vargas</t>
  </si>
  <si>
    <t>D. Juan Ibañez de la Rentería.=Sr. í). Esteban Antonio de Orellana. =rSr. D. Miguel Munarriz.=:Sr. D. Guillelmo de Vargas. Sr. D. Juan Josef Polo. = Sr. D. Josef Joaquin Martí.=rSr. D. Benito San Juan.=Sr. D. Ramón de Villalba. =r Sr. D. Francisco Bucheli. = Sr. Don .Francisco Diz. Excmo. Sr.=r Habie</t>
  </si>
  <si>
    <t>Guillermo Bul</t>
  </si>
  <si>
    <t>n rico. (Diario de Badajoz núm. jg.) Oviedo rp de setiembre. ~ Ayer llegó al puerto de Gijon el Sr. D. Guillermo Bul, comisionado por la administración general de correos de Londres, con el objeto de concurrir en este principado al mejor arreglo y establecimiento de postas interiores que hayan d</t>
  </si>
  <si>
    <t>Guillermo de Vargas</t>
  </si>
  <si>
    <t>laza de ministro togado, vacante en el supremo consejo de la Guerra, se ha servido el Reí nombrar á D. Guillermo de Vargas, oidor honorario de la chancillería de Valladolid, y fiscal de los, juzgados generales de los reales cuerpos de artillería é ingenieros. jEn América. En el batallón de infantería</t>
  </si>
  <si>
    <t>Guillermo Eloy González</t>
  </si>
  <si>
    <t>................... 200. D. Francisco Espi, 30 rs. mensuales, por 3 meses.......... ........... 90. D. Guillermo Eloy González, 30 id. por 4 id..........••........... 120. O. Josef de Aparici, oficial de la secretaría de Hacienda de Indias, 300 iá. por agosto.......................................... ....</t>
  </si>
  <si>
    <t>Guillermo Gorman</t>
  </si>
  <si>
    <t>oza..... 300 1863 D. Pascual Foz, presbítero................................. Zaragoza..... 300 213 D. Guillermo Gorman....................................... Alicante...... 500 2427 D. Pedro Matamoros y Pacheco....................... Cádiz........... 600 557 D. Josef Merlo.........................</t>
  </si>
  <si>
    <t>Guillermo Leonardo</t>
  </si>
  <si>
    <t>ntander.... ÓOO 7* D. Joaquin de Urrutia................. ................ , Barcelona.... 3OÓ 1768 D. Guillermo Leonardo................................ , Cádiz.........,1 JODO 2274 D. Josef María de Atristain........................ Bilbao....... .. 300 939 E&gt;. J osef López de la Iglesia...........</t>
  </si>
  <si>
    <t>Guillermo Nasc</t>
  </si>
  <si>
    <t>dea. ^Sargento mayor............ D. Henrique O- Donnell. Ultonia............ Capitán de granaderos. D. Guillermo Nasc, levemente. i (.Subteniente.................... D. Miguel Pierson. j.° Barcelona.. Subteniente.................... D. Josef Ortega , levemente. .Subteniente.......... ........ De</t>
  </si>
  <si>
    <t>Guillermo Poibert</t>
  </si>
  <si>
    <t>.. Bilbao.......... 30® 1740 D. Antonio Prudencio de Olavarria............... Cádiz...... . 500 354 D. Guillermo Poibert........................................ Cádiz........... 600 1065 Doña Ventura María Sanz............................... Madrid....... 300 988 D. Miguel Amandi....................</t>
  </si>
  <si>
    <t>Guillermo Puchan</t>
  </si>
  <si>
    <t>o autor. El conservador de lasalud de las madres y de los niños, por el célebre'Guillermo Puchan, médico del real colegio de Edimburgo, consiguiente á la,medicina doméstica del mismo; autor. En vano seria elogiar esta obra quaedo elrpúblico y loa mas célebres médicos de esta corte ti</t>
  </si>
  <si>
    <t>Guillermo Spencer</t>
  </si>
  <si>
    <t>esa. Mr. Longman y compañía están imprimiendo dicho catálogo en un volumen en 4.0 de 300 páginas. ^ Mr. Guillermo Spencer há^publicado una obra con este título: La gran Bretaña i 1 dependiente del comerciói El autor se propone probar que la Inglaterra no se enriquece por su comercio , y que el princi</t>
  </si>
  <si>
    <t>Guillermo, Príncipe</t>
  </si>
  <si>
    <t>Príncipe Guillermo</t>
  </si>
  <si>
    <t>sistían aun entre Francia y. Prusia se han allanado por la diligencia y acertadas negociaciones del Príncipe Guillermo, hermano de nuestro Soberano, que actualmente se halla en París. S. A. R. ha conseguido, según dicen, que la Prusia sea admitida en la confederación del Rin, obligándose á apronta</t>
  </si>
  <si>
    <t>Guínza, Juan</t>
  </si>
  <si>
    <t>Juan Guínza</t>
  </si>
  <si>
    <t>... Cádiz..'...... i 500 909 D. Francisco de Escoveda y Villar.............. Madrid....... 500 1107 D. Juan Guínza....................................... ........ . Madrid.......¿ r 000 428 D. Bernardo Ortega..... ...................................... Santander.... 300 556 D. Josef Merlo.....</t>
  </si>
  <si>
    <t>Guis</t>
  </si>
  <si>
    <t>-Unidos con un gran banquete, á que fueron convidados el general Barbazan, comandante de la ciudad, Mr. Guis, comisario de marina, Mr. Sagot, comandante del puerto, Mr. Leveux, cónsul de los Estados-Unidos en Calais, y otros muchos empleados y personages principales. Como la casa en que</t>
  </si>
  <si>
    <t>Gutiérrez Arintero, Santiago</t>
  </si>
  <si>
    <t>Santiago Gutiérrez Arintero</t>
  </si>
  <si>
    <t>uñez, por agosto á 2 rs. diarios...... ........................................................ do. D. Santiago Gutiérrez Arintero, teniente de fontanero mayor, por f meses á 4 rs. diarios................................•................ .......... 612. D. Ambrosio Perez, oficial de la contaduría de Espoüos,</t>
  </si>
  <si>
    <t>.. feo. Juan Diaz de Lara, id................................................................. 200. D. Santiago Gutiérrez Arintero, id........... .............. ...................... 500. D. Y. M., id............... ........ ......................... ....................... ............. 1500. D. Martin Alon</t>
  </si>
  <si>
    <t>Gutiérrez Barona, Pedro</t>
  </si>
  <si>
    <t>Pedro Gutiérrez Barona</t>
  </si>
  <si>
    <t>ña Saturnina Mexia 2. Murga 50. Doña María Josefa de Ladalid 2. D. Evaristo Perez de Castro 6 id. y D. Pedro Gutiérrez Barona 4. 6 pares de calcetas. La Excma. Sra. duquesa deHíjar 21. D. Ramón de Haro 12 camisas. Doña Isabel Aguilera ó. D. Tomas de Arsu 12. Doña Teresa Clemente una. D. Jacinto Ci!a de R</t>
  </si>
  <si>
    <t>Gutiérrez Bueno, Pedro</t>
  </si>
  <si>
    <t>Pedro Gutiérrez Bueno</t>
  </si>
  <si>
    <t>......................... 43650. D. J. M. A. P., 20 rs. mensualmente, por 5 meses............. 100. D. Pedro Gutiérrez Bueno, 30 rs. id. por agosto............ 30. El marques de Bendaña, 320 id. por id................ ..................... . 320. D. Ramón García Muñoz, 60 rs. id. id.....................</t>
  </si>
  <si>
    <t>Gutiérrez de los Ríos, Luis</t>
  </si>
  <si>
    <t>Luis Gutiérrez de los Ríos</t>
  </si>
  <si>
    <t>. Burgos........ 600 166 D. Francisco Izquierdo Moneda....................... Valencia..... 300 155 D. Luis Gutiérrez de los Ríos................................... Valencia..... 500 1072 D. Francisco Martínez del Valle........ '............. Madrid........ 300 2434 Doña Gerónima Perez del Barrio............</t>
  </si>
  <si>
    <t>Gutiérrez de Novales, Antonio</t>
  </si>
  <si>
    <t>Antonio Gutiérrez de Novales</t>
  </si>
  <si>
    <t>e...... 600 .1421 Matías y Juan Koops................................ ...... Málaga........ 300 146 D. Antonio Gutiérrez de Novales, coiner« ciante.............................................................. Valencia..... foo 859 D- Gabriel Alcaraz.................. ........................ Madrid........ 60</t>
  </si>
  <si>
    <t>Gutiérrez de Rosas, Manuel</t>
  </si>
  <si>
    <t>Manuel Gutiérrez de Rosas</t>
  </si>
  <si>
    <t>r de corte.......................................................... ....... Zaragoza..... 300 2316 D. Manuel Gutiérrez de Rosas......................... Cádiz........... . 300 1842 D. Josef Amallo................................................. Zaragoza..... 500 1616 D. Fermín María de Urribarri..........</t>
  </si>
  <si>
    <t>Gutiérrez de Rozas, Manuel</t>
  </si>
  <si>
    <t>Manuel Gutiérrez de Rozas</t>
  </si>
  <si>
    <t>es.... .................. ./... 40* D. Diego Alonso Monasterio, por agosto á 16 rs. mensuales.. 16. D. Manuel Gutiérrez de Rozas, del comercio, por agosto á 60 rs. mensuales....................... ............................................... 60. D. Francisco Viana, del consejo de Indias, por agosto á too</t>
  </si>
  <si>
    <t>Gutiérrez de Rozps, Manuel</t>
  </si>
  <si>
    <t>Manuel Gutiérrez de Rozps</t>
  </si>
  <si>
    <t>rs. 8f mrs. en D. Antonio Abella 361 rs. en efectos .^qtqsjde estado. ^ ■&lt; y- de estado.' " "¿V,.. D. Manuel Gutiérrez de Rozps 30Q. Doña Francisca Pueyo .íGO iS1.;en i¿. ] '' u- A ';• D. Luis Robledo 1,60» ; , s , ¡¡0,1 . i; *TT.- i a Z, C , ‘ ;■ i ^ SL. ¿1 ---l* D. Juan Mata Ribera 320. St'contmúafd* - -</t>
  </si>
  <si>
    <t>Gutiérrez del Bustillo, Manuel</t>
  </si>
  <si>
    <t>Manuel Gutiérrez del Bustillo</t>
  </si>
  <si>
    <t>33.: P. Benito Coque, id.................................................... ................. 300. D. Manuel Gutiérrez del Bustillo, id........................................ . 3 20. D. Josef Rossi, correo dé gabinete, id....................................... icco. D. Juan Cbavarría ,* rd.V„..............;..</t>
  </si>
  <si>
    <t>Gutiérrez Harona, Pedro</t>
  </si>
  <si>
    <t>Pedro Gutiérrez Harona</t>
  </si>
  <si>
    <t>.... 3200. D. F. D. S. M., en intereses de vales, id....................................... 90. 8f. D. Pedro Gutiérrez Harona , un real diario, por 4 meses........... 122. D. Juan- Ravasa , empleado en la rema del Tabaco en la ciudad d$ Burgos , por una vez............................ .......... . 2000.</t>
  </si>
  <si>
    <t>Gutiérrez Monge, Rafael</t>
  </si>
  <si>
    <t>Rafael Gutiérrez Monge</t>
  </si>
  <si>
    <t>Juan Montoya y D. Francisco los Cobos; tenencias á los subtenientes de granaderos D. Antonio Cano , D. Rafael Gutiérrez Monge y D. Manuel de Ciria,y subtenencias de bandera á los cadetes Don Francisco Viguera y D. Antonio los Cobos: en el de Málaga compañía al teniente de granaderos, graduado de capitán, D.</t>
  </si>
  <si>
    <t>Gutiérrez Páramo, Juan</t>
  </si>
  <si>
    <t>Juan Gutiérrez Páramo</t>
  </si>
  <si>
    <t>en las casas consis-* tonales de dicha villa para el día 8 de marzo próximo, dirigirá su memorial á Don Juan Gutiérrez Páramo, su secretarib. , ■Nosabiéndose el paradera de O. Federico Augusto Proelss, natural de Qrcsde, en Saxonia, viajante que fue de la casa intitulada F. R. Peyer y compañía, y*que se</t>
  </si>
  <si>
    <t>Gutiérrez Sanz, Tomás</t>
  </si>
  <si>
    <t>Tomás Gutiérrez Sanz</t>
  </si>
  <si>
    <t>ez................... 200. Dl'Rafael Ruiz Diaz, alguacil de corte , por una vez............... 200. D. Tomas Gutiérrez Sanz, agente de negocios, por; una vez..... 550. D. Antonio Bravo, maestro vidriero, por una vez.................. 320. D. Evaristo Perez de Casto , oficial de la secretaría de Estado,</t>
  </si>
  <si>
    <t>Gutiérrez y Arroyo, Manuel</t>
  </si>
  <si>
    <t>Manuel Gutiérrez y Arroyo</t>
  </si>
  <si>
    <t>... Coruña....... 500 478 D. Simón Antonio de Goycoechea................... Bilbao......... 500 246 D. Manuel Gutiérrez y Arroyo....................... Burgos........ $co 979 D. Nicolás de Apezteguia.................................. Madrid....... 300 1135 D. Pablo Sahun y Palacin...........................</t>
  </si>
  <si>
    <t>Gutiérrez y Sosa, Francisco</t>
  </si>
  <si>
    <t>Francisco Gutiérrez y Sosa</t>
  </si>
  <si>
    <t>.......... ................. 500. Un capitán retirado, una olla de cobre y un lebrillo de lo mismo. D. Francisco Gutiérrez y Sosa, abogado del colegio, en intereses de acciones del real Empréstito, id........ .................... ...... 553 17. D. Ramón López , id.............................................</t>
  </si>
  <si>
    <t>Gutiérrez, Agustín</t>
  </si>
  <si>
    <t>Agustín Gutiérrez</t>
  </si>
  <si>
    <t>........................... 186. D. Juan Sanche? Crespo, del comercio, 10 id. por 2 meses..... 610. D. Agustín Gutiérrez, 4 recibos de intereses de 1800, que importan 1173 rs. y .8 mrs., y ademas 3 rs. diarios desde i.° de setiembre, que ha satisfecho.......................... ......................</t>
  </si>
  <si>
    <t>l reai sitio de: san &gt; : &lt; l Fernando, en intereses del Fondo vitalicio-i ió.......,-,é..í4.^,:,. 1 D. Agustín Gutiérrez, id ........M ..... i ........... ...-1 ' .1 0.0*i D. Antonio &lt;¿e Palacio , id................................................................ ico. D, Juan Rodríguez , id.........</t>
  </si>
  <si>
    <t>Gutiérrez, Juan</t>
  </si>
  <si>
    <t>Juan Gutiérrez</t>
  </si>
  <si>
    <t>Mogozuza 2. D. Manuel Baquero 2. , D. Joaquín Antonio Sóxo 6. D. Josef Maldonado 6. Doña A. y B. 2. D. Juan Gutiérrez 4. Doña Ana Rodríguez, sirvienta, 2. Doña Rafaela Martínez de Ariza 4. Doña María Ruiz 6. Doña Cándida Orejón 2. Una pobre sirvienta 4. D. Jaime Mateo 2 chaquetas y 2 gor-, La viu</t>
  </si>
  <si>
    <t>Gwillermo Parker Carrol</t>
  </si>
  <si>
    <t>e. Luego que la banguardi* de este entró ca Bilbao el 149 pasó un oficio el teniente coronel ingles D. Gwillermo Parker Carrol* que acompañaba este exércuo, k fas diputados del Señorío , ofreciéndoles sus servicios, y corgratulindose con ellos, por beber quedado líbre Bilbao de los enemigos. Entre otras c</t>
  </si>
  <si>
    <t>H-w</t>
  </si>
  <si>
    <t>a ei regimiento de milicias de Rowshire, aquartelado en Ñormancrow. Glbr altar 20. de ¿gasto* S. E. Sir H-w r aírymple, comandante de las fuerzas británicas en Esos ña y Portugal , salió el Sábado liltirno para poniente en la fragata Phoebe. En conseqíiencia,, el mando de esta guarnició</t>
  </si>
  <si>
    <t>Hageau</t>
  </si>
  <si>
    <t>l Rin, cuya navegación es la mas activa. Hace 3 meses que se empezó esta obra baxo la inspección de Mr. Hageau, ingeniero en gefe, encargado de la execucion detesta parte del proyecto. Ya se está abriehdo el canal, y se preparan los cimieutos de la exclusa de guardia del Rin. . : \ ; 1 . .</t>
  </si>
  <si>
    <t>Hago de Moncada</t>
  </si>
  <si>
    <t>al de la estadística del mismo reino: el 3.0 una introducción á la biografía, y parte de la vida de D. Hago de Moneada\y el 4-° una respuesta á la pregunta que hizo Mr. Masson de Morviliiers en la Enciclopedia metódica, en el artículo de España, vindicándose el honor de esta ultrajado por aquel. S</t>
  </si>
  <si>
    <t>Hamilton, Lord</t>
  </si>
  <si>
    <t>Lord Hamilton</t>
  </si>
  <si>
    <t>a es de temer que solo con la guerra podamos conservar las ventajas que ella nos ha proporcionado.” Lord Hamilton habló en seguida sobre la expedición de Copenhague casi en los mismos términos que lord Gallovay; y pasando luego al rompimiento con Rusia, dixo: „Ya no debemos contar sino con no</t>
  </si>
  <si>
    <t>Hammond</t>
  </si>
  <si>
    <t>piéatiá como animosidad contra los ingleses. . Las cartas de Inglaterra aseguran también que un tal Mr. Hammond, que hace mucho tiempo estaba al servicio de la Inglaterra en el oficio de; espía , había muchas veces desembarcado mañosamente en las costas de Francia, y que:había vuelto á Lond</t>
  </si>
  <si>
    <t>Handfield</t>
  </si>
  <si>
    <t>ió á quantos se hallaban sobre eí puente. Entre los muertos se comprehende el capitán del bergantin Mr. Handfield y el capitán Lacombe , comandante del navio de 6x ei Glattou. Este comandante hacia pocos instantes que había entrado en el bergantin. El navio de línea el Tigre, de 74 , y algunos «t</t>
  </si>
  <si>
    <t>Harford Jones</t>
  </si>
  <si>
    <t>hace en el dia sino aumentar nuestro embarazo y la funesta abundancia de géneros ultramarinos. i-, Mr. Harford Jones , nombrado embaxador de Inglaterra á la corte'de Persia , ¡arribó el 7 de enerorúltimo al cabo de Buena-Esperanza; pero según todas las apariencias es mui regular que no llegue á</t>
  </si>
  <si>
    <t>Ha vuelto á Portsmouth el sloop el ¡Saphiro de regreso de Persia, donde conduxo el Octubre pasado á Sir Harford Jones nuestro embaxadqr en aquella corte. S. M. ha dado gracias al cuerpo de guardias de á pie del condado de Tiperary por su generosa oferta de ir á servir en el exeTcíto de España. Ha</t>
  </si>
  <si>
    <t>Harri Burrad</t>
  </si>
  <si>
    <t>mas á propósito para instruir á V. S. de todo lo sucedido. Tengo el;honor &amp;c. = Harri Burrad, teniente general. = Al mui hon. lord Castlereagh. Vimifira 2 r de agosto de 1808. Mui señor mío: Tengo el honor de participar i V. que el-enemigo nos atacó esta mañana en nuestra posición</t>
  </si>
  <si>
    <t>Harri Burrard</t>
  </si>
  <si>
    <t>rland, Cambridge y G!ocester,el embaxador de Portugal y otros muchos persona^ ges del primer orden. Sir Harri Burrard llego el domingo á Portsmouth, y tomó el mando de la expedición de Moore. Se ha asegurado que saldrá el 17 por la noche. Tiene á su bordo las, mejores, tropas. Ademas de estas, y</t>
  </si>
  <si>
    <t>Harville</t>
  </si>
  <si>
    <t>arts &lt;í de abril. El 6 del corriente salió para Burdeos S. M. la Emperatriz, acompañada del senador Mr. Harville, su escudero de honor, de Mr. de Beaumont, su gentilhombre , y de su secretario Mr. Deschamps. Se han recibido noticias de la Martinica cok fecha de 13 de febrero: la colonia goza</t>
  </si>
  <si>
    <t>Haúkesburi, Lord</t>
  </si>
  <si>
    <t>Lord Haúkesburi</t>
  </si>
  <si>
    <t>El duque de Norfolk , y los lores Ersklne y' Holland* hablaron también á favor de la propuesta. i : Lord Haúkesburi diXo que estaba convencido #e que la constitución no pedia existir sino con un gobierno compuesto enteramente de protestantes, y qúeoesperabá'que losr cktólicos* jamas serian admi</t>
  </si>
  <si>
    <t>Hawkesburi, Lord</t>
  </si>
  <si>
    <t>Lord Hawkesburi</t>
  </si>
  <si>
    <t>quilidad en Irlanda, y concluye su discurso desaprobando en un todo las operaciones del ministerio. Lord Hawkesburi toma la palabra , y dice,que al gobierno no le queda duda ninguna sobre las disposiciones secretas del tratado de Tiisít; pero que los ministros no pueden ni deben indicar el cond</t>
  </si>
  <si>
    <t>Hawkesbüri, Lord</t>
  </si>
  <si>
    <t>Lord Hawkesbüri</t>
  </si>
  <si>
    <t>timiento recíproco de las partes contratantes. ¡ f^ CAMARA- DE ' LOS PARES. Sesión del 28 de enero. Lord Hawkesbüri pidió que la cámara decretase se diesen gracias á todos los oficiales de mar y tierra que se habían hallado en la expedición de Copenhague, y advirtió que?está propuesta nada teni</t>
  </si>
  <si>
    <t>e la esquadra dinamarquesa en estado de poder restituirla quando se verifique la paz con Dinamarca. Lord Hawkesburi presenta de orden de S. M. varios despachos relativos á los Estados-Unidos y el .irtensage del presidente de I congreso americano. Con este motivo lord Grenville dixo que siendo d</t>
  </si>
  <si>
    <t>ellos con motivo de la última guerra del continente, achacándoseles haber abandonado á sus aliados. Lord Hawkesburi contestó á la propuesta de Mr. Grei, diciendo que no había inconveniente en presentar á la cámara los papeles que pedia; pero qjje no convenia exhibir la copia de una carta de lor</t>
  </si>
  <si>
    <t>Heathfield, Lord</t>
  </si>
  <si>
    <t>Lord Heathfield</t>
  </si>
  <si>
    <t>d. Los individuos de esta junta son el general Dundas, presidente; los enerales Moira, Peter-Craig, Lord Heathfield; los tenientes generales Pemg roke, G. Nugent, Nichols. *Los oficiales que serán oidos en esta acusación son el teniente general Velleslei, los mayores generales Murrat y Ferguson</t>
  </si>
  <si>
    <t>Hebrar, Pedro</t>
  </si>
  <si>
    <t>Pedro Hebrar</t>
  </si>
  <si>
    <t>.............. 124. D. Pedro Blaqnez, por agosto á 2 rs. diarios............................... 62. D. Pedro Hebrar, por agosto á 2 rs. diarios............................... 62. D. Juan de Jáuregui, por 2 meses á 4 rs. diarios....................... 244. D. Eugenio de Sampelayo, del comercio d</t>
  </si>
  <si>
    <t>Hebrea González de Urrutiá</t>
  </si>
  <si>
    <t>133 2 IX. Mgnuel ^Sebastian Gil del .Reinq..-..-........,,. '‘."Valencia...™ 600 iCdru ña...500 399 Doña Hebrea González de Urrutiá....... . . ... ,‘Rilbao......... 500 5,02: I). Juan-, josef de- arraga*..•••• D. Juan Antonio Martínez SáTazar............... Cádiz.......... 600 i©8r D. Francisco del- Aruilo....</t>
  </si>
  <si>
    <t>Heeren</t>
  </si>
  <si>
    <t>'Totas fervet, totas concutitar , vel potius transformari videbatar mandas. La otra , cuyo autor es Mr. Heeren, profesor de historia en la universidad de -Gottinga, tiene este epígrafe; Tu ne cede malis. ESPAÑA. Madrid 18 de julio. Siguen las noticias del viage del Rei nuestro Señor.—Burgo</t>
  </si>
  <si>
    <t>Hellerbach, Juan</t>
  </si>
  <si>
    <t>Juan Hellerbach</t>
  </si>
  <si>
    <t>Francisco Sírauch.; á tenientes de fusileros,’&gt;ios "subtenientes de granaderos I). Josef Wohlében v D. Juan Hellerbach , y. á subtenientes de granaderos á los de fusileros D. Maiñrado Kn.eher y D. Juan Matías Keller. En el primer batallón de voluntarios de Barcelona se ha servido S. M. promover á</t>
  </si>
  <si>
    <t>Hen Dalvlmple</t>
  </si>
  <si>
    <t>ádiz. La primera expedición destinada ¿ las costes de Es* pana y Portugal consta de 29.246 hombres* Mr. Hen Dalvlmple, gobernador de Gibrakar, manda esta expedición. Sirven en ella el teniente general Burrard de segundo, y los generales Hope, lord Paget, Frazer, Wellesley y Moore. Ademas se prepa</t>
  </si>
  <si>
    <t>Henarejos, Nicolás</t>
  </si>
  <si>
    <t>Nicolás Henarejos</t>
  </si>
  <si>
    <t>ue en todo compondrían'120 caballos; los tiradores de Cartagena de las partidas de D. Juan Meneses, D. Nicolás Henarejos y D. Josef Arredondo , y 100 hombres del segundo regimiento de voluntarios de Murcia. Toda esta infantería, á las órdenes del sargento mayor de dicho segundo regimiento D. Josef María</t>
  </si>
  <si>
    <t>Henrard</t>
  </si>
  <si>
    <t>iva, judicial y. militar han concurrido á esta ceremonia con gran número de personas de distinción. Mr. Henrard, vicario geperal,; ha oficiado por ausencia dei obispo que se hallaba enfermo. Los discursos pronunciados por el prefecto r el previsor y por Mr. Charmanr, profesorado bellas letr</t>
  </si>
  <si>
    <t>Henri, Francisco</t>
  </si>
  <si>
    <t>Francisco Henri</t>
  </si>
  <si>
    <t>parroquial ..m - j.r-.u de Tamara, 200 rs. mensuales, por agosto..........L.v..;...... . : 200*. Xl D. Francisco Henri.qucz Santos , por una vez.......... ........... ..........15 00. Doña I, G. de la P., en intereses de 1800, id..¿....r.. • 3611. v! II. Francisco.Gonzalez, 1 d ...................</t>
  </si>
  <si>
    <t>Henrique, Príncipe</t>
  </si>
  <si>
    <t>Príncipe Henrique</t>
  </si>
  <si>
    <t>rimientos y grandes conquistas. Portugal no tiene olvidado que ha -debido ya Reyes á la Francia. El Príncipe Henrique, francés de origen ¿ ha sido el tronco de 12 Reyes, que todos fueron dignos, por diferentes títulos , de ocupar el trono para que habían nacido. Envidiamos el honor &lt;que la Italia</t>
  </si>
  <si>
    <t>Herce, Diego</t>
  </si>
  <si>
    <t>Diego Herce</t>
  </si>
  <si>
    <t>d........ 3°j 1742 D. Domingo Guerrero................................... Cádiz.......... 3 00 ,838 D. Diego Herce............................................. Madrid....... 300 1287 D. Ignacio de Orellano, comerciante.......... Valencia..... 300 T47 D. Francisco Xavier Argaiz.................</t>
  </si>
  <si>
    <t>Hermán</t>
  </si>
  <si>
    <t>nueva organización del gobierno, sea necesario hacer en los objetos relativos á • sus destinos. v. Mr. Hermán queda nombrado secretario de estado por lo que toca al departamento del interior y de rentas. Don Pedro de Mello, consejero de gobierno, por lo que hace al ramo del interior, y el</t>
  </si>
  <si>
    <t>236 ^ ■ - ' . : cion sobre las minas deSiberia, compuesta por Mr. Hermán, con el título de Descripción dé la célebre mina de plata de Zmeof que se halla en el monte Altai de Siberia. Esta mina, descubierta hace ya mucho tiempo, no empezó á beneficiarse</t>
  </si>
  <si>
    <t>Hermandei, Francisco Xavier</t>
  </si>
  <si>
    <t>Francisco Xavier Hermandei</t>
  </si>
  <si>
    <t>zados á nombre de D. Miguel Joapiin Esquiu, del comercio de Zaragoza, endosados por este á favor de D. Francisco Xavier Hermandei, y este al de D. Manuel Ximenez. Quien supiere de su paradero, se servirá avisarlo á dicho D, Migue-! Joaquín Esquiu, en la referida ciudad de Zaragoza. ,• : Habiéndose empezado -</t>
  </si>
  <si>
    <t>Hermenegildo Fernández de Burímda</t>
  </si>
  <si>
    <t>acer postura- acudirá a la'ésc'ribanía que está á cargo de Ramón Josef Quadrado. Por providencia.de D. Hermenegildo Fernandez de Burímda, juez comisionado subalternó en el ducado de Escalona , con residencia .-en la villa de Domingo Perez, se subastan 45,1^ fanegas de tierra labrantía, 585 olivas y 1-0,350.cepas vi</t>
  </si>
  <si>
    <t>Hermenegildo Fernández de Buruhda</t>
  </si>
  <si>
    <t>stura, acuda í' la escribanía que está á cargo de Hermenegildo Perez Conejero. J Por providencia de D. Hermenegildo Fernandez de Buruhda,. juez comtsiónádo subalterno en el ducado de Escalona, con residencia en la villa de Doñaiiigo1 Pef</t>
  </si>
  <si>
    <t>Hermenegildo Fernández de Burunda</t>
  </si>
  <si>
    <t>por la escribanía de dicha comisión del cargo de D. Antonio Moreno y Acevedo. ' Por providencia de D, Hermenegildo Fernandez de Burunda, juez comisionado subalterno en el ducado de Escalona, con residencia en la villa de DomingosPerez , se han sacado á pública subasta 740 olivas y 11 tocones, 5 64^ fanegas de tier</t>
  </si>
  <si>
    <t>nía que desempeñaIJoséf Benito JO. ^ - ■ , ■‘ . • .. ¡ ¡ : ' ; ‘ ' i t"', &gt;' ¡I Por; previdencia de,D. Hermenegildo Fernandez de Burunda., j\rez .comisionad^ subalterno en el ducado de Escalona, con residencia en la villa de Domingo-Perez, se ha señalado el dia 7 de abril próximo para el remate de dos labranzas sit</t>
  </si>
  <si>
    <t>Hermenógilda Restituía y Vicen</t>
  </si>
  <si>
    <t>....... 3 00 248 D. Josef Antolin de Náxera.............................. Burgos......... 1000 47 2 Doña Hermenógilda Restituía y Doña Vicen*/ ta de Berruete.v.............................................. Bilbao.......... 500 í 548 D.-Bonifacio de Tosantos................................ . Bilbao...... 300 1924 D. Ant</t>
  </si>
  <si>
    <t>Hermida, Benito</t>
  </si>
  <si>
    <t>Benito Hermida</t>
  </si>
  <si>
    <t>mbrar secretario dé Estado y del Despacho al Sr. D. Pedro Cévallos; deL de Gracia y Justicia al Sr. D. Benito Hermida; del de Guerra al Sr. D. Antonio Cornel; del de Marina al Sr. D. Antonio Escaño; del de Hacienda, al Sr. D. Francisco Saavedra; y por secretario de Estado y general de la misma ju</t>
  </si>
  <si>
    <t>Hermosilla, Miguel</t>
  </si>
  <si>
    <t>Miguel Hermosilla</t>
  </si>
  <si>
    <t>e seguir la división; pero se ignora quales fueron los causales que le impidieron llegar á Nieborg. D. Miguel Hermosilla, brigadier del real cuerpo de ingenieros; D. Josef María de Retz y D. Vicente Boado, sargentos mayores de id.; D. Vicente Silvestre, médico consultor; D. SerapioSaviñac, pagador:</t>
  </si>
  <si>
    <t>Hermosilla, Pedro</t>
  </si>
  <si>
    <t>Pedro Hermosilla</t>
  </si>
  <si>
    <t>aguna, vicario general. D. Josef González Dávila, teniente coronel del real cuerpo de ingenieros; y D. Pedro Hermosilla, subteniente de dicho cuerpo. Ministerio de real hacienda. , D. Lá*árodé las Heras, intendente honorario, y ministro de real hacienda-, en Londres. &gt; D. Manuel Vitaoarros, contado</t>
  </si>
  <si>
    <t>Hermoso Dara, Juan</t>
  </si>
  <si>
    <t>Juan Hermoso Dara</t>
  </si>
  <si>
    <t>Latina. Don Cristóbal Olmedo, de id. D. Pedro Acevedo id. D. Rafael Guerra, eclesiástico de dicha. D. Juan Hermoso Dara,-alcalde. D. Bernardino Quirós, cura de Santiago. D. Miguel Wanderbick, diputado de la Bueña-dicha. D. Josef Aldave , de Sta. Isabel. D. Antonio Ramón Fernandez, secretario de la</t>
  </si>
  <si>
    <t>Hermoso Daza, Francisco</t>
  </si>
  <si>
    <t>Francisco Hermoso Daza</t>
  </si>
  <si>
    <t>... : 300 1320 D. Pablo Dujordain......................................... . Valencia..... 300 1108 D. Francisco Hermoso Daza.......:.................. . Madrid....... . 300 2349 D. Vicente González......................................... Zaragoza..... 300 609 D. Santiago Neviet.........................</t>
  </si>
  <si>
    <t>Hernaez Jornalo, Benito</t>
  </si>
  <si>
    <t>Benito Hernaez Jornalo</t>
  </si>
  <si>
    <t>Niürreros tetes de las en acciones. Nombres de los interesados. GemsEÍonadrs. Rs. vn. -764 D. Benito Hernaez Jornalo....... Madrid....... 3°° ,, (Fent »■) 2.945 &lt;adiz. &lt;viraW-&gt; -4OCO lela dej 2179 D. Lorenzo Vicente Paz................. Coruña........ 3CO 17 «4 D.¡ Juan de Mata Gallardo.........</t>
  </si>
  <si>
    <t>Hernaiz, Pedro</t>
  </si>
  <si>
    <t>Pedro Hernaiz</t>
  </si>
  <si>
    <t>z 160, Doña Isabel Perez 90 rs. 8 mrs. y D. Manuel Martínez de Aedo 60* medio en efectos de estado. D. Pedro Hernaiz 60. Doña T. P., 160. D^ J. F. y'S. 3P0 rsíiófmrs; ! Di Manuel Ruiz González y su muD. Antonio García 200. ger Doña Josefa López 206 rs. 12 D. Francisco García* de Arias 12a. r nir</t>
  </si>
  <si>
    <t>Hernández de Gregorio, Manuel</t>
  </si>
  <si>
    <t>Manuel Hernández de Gregorio</t>
  </si>
  <si>
    <t>Antonio Alvarez?.administrador déla real Cartuxa del Paular^, 2id., por, agosto... ...v.. .é*.6.2. D. Manuel Hernández de Gregorio, boticario dé cámara de S. M. ,1 ' . 3 id. por agosto............................. .............................................. 93» D. J. A. C., 3 id. durante 2 años , por 12 me</t>
  </si>
  <si>
    <t>Hernández Llano, Joaquín</t>
  </si>
  <si>
    <t>Joaquín Hernández Llano</t>
  </si>
  <si>
    <t>23 Rs. Mrs. D. Eugenio de Arrieta, médico, por una vez.............. ................. 160. D. Joaquin Hernández Llano, corredor de cambios, por una vez. 4000. D. Juan González Toraño, por una vez.....................t................... 32°. D. Pedro Texedor, oficial de la contaduría de juros, po</t>
  </si>
  <si>
    <t>Hernández Medina, Antonio</t>
  </si>
  <si>
    <t>Antonio Hernández Medina</t>
  </si>
  <si>
    <t>................ 60. D. Josef Teodoro Santos, abogado, id.................................... IOCO. D. Antonio Hernández Medina , ayuda de furriera de S. M., id. 200. Juan Acero, tendero, id....... ...... .................................... ........... 520. D. Bartolomé López, id..........................</t>
  </si>
  <si>
    <t>Hernández Sonsola, Benito</t>
  </si>
  <si>
    <t>Benito Hernández Sonsola</t>
  </si>
  <si>
    <t>or agosto á 2 rs; diarios, por id. 62. D. Josef Casas, por agosto á 120 rs. mensuales, por id. 120. D. Benito Hernández Sonsola, por una vez 1100 rs. D. Luis Viana, del comercio de libros, por id. 500 rs. La viuda de Barco Lópezdel comercio de libros, por id. 500 rs. D. Antonio Montero, id. 100 rs. D. Germ</t>
  </si>
  <si>
    <t>Hernández, Antonio</t>
  </si>
  <si>
    <t>Antonio Hernández</t>
  </si>
  <si>
    <t>........ 60. El gremio de esparteros de esta corte, id....................................... 2000. D. Antonio Hernández, cirujano de familia, en un libramiento dei Fondo vitalicio, id............................................................... . 1440. D. Josef María de Galdos, agente de negocios</t>
  </si>
  <si>
    <t>Hernández, Diego</t>
  </si>
  <si>
    <t>Diego Hernández</t>
  </si>
  <si>
    <t>...................... 2500.’ D. Juan de Herrezuelo, agente de negocios, id................. . 54c. D. Diego Hernández, id............................................ ............... . JCCC. D. Diego Crespo de Tejada, cambiante, id........... .............. ..... 3000. D. Pedro Benito y Losada, á</t>
  </si>
  <si>
    <t>Hernández, Fernando</t>
  </si>
  <si>
    <t>Fernando Hernández</t>
  </si>
  <si>
    <t>para una ración de la catedral dé Avila, vacante por muerte de D. Miguel Celestino dé la Madrid , á D. Fernando Hernández: para el beneficio de la villa de Cañetedelas Torresyen el obispado de Córdoba, vacante por fallecimiento de D. Diego Caballero , y el arcíprestazgo benefició simple de Sta. Cruz</t>
  </si>
  <si>
    <t>Hernández, Francisco</t>
  </si>
  <si>
    <t>Francisco Hernández</t>
  </si>
  <si>
    <t>cial de la tesorería de los Sres. Infantes, por una ....."..............y;..}..!..;.......... 5 00. D. Francisco Hernández , inozo de oficio del guadarnés de la real caballeriza, por una ver..................................... ................ loo. MárcosMoratíHa, oficial de coches,, por una vez.....</t>
  </si>
  <si>
    <t>general del infante Don Pedro, por agosto, á 12 rs. diarios.................................. 372. D. Francisco Hernández, tintorero, por 6 meses á 2 rs. diarios. 368. El comisario ordenador de artillería D. Alexándro de Silva y Áyaaz, 500 rs. por una vez, y 1080 por 6 meses á 6 rs. diarios..........</t>
  </si>
  <si>
    <t>Hernández, Nicolás</t>
  </si>
  <si>
    <t>Nicolás Hernández</t>
  </si>
  <si>
    <t>...... . Madrid........ 300 285 El Convento de Sta. Cruz de Granada......... Málaga........ 500 405 D. Nicolás Hernández, contador de marina... Coruña....... . 300 1310 D. Bernardo Crespo de Iizauspea................... Valencia..... 6oo 1338 D. Silvestre Jordán para D. Luis López........ Valencia..</t>
  </si>
  <si>
    <t>....................... . Madrid....... 300 1898 D. .Francisco del Campo..• Zaragoza...... 1500 410 D. Nicolás Hernández..................... . Coruñá 3° o 1186 D. Latino Banet............... .......................................... Barcelona.... 600 872 D» Francisco Rodríguez............«•«.—....</t>
  </si>
  <si>
    <t>Hernández, Pedro</t>
  </si>
  <si>
    <t>Pedro Hernández</t>
  </si>
  <si>
    <t>id........ 300 3^1 D. Angel Ximenez de Diego................ i...... ... Cád iz......... . 300 2177 D. Pedro Hernández...................................... ... Coruña........ ifoo 66) D. Manuel Cuevas.......................................... ... Madrid....... 1500 2000 Doña María del Rosario Bar</t>
  </si>
  <si>
    <t>Hernández, Rafael</t>
  </si>
  <si>
    <t>Rafael Hernández</t>
  </si>
  <si>
    <t>María Simancas, viuda, 120* y los vecinos dé dicho barrió; ■ * • -D.' 'Manuel González de Lobera y D. Rafael Hernández, cura dé la compañía 800. parroquia de S¿ Sebastián , loo r?. D. M. R. M. foo rs. en cédulas.</t>
  </si>
  <si>
    <t>Hernando Briongos, Francisco</t>
  </si>
  <si>
    <t>Francisco Hernando Briongos</t>
  </si>
  <si>
    <t>..... 300 849 D. Tomas Vilíareal............................................ Madrid ....... 500 641 D. Francisco Hernando Briongos y compañía. Madrid....... 3 00 2172 D. Josef Mendez de Vigo................. .............. Coruña....... 300 1846 D. Pedro Roca.....................................................</t>
  </si>
  <si>
    <t>Hernando Gómez, Francisco</t>
  </si>
  <si>
    <t>Francisco Hernando Gómez</t>
  </si>
  <si>
    <t>Vitoria Sánchez 1 de estopilla usada. Elíñarques de N. 50. Doña Paula Martínez 6 de crea. D. N. 3, D. Francisco Hernando Gómez 152I varas de estopa. Doña María Bernarda Ortiz Guinea y Teran 4. Dia 24. D. Pedro Arnaez , presbítero, 2 camisas. D. Manuel Martínez de Haedo y Doña Bernarda Arnaez 2. D. Fernand</t>
  </si>
  <si>
    <t>Hernando, Antonio</t>
  </si>
  <si>
    <t>Antonio Hernando</t>
  </si>
  <si>
    <t>el de Africa D. Pedro Labastida, del mismo de Toledo D. Nicolás Darctmrt, del expresado de Mallorca D. Antonio Hernando, del propio de Irlanda D. Patricio Kearney, del inmemorial del Rei D. Carlos de los Ríos , y del de Ñapóles D. Manuel Masoauta. JEn América. Habiéndose dignado S. M. aumentar dos</t>
  </si>
  <si>
    <t>Herrarte, Andrés</t>
  </si>
  <si>
    <t>Andrés Herrarte</t>
  </si>
  <si>
    <t>r sobre carro de; nueva invención ,, presentado alSermo. Sr* Príncipe G.encrairsimo, Almirante por D. Andrés Herrarte, maestro arcabucero en Valladolid, con dos K-r minas en que.se representa el mecanismo del citado carro, y el aparato de que se ▼alio la brigada para las pruebas. Se vende en la l</t>
  </si>
  <si>
    <t>Herrera, Félix</t>
  </si>
  <si>
    <t>Félix Herrera</t>
  </si>
  <si>
    <t>Sevilla 12</t>
  </si>
  <si>
    <t>V~ Sevilla 9. de Julie. D. Félix Herrera, comisario de guerra honorario , Cónsul de España en la pinza de Gibrultar, y comisionado del E xemo. Sr. Castaño» por orden de S. A. S. el Sr. Presidente de esta Suprema Junta de</t>
  </si>
  <si>
    <t>Herrera, Gerónimo</t>
  </si>
  <si>
    <t>Gerónimo Herrera</t>
  </si>
  <si>
    <t>adrid.....» 1500 471 D. Vicente Crespoí...»»;;»»»»»...»..... •............ Bilbao......... 500 *444 D. Gerónimo Herrera.......................................... Santander.... 300 1626 D. Ramón‘de Sta.* Gruz*............................... Santander.... 300 1920 D. Bernardo Guichot.................</t>
  </si>
  <si>
    <t>Herrero, Francisco Antonio</t>
  </si>
  <si>
    <t>Francisco Antonio Herrero</t>
  </si>
  <si>
    <t>nuel de Peralta. ..¿..................................................... Cádiz........... 500 1291 D. Francisco Antonio Herrero, procurador... Valencia.... 39° *739 D. Dámaso Machuca........................................... Cádiz......... 600 2275 Doña María Pilar de Atristain............... ...... . Bil</t>
  </si>
  <si>
    <t>Herrero, Julián</t>
  </si>
  <si>
    <t>Julián Herrero</t>
  </si>
  <si>
    <t>Ara vaca 9 vales:-reales de 150 pesos de la creación de i.° dé enero de 1808, renovados á favor de D. Julián Herrero, vecino de Ja misma villa, sin endoso alguno, núms. 267332,; '26^439» 267688 267789;,. 267839, 267901 , &gt;26797$ y 1679-76JQuien supiere de sp ¡paradero,^ se: servirá avisar* al ex</t>
  </si>
  <si>
    <t>Herrero, Miguel</t>
  </si>
  <si>
    <t>Miguel Herrero</t>
  </si>
  <si>
    <t>varas de lienzo; D. L . 2. camisas. Doña Andrea Luna 4 camisas. D. B. S. una. D. Joaquín García 2. D. Miguel Herrero 2. El convento de religiosas de S. FerD. Joaquín Lemaire y Villareál 7 nando S. ; camisas, 4 pares de calcetas , 2 al­ DoñarFV F: ‘2t; ■■ millas y un chaleco , un pantalón, D. Gab</t>
  </si>
  <si>
    <t>Herreros, Juan Manuel</t>
  </si>
  <si>
    <t>Juan Manuel Herreros</t>
  </si>
  <si>
    <t>ispersas de Somosierra: se dice que esta gente que recoja irá á Despeñaperros.=Rafael Moreno. = Sr. D. Juan Manuel Herreros. • - * ; » ' N. 5.0 Aunque tengo escrito de lasMotilías, lo hago por si llega correo para decirles'convendrá trasladarse á lá quintería con granosy comestibles &amp;c., y ocultar todo</t>
  </si>
  <si>
    <t>Hervás, Antonio</t>
  </si>
  <si>
    <t>Antonio Hervás</t>
  </si>
  <si>
    <t>ona Bernarda Arnaiz de Vivaneo, 50 rs. mensuales, y 260 por una vez........................... 310. D. Antonio Hervás, vidriero, id............. ..................................... . $00. D. Josef Meneses, en intereses de vales reales, id........................ 180 if* D. Lu is López de Para,</t>
  </si>
  <si>
    <t>Hev Dairimple</t>
  </si>
  <si>
    <t>gas en honor de los valerosos patriotas españoles. El dia estábil hermoso y se pasó en regocijos. ; Sir Hev Dairimple mandará en gefe la expedición del Sur, y los generales Moore , Velleslei y Spencer servirán baxo sus órdenes. Gibraltar será el quartel general de este exército, compuesto de 40©</t>
  </si>
  <si>
    <t>Hew Dalrimple</t>
  </si>
  <si>
    <t>ducirló por mar; pero después ha parecido., mas !éomreniente que haga el viage por tierral ' : 1 ■" Sir Hew Dalrimple ha pedido que se forme consejo de guerra sobre sn conducta en Portugal, y se ha opuesto al pensamiento de que las averiguaciones se fisgan privadamente en Horse Guards. Este proce</t>
  </si>
  <si>
    <t>ontenido entero de él hasta que he leído á mi arribo á Inglaterra los papeles públicos de Londres.” Sir Hew Dalrimple dixo: ,, Inmediatamente que desembarqué en las cortas de Portugal, despaché un edecán á sir Welleslei para prevenirle que yo ao pensaba en tomar el mando de las tropas; pero por d</t>
  </si>
  <si>
    <t>HeW Dalrympfe</t>
  </si>
  <si>
    <t>hn Moore llegó a esta el sábado en la noche , y tuvo una larga conferencia con el lord Castlereagb. Sir HeW Dalrympfe mandará en gefe la expedición* del Sur, y los generales Moore , Wdiesley y Spencer servirán baxo sus órdenes. Gibraltar será el quartel general de este exército , compuesto de 409</t>
  </si>
  <si>
    <t>Hidalgo Amores, Benito</t>
  </si>
  <si>
    <t>Benito Hidalgo Amores</t>
  </si>
  <si>
    <t>te: para la canongía de la colegiata de S. Hipólito de la ciudad de Córdoba , vacante por muerte de D Benito Hidalgo Amores, ¿J). Santos Quixada Alaiza: para una ración de la catedral de Cuenca., vacante ¡por fallecimiento de D. Patricio Sánchez Hidalgo , í D, Gerónimo Requejo, medio-racionero de la mi</t>
  </si>
  <si>
    <t>Hidalgo, Joaquín</t>
  </si>
  <si>
    <t>Joaquín Hidalgo</t>
  </si>
  <si>
    <t>ión de este destino: para la canongía de la metropolitana de Zaragoza, vacante por fallecimiento de D. Joaquín Hidalgo, á D. Tomas Sendis, presbítero , rectcr.de la villa de Cretas, en Aragón: para una ración de la parroquial de la villa de Benavarre, diócesi de Lérida, á D. Francisco Cosíais: par</t>
  </si>
  <si>
    <t>Hidalgo, Juan Antonio</t>
  </si>
  <si>
    <t>Juan Antonio Hidalgo</t>
  </si>
  <si>
    <t>^la-raciqn dé,la metropolitana de Granada, afecta á la yqgr.de órgano de ella,vacante por muerte de D. Juan Antonio Hidalgo;, á p. Francisco Josef Roure: para una capellanía del aúmero de la catedral :de Guadix, vacante por fallecimiento de D. Torquato Segura, á P. Josef Perez Cínico y Montes, capellán</t>
  </si>
  <si>
    <t>Higinio Antonio Lorente</t>
  </si>
  <si>
    <t>......... 120. Josef Rqdriguez, 10 id. por agosto...................... ....................... IO. D. Higinio Antonio Lorente, médico honorario de cámara, 541 . rs. y .17 mrs. en intereses de vales reales de 1800 por una vez ,^y ademas 2 rs. diarios, por 2 meses................................ 663 17. D.</t>
  </si>
  <si>
    <t>Hilario Mendinueta</t>
  </si>
  <si>
    <t>ares.................................................................. . . 600. El teniente coronel D. Hilario Mendinueta................................ iocgo. D. Josef González , portero de las. oficinas del señor conde de A ltamira , pór una vez * •'•••*•• • • •••*»•«*.«.••••* ••■*••••« ....... 4Q</t>
  </si>
  <si>
    <t>Hilario Rodríguez, Juan</t>
  </si>
  <si>
    <t>Juan Hilario Rodríguez</t>
  </si>
  <si>
    <t>Arnedo.......... .. Madrid....... 300 1282 Excmo. Sr. D. Félix Berenguer .. Valencia...., 3 00 2167 D. Juan Hilario Rodríguez...*.. Coruña...;*.* 30 0</t>
  </si>
  <si>
    <t>Hilario Ximenez</t>
  </si>
  <si>
    <t>. Madrid....... 300 486 D. Francisco Xavier de Laviesca.................... Bilbao........ 500 2453 D. Hilario Ximenez......................... ........ Zaragoza..... 300 1335 Doña Antonia Rodríguez, viuda de Delgado. Valencia..... 300 473 D. Martin de Aldanav.......................... Bilbao..300</t>
  </si>
  <si>
    <t>...... oóo i2if D. Juan de Aiuruaga,....................... ............... Bilbao........ 500 2452 D, Hilario Ximenez................ . Zaragoza.—. ; : fO® 2090 D, Manuel de Zafra Gal legos.. ........' ■*#••• • 39® 1614 D. Josef Domingo de Aguirre..,, SiÍlXiQ* MIMM 190 205 D. Josef Adalid.» del c</t>
  </si>
  <si>
    <t>Hilarión Salcedo</t>
  </si>
  <si>
    <t>............... 160. D. Antonio Becerril, un real diario, y 320, id........................... 320. D. Hilarión Salcedo, un libramiento contra la caxa de Consolidación, id................................................ ...... .............................. 2120. D. N icoias del Castillo, id.......</t>
  </si>
  <si>
    <t>Hilaripn de Pazos</t>
  </si>
  <si>
    <t>s, graduado de capitán, D. Joaquín de Eguiarreta: en el de León compañía al caballero page de S. M. D. Hilaripn de Pazos: en el de Irlanda compañías al teniente de granaderos D. Ignacio Husey y al ayudante D. Antonio Barredas, ambos graduados de capitán; ayudantía al teniente de granaderos D. Josef</t>
  </si>
  <si>
    <t>Hilf</t>
  </si>
  <si>
    <t>» y nada menos que siete médicos franceses tuvieron este honor* Luciano Bonaparte ha solicitado de Mr. Hilf9 ministro ingles en Caglari , pasaportes del g íbierno británico para él y su familia » á fin de trasladarse á América* E;te paso prueba» que Luciano no juzga muy favorable para J</t>
  </si>
  <si>
    <t>Hipo</t>
  </si>
  <si>
    <t>‘ y ''/ * j- * D. v ■ - ; -• ' - ¡l T D. Gregorio Bañares 6 camisas. ' D. Bernardino'Qüiros 6. 1 " D, Hipo! ¡ to Ru iz 2, El brigadier D. Miguel dé Gamboa y X). F. 2 y 2 medias. su hermana 4. D. Vicente Pereda 6 camisas. r Doña Joaquina Gómez 2. D. Francisco Gil una. . "v / D Francisco</t>
  </si>
  <si>
    <t>Hipólito</t>
  </si>
  <si>
    <t>............ ............. . 300, D. Gregorio *Rutz* Cotorro, su mancebo, por una vez......... 2co. D. Hipólito, Ruiz , boticario, por una vez.......y....,................... 1900. Juan Hoya , pelriqueroy por una yer.....».».» ........»»..-....... 200. D. Pedro Cuende, escribano de cámára d</t>
  </si>
  <si>
    <t>Hipólito del Valle</t>
  </si>
  <si>
    <t>........ 60. D. Estanislao Gaya , 60 id. id.................................................... 60. D. Hipólito del Valle, 100 id............................ .................. . 100. D. Aniceto de Cuevas, 50 id......................................................... 50. D. Francisco Peñaredonda, 12</t>
  </si>
  <si>
    <t>Hipólito Esteve</t>
  </si>
  <si>
    <t>... 1 P. Ramón Lancha:.:........... . 2 D. Matias Bayo.................................... •1 1 i ■ D. Hipólito Esteve, director de la escuela veterinaria........................... 1 D. Simón de Sta. María , dependien^ té de los cinco gremios................... 1 muleto de 5 años. El marques de S</t>
  </si>
  <si>
    <t>Hipólito Manuel de Quanda</t>
  </si>
  <si>
    <t>bao...... 500 2049 D. Francisco Xavier Castaños........................... Cádiz........... 600 631 D. Hipólito Manuel de Quanda....................... Madrid....... 5 000 2337 Coronel D; Ignacio de la Justicia......... .......... Zaragoza..... 300 583 Doña Teresa Escoin y Trigo.............................</t>
  </si>
  <si>
    <t>Hipólito' Fernández de Retana</t>
  </si>
  <si>
    <t>rid....... 1000 165 D. Josef Izquierdo Ortihuela........ .................. Valencia..... 300 %y\ 2 D. Hipólito' Fernandez de Retana.................... Cádiz........... 300 2002 D. Santiago Cavarrbuy...... ...................... . Cádiz........... 6co 1797 D. Esteban Tuquien y D. Juan Montapan.... Cádiz.......</t>
  </si>
  <si>
    <t>Hipólito’Rodrigálvaréz</t>
  </si>
  <si>
    <t>ilicias agregado á esta plaza, á‘cuenta de la oferta que tiene hecha de todo su sueldo........ 700. D. Hipólito’Rodrigálvaréz , un real diario, por 2 meses........... 62. Doña J. P. ,‘por una vez............ .................................................. 100. Doña María Valladares y D. Gregorio Noboa</t>
  </si>
  <si>
    <t>Hirth, Jorge</t>
  </si>
  <si>
    <t>Jorge Hirth</t>
  </si>
  <si>
    <t>subteniente de granaderos D. Nicolás Buman; y en el de WimpfFen á subteniente de bandera al cadete D. Jorge Hirth» , S..M» sé ha servido conceder en él* regimiento, de infantería de Léon subtenencia, de barídeia al sargento primero D- Pedré dél Yénro. ' El Ref sé ha servido conferir 14 tenenc</t>
  </si>
  <si>
    <t>Hislop, Tomás</t>
  </si>
  <si>
    <t>Tomás Hislop</t>
  </si>
  <si>
    <t>y) causado di 14* habitantes una .pérdida de mas de ún millón de libras esterlinas:, el gobernador Mr. Tomas Hislop ha escritaiinmediátamente. á la&gt; Barbadá ; a Granada* v á-,diferentes puertos del continente español), solicitando;ios ñias* prontas corros pará los malhadados hkbiíantei de dapci</t>
  </si>
  <si>
    <t>Hogendorp</t>
  </si>
  <si>
    <t>jtfsticia y de policía, pasa al de las colonias, y le sucede el consejero de estado VanrMaunen. ■&gt; Mr. Hogendorp, ministro de la guerra, ha sido nombrado ministro plenipotenciario y enviado extraordinario á la corte de Viena. : -El. -ministerio» de ia guerra se ha conferido, al:consejefo 4Qr</t>
  </si>
  <si>
    <t>Hollandse, Lord</t>
  </si>
  <si>
    <t>Lord Hollandse</t>
  </si>
  <si>
    <t>on los motivos que podían haber determinado á los ministros de S. M. á emprender? dicha expedición. Lord Hollandse opuso diciendo, que aunque él estimaba, como era justo , el méritoy los talentos de los oficiales de que se trata, pensaba no obstante que no debía vulgarizarse asi una distinción</t>
  </si>
  <si>
    <t>Holsten</t>
  </si>
  <si>
    <t>ción franca y positiva sobre la materia, y que se sirva contestarme por el portador de esta, que es Mr. Holsten, teniente de la marina real. = Quedo &amp;c. Núm. 4.0 Respuesta del barón de VVetterstedt al conde de Bernstorjf. JJelsingborg 27 ae octubre de 1807. He recibido esta tarde por mano d</t>
  </si>
  <si>
    <t>Holtz, Carlos</t>
  </si>
  <si>
    <t>Carlos Holtz</t>
  </si>
  <si>
    <t>n mes.......... 500. D. Vicente Sancho ¿ arquitecto, por un mes......... .............. ...... 320. D. Cárlos Holtz , maestro antera, por una vez...................... . 400. D. Baltasar Untoria, mancebo de D. Miguel Angel Sancho, por un año anticipado......».»;.»».,»..»».,»»»»...... . 6co. D.</t>
  </si>
  <si>
    <t>Honorato de Fleires</t>
  </si>
  <si>
    <t>n 500 hombres para el servició de guerrillas y vanguardia: segttfán 50 zapadores reales al mando de D. Honorato de Fleires, 2 violentos al del teniente del real cuerpo de artillería D. Diego de Lara. La segunda división, compuesta de 200 hombres dé infantería de Soria con 948 miqueletes, al mando del</t>
  </si>
  <si>
    <t>Honorato Joan</t>
  </si>
  <si>
    <t>reino de Valencia, desde la plana exclusive hasta salir del reino por Aragón y Cataluña; la vida de D, Honorato Joan; un extracto de la historia de la conquista y de las revoluciones del Perú, por Alfonso Beauchámp; una carta del Br. de Fórnoles; y el artículo variedades. Se hallará con los ante</t>
  </si>
  <si>
    <t>Hookham Frere, Juan</t>
  </si>
  <si>
    <t>Juan Hookham Frere</t>
  </si>
  <si>
    <t>para las naciones inglesa y española, porque en este dia se verificó la presentación del-Expmo. Sr. D. Juan Hookham Frere en calidad de ministro plenipotenciario y enviado extraordinario de S. M. B. cerca de- -nuestro amado Reí Fjer^anpq yn, y durante, su desgraciada . ausencia-cerca de la suprema Junt</t>
  </si>
  <si>
    <t>Hore, Vicente</t>
  </si>
  <si>
    <t>Vicente Hore</t>
  </si>
  <si>
    <t>Eaodicea, cuadmilustrador de este, arzobispado , nombrado después del desestimiento del Exorno Sr. D. Vicente Hore, y el Bxcmo. ,Sr. Conde de Tiily,. CON SUPERIOR PERMISO. EN LA TMPRENXA DE LA VIUDA DE HIDALGO V SOBRINO.</t>
  </si>
  <si>
    <t>leslei. ESPAÑA. Sevilla 24 de agosto. Acta de la junta suprema celebrada en este dia. El Excmo. Sr. D. Vicente Hore, asistente de esta ciudad, consejero honorario de estado, y vocal de esta suprema junta, y nombrado por ella como uno de sus diputados á la Junta central ó supremo gobierno, habie</t>
  </si>
  <si>
    <t>Hormaechea, Martín</t>
  </si>
  <si>
    <t>Martín Hormaechea</t>
  </si>
  <si>
    <t>8 muertos, 38 heridos, inclusos, el sargento mayor de húsares D. Casimiro Loy, y el cadete de Soria D. Martin Hormaechea, y 12 extraviados; 10 caballos muertos y 11 heridos. N v Encarece por igual el general Caldagués el valor y entusiasmo de toda la oficialidad y tropa de ; infantería ,; caballería</t>
  </si>
  <si>
    <t>Hornera Valdes, Andrés</t>
  </si>
  <si>
    <t>Andrés Hornera Valdes</t>
  </si>
  <si>
    <t>S la^TGViGNTE: M - ' :ori:; • . ' • ; . •’ •: • r: ■ - ■ • \ 1i ' Quartel de Maravillas. El alcalde D. Andrés Hornera Valdes hará I*1 dc Buenavjsta , S. Plácido y Buenadicha. - - ■* ' j ^ &gt; * * o i Et regidor D.ManüeldeStti ClarayS. ¿Basilio. ¿ q o?-, ^ ai v JEI regida Dí Fraricisqo Taoaa, Silldefoiwo;^</t>
  </si>
  <si>
    <t>Hoürquet, Pedro</t>
  </si>
  <si>
    <t>Pedro Hoürquet</t>
  </si>
  <si>
    <t>........ 500 628 D. Teodoro Cía............................................ Madrid....... ? 00 2122 D. Pedro Hoürquet..................................... Zaragoza..... 3 00 319 Pablo del Valle y Llera.............................. Málaga........ IOOCO 364 D. Bernardo de Nueve-Iglesias...........</t>
  </si>
  <si>
    <t>Howe, Tomás</t>
  </si>
  <si>
    <t>Tomás Howe</t>
  </si>
  <si>
    <t>todos se han portado como unos héroes, especialmente los soldados ingleses al mando de su teniente D. Tomas Howe; y nuestra pérdida solo ha sido de tres soldados ingleses, los dos gravemente heridos, un paysano y un soldado del regimiento de Uitonia también herido. Contusos han salido un sar</t>
  </si>
  <si>
    <t>Hubach, Ángel</t>
  </si>
  <si>
    <t>Ángel Hubach</t>
  </si>
  <si>
    <t>JósefMaría Santelices , D. Josef Matías Costa, Don Juan Domingo Allende , D. Juan Francisco Diaz , D. Angel Hubach ; á los subtenientes del cuerpo de patriotas; D. Miguel Mugra, D. Vicente Bordas, D. Juan Bautista Viton, D. Julián Corbera, D. Juan Pedro Macharen! , D. Roque Laurel, D. Ramón Ur</t>
  </si>
  <si>
    <t>Huberto</t>
  </si>
  <si>
    <t>el partido de retirarse sin mas pérdida que 15 heridos. Ha fallecido el 15 de abril en está capital Mr. Huberto 'Robert-, pintor acreditado, consiliario que fue de la antigua academia de pintara y escultura, individuo honorario de la administración del museo imperial-, y’socio de la academi</t>
  </si>
  <si>
    <t>Hueber, Felipe</t>
  </si>
  <si>
    <t>Felipe Hueber</t>
  </si>
  <si>
    <t>1286 # • D. Felipe Hueber 2 camisas. Doña María Josefa la Sala y Callen Doña Teodora Salazar de Sepúlve- libra y media de hilas. da 6. Doña Evarísta Vizcaíno 4. La Sra. de ligarte 2. D. F. N. 2 Doña Franci</t>
  </si>
  <si>
    <t>Huerta y García, Francisco Xavier</t>
  </si>
  <si>
    <t>Francisco Xavier Huerta y García</t>
  </si>
  <si>
    <t>0. D. Diego Panlagua, id............................. ........................................ 500. D. Francisco Xavier Huerta y García, id................................. 320. D. N. N. , id..................................................................................... 120. D. Domingo del Valle, id.........</t>
  </si>
  <si>
    <t>Hugo de Moncada</t>
  </si>
  <si>
    <t>s cartagineses: idea general de la estadística de la Plana de Casteíló: la conclusión de la vida de D. Hugo de Moneada: varias refle-J xiones acerca ¡de España,considerada como guerrera, y comparada coa las demas na- ’ ciones de Europa: anécdota: nótíeiá y. crítica de las: modas del día*, y alguno</t>
  </si>
  <si>
    <t>Huguet, Pedro</t>
  </si>
  <si>
    <t>Pedro Huguet</t>
  </si>
  <si>
    <t>... D. Josef Alvarez Baragaña. En Zaragoza......... D. Tomas de la Madrid. En Zeiita............... D. Pedro Huguet, comisionado subalterno del de Cádiz. Desde hoi i.° de abril hasta 31 de mayo se renovarán en la tesorería de la real caxa de consolidación los vales-dinero de 600 y 300 pesos de</t>
  </si>
  <si>
    <t>diz................ D. Benito de la Piedra. En Cartagena...... D. Bernardo de Elizalde. En Ceuta... D. Pedro Huguet. En Ciudad-Real.. D. Ramón Antonio Pico. En Córdoba...¿...... Sres. Barcia, padre é hijo. En la Cortina....... D. Manuel Elzaurdi. En Cuenca............ Sres. viuda de Escolar, No</t>
  </si>
  <si>
    <t>.... . D. Benito de la Piedr^. ¡ En Cartagena....... D. Bernardo Elizajde. En Ceuta................ D. Pedro Huguet, cami&amp;iopado subalterno del de Cádiz.</t>
  </si>
  <si>
    <t>Huid, Martín Antonio</t>
  </si>
  <si>
    <t>Martín Antonio Huid</t>
  </si>
  <si>
    <t>......................... 500. D. M&gt;gnel García, dependiente de ía imprenta real, por una vez. 240. D. Martin Antonio Huid., director de la cójnpañía de Filipinas, en 3 vales reales de 150 pesos de enero, por ahora......... 6949 24» D. Rodrigo de Pozas, confitero, por una vez..... ....................</t>
  </si>
  <si>
    <t>Humboldt</t>
  </si>
  <si>
    <t>. 0 Él título de esta obra, Ja qual es una nueva prueba de la universalidad de los conocimientos de Mr. Humboldt , y una de las partes mas útiles de su memorable viage, manifiesta por sí solo bastantemente el fin que se ha propuesto el autor, y la importancia del objeto de que trata. El mapa</t>
  </si>
  <si>
    <t>enormes que existían sobre la posición de las ciudades principales del nuevo continente, antes que Mr. Humboldt los hubiese rectificado con sus observaciones. La longitud de México, por exeneplo, estaba equivocada en mas de dos grados y medio; la de Quito cerca de un grado-; muchos puntos del c</t>
  </si>
  <si>
    <t>do ilustrado, qüe apoyado sobre datos fixos y precisos, calcula los recursos y poder de una nación. Mr. Humboldt examina la influencia dél clima , del terreno y dé ía situación ^geográfica de NuevaEspaña sobre su existénciá política:, su población, su gobierno interior , su agricultura, indust</t>
  </si>
  <si>
    <t>Humboldt-sigue</t>
  </si>
  <si>
    <t>ica de la Núeva-España y.\de sus intendencias.; f? &gt; .... ,, , A las consideraciones geográficas de Mr. Humboldt-sigue un ensayo político sobre el reino de Nueva-España, y en él habla ño como sabio, sino Como hómhre de estado ilustrado, qüe apoyado sobre datos fixos y precisos, calcula los recurso</t>
  </si>
  <si>
    <t>Hume, Andrés</t>
  </si>
  <si>
    <t>Andrés Hume</t>
  </si>
  <si>
    <t>rko de Aragón. Peña María Barrios 2 camisas. D. Manuel laranco 14 meüias. D. Jorge ¥urre Tornero 5. D. Andrés Hume, nación ingle*» 2 D. Francisco y D. Juan Piélagos 4. camisas y 42. varas de lienzo. D' Santiago Malo 2 sábanas. Peña Ana-Roxo • i a camisas* D. Manuel Gil Samibañez ico varas D. A</t>
  </si>
  <si>
    <t>Humfry Davy</t>
  </si>
  <si>
    <t>s habían anunciado sucintamente y*mui á los principios, algunos periódicos franceses, esto es , que Mr. Humfry Davy, célebre físico, ingles, ha descompuesto por medio de la electricidad galbánica los álcalis potasa y sosa , exponiéndolos á la acción de la pila de Voíta, en estado sólido, pero a</t>
  </si>
  <si>
    <t>Hunter</t>
  </si>
  <si>
    <t>les apuntaba el pueblo , como objetos principales de su venganza. Murat había enviado á Santander á Mr. Hunter, Cónsul de Inglaterra, en calidad de prisionero; 'pero apenas se sup® su llegada, los vecinos de aquel puerto le dieron libertad, y en su lugar pusieron en elisiones al Cónsul fra</t>
  </si>
  <si>
    <t>Hunter, Juan</t>
  </si>
  <si>
    <t>Juan Hunter</t>
  </si>
  <si>
    <t>el gobierno francés, y en donde podía presumir que los enemigos hubiesen dexado guarnición. El Sr. D. Juan Hunter * comisionado de S. M. británica , en oficio dirigido al caballero procurador general del principado, con fecha de 12 de este mes, da parte de que Bilbao está levantado y pide soc</t>
  </si>
  <si>
    <t>igual número: queso para el exército 200© libras: pesos fuertes Ó.700©. Oviedo 20 de agosto. El Sr. D. Juan Hunter, comisionado de S. M. británica en Gijon , avisa , con fecha de ayer, al caballero procurador general del principado, que en el día 15 había pasado por delante de aquel puerto la</t>
  </si>
  <si>
    <t>Húnter, Juan</t>
  </si>
  <si>
    <t>Juan Húnter</t>
  </si>
  <si>
    <t>n fecha del 6 al Excnro. Sr. D. Vicente María de Ácevédo^ general'en «efe de este e'xércirm. El Sr. D. Juan Húnter, comisionado dé Sx M.-íbrká* nica », en oficio dirigido al procurador general del Prin* ñipado» con fecha * tz t del que corre » dá parte desque Bilbao está levantado y pide socor</t>
  </si>
  <si>
    <t>Hurtado de Mendoza, Dionisio</t>
  </si>
  <si>
    <t>Dionisio Hurtado de Mendoza</t>
  </si>
  <si>
    <t>..... ....... . 60. i Un capellán de un grande de España, 40 id.- id...»........ .............. 80. D, Dionisio Hurtado de Mendoza, 2 rs. diarios, por 2 meses... 122. 18</t>
  </si>
  <si>
    <t>Hurtado, Diego</t>
  </si>
  <si>
    <t>Diego Hurtado</t>
  </si>
  <si>
    <t>a, por una vez.......................... 300. D. Francisco Pont, por una vez................. 80. ' D. Diego Hurtado , ppr una vez........................... 400. D. Eulogio Viliazan Herrera, agente de Indias, por úna vez... 1500. D. M. W. I., presbítero, por una vez...... ........... 100. D. J.</t>
  </si>
  <si>
    <t>Husey, Ignacio</t>
  </si>
  <si>
    <t>Ignacio Husey</t>
  </si>
  <si>
    <t>caballero page de S. M. D. Hilaripn de Pazos: en el de Irlanda compañías al teniente de granaderos D. Ignacio Husey y al ayudante D. Antonio Barredas, ambos graduados de capitán; ayudantía al teniente de granaderos D. Josef María Morales; tenencias á los subtenientes D. Juan María Lator y D. Jose</t>
  </si>
  <si>
    <t>Husson</t>
  </si>
  <si>
    <t>ispo de Corfú , Mr ej. Fourcnoi, Moreau, Saint-Meri, Sábatier, Jussieu, Desessarts, Portal y otros. Mr. Husson , secretario de la sociedad, leyó á nombre de la junta central una relación ó informe sobre los progresos de la vacunación en Francia durante los años d.e t8o6 y 1807 , dividido e</t>
  </si>
  <si>
    <t>Hutchinson, Lord</t>
  </si>
  <si>
    <t>Lord Hutchinson</t>
  </si>
  <si>
    <t>te, seguramente no. le hubiera desconcertado una expedición insignificante ni una simple diversión. Lord Hutchinson ha declarado desde el principio hasta el fin de las hostilidades , que no habia que esperar fuese feliz el resultado de las. operaciones militares de los aliados. La batalla de Ei</t>
  </si>
  <si>
    <t>Huzard</t>
  </si>
  <si>
    <t>terinaria, y describiendo las tareas de la enseñanza durante el año académico que acaba de espirar. Mr. Huzard, inspector general de las escuelas veterinarias, leyó las actas de la junta censoria, nombrando á los discípulos á quienes esta había juzgado dignos de obtener los premios que la</t>
  </si>
  <si>
    <t>I DAS</t>
  </si>
  <si>
    <t>, Francisco, se vpnden varios trozos de librería con sus redes, los qué se darán con equidad. • PER D I DAS " \ El día 5 del presénte desapareció dé casa de su tio Santos Paíomareís, delectad de 11 años; pelo rublo, con algunas pecas en la cara,'y en particular detrás de las orejas, y u</t>
  </si>
  <si>
    <t>Ibáñez de la Rentería, Juan</t>
  </si>
  <si>
    <t>Juan Ibáñez de la Rentería</t>
  </si>
  <si>
    <t>. Josef Antonio de Bor ja. =sSr.D. Vicente Aguí lar y Jurado.,=:Sr. D. Felipe González Vallejo.=Sr. D. Juan Ibañez de la Rentería.=Sr. í). Esteban Antonio de Orellana. =rSr. D. Miguel Munarriz.=:Sr. D. Guillelmo de Vargas. Sr. D. Juan Josef Polo. = Sr. D. Josef Joaquin Martí.=rSr. D. Benito San Juan.=Sr. D.</t>
  </si>
  <si>
    <t>Ibáñez, Francisco</t>
  </si>
  <si>
    <t>Francisco Ibáñez</t>
  </si>
  <si>
    <t>ra señora de la Oliva; D. Miguel Escudero, D. Manuel Díaz del Rio, diputados; D. Manuel de Lejalde, D. Francisco Ibañez y D. Alexandro Dolarea y Nieva, síndicos consultores , y puestos en pie y descubiertos, á presencia de los señores alcalde y regidores de dicha ciudad, y otras muchas personas de dist</t>
  </si>
  <si>
    <t>Ibáñez, Ignacio</t>
  </si>
  <si>
    <t>Ignacio Ibáñez</t>
  </si>
  <si>
    <t>Dona Antonia Landeyro, id.&lt;40. D. Vicente Ibañez, guarda almacén cíe la renta del Plomo, y su hijo D. Ignacio Ibañez , á cuenta de 840 rs. por una vez... 70. D. Francisco Perez,, boticario, por un año...........................1200» ; D. Josef Navarro y Marcos^j d^i comercio de génerps ultrama»</t>
  </si>
  <si>
    <t>Ibáñez, Joaquín</t>
  </si>
  <si>
    <t>Joaquín Ibáñez</t>
  </si>
  <si>
    <t>.... IOOO 1560 D. Apolinar de Iguazan....;...................... ......... Bilbao......... 300 J077 D. Joaquín Ibañez......................................... . Madrid....... 300 37 D. Juan Casanovas................ ........... ........... ...... Barcelona.... 600 2303 D. Vicente DufFoo..........</t>
  </si>
  <si>
    <t>Ibáñez, Juan</t>
  </si>
  <si>
    <t>Juan Ibáñez</t>
  </si>
  <si>
    <t>la parroquial de la villa de Aldeadávila de la Ribera, diócesi de Salamanca, vacante por muerte de D. Juan Ibañez, á D. Francisco Antonio Ledesma y Nieto; y para el beneficio servidero de la parroquia de Santa María del Mercado de la villa de Alburquerque , en la diócesi de Badajoz, vacante p</t>
  </si>
  <si>
    <t>a gazeta que el no hallarse entre los sugetos nombrados para el tribunal de vigilancia y protección Don Juan Ibañez de ía Rentería, ministro del consejo supremo de Guerra, h¿ sido una equivocación; pues en efecto se halla nombrado dicho señor minis-» tro para el citado tribunal. Continua la razón</t>
  </si>
  <si>
    <t>Ibáñez, Pablo</t>
  </si>
  <si>
    <t>Pablo Ibáñez</t>
  </si>
  <si>
    <t>D. Lop»e Mazarredói............................................... ....... Bilbao......... 300 779 D. Pablo Ibáñez...................................... .......... Madrid....... 600 2357 Doña María Teresa Vergez y Noves....... Zaragoza..... 300 **53 D. Manuel de IUescas....*........ ..........</t>
  </si>
  <si>
    <t>Ibáñez, Vicente</t>
  </si>
  <si>
    <t>Vicente Ibáñez</t>
  </si>
  <si>
    <t>IOO. \L f.. ' 80. .* D. Rafael Sagués, ,id«...................1000. Dona Antonia Landeyro, id.&lt;40. D. Vicente Ibañez, guarda almacén cíe la renta del Plomo, y su hijo D. Ignacio Ibañez , á cuenta de 840 rs. por una vez... 70. D. Francisco Perez,, boticario, por un año...........................1</t>
  </si>
  <si>
    <t>Ibarra, Joaquín</t>
  </si>
  <si>
    <t>Joaquín Ibarra</t>
  </si>
  <si>
    <t>¿-■ •':tt: -J,,D.-R&lt;;.-A oh r'á Donativos de camisas y otros efectos,para ej exéretío de 'Aidgon, Á D. Joaquín Ibarra 6 camisas. Doña N. una. Una Sra. viuda 3. Doña C. B. 2 id. y 6 vendas, Dos religiosos Mercenarios calzados 6» Doña María Otero 2 camisas.. Doña, Manuela .Gilman,y:ergafa.„6. , El</t>
  </si>
  <si>
    <t>Ibarra, Pablo</t>
  </si>
  <si>
    <t>Pablo Ibarra</t>
  </si>
  <si>
    <t>encia..... 300 1424 Salvador Gambetta y Raffo.............................. Málaga........ 500 1861 D. Pablo Ibarra.................................. ................ Zaragoza..... 600 o D. Gabriel Balaez.................. ............................. Zaragoza..... 300 1960 D. Vicente Alzaibar</t>
  </si>
  <si>
    <t>Ibarroía, Domingo</t>
  </si>
  <si>
    <t>Domingo Ibarroía</t>
  </si>
  <si>
    <t>neral de azogues, por una vez.»................................ .......................... 1583 10. D. Domingo Ibarroía, individuo de los 5 gremios mayores, un vale de 150 pesos.......................................................................... 2348 ii, D. Francisco Espiera, diamantista, por</t>
  </si>
  <si>
    <t>Ibarrolá, Domingo</t>
  </si>
  <si>
    <t>Domingo Ibarrolá</t>
  </si>
  <si>
    <t>enDoñá María Nicolasa .Montero 2. v te D. Ramón Ciaran 5. 4 Doñ$.Míc.aéU, Rapftqn’á‘'Nicolási2.y im D. Domingo Ibarrolá 6. r • par 'de- calcetas'. _ ‘ ‘ y ''/ * j- * D. v ■ - ; -• ' - ¡l T D. Gregorio Bañares 6 camisas. ' D. Bernardino'Qüiros 6. 1 " D, Hipo! ¡ to Ru iz 2, El brigadier D. Miguel dé</t>
  </si>
  <si>
    <t>Ibarrola, Manuel</t>
  </si>
  <si>
    <t>Manuel Ibarrola</t>
  </si>
  <si>
    <t>D. Manuel Ibarrola,teniente coronel del referido &lt;de Sagunto v la tenencia coronela del de Lusitania al teniente coronel D. Agustín Sánchez, sargento mayor delde Pavía; y la del de cazadores de OI i</t>
  </si>
  <si>
    <t>Ibirrola, Fernando</t>
  </si>
  <si>
    <t>Fernando Ibirrola</t>
  </si>
  <si>
    <t>Doña Vitoria Camarero una camisa. D. Pedro García de Lia-, nps 2.. D. Alexo Santa María una sábana. D. Fernando Ibirrola, 6 camisas., I). Ramón de Sandra, vecino de Almería , 6. D. Francisco Moreno 12. D. Pantaleon de Castro una. El gremio de caldereros 16 ollas grandes de campaña, ,8 chicas de.repa</t>
  </si>
  <si>
    <t>ICalbermaten, Francisco</t>
  </si>
  <si>
    <t>Francisco ICalbermaten</t>
  </si>
  <si>
    <t>D. Josefde Fuentes: en el regimiento suizo de Preux á subtenientes de granaderos á los de fusileros D, Francisco ICalbermaten y D. Josef de Preux; y en el de Reding, núm. 2.0, á igual empleo de granaderos al de fusileros D. Francisco Xavier Marsclial. ... ", VENTAS JÜDIdAIES. Por providencia del Lie. D. Jo-l</t>
  </si>
  <si>
    <t>Icard</t>
  </si>
  <si>
    <t>s labradores creían demostrada la posibilidad de naturalizar en nuestro clima esta preciosa planta. Mr. Icard ha pedido á la municipalidad que vaya personalmente á exáminar el estado de la plantación, como lo ha hecho, dándole certificación de ello en forma legal y solemne! En ella sé dic</t>
  </si>
  <si>
    <t>Icard de Bataghirii</t>
  </si>
  <si>
    <t>n? . Escriben de L’.Isle, departamento de Valclusa, que Mr. Icard dé Bataghirii, lVacendado de aquel distrito, ha flecho un ensayo sobre la aclimatación del añil en nuestras provincias meridionales. Habrá como 4 meses que sembró un terreno de 250 pasos quadra</t>
  </si>
  <si>
    <t>Idem del Infante</t>
  </si>
  <si>
    <t>teniente D. Baltasar. Belmonte , en id.: con varias comisiones del regimiente . Idem del Infante, Coronel D. Francisco Mariano; capitán D. Josef Alarcon; teniente D. Josef Viilarroei; cirujano D. Juan Arques, en Hamburgo: enfermos. Capitán D. Juan Duraillo, en id.: para asistir á dich</t>
  </si>
  <si>
    <t>Idiaquez, Francisco Xavier</t>
  </si>
  <si>
    <t>Francisco Xavier Idiaquez</t>
  </si>
  <si>
    <t>e Esoaña, antes de la invasión de los moros y aun antes del.nacimiento de Mahoma: por el ex-jesuita D. Francisco Xavier Idiaquez. «Segunda edición de h Lógica de Condillac, puesta en diálogo por D. Valentín de Foronda—-Fábulas morales escogidas de Juan de Lafontaine, en verso castellano: por D. Bernardo Mar</t>
  </si>
  <si>
    <t>Idiaquez, Luis</t>
  </si>
  <si>
    <t>Luis Idiaquez</t>
  </si>
  <si>
    <t>or lo respectivo si exérclto de tierra el teniente general D. Domingo Cervino; el mariscal de,campo D. Luis Idiaquez; el brigadier D. Andrés-de Errasti, comandante del primer batallón de reales guardias Españolas; el coronel D. Pedro de Porras, capitán de reales guardias Valonas; el coronel D. P</t>
  </si>
  <si>
    <t>Ign</t>
  </si>
  <si>
    <t>—ti jáy J ^ V/ U«W h Fernandez y D.! Antonio Acósta ; y empleósdé pdrtagntorf al i sargéñtb primero D. Ign ació Martínez y á los cadetes D. Tomas Martínez y D; Josef Magarola: y en él de Lusitania empleo de portaguión al sargento primero D. Antonio Quesada. -V 1 En América. S. Mb se ha</t>
  </si>
  <si>
    <t>............. 600. D. Pedro Perez , 2 rs. diarios, en intereses de vales..................... 1468. D. Ign acio Pajares, 200 rs. por una vez, y 122 por 2 meses á 2 rs. diarios, que pagará durante un año..................................... 322. D. Manuel García Isla, 2 id. por agosto..</t>
  </si>
  <si>
    <t>Ignacia Arto</t>
  </si>
  <si>
    <t>.. Cádiz......... . 500 2143 D. Nicolás de Arujo y Losada.................... Coruña....... 500 629 Doña Ignacia Arto.......................... ....... ........... Mídrid........ 300 17 73 D. Juan de Dios de Quesada....... ;...... . Cádiz......... óoo 35° Junta de gobierno de la real compañía de</t>
  </si>
  <si>
    <t>omas Riaza, id................................................................................ 400. Doña Ignacia Arto, id....................................................................... 2000. Doña Josefa Martínez, id.............................................................. 1000. La co</t>
  </si>
  <si>
    <t>Ignacia Bueno</t>
  </si>
  <si>
    <t>a libra de hilas. Doña María Ayala y Corona 2 libras de id. Doña María Valentina Bueno 3 libras id. Doña Ignacia Bueno 2 libras id. Doña Petra Muñoz libra y media de hilas, una de paños y 8 vendas. Doña Gavina López 4 libras de hilas, 13 docenas de paños y 260 vendas. Doña M. J. T. libra y media d</t>
  </si>
  <si>
    <t>Ignacia de Mogozuza, María</t>
  </si>
  <si>
    <t>María Ignacia de Mogozuza</t>
  </si>
  <si>
    <t>condesa de Campo Giro 12. D. Manuel Matesanz 2. Doña María Vicenta Qnilez 3. Doña Josefa del Rio 4. Doña María Ignacia de Mogozuza 2. D. Manuel Baquero 2. , D. Joaquín Antonio Sóxo 6. D. Josef Maldonado 6. Doña A. y B. 2. D. Juan Gutiérrez 4. Doña Ana Rodríguez, sirvienta, 2. Doña Rafaela Martínez de Ariza 4.</t>
  </si>
  <si>
    <t>Ignacia de Ocamendi y de Pando</t>
  </si>
  <si>
    <t>ario........................... .............. ..... ........................................ . pz. Doña Ignacia de Ocamendi y de Pando, 2$ rs. por una vez, y 4 rs diarios............................................ ............................... . 2000. J&gt;. Josef Cortés, empleado en rentas provinciales, joo rs.</t>
  </si>
  <si>
    <t>Ignacia Ferriol de López</t>
  </si>
  <si>
    <t>D. K R: Mi'G..... • i.1': ”7 T &gt; . D. Pablo déJa Vegái:..»;........v..... ' ’i nueV. i ?in bbcádó. Doña Ignacia Ferriol de López 1 id. " . : P. León Muñoz y Ramos, administrador abastos _ en qi^^Pardo.f..a..............••...• x ¿ x , P. Juan Pusmét.. • •••*« • • ••**•**•*•••,*•**•%•} • •«;• JfP O ^ 2 pistol</t>
  </si>
  <si>
    <t>Ignacia García</t>
  </si>
  <si>
    <t>180*.: / ; rsv 11 jursiJ^p v$les reales, yt 361 Doña N. 22. -h./. ■: :r;en;e^ec^osAe'HíSíadpv.- • . Doña Ignacia García 60. ' La duquesarviuda,dellníantadpi!62^2 D. Josef Badan 1442 en efectos de rs. 17 mrs. en;ÍU ; ■ o . ,:¡ .-o estado. D. Juan Robira 60. Doña Francisca Muñoz 180 rs., 17 JD. T-. B</t>
  </si>
  <si>
    <t>Ignacia Ornat y Iñiguez, María</t>
  </si>
  <si>
    <t>María Ignacia Ornat y Iñiguez</t>
  </si>
  <si>
    <t>.... Barcelona.... 300 1136 O. Manuel María Sahun y Palacin.................. Zaragoza..... 500 626 Doña María Ignacia Ornat y Iñiguez.............. Mad rid....... 6co 43 S D. Antonio del Piélago y Castro..................... Santander.... 300 1879 Sr. Marques de Zafra............ ............................ Zar</t>
  </si>
  <si>
    <t>Ignacia Rodríguez</t>
  </si>
  <si>
    <t>de coruña. Los señ res condes de Gausa 12. D. Josef Mariscal 4. Una viuda una. Doña María Rueda 2. Doña Ignacia Rodríguez 2. D. M. C. 6. Doña M. C. una. Doña María Felipa Falcon y Rutiman 4. Cristina Bueno una. Dia 29. Doña JCaviera Escudero 4 camisas. D. Juan Luque 6. Un religioso 42 varas de coruña</t>
  </si>
  <si>
    <t>López, id........................................................... .................. ...... 100. Doña Ignacia Rodríguez, id.....................vv,......rr:r............... 3o» ; El convento..de. Mercenarias ea!ízada4vd£/J&gt;n Fernando,;íde esta . / , ,(' corte?, en.valesreal.es yíen:«n\libranti?i&gt;tp</t>
  </si>
  <si>
    <t>Ignacia Vellido</t>
  </si>
  <si>
    <t>osef Navarro' y Márcos 6 ca­ D. Zacarías Velázquez 2 y 6 pares misas. '■ ■ . /: de calcetas; ‘^ ^ • Doña Ignacia Vellido 12; L- D. N., carpintero, upa camisa. D. Santiago Gonzalo 2. D. Roberto y Guilleímo Dale, inD. Márcos González 6," ' gles , 12. \ Doña Ines Martínez una. D. Antonio Nuñez 2. D. Ni</t>
  </si>
  <si>
    <t>Ignacio-López Corona</t>
  </si>
  <si>
    <t>. ................ D. Manuel Ruiz de Morales, 60 id. id............................................ D. Ignacio-López Corona, oficial de Tesorería general, y tesorero honorario de exército, 50 id. id........................................... D. Josef Vitoriano Gallardo, 100 id. id....;.................</t>
  </si>
  <si>
    <t>Igrfatib Martínez de Villelá</t>
  </si>
  <si>
    <t>a, y otro el de la Inquisición; siendo los nombrados ya por el de Castilla D» Sebastian de Torres y D. Igrfatib Martínez de Villelá, que se hallan en Bayona; y D. Josef Colon y D. nuel de Larciizabal, asistiendo con ellos el alcalde de casa y corte D. Liiíi Marcelino Pereira, que está igualmente en aquella ciu</t>
  </si>
  <si>
    <t>IGrntierrez de Páramo, Juan</t>
  </si>
  <si>
    <t>Juan IGrntierrez de Páramo</t>
  </si>
  <si>
    <t>girán suS memoriales, con la exposición de sus méritos, al escribano de ayuntamiento de dicha villa D. Juan IGrntierrez de Páramo ; en la inteligencia de que el dia 30 del presente se ha .de pto» ir.eer dicha vacante. ’ í • ? LIBROS. Los suscritores á la Biblia vulgata latina y castellana, traducida por el I</t>
  </si>
  <si>
    <t>II, Felipe</t>
  </si>
  <si>
    <t>Felipe II</t>
  </si>
  <si>
    <t>deI siglo ,, XVI!” Y raa stmejar.te, que no es mas que una imitación de lo que Felipe II dixo, quando en una borrasca perdió la armada que mandaba contra Inglaterra. Mantesa 3 de Octubre. Por el parte que com</t>
  </si>
  <si>
    <t>Cotejo puntual</t>
  </si>
  <si>
    <t>II, Francisco</t>
  </si>
  <si>
    <t>Francisco II</t>
  </si>
  <si>
    <t>P. O. Es traducción literal de carta del agente de S. M. I. y R. Francisco II., que se halla en ia actualidad ea asuntos particulares en Madrid. Por acuerdo de esta Suprema Junta de Gobierno de pri</t>
  </si>
  <si>
    <t>III, Carlos</t>
  </si>
  <si>
    <t>Carlos III</t>
  </si>
  <si>
    <t>o del colegio, 40 rs. mensuales... 40. D. Tomas Lobo, secretario de la orden de Cárlos III, 360 rs. cada mes • •••*.«• ** « % 4444 4 4 « -HI 444*444 4-4 4 4 4.4 4 4 4 .# f * 44 «-• * ** 4 *-4 4-444 444 4 44 4 4</t>
  </si>
  <si>
    <t>IJlises Albergotti</t>
  </si>
  <si>
    <t>.' ' ' - - f El Reí se ha servido promover a mariscales de campo de sus exércitos á los brigadieres D. IJlises Albergotti, D. Francisco Mendieta , D. Ramón de Carvajal, D. Félix Jones, D. Miguel Salcedo, D. Pedro Adorno, Don Josef de Vargas y D. Cárlos Luxan , coroneles de los regimientos de infanter</t>
  </si>
  <si>
    <t>ÍJuaii Ñuñez</t>
  </si>
  <si>
    <t>12 Por providencia de D. ÍJuaii Ñuñez, comisionado'regio subdelegado én e! departamento de Benavente del principar de la! diócesi de Astorgáyse ha señalado el* día i o del jeorriente para el último remate de una finca</t>
  </si>
  <si>
    <t>Ildefonso de Marios</t>
  </si>
  <si>
    <t>Manuel dé Peralta...!....................................... ......... . Cádiz-.....;... fideo 282 D. Ildefonso de Marios.................................... Má laga....... 3 00 : 548 D. Pedro Rodríguez d,e la BuHa,....... Madrid.....i. 360 3039 D. Manuel'Segundó'Martínez'. Madrid...-.^.. yoo 587 D.</t>
  </si>
  <si>
    <t>Ildefonso Jo</t>
  </si>
  <si>
    <t>lbao........ 500 -421 D. Domingo' Abrial............... .....................Santander...*/ 500 850 D. Ildefonso Jo6ef-de Medina‘ Madrid./.;.../ 300 2248 D. Tomas Josef de Médiná Bilbao;;...... $oo 2a00 D. Antonio España......................................... — Cádiz........ ..100000 3468 D.</t>
  </si>
  <si>
    <t>Ildefonso López, Manuel</t>
  </si>
  <si>
    <t>Manuel Ildefonso López</t>
  </si>
  <si>
    <t>e .Albet,, i?q por 4&lt;mese$...4........... , 12.0* D. Antonio Pajarillo,, 4 mensuales, por agosto 4. D. Manuel Ildefonso López, 6 id. id..*.....,..... 6. D. Pedro de Eliceche,. 2 rs. diarios, por agosto 62. D. Sebastian. .Eri.che, 2, Id?, 62. D. Tadeo Ri,qo, Arnedo,,,3.id. id.... . 93D. Antonio .tlgnipa,</t>
  </si>
  <si>
    <t>Ildefonso María Castejon</t>
  </si>
  <si>
    <t>ares y Chapin............................................................... Zaragoza..... 500 1214 D. Ildefonso María Castejon, de Durango..... Bilbao......... . IOOO 2258 D. Pablo Antonio de Espalza............................ Bilbao.......... 500 644 Doña Luisa Martínez..................................</t>
  </si>
  <si>
    <t>Ildefonso María de Castejon</t>
  </si>
  <si>
    <t>.......... 300 380 D. Tosef de Velasco y Caleso.......................... Cádiz........... 500 1212 D. Ildefonso María de Castejon, de Durangó. Bilbao........ . 300 68 Doña Juana Fremiot de Masdevall y de Gomis. Barcelona..., 300 572 D. Lorenzo de Navas............ ............................ Madrid...... .</t>
  </si>
  <si>
    <t>Ildefonso Martín</t>
  </si>
  <si>
    <t>as de Gcngora 2. Doña Tacinta Palau 2. Doña Leonarda de Fraguas 2: El colegio de San 1». Antonio 2. D. Ildefonso Martin una pieza de paño negro con 32 varas. La condesa de Villapaterna hechura de 20 uniformes de soldados. Las monjas Vaílecas 3 libras de hilas, paños y vendas. Doña Josefa María de L</t>
  </si>
  <si>
    <t>Ildefonso Ortuño</t>
  </si>
  <si>
    <t>las Niñas de la Paz. D. Josef Alcalde, alcalde de dicha. D. Francisco Cabañas , diputado de dicha. Don Ildefonso Ortuño , eclesiástico. D. Estéban Felipe Mórnn, secretario. Don Félix Abrarez dei Villar, diputado dé S. Francisco. D. Lúeas Escolar, secretario. D. Pedro Roque Cobo, diputado $le S- Jus</t>
  </si>
  <si>
    <t>Illescas, Sebastián</t>
  </si>
  <si>
    <t>Sebastián Illescas</t>
  </si>
  <si>
    <t>isas y 6 sus criados. Doña Josefa Espina 4. María Josefa Díaz 4 pares de zapatos, y A. A. t camisa. D. Sebastian Illescas 2. D. M. S. 6. D. Jorge Palacios, intendente ,12. D. Juan Bautista y Doña Catalina Luisa Robinet paño negro diez y ocheno varas i8f. D. J. P. 8 camisas. Doña Josefa del Saz 8. D.</t>
  </si>
  <si>
    <t>Ilubert</t>
  </si>
  <si>
    <t>por el incendio de este invierno pasado. El plan que se sigue, y que ha aprobado el gobierno, es de Mr. Ilubert, ingeniero en ge fe del departamento. El pueblo ganará mucho en comodidad yhermoSura, y lós extrañgéróis que concurran5 éste año gozarán.del agradable y animado espectáculo, que,</t>
  </si>
  <si>
    <t>Imaz, Ángel</t>
  </si>
  <si>
    <t>Ángel Imaz</t>
  </si>
  <si>
    <t>r del principe de Pontecorvo. . Teniente D. Josef Arcos , en id.: con el mismo destino. Subteniente D. Angel Imaz, abanderado; D. Francisco Volangero, en id.: enfermos. Ayudante el capitán D. Manuel Volangero, en id.: adonde fue á conducir á su hermano D. Francisco que se hallaba demente. Cir</t>
  </si>
  <si>
    <t>Inarte, Bernardo</t>
  </si>
  <si>
    <t>Bernardo Inarte</t>
  </si>
  <si>
    <t>de la suprema junta de gobierno el excelentísimo señor Don Gonzalo O-Farril; y el ilustrísimb señor D. Bernardo Inarte &gt; nombrados al efecto por S. A. I. y R. él serenísimo señor gran Duque de Berg; y habiéndose conferenciado el asunto, y oido én voz á los señores fiscales, ha acordado se guarde y</t>
  </si>
  <si>
    <t>Indalecio</t>
  </si>
  <si>
    <t>291373, 292903, 30548*5, 310034 y 3»°3°5¡ y no habiendo llegado dichos vales á poder del expresado D. Indalecio, quien supiere de su paradero, se servirá avisar en esta corte á D. Justo Pereda, del comercio de la calle de Postas, y en Zaragoza al citado D, Juan Casaus, A primeros de enero d</t>
  </si>
  <si>
    <t>Indalecio Moreno Montenegro</t>
  </si>
  <si>
    <t>ntura- Gasso.. Barcelona.... 500 643 Di Antonio de Macazaga........i.... ... Madrid....... 600 1219 D. Indalecio Moreno Montenegro. ... Bilbao......... 500 1910 D. Simón Saínz de Baranda........... ... Zaragoza..... 300 lOjS D. Manuel de Palomera............... .. Alad rid........ 500 1814 D* Tomas Lo]pez Arí</t>
  </si>
  <si>
    <t>Indalecio Moreno Montenegro de Velasco</t>
  </si>
  <si>
    <t>........ 500 2249 D. Tomas Josef de Medina............................... Bilbao......... 500 j 220 D. Indalecio Moreno Montenegro de Velasco.. Bilbao......... 300 14 5 Doña Ramona y Doña Vicenta Martínez Vállelo...... ............. ............................. . Valencia..... 360 553 D. Castor García de Castro........</t>
  </si>
  <si>
    <t>Indalecio Poiiao</t>
  </si>
  <si>
    <t>ntaduría de exército, á Luis Andrea, ordinario de Castejon de las Armas, partido de Calatayud, para D. Indalecio Poiiao, vecino de esta dicha villa, un paquete que contenía ro vales reales de 300 pesos y 14 de 150, todos de la creación de enero, señalados los de 300 pesos con los números 88168, , 8</t>
  </si>
  <si>
    <t>Ines del Castillo</t>
  </si>
  <si>
    <t>. Bilbao..../... 303 *74 D. Gaspar Morera, comerciante,........4........ "Valencia..... ; 1000 2363 Doña Ines del Castillo....................................... Zaragoza..... 500 860 D. Juan Fernandez de la Cancela......... . Madrid....... • 300 972 D. Felipe de-Satostegui.............. ......... . i</t>
  </si>
  <si>
    <t>Ines Delgado</t>
  </si>
  <si>
    <t>iéñ úna. D. Diego Panlagua 6. i.rr -i.; D. Angel de Urriidhi 4 T D. Silvestre y D. Pélayo Diez Mar- Doña Ines Delgado\ Sirvienta7,1 tinez 2. •r-•* • J'; : J íDoña N. 6*- * ^ 'di ti'« *1 í;íf D. Estébaií de Foircada 2. Doña R-átaelaRódriguez de VéíjtifDv D.JE D. 4. ■ ’! : - ra 2. • v-'} D. Francis</t>
  </si>
  <si>
    <t>Ines González</t>
  </si>
  <si>
    <t>banco nacional de S. Carlos, R*. MfS. D. Santiago González * ayuda de Furriera de $. M., y su muger Doña Ines González, 500 rs. par una vez,, y 6 diarios, por 3 meses.................................................... ........................... ioj 2. D. Pablo Nicolás de S. Pedro, cura del real</t>
  </si>
  <si>
    <t>Ines Martínez</t>
  </si>
  <si>
    <t>camisa. D. Santiago Gonzalo 2. D. Roberto y Guilleímo Dale, inD. Márcos González 6," ' gles , 12. \ Doña Ines Martínez una. D. Antonio Nuñez 2. D. Nicolás Lamiel y Venegas 4. ' Doña Mariana Obregon 3 libras de D. Manuel de Ureta 4. hilas y6;pánit0s. ; Doña B. A. una-. D. Diego Lamón, ingles, 2 cam</t>
  </si>
  <si>
    <t>Ines Neviet</t>
  </si>
  <si>
    <t>....... 500 1574 D. Josef Antonio de Izarra.............................. Bilbao.......... 3 co 613 Doña Ines Neviet.............................................. Madrid......... soo M 817 D. Manuel Albuerne...................................... . Madrid....... O 0 1445 D. Agustín Peral.........</t>
  </si>
  <si>
    <t>Ines Nuevo</t>
  </si>
  <si>
    <t>, id............................................................. ............................ 2co. Doña Ines Nuevo, id............................................................................ 200. D. Jacinto Fernandez, cirujano, id..................... ............................. 100. D.</t>
  </si>
  <si>
    <t>Ines Ramírez</t>
  </si>
  <si>
    <t>40. Df V. para las viudas de los defenDonar Agustina Picos 80. sores de; Zaragoza 190c» en metáli* Doña Ines Ramírez 8. - eo y 1 r oo en cédulas.. : Doña María Teresa Briz; 203. ?; l D. Josef Fernandez 30,. D. Matías Gimo por sí y su muger 6&lt;&gt;. D. Mariano de Auísa 242. i). Josef García Alvarez 1</t>
  </si>
  <si>
    <t>Infante, Pablo</t>
  </si>
  <si>
    <t>Pablo Infante</t>
  </si>
  <si>
    <t>.... . 120. D. Miguel González, 12 id. id...................................................... 12. D. Pablo Infante, 100 id. por 2 meses.................. ............... 200. Manuel Perez, oficial de confitéro, 5 id. por;2 id.................... . 10. D. Francisco Martínez Davina, 10 id. por f</t>
  </si>
  <si>
    <t>Ingles, General</t>
  </si>
  <si>
    <t>General Ingles</t>
  </si>
  <si>
    <t>Fernando VII. Además los comisionados de esta Suprema i &gt;/Tunta han entablado ya conferencia con el General Ingles. Todas estas noticias se aclararán mas, luego que ilegue el Oficial despachado por esta Suprema Junta, que se espera muy pronto. Por un cabo segundo del batallón de Voluntarios de</t>
  </si>
  <si>
    <t>Inguanzo, Juan Antonio</t>
  </si>
  <si>
    <t>Juan Antonio Inguanzo</t>
  </si>
  <si>
    <t>oipprar unos efectos, cuyo producto está destinado para tan importante objeto. avisos. , Por el Sr. D. Juan Antonio Inguanzo, del consejo de S. M. en el real y supre-^ nao de Castilla, juez comisionado por dicho supremo tribunal para entender en él embarco de,bienes de D. Manuel de Gódoi, príncipe de la</t>
  </si>
  <si>
    <t>Iniesta, Nicolás</t>
  </si>
  <si>
    <t>Nicolás Iniesta</t>
  </si>
  <si>
    <t>secretario de la diputación de la calle de Segovia. D. Juan Antonio Acevo, diputado de los Angeles. D. Nicolás Iniesta, diputado- de las Niñas de la Paz. D. Josef Alcalde, alcalde de dicha. D. Francisco Cabañas , diputado de dicha. Don Ildefonso Ortuño , eclesiástico. D. Estéban Felipe Mórnn, secr</t>
  </si>
  <si>
    <t>Iniesta, Pablo</t>
  </si>
  <si>
    <t>Pablo Iniesta</t>
  </si>
  <si>
    <t>iano Embité, encargado de remitirlos á nuestro exército; y los lleva con la correspondiente escolta D. Pablo Iniesta, sargento retirada del regimiento de caballería de nuestra 5ra. de la Euensauta. Aranjuez 16 de octubre. La Junta central suprema y gubernativa del reino ha expedido con fecha de</t>
  </si>
  <si>
    <t>Inocencio Argel'de</t>
  </si>
  <si>
    <t>to, notario, mayor de la real Capilla, 3 rs. ‘diarios durante uñ año*, por "2 mé.sp.^M........ 183. D. Inocencio Argel'de ía ‘Rosa, presbítero,' 1107 rs, por úna; vez, v un.real diario , por agosto.............•••••.,-*•••••............. 1168D. Tricólas dé Ec llave,’ 20 rs. mensuales, por 2 meses....</t>
  </si>
  <si>
    <t>Inocencio Mateo Pérez</t>
  </si>
  <si>
    <t>esorería de la real fábrica de palacio, ^por una vez........................ ............... . 600. D. Inocencio Mateo Perez, empleado en la misma » por upa vez* 2o, D. J. B., por una vez..-..................................... .;.......... 500. Ildefonso Martipez Merino, oficial de cerero.,por 'Upa vez</t>
  </si>
  <si>
    <t>Inocencio Pastrana</t>
  </si>
  <si>
    <t>usto González id. D. Antonio Rubio, de S. Isidro. D. Fernando del Sorribo, diputado de S. Cayetano. D. Inocencio Pastrana, coadjutor del Caballero de Gracia. D. Sebastian de Haegui, secretario de la de S. Andrés. D. Fermín del Rio, diputado de la Comadre. D. Antonio Rodríguez, eclesiástico. D. Antoni</t>
  </si>
  <si>
    <t>Inocencio Ruiz de Ogarrio</t>
  </si>
  <si>
    <t>Balmís...Madrid.,....! 5000 2196 D. Manuel ’Diaz Ohabanera; ......:...!.. fcbrdña; !».. i.; 500 41? D. Inocencio Ruiz de Ogarrio.s^i...Santander.;!. 1500 D. Páscuál f.e de Ardanaz..^..-..Bílbáb...l.:!y 300 171$ DoñaSaívad'orade Aguilar Tablada del Gáfpió. y Gadizí..;i j 3°° 1001 Doña Juana MorazáU..........</t>
  </si>
  <si>
    <t>Ipsilanti, Príncipe</t>
  </si>
  <si>
    <t>Príncipe Ipsilanti</t>
  </si>
  <si>
    <t>s providencias para la administración interior de Valaquia.' ,, El regimiento de húsares negros del Príncipe Ipsilanti ha sido reformado en Bucharest el dia 16; la mayor parte de los soldados han sido agregados al cuerpo de cosacos de á caballo, que levantó este Príncipe para mantener la tranquili</t>
  </si>
  <si>
    <t>Irazabal, Rafael</t>
  </si>
  <si>
    <t>Rafael Irazabal</t>
  </si>
  <si>
    <t>. 300 1050 D. Pedro Leseusne.............................................. Madrid....... . 300 1956 D. Rafael Irazabal....................................... Zaragoza..... 600 1037 P» Agustín González de Trevilla..................... Madrid........ 600 389 D. Antonio Zazurca y Forton..............</t>
  </si>
  <si>
    <t>500 1702 D. Josef Boutet................................................. Cádiz,,.,...... 3 00 1955 D. Rafael Irazabal............................................. Zaragoza..... 600 73 D. Francisco Xavier Maguerola....................... Barcelona.... 300 760 D. Tomas García Prieto y compañía.....</t>
  </si>
  <si>
    <t>Irene Ramiro</t>
  </si>
  <si>
    <t>o Xavier Martínez Remon 2 camisas id. Doña M. A. S 12 camisas id. Doña Eugenia Muñoz 3 camisas i&lt;l. Doña Irene Ramiro 2 camisas id.</t>
  </si>
  <si>
    <t>Iriarte, Francisco</t>
  </si>
  <si>
    <t>Francisco Iriarte</t>
  </si>
  <si>
    <t>l Sancho , D. Antonio Yarretu , Doña Josefa de Olavarrieta y su hijo D. Francúco, Doña Ana Zulueta, D. Francisco Iriarte, D. Pedro Zubiaga , herederos de D. Francisco Maria de Retes y Bustamante, D. Manuel Saenz del Prado y D. Ramón de Vasualdo, individuos de la compañia de longistas, 30 piezas de p</t>
  </si>
  <si>
    <t>Iriarte, Juan Pedro</t>
  </si>
  <si>
    <t>Juan Pedro Iriarte</t>
  </si>
  <si>
    <t>ta Cruz y nuestra Señora del Carmen, m^.Quarenta horas tn la real iglesia de las Maravillas, AVISO. D. Juan Pedro Iriarte, cirujano oculista, habiendo sido anteriormente destinado al real exército, y corrido asimismo varias capitales, hallándose en esta, continúa y previene, que asi dentro como fuera</t>
  </si>
  <si>
    <t>Iruegas, Lorenzo</t>
  </si>
  <si>
    <t>Lorenzo Iruegas</t>
  </si>
  <si>
    <t>Sr. conde de Salvatierra entregó dos bae- , i nos caballos para servicio de dicho exército. El Sr. D. Lorenzo Iruegas, del comercio, una pieza de paño amarillo diez y ocheno&gt;de 39 varas f para , vestuario deM tropa. &gt; vj,.-. .-E</t>
  </si>
  <si>
    <t>ancisco Magan 500.rs. por una vez, y 186 .por agosjto á ó / rs. diarios.......... «}«».».•&gt;}««£,*^1 D. Lorenzo Iruegas, del comercio de paños, por Una Vez*.....#., 20000. D. Mauricio Boinot, presbítero, por agosto á 2 rs. diarios.}.,... 62. D. Francisco Neira, médico de cámara, por 3 meses á 4 rs.</t>
  </si>
  <si>
    <t>a. Dia 2$. Un P. Trinitario calzado, con licencia de sus prelados, 8 camisas y 8 pares de calcetas. D. Lorenzo Iruegas 72 camisas. Dia 26. Doña F. G. 2 camisas. El Excmo. Sr, Príncipe de Maserano 12. Doña M. L; 2. ' Dia 27. Un pobre sirviente una camisa. Doña Pauia Huete una. Dqña Rafaela Marín y</t>
  </si>
  <si>
    <t>Irusta, Juan Antonio</t>
  </si>
  <si>
    <t>Juan Antonio Irusta</t>
  </si>
  <si>
    <t>agonizantes de la calle de Atocha. D. JuanjGundino, diputado eclesiástico de las Descalzas reales. D. Juan Antonio Irusta, teniente mayor de S. SebastLn. D. Antonio Llórente , abad de Monserr-at. Fr. Josef Rubín , prior de Atocha. Fr. Antolin Merino, por ausencia, del prior de S. Felipe el Real. Fr.</t>
  </si>
  <si>
    <t>o Nuñez, abad de S. Basilio. Diputación del estado eclesiástico secular. Dr. D. Juan Antonio Irusta, teniente cura de la parroquia de S. Sebastian; D. Domingo Alvares, beneficiado de la de Santiago. Diputación del cuerpo colegiado de nobleza. D. Eusebio María de los Heros , D. Benito de P</t>
  </si>
  <si>
    <t>Isaac de Landaburu</t>
  </si>
  <si>
    <t>... . Málaga........ 300 15.6 Doña Bruna Gutiérrez de los Riós............ . Valencia..... 30a 1723 D. Isaac de Landaburu................................Cádiz.......... 600 1201 D. Tomas Gaspar y Casas.... ;.................... Barcelona.... 500 2212 p. Benito Arias Carralbal.........................</t>
  </si>
  <si>
    <t>Isabei Tintero</t>
  </si>
  <si>
    <t>go Miguel de Haedo 6 camisas. D. Fernando Soria ^platero, 22 varas de lienzo y 6 pares de calcetas. Doña Isabei Tintero, santera de la calle de la Paloma, 12 camisas de vivero. D. Alfonso Garrido 60 camisas y uniformes de paño. Dia 77. Un incógnito 40 varas y quarta de paño blanco y 74 de lienzo. D</t>
  </si>
  <si>
    <t>Isabel</t>
  </si>
  <si>
    <t>e la fe católica en aquel reino en tiempo de la' Reina Doña María-la reversión al cisma de lá Reina Doña Isabel ,hija del mismo Hénrique vili ; y la prisión y muerte de María, Keina de Escocia, por mandado de Isabel: un tomo en 4.0-l»Poésc» sagrada: himnos dei breviario romano, traducidos a</t>
  </si>
  <si>
    <t>osleene, coronal agregado al estado mar yvi de Madrid, á 4 rs. diarios» por agosto............... . Doña Isabel,Botello» viuda, por agosto ¿ 2 rs. diarios............. 62. D. Miguel de Bu&amp;tinaga y Lastiri, comisario ordenador honorario, por agosto ¿ 4 rs. diarios 124. D. Manuel de Béjar, po</t>
  </si>
  <si>
    <t>id..*...180 ry* D. G. A. L., en intereses de vales reales, id........................... . 2707 ry. Doña Isabel -Navarro , id......... ............................. ........ ...................... 200. D. Manuel Perez, un recibo de Vitalicio, id................................. 1035. D. Ign</t>
  </si>
  <si>
    <t>Isabel Aguilera</t>
  </si>
  <si>
    <t>rrez Barona 4. 6 pares de calcetas. La Excma. Sra. duquesa deHíjar 21. D. Ramón de Haro 12 camisas. Doña Isabel Aguilera ó. D. Tomas de Arsu 12. Doña Teresa Clemente una. D. Jacinto Ci!a de Riofrío 2. D. Isidro Marcelo 4. D. M. J. 6 id. 12 vendas, unos caDoña M. L. F. 2. bezales y 2 libras de hilas.</t>
  </si>
  <si>
    <t>Isabel Aiexandrovna</t>
  </si>
  <si>
    <t>iales empleados en esta expedición/* Anteayer falleció S. A. I. la gran duquesa Isabel Aiexandrovna, hija dnica del Emperador , 4 causa de la dentición, y 4 la edad de año y medio. • En virtud de un ukase de S. M. las mercancías que se lleven a la Finlandia sueca y las que se exporten</t>
  </si>
  <si>
    <t>Isabel Amalia, María</t>
  </si>
  <si>
    <t>María Isabel Amalia</t>
  </si>
  <si>
    <t>verificó el matrimonio de S. A. S. el. príncipe de •Neufchatel con la princesa María Isabel Amalia, hija del príncipe Guillermo de Baviera, y sobrina del Reí actual. Escriben de 5t, Malo que él 29 del pasado entró en aquella rada el corsario ■Especulador , capitán Pradere, que en sol</t>
  </si>
  <si>
    <t>Isabel Amalia, María (princesa)</t>
  </si>
  <si>
    <t>Princesa María Isabel Amalia</t>
  </si>
  <si>
    <t>tardía .en ^verificarse' la boda de S. A. é! Principé de Neu fchateí,"více-gran condestable, con la Princesa María Isabel Amalia, sobrina del Reí de Baviera» ;. 1 ^ Las cartas'dé Austria aseguran qué Mr. Ádáir, ministro de Iñglatérra cerca de aquella corte , ha recibido uqa nota confidencial, en que se le i</t>
  </si>
  <si>
    <t>Isabel Andrea Huésterlíng</t>
  </si>
  <si>
    <t>niez y sus dos D. Agustín Sanz 2. hijas 4. D. J. Q. 2. D. Josef de la Torre 4. D. Pedro Arnaiz una. Doña Isabel Andrea Huésterlíng 12. D. Manuel Martínez de Aedo y Do­ Doña Cándida Irueta, sirvienta, una. ña Bernarda Arnaiz una. Doña María Ramona deAguirre 100. Sres. Santibañez y Ximeno 20. Doña María del Pil</t>
  </si>
  <si>
    <t>Isabel Bardalonga</t>
  </si>
  <si>
    <t>icio............... . Madrid....... 300 498 D. Mariano de Ibarreta...... Bilbao • ••• »• 6oó .1772- Doña Isabel Bardalonga.............................. Cádiz.......... 300 1881 D. Antonio1 María Fernandpz ’de Herédi‘a , pres* .» b itero................................................... ... Zaragoza.</t>
  </si>
  <si>
    <t>Isabel Calvo</t>
  </si>
  <si>
    <t>agarés del comercio , id.......................................... ........ .......... . ► 2083 1 u Doña Isabel Calvo, id..................................... .......... 60.</t>
  </si>
  <si>
    <t>Isabel Cantora</t>
  </si>
  <si>
    <t>D. Francisco Antonio Sainz 164 varas y media de estopa. D. Santiago Colominas 20 pares de zapatos. Doña Isabel Cantora 12 camisas de vivero. Dia 14. Ds Libinio Stuyck y Vandergoten 189 varas de lienzo de vara y tercia. D. Domingo Alber 2 chaquetas, 2 chalecos y 2 pares de calzones blancos. El -Dr.</t>
  </si>
  <si>
    <t>Isabel Carvajal y Castañeda</t>
  </si>
  <si>
    <t>Antonio de Ibarreche 12. D. F.”4. f ; . ■ /;: ■; Doña N. 2V ; y Doña, María Concepción de Ifusta 6. Doña Isabel Carvajal y Castañeda 2. tí, Juan Lopéz una'. . Doña Ana Arroyo 5 y libra y media tí. Josef Sayes y su parienta Doña de hilas. Manuela Labarta 3. D. Antonio Freile 6 camisas. Df Martin de la Puerta 6,</t>
  </si>
  <si>
    <t>Isabel Colbran</t>
  </si>
  <si>
    <t>alla de venta la música siguiente: las últimas 6 arietas ó canciones hechas y cantadas en Paris por Doña Isabel Colbran, en italiano y en francés: canciones , dúos y tercetos de Blangini, todo para cantar al piano, y también con acompañamiento de guitarra, puesto por D. Josef Rodríguez León, músico</t>
  </si>
  <si>
    <t>Isabel de Noriega</t>
  </si>
  <si>
    <t>-v.y?....'..«..'..«'.y.'; óe* Antonio Auge, maestro de obra prima, por una vez.;:..;,......... 3©o¿ Doña Isabel de Noriega, en írn recibo de intereses de vales def año de 1 9qo, por una Tez...........;......................................... 722* D. Felipe Josef Rodríguez, dependiente de la fabrica d</t>
  </si>
  <si>
    <t>Isabel Fernández</t>
  </si>
  <si>
    <t>del Fondo vitalicio, id.................. ’..................................... ......... 1029 II. Doña Isabel Fernandez, id............................................................... ICO. D. F. F. F., en intereses de vales reales, id.......... ..................... 902 17. D. Manuel Francisco d</t>
  </si>
  <si>
    <t>Isabel Ilarranza</t>
  </si>
  <si>
    <t>na Blanco una. D. Mariano Blanco 6 camisas. Doña Manuela Martínez Carranza 6* D. Félix Manzaneda 6. Doña Isabel Ilarranza 2. D. Rosendo Saturío 2. D. J. B. 3. Doña Micaela Fourdiniez y sus dos D. Agustín Sanz 2. hijas 4. D. J. Q. 2. D. Josef de la Torre 4. D. Pedro Arnaiz una. Doña Isabel Andrea Hués</t>
  </si>
  <si>
    <t>Isabel Merino</t>
  </si>
  <si>
    <t>0. Miguel Fuster, 80 id. id~................................................................. . 80. Doña Isabel Merino, 60 id. por 2 meses............ .......... ................ 120. El conde de Colomera , 4® rs. por una'vez, y 48 diarios , por 4 meses.............................................</t>
  </si>
  <si>
    <t>Isabel Pérez</t>
  </si>
  <si>
    <t>z 30,. D. Matías Gimo por sí y su muger 6&lt;&gt;. D. Mariano de Auísa 242. i). Josef García Alvarez 160, Doña Isabel Perez 90 rs. 8 mrs. y D. Manuel Martínez de Aedo 60* medio en efectos de estado. D. Pedro Hernaiz 60. Doña T. P., 160. D^ J. F. y'S. 3P0 rsíiófmrs; ! Di Manuel Ruiz González y su muD. A</t>
  </si>
  <si>
    <t>Isabel Pérez de Cifuentes</t>
  </si>
  <si>
    <t>Santos Sánchez Molero 2. medias botas nuevas , y un par de D. Manuel González Salmón 6. calzones. ■ Doña Isabel Perez de Cifuentes 12. D; Josef Navarro' y Márcos 6 ca­ D. Zacarías Velázquez 2 y 6 pares misas. '■ ■ . /: de calcetas; ‘^ ^ • Doña Ignacia Vellido 12; L- D. N., carpintero, upa camisa. D. Santiago</t>
  </si>
  <si>
    <t>....... 160. Celestino de Molina y Fernandez , id............................. ................ 30. Doña Isabel Pérez de Cifuentes, id............. ................................... 768. Manuel Bou 1 ion , id 60. D. Antonio -Domingo GuardiaT -id..~.................... ........................ . 1000» La rea</t>
  </si>
  <si>
    <t>Isabel Tarroja</t>
  </si>
  <si>
    <t>Don Fermin Fernandez, y demas que tuviesen derecho ;á los bienes que quedaron por fallecimiento de Doña Isabel Tarroja, situados en la villa de Canillejas, para que en el preciso y perentorio término de 9 días comparezcan ante su señoría por la escriba lía del número de D. Juan López Tanjo, por me</t>
  </si>
  <si>
    <t>Isidprp</t>
  </si>
  <si>
    <t>i, Ilatná y emplaza 4 quantos^se comidcíen con derecho á lps bienes del .concurso* de-acreedores de D. Isidprp.Jiph*:épl|í5#&gt;^p ;fue. ,3c aquel comercio, para que en elperentorio término de 18 meses, contados desde el dia 1,5 de junioúltimo, acudan á formalizarlo con los documentos comprob</t>
  </si>
  <si>
    <t>Isidro</t>
  </si>
  <si>
    <t>diarios.tj; D. Josef Cuevas y Becerril, propietaria, por agosto.á.ua real diario..............¿ 31, D Isidro. Fernandez Cástelao, 1100 rs. por una ¿vezf, y 4400 por un año á 12 rs. diarios.».................... D. Lorenzo Normante, oficial de la secretaría de Hacienda ,po* tí-_. * agosto</t>
  </si>
  <si>
    <t>Isidro Álvarez</t>
  </si>
  <si>
    <t>....................... . 1000. I&gt;. Manuel González de Lobera y compañía, cambiantes, id..... 6000. D. Isidro Alvarez, id........................................................................... 100. D. Josef Ramón de Ibarra, capitán de ingenieros cosmógrafos, 500 rs. por una vez, y 186 por ago</t>
  </si>
  <si>
    <t>Isidro Ardura</t>
  </si>
  <si>
    <t>.... .............. 500. D. Jóséf Morales, 20 rs. mensuales, por 2 meses....................... 40. D. Isidro Ardura, 20 id. id......................................................... 40. D. Rufo Agustín Martínez, 2 rs. diarios, por un año................ 730. D. Tosef Féy'joo, en boletas dé Ca</t>
  </si>
  <si>
    <t>Isidro de Aparicio, Francisco</t>
  </si>
  <si>
    <t>Francisco Isidro de Aparicio</t>
  </si>
  <si>
    <t>iz..... 30.00 1452 D. Adrián Hernaez...........................................; Málaga... 500 2290 D. Francisco Isidro de Aparicio.i..... Cádiz..... 3co 2271 D. Martin de Torres Moreno.....1..,.. Bilbao... ...r.. 5°q 898 D. O. D. T. Y. C................................... .......... • Madrid.;. ,30° 911 D. Fe</t>
  </si>
  <si>
    <t>Isidro de Mier y Teran, Manuel</t>
  </si>
  <si>
    <t>Manuel Isidro de Mier y Teran</t>
  </si>
  <si>
    <t>ragoza..... 600 1822 D. Manuel Centurión.................... ............ ... Zaragoza..... 300 539 D. Manuel Isidro de Mier y Teran............ ... Madrid........ 500 159o Sres. Segura Costazar y Baciola................. ... Bilbao......... 500 1436 D. Josef Lespougne...................... ................. ..</t>
  </si>
  <si>
    <t>Isidro de Ponte</t>
  </si>
  <si>
    <t>A.\ .no Madrid......'. '■|5 06 : 049 *745 D. Juan Sánchez dél Corral.... Cádiz,.:.. A!. ' ’3 oó 383 D. Isidro de Ponte y‘Andrade, Coruña....... * 3do 794 D. Pedro del L'ano.................. Madrid....;.. 300 2001 13. Cristóbal Cxárcia» Cád iz¿ 1500 ! 143 D. Tbséf de, Té tari...... A .7.’. AA A A;av</t>
  </si>
  <si>
    <t>Isidro de Ponte y Andrade</t>
  </si>
  <si>
    <t>dos. Rs. va. li93 D. Francisco de Imaz....................................... .. Barcelona. 300 584 D. Isidro de Ponte y Andrade............ ....... Coruña....... 300 804 D. Manuel González del Campo......... ............ Madrid....... 300 486 D. Francisco Xavier de Laviesca.................... Bilbao......</t>
  </si>
  <si>
    <t>Isidro García Plaza</t>
  </si>
  <si>
    <t>Juan Cruz Sanz de la Torre. En Avila.............. D. Fernando Echepare y sobrinos* En Quadalaxara. D. Isidro García Plaza. El Excmo. Sr. D. Pedro González Llamas, general en gefe del exército de defensa de Valencia y Murcia que se halla en esta corte, dirigid á las tropas de su mando antes de llegar</t>
  </si>
  <si>
    <t>Isidro Gaspar de Aranzazuj</t>
  </si>
  <si>
    <t>as.' : .... D. Pablo Minguet una. v:r;-' '/ .Doña María Anselma de Vacas uñar. Doña Ñ. úna.1 f: - f D. Isidro Gaspar de Aranzazuj. D. Leandro Sandoval y su escribienDoñá María Nicolasa .Montero 2. v te D. Ramón Ciaran 5. 4 Doñ$.Míc.aéU, Rapftqn’á‘'Nicolási2.y im D. Domingo Ibarrolá 6. r • par 'de- calcetas'.</t>
  </si>
  <si>
    <t>Isidro González, Joaquín</t>
  </si>
  <si>
    <t>Joaquín Isidro González</t>
  </si>
  <si>
    <t>.'...... 300 797 D. Manuel de Gordon....................................... Madrid.......; 1000 230 D. Joaquín Isidro González................. ........... Alicante.....-.' 1506 487 D. Antonio de Trebolazabala........................... ■Bilbao...;..... 500 543 D. Josef Martínez...........................</t>
  </si>
  <si>
    <t>Isidro Marcelo</t>
  </si>
  <si>
    <t>oña Isabel Aguilera ó. D. Tomas de Arsu 12. Doña Teresa Clemente una. D. Jacinto Ci!a de Riofrío 2. D. Isidro Marcelo 4. D. M. J. 6 id. 12 vendas, unos caDoña M. L. F. 2. bezales y 2 libras de hilas. D. Josef García Alvarez 6. D. Antonio Sainz de Rozas 6, D. Josef Matiuste 2 id. y 1 2 vendas. Se</t>
  </si>
  <si>
    <t>Isidro Velazquez</t>
  </si>
  <si>
    <t>ña Josefa López 206 rs. 12 D. Francisco García* de Arias 12a. r nirs&gt; • -y D. Domingo Chavarri 400. D. Isidro Velazquez 1263 rs. 17 mrs. D. Domingo García 60. ‘ en efectos de estado. ; ; D; Pedro Martin 60. D. Fermín María de Uria NafarroaD. Sebastian del Conde 200. ; ; - .40-73-rs. 23ímrs. eu,metá</t>
  </si>
  <si>
    <t>Isidro Viota y Ximeno</t>
  </si>
  <si>
    <t>................. 40* D. Pedro Josef Mayorá, 120 rs. cada mes................................. 120. D. Isidro Viota y Ximeno, oficial de la contaduría general de pósitos, 120 rs. cada mes............................................................ 120. (Se continuara.) EN LA IMPRENTA REAL.</t>
  </si>
  <si>
    <t>Isnardo, Juan</t>
  </si>
  <si>
    <t>Juan Isnardo</t>
  </si>
  <si>
    <t>lin ^ en él rey no de Mu reía , remitió 4 vales reales de á 150 pe¿QS, creación de 1. 0 de Enero, á D, Juan Isnardo , vecino eje Morata\la\ y no habiendo llegado á sus manos , se previene al público tío se les dé curso , á cuyo fin se previene iban firmados como sigue = Con poderes de D• Bernar</t>
  </si>
  <si>
    <t>VISOS». : , ■ ♦ El dia 30 de agosto.último remitió D.iJuán.Batuorie, vecino de la villa de HeMiny á D. Juan Isnardo, del comercio en la de Moratalla, reino de Murcia, 4 .va-' les reales de 150 pesos, creación de enero, núms. 309366, 236457, 297586 y 320370, con el correspondiente endoso; y habi</t>
  </si>
  <si>
    <t>IV, Carlos</t>
  </si>
  <si>
    <t>Carlos IV</t>
  </si>
  <si>
    <t>lo ha sido para el mió, y al mismo tiempo quiero explicaros vuestra situación. Carlos IV y su hijo están ahora reunidos en Bayona con el Emperador Napoleón para arreglar la suerte de España. El Emperador no h</t>
  </si>
  <si>
    <t>creía i sus mismos ojos, aTümirancI» cómo en la misma Corte , que aun dominaba Carlos IV, se imprimía con su Real privilegio un libelo, que tanto le infamaba. No , decían ; no es este un parto de la nación fr</t>
  </si>
  <si>
    <t>las conmociones populares , muestra dudar de la legitimidad de la abdicación de Carlos IV , atrae á Fernando á sus estados , hace á sus tropas que se apoderen dél favorito preso y entregado ya al rígor de las</t>
  </si>
  <si>
    <t>rno ? * Pero acaso fuá legítimamente constituido por Juez por Ja reclamación de Carlos IV, después de su primera abdicación. ¿Como? ¿Está en manos de un Monarca que ha renunciado poner la suerte de su patria á</t>
  </si>
  <si>
    <t>der del favorito ? El Emperador parece que teme no se atribuya la abdicación de Carlos IV. en su hijo á la influencia de los ejércitos franceses. Pero la Europa y la posteridad, ¿á. que podrán atribuir la renu</t>
  </si>
  <si>
    <t>los Españoles. El dia 5. hubo una gran Junta, á la que asistieron el Emperador, Carlos IV. y su hijo Fernando, la Reyna, Infante D. Carlos y todos los grandes y ministros de las dos naciones que allí se hallab</t>
  </si>
  <si>
    <t>ncés con España ? Declara Napoleón, sin autoridad para ello, que la renuncia de Carlos IV. era ilegal por ser hecha en medio de un tumulto; ¿y será mas legal la executada por el mismo en Bayona seducido y forz</t>
  </si>
  <si>
    <t>do levantar el bloqueo de Smirna. La carta que sigue, escrita por Luis XVííi. á Carlos IV. hoy preso ; por Bonaparte, es auténtica. Fué escrita y remitida. de Calmar, en Suecia, quando dicho Carlos IV. envió e</t>
  </si>
  <si>
    <t>eredero legítimo' vosotros que disteis cumplimiento al decreto de abdicación de Carlos IV, y colmasteis los votos de la España, proclamando á Fernando VII ; vosotros en fin , que poseedores de la confianza del</t>
  </si>
  <si>
    <t>to capaz de resistir á tod«s sus. esfuerzos. FRANCIA. Parts 13. de Mayo• El Rey Carlos IV. y su esposa, la Reyna de Etrniia, el Infante D. Francisco, y el Príncipe de' la Paz, llegarán al palacio de Fontainebl</t>
  </si>
  <si>
    <t>808 se hace protector del malvado ministro,tjue p-epató nuestra ruina -engaña á Carlos IV., y á toda 1I3 lamilia real : atrae.á Bayona á Fernando VH , rey elevado al ítro.no por los derechos de la sangre ,, po</t>
  </si>
  <si>
    <t>ha intimado al eaibaxador español, que residía en Viena,desde el rey nado de ’ Cárlos IV , que cese en sus fu-ncioiíes.-Se *ha quedado en aquella corte, viviendo como simple particular , así como -el último e</t>
  </si>
  <si>
    <t>a: que después de haber publicado en todo el Reyno la renuncia hecha por el Rey Carlos IV v los Príncipes D. Fernando , D. Carlos, D. Francisco y D. Antonio á la Corona de España, y después de haber reconocido</t>
  </si>
  <si>
    <t>te sagrado y respetable título ha intentado él monstruo devoraros: el candor de Carlos IV. y sus buenos sentimientos desconocieron la perfidia: hizo alianza con él para debilitar sus enemigos, siendo su idea d</t>
  </si>
  <si>
    <t>iudades, persona?, y aun las sepulturas; tal fué su conducta con los emolíanos. Carlos IV. expuso en su carta á Napoleón, que forzudo de sus desgracias se echaba en los brazos de un gran Monarca su altado, y h</t>
  </si>
  <si>
    <t>IViaciás PoWer</t>
  </si>
  <si>
    <t>n el costóndance de guardias Walonas D. Jóstf Pul -y tbdos los individuos dél batallón de su mandó. D. IViaciás PoWer, primer teniente de Walones con el Sargento Man si ni y 15 soldados atacó y ahuyentó un esquádrOn de caballería. D. Francisco de Paula Sotar , coronel del: ré'gimier.r-Sde Ordenes</t>
  </si>
  <si>
    <t>ÍViamiel Godoi</t>
  </si>
  <si>
    <t>ía la España, en estos últimos tiempos, y males que le ha causado Ja criminal: conducta del privado D. ÍViamiel Godoi: por D. Josef Mafia rBremon.;'Se; vende en las librerías de Perez y Hurtado, calle de fasCarretásyiy en la de Castillo, frente á S. Felipe el Real. ■ Sermón en acción de gracias á</t>
  </si>
  <si>
    <t>IVIarin, Fernando</t>
  </si>
  <si>
    <t>Fernando IVIarin</t>
  </si>
  <si>
    <t>38° Canfranc en Aragón 26-de Octubre. Habiendo sabido D. Fernando IVIarin, que en la fabrica de hierro colado, que el enemigo tiene , como &amp; legua y media de nuestra frontera , se fundían ollas de campaña y otros utensilios para el servicio de sus tropa</t>
  </si>
  <si>
    <t>IX Miguel de Azanza</t>
  </si>
  <si>
    <t>ha ‘ celebrado .el dia 15 su primera sesión, bjaxo la. presidencia 'del señor v IX Miguel de Azanza, ministro de Hacienda. El Sr. D. Mariano ‘ Luis de Urquijo, consejero de Estado, y D. Antonio Ranz Romanillos^ del consejo supremo de Hacienda, "han desempeñado las funciones de secretarios</t>
  </si>
  <si>
    <t>ÍXavier Castaños, Francisco</t>
  </si>
  <si>
    <t>Francisco ÍXavier Castaños</t>
  </si>
  <si>
    <t>plásmela de Sto.. Domingo, y de Sánchez, calle de Toledo. La victoria de Bailen, oda al Excmo. Sr. D. Francisco ÍXavier Castaños, capítan general de exército., y general en gefe del de Andalucía. .Se hallará en las librerías, de Quiroga^ calle ‘de *las Carretas, de Esparza, puerta ’dél Sol, de Villa, píaStó</t>
  </si>
  <si>
    <t>IXivid JBaird</t>
  </si>
  <si>
    <t>de caballería. El lord Cathcart tendrá el mando en gefe, y servirán baxo sus ordenes Sir John More, Sir IXivid JBaird, Sir Arturo Velleslei, y los_brigadieres Diott y Cotton. Ha salido para Malta el general Stuart \ á quien se ha conferido el mando de todas las tropas inglesas en las islas del Me</t>
  </si>
  <si>
    <t>Izquierdo Moneda, Francisco</t>
  </si>
  <si>
    <t>Francisco Izquierdo Moneda</t>
  </si>
  <si>
    <t>Zaragoza..... 1500 231 D. Juan González de Latorre.......................... Burgos........ 600 166 D. Francisco Izquierdo Moneda....................... Valencia..... 300 155 D. Luis Gutiérrez de los Ríos................................... Valencia..... 500 1072 D. Francisco Martínez del Valle........ '.....</t>
  </si>
  <si>
    <t>Izquierdo, Antonio María</t>
  </si>
  <si>
    <t>Antonio María Izquierdo</t>
  </si>
  <si>
    <t>d.................... . 200. D. Antonio Ribera , cincelador, en intereses de vales reales, id. 361. D. Antonio María Izquierdo, capellán de honor de $. M., id... 1500. D. P. J. M., id....................................................................................... 300. D. Sebastian de Torres, minist</t>
  </si>
  <si>
    <t>Izquierdo, Diego</t>
  </si>
  <si>
    <t>Diego Izquierdo</t>
  </si>
  <si>
    <t>....... Madrid....... fOO Doña María Cruz de Talles............................. Madrid..... .. 500 D. Diego Izquierdo, canónigo....................... Zaragoza..... . 500 2426 D. Juan Manuel de Peralta...,................ . Cádiz........ 500 1720 D. Francisco Arrafan y Valdés de Bexer...... Cádiz</t>
  </si>
  <si>
    <t>Izquierdo, Francisco</t>
  </si>
  <si>
    <t>Francisco Izquierdo</t>
  </si>
  <si>
    <t>ÓO Rs. Mrs, D. Vicente Urbina, ett vales reales, por una vez..;............ 2 3 24, f 1. D. Francisco Izquierdo, id............ .................................................... 6o¿ D. Pedro Alonso * portero del Jardín botánico, id...;;.*.;... : 100. r2 n c í 1111 ^ ^2, i ... ■*. f p* p,</t>
  </si>
  <si>
    <t>Izquierdo, Santiago</t>
  </si>
  <si>
    <t>Santiago Izquierdo</t>
  </si>
  <si>
    <t>rcia de estameña. D. Policarpo Gutiérrez 40 pares de botines largos y 3 pantalones, todo de lienzo. D. Santiago Izquierdo 3 5 varas y media de paño pardo. D. Manuel Sánchez del Moral 20 varas de paño y,3 camisas. D. Juan Santana 12 varas de paño pardo/ D. Nicolás [Reguera: ¿ varas de paño. D&lt; Ramón L</t>
  </si>
  <si>
    <t>J LlUan</t>
  </si>
  <si>
    <t>. . 'D . D~~~go de la 'Bastidá, id_•• ~I ••~.""""'~".;"""':•• "'."".'~.' •• ""~~ .• •••.••••••• I't D. J LlUan l-dartÍ"nez d~ ¡orre$, en un recibo de intereses.de vales' reales, id,... ~~*~.~•••• ,•.•• ~ r •.•••••••••••• ~ .............. . tI ....... ; . . . . . . . . . . . . . . . . . . .</t>
  </si>
  <si>
    <t>J'osef Antonio</t>
  </si>
  <si>
    <t>. Bilbao...... . jeo 1743 Sres.. Llera., hermanos y compañía........ . Cádiz;.......... ; 3.00 459. D. J'osef Antonio y D. Césares de Leguerica.. Bilbao...,..... 500? 963 D. Francisco López- N-uñez..... Madrid.....á, 300 873 D. Josef Joaquín López..................... ...... Madrid:.... . 300* 5*84 D</t>
  </si>
  <si>
    <t>Ja, General</t>
  </si>
  <si>
    <t>General Ja</t>
  </si>
  <si>
    <t>Sevilla 37</t>
  </si>
  <si>
    <t>lá imposibilidad absoluta de poder cumplir con" los artículos que se les pedia, pues era notoria al General Ja escasez de comestibles que padeciá aquella plaza, desde que: se le habian interceptado todas las comunicaciones. Es de notar la tniqua red que ha tendido el general Dü-h esme contra</t>
  </si>
  <si>
    <t>Jaan Capilla</t>
  </si>
  <si>
    <t>. Extraviado..... Capitán...... D. Juan Sociat, Infantería de Ceuta. Herido........... Subteniente. D. Jaan Capilla. Ordenes Militares. Muerto........... Cadete........ D. Josef Demblans. r2- Pedro Nieto. _ . ' D. Rafael Altecona. fCapitanes....,' D Bartolom¿ Boutelou. Heridos..................</t>
  </si>
  <si>
    <t>Jacebo Obispó</t>
  </si>
  <si>
    <t>año. - J D. Andrés'!Pcr¿zG¿rrt¡ca 4. D. Santiago Fernandez una ¿ámrsa. D. Ramón'Prieto y Ortega 12. D. Jacebo Obispó, una. / Btyñi Fyancíica Márquez una i Doña María-Margarita Llprde 2l 4 D. Juan Antonio Gironda 2* D. Francisco .Antonio de Rivacobay D. Manuel «de íaHóz 2. Gdrvea una silla para c</t>
  </si>
  <si>
    <t>Jacinto Nicolás</t>
  </si>
  <si>
    <t>, M. tuvo á bien de nombrar á consulta de la cámara de, 2 5 .de noviembre del año próximo pasado, á D. Jacinto Nicolás. Taboada, racionero de la’mísma iglesia: para la. ración de la metropolitana de Santiago, vacante por promoción de ,D. Rafael López Lago á canqngfa de fy.propia.iglesia-},. ,á:D|¿</t>
  </si>
  <si>
    <t>Jacoba Atíenza de Durango</t>
  </si>
  <si>
    <t>. Juan Francisco Agües 2 camisas. Dona María Pastor 38 varas de lienzo. D. Lorenzo Rubro Abarran 2. Doña Jacoba Atíenza de Durango una Doña FerÚiinaCálculi 2 y 2paresde camisa. ■■.■-‘■.••J:.. ‘ zapatós. ^ • s D. Manuel Escudero f., tinas hilas y D. Blas 'Menertdé¿ ¿Ccartri&amp;s. - ■— ’ paños. •. [Éscuefas pias d</t>
  </si>
  <si>
    <t>Jacoba Gilí de Taboada</t>
  </si>
  <si>
    <t>Números Lotes de las . en acciones. Nombres de los interesados. Comisionados. Rs. vn. 381 Doña Jacoba Gilí de Taboada......... ................ Coruña...... . 500 75° D. Anselmo Prieta Hermosino......... . ... Madrid......600 564 D. Josef Nieto.................................. ............ . ...</t>
  </si>
  <si>
    <t>Jacoba Libren</t>
  </si>
  <si>
    <t>00 326 Juana Pilink........... .............. •»...... ...................... Málaga./.../ 3000 855 Doña Jacoba Libren*....,,,,,,,,•,.**•.••••Madrid;.. ...i 300 i JO 7 D. Pedro¡Bfergeixe.v.v,•■••77*,. Valencia..// 3000 1388 D. EstéBan de Alvarellos ............... Burgos 300 *5£9 Si es. BengOa, be</t>
  </si>
  <si>
    <t>Jacobi</t>
  </si>
  <si>
    <t>barón de Aretin, los consejeros Ammán y Baades , el refrendatario Feurbach, célebre jurisconsulto1; Mr. Jacobi , profundo hellenista* Mr. Juchof, literato;Mr.Schelling, filósofo célebre; Mr.Schilchtegroll,se-, cretario de la academia de las ciencias; Mr. Schrank, escritor de economía polít</t>
  </si>
  <si>
    <t>n defendido por espacio de dos horas con el mayor valor. El capitán caballero Pool lia sido herido. Mr. Jacobi, embaxador que fue de S. M. prusiana en Londres, se ha hecho á la vela en una fragata inglesa; pero no se ,sabe dónde irá á desembarcar. SUIZA. Lucerna 20 de junio. En la sesión d</t>
  </si>
  <si>
    <t>Jacobo Bruggér</t>
  </si>
  <si>
    <t>Bay y D. Juan Francisco Roh: en el de Kedipg. núm. y.° á Capitán segundo'aí teniente de -granaderos D. Jacobo Bruggér, y á teniente dé granaderos aí de fusileros 0. Félix Moflo: en el de Traxler á subteniénfe de bandera al cadete D. Francisco Basilio Kostr en el de Rédíng num. 2.a á teniente aF s</t>
  </si>
  <si>
    <t>Jacobo Hoppe</t>
  </si>
  <si>
    <t>a4 friotismo, confiriéndole el mando de Coronel; y al mismo tiempo ha ‘¡orabrado teniente coronel á D. Jacobo Hoppe, capitán de cazadores de Olivencia; el de comandante at teniente coronel! i&gt;. Martin Martínez, captan del de Málaga, y el de sargento mayor á D. Mateo Galludo, del de Burgos. La J</t>
  </si>
  <si>
    <t>Jacobo Manuel Manrique</t>
  </si>
  <si>
    <t>encias, del $r. D, Lepir de Sagasta, teniente) corregidor de ésta villa','y escribanía numeraria dé'D. Jacobo Manuel Manrique, se ha mandado sacar á jklblica' sufeasíá, por término de 30 diás cóhtádos desae éí i dei presente, la hacienda intitulada de Corraléjo, en término y jurisdicción de la villa‘de Q</t>
  </si>
  <si>
    <t>Jacobo Paxodi</t>
  </si>
  <si>
    <t>iera que sea. Esta mañana se ha fusilado por sentencia de la comisión militar á Jacobo Paxodi, natural del cantón ae Rivarolo, departamento de Gént va} por</t>
  </si>
  <si>
    <t>Jacobo Pizarro, Pedro</t>
  </si>
  <si>
    <t>Pedro Jacobo Pizarro</t>
  </si>
  <si>
    <t>stura, lo executará por lá escribamr que ' desempeña D. Manuel María Válverde. . rf- 71. L . i. Por D. Pedro Jacobo Pizarro, juez subdelegado cnlá yiíla deBelalcázar y su departamento de la diócesi de Córdoba, se han rematado por ante Peiagio Caballero Molero , escribano de dicha subdelegacion, una cas</t>
  </si>
  <si>
    <t>Jacóbo Pizirro, Pedro</t>
  </si>
  <si>
    <t>Pedro Jacóbo Pizirro</t>
  </si>
  <si>
    <t>hacer postura, lo executará por la escribanía que exerce Ramón Josef Quadrado, . Por providencia de D, Pedro Jacóbo Pizirro, subdelegado én el departamento de Belalcázar, diócesi de Córdoba, se han rematado y aprobado por la comisión gubernativa una haza de tierra de 11 fanegas, llamada del Cerrojo, en</t>
  </si>
  <si>
    <t>Jacobson</t>
  </si>
  <si>
    <t>e de Furtenstein á S. M. el Rei de Vestfalia una diputación de los judíos que viven en aquel reino, Mr. Jacobson arengó á S. M. en estos términos: „Señor: los hijos del antiguo Israel gemían en estos países baxo una legislación bárbara, y aun se cometía la injusticia de echarles en cara una</t>
  </si>
  <si>
    <t>Jacohq Pizarro, Pedro</t>
  </si>
  <si>
    <t>Pedro Jacohq Pizarro</t>
  </si>
  <si>
    <t>vuelto. Lo que se noticia al publico para su inteligencia. -VENTAS JUDICIALES. / Por providencia de D. Pedro Jacohq Pizarro, juez subdelegado en el departa-; mentó;dejBe[alegardiqcesi de,Córdoba, se han subastado varias fincas de cape-¡ líanías fundadas eh ía parroquial de la villa de Hinojosa,una de l</t>
  </si>
  <si>
    <t>Jado Cagigal, Felipe</t>
  </si>
  <si>
    <t>Felipe Jado Cagigal</t>
  </si>
  <si>
    <t>r general el teniente coronel del mismo cuerpo D. Josef Falc. El teniente general de la real armada D. Felipe Jado Cagigal esta destinado á este exército, y sigue al quartel general. Intendente el comisario ordenador D. Manuel de Michilena. Auditor de guerra D. Josef Joaquín de Irriherri. En las 4 divis</t>
  </si>
  <si>
    <t>Jaime</t>
  </si>
  <si>
    <t>encia, ¡que comprehende desde la muerte del Cid hasta el principio de las guerras del Rei de Aragón D, Jaime el Conquistador; una idea general de la estadística de la parte sep-. tentrional del reino de Valencia, desde la plana exclusive hasta salir del reino por Aragón y Cataluña; la vida</t>
  </si>
  <si>
    <t>eña mui á su costa la diferencia que hai entre los hijos de los;ilustres compañeros del invicto Rei D. Jaime y los viles insurgentes, con cuyo i epíteto intenta mancillar la gloria de sus designios. „Unidos todos por un acontecimiento uniforme para defender la religión y la independencia nacio</t>
  </si>
  <si>
    <t>de 7 de se* tiembre em olan propuesto, de hospitales,;y nombro por directoras generales; de ellos á D. Jaime ¿Creus, doctoral de Urgel, y al R. P. :Fr« Antonio Alabau , provincial de menores observantes» &lt; : ; Es justo que la nación no. ignore este raisgo.dé ilustrado patriotismo*, y que</t>
  </si>
  <si>
    <t>Jaime Andrés, Agustín</t>
  </si>
  <si>
    <t>Agustín Jaime Andrés</t>
  </si>
  <si>
    <t>...... 7 576 2^í D. Diego Gómez del Castillo, id................ ........................... . 200. D. Agustín Jaime Andrés ,3® rs. en efectivo, y 1024 y 31 mrs. en boletas de carruage, id............................ ......... ....................... 4024 32* El Dr. D. Josef Corrido, catedrático de med</t>
  </si>
  <si>
    <t>Jaime Dot</t>
  </si>
  <si>
    <t>rquesa de Aicañizas 144 camisas, 18 vendas y media arroba de hilas. Dia 12. D. M. A. I. 10 camisas. D. Jaime Dot 83 varas de paño pardo dieziocheno. Doña Cesaría Estella una camisa y un par de calcetas. Dia /j. D. Josef Manuel de Izaguirre 6 camisas. D. Luis Fernandez Gonzalo del Rio 281 var</t>
  </si>
  <si>
    <t>Jaime Ferrer</t>
  </si>
  <si>
    <t>..... ................ . 640. D. Tomas Ortiz de Lanzagorta..... ................ ........... . 500. D. Jaime Ferrer..... ............................................ . 320/ 0.;Pedro Marcelino Blanco, corredor de número, en dos vales reales de 15 o pesos de setiembre, valor de. 4524... 22. DoñaE</t>
  </si>
  <si>
    <t>Jaime Ferrer y Ribas</t>
  </si>
  <si>
    <t>&lt;¡ 5 o en id. Ifcr Lorenzo Cisneros y Toledo 3 20. D, Josef Francisco de Lema 60. 1^. Ai S. 30. ,t, D. Jaime Ferrer y Ribas 320. / vt D¿ Aléxd)Guardia I * • ^ 5 Vicente Vázquez del Viso *40* El P¿. prepósito de Portaceli ;4:o.‘ &gt; ■ D. Santiago, de^Aramburu . i El hermanó Antonio. Péribañez* dé .D. Pedr</t>
  </si>
  <si>
    <t>Jaime Guión</t>
  </si>
  <si>
    <t>s y 4. prisioneros. En esta acción se distinguieron D. Segismundo Bront, teniente de la compañía de D. Jaime Guión, de Vich; D. Pedro Munt y el ayudante de órdenes D. Juan Caracol, que se hallaba mandando la coluna de retaguardia; sin dexar de recomendar á D. Josef Puig y Prats , interventor d</t>
  </si>
  <si>
    <t>Jaime Jilvá</t>
  </si>
  <si>
    <t>..............V....... . i8&lt;L D. Miguel Arroyo, uno id. por 5 meses........................... 153. D. Jaime Jilvá , del comercio-^2-id. por agosto.......... . - 63. Pablo Boneta* cocinero,*2 id. D. Francisco-Perez Velazquez , 3 id. por 5 ;mesés...,...l............1 45^ D. Gaspar García j ciru</t>
  </si>
  <si>
    <t>Jaime Juan Falcó</t>
  </si>
  <si>
    <t>iento de Jesucristo; lina idea general de la estadística del campo y huerta de Orihuela; la vida de D. Jaime Juan Falcó; una carta crítica del Br. de Fornoles en desagravio de la bueña memoria del Dr. Don Andrés Piquer, mancillada en ,el elogio de D.Í Josef Sever® López, por D. T. G. Suelto; unas r</t>
  </si>
  <si>
    <t>Jaime Martí</t>
  </si>
  <si>
    <t>artolomé, vacante en la parroquia de Torruella de Montgri,obispado de Gerona, vacante por muerte de D. Jaime Martí, á D. Pedro Salvatella. El Reí se ha servido nombrar para la canongía de la metropolitana de Toledo, vacante por fallecimiento de D. Manuel Perez Hernández, á Doa</t>
  </si>
  <si>
    <t>Jaime Mas</t>
  </si>
  <si>
    <t>l Sr. Don Juan Sureda y Veri, marques de Vivot. Solemnizó este acto el capellán del primer batallón D. Jaime Mas; y concluido prestó el citado gefe, señoT xesjoficiales y tropa el.Isolemne juramento de fidelidad ¿ nuestro .legítimo Soberano el Sr. D. Fernando vil, que Dios guarde. Dicho regi</t>
  </si>
  <si>
    <t>Jaime Mateo</t>
  </si>
  <si>
    <t>Doña Rafaela Martínez de Ariza 4. Doña María Ruiz 6. Doña Cándida Orejón 2. Una pobre sirvienta 4. D. Jaime Mateo 2 chaquetas y 2 gor-, La viuda de Espárza una sábana. ■ ras. D. Pascual Herrero 3 camisas. D. Lorenzo Cisneros Toledo 3 camiD. Isidro Viota 20 varas de lienzo. sas y 3 chalecos. R</t>
  </si>
  <si>
    <t>Jaime Salas</t>
  </si>
  <si>
    <t>enzaít jÓ^GÍndi4o Manuel §an Martin, D. Francisco R Josef María Perez^, D. Jo?ef M^tep Echevarría , D. Jaime Salas * E&gt;» .Salvador Ros v Antonio DyMnbncUco Bordqii i-.Xf-. Miguel Eelií*&gt; fe FededeoR&lt;^rííguea*f&gt;D*;Ramón Alcántara, D. Gerónimo Rabada, ,B» RáL mon Antonio Sanfuente, D. Josef Mart</t>
  </si>
  <si>
    <t>Jaime Silva</t>
  </si>
  <si>
    <t>dicha ciudad, y en Madrid en la,secretaría del banco nacional. En 4 de junio próximo pasado remitió D. Jaime Silva, del comercio de esta corte, un vale de 15,0 pesos, creacicn de i.° de enero, níím. 341199, á D. Juan Bautista Coll, de Matare, con epdoso á favor de este; y no habiendo llegado á</t>
  </si>
  <si>
    <t>Jaime, Antonio María</t>
  </si>
  <si>
    <t>Antonio María Jaime</t>
  </si>
  <si>
    <t>........ 600©. El gremio de menuderos de esta villa , id................................... . loco. D. Antonio María Jaime, id........................................................... 500. D. Benito García, 20 rs. mensuales, por agosto.......................... 20. D. Francisco Crodey , 60 id. id...</t>
  </si>
  <si>
    <t>Jame</t>
  </si>
  <si>
    <t>t&gt;«y IMPERIO FRANCES. París 14 de junio. El capitán de fragata Mr. Jame ,, comandante del brick de S. M. el Patinurof ha; remirido :al ministerio de la marina 1¿:relación que &amp;igue\de uqr combare que sostuvo el 22 de abril en los mares de América cont</t>
  </si>
  <si>
    <t>James Madisson</t>
  </si>
  <si>
    <t>recaer la elección de un presidente y un vice-presidente de los EstadosUnidos, han dado'88 Votos á Sir James Madisson para laipresidencia, y 79 á Sir Jorge Clinton para la vicei presidenciaif En eonscaoencia, su? n &gt; ubre# se han presentado al pueblo, con un decreta diírtado unánimemei te,en que</t>
  </si>
  <si>
    <t>James Saumarez</t>
  </si>
  <si>
    <t>da. El 2.9 de marzo falleció el almirante Rainier, que mandó mucho tiempo en.los mares de la India. Sir James Saumarez, que debe mandar la escuadra inglesa en el Báltico, se despidió del Releí 30 de marzo. El 29 del mismo mes propuso el lord Folchstone nuevamente á la cámara de los comunes votar u</t>
  </si>
  <si>
    <t>: el general Oaques tiene eL gobierno de Malta, y en el de Guernesei ha sucedido Sir Edmundo Nage á Sir James Saumarez, á quien se ha dado el mando de la escuadra del Báltico.</t>
  </si>
  <si>
    <t>James Saumurez</t>
  </si>
  <si>
    <t>eptiembre. diarios de Suecia anuncian que Mr. Thonton salid de Stockoímo el 14, para la esquadra de Sir James Saumurez , y añaden que dentro de 8. dias habrá noticias muy interesantes. Dicho almirante estaba tomando medidas para destruir la esqnadra rusa $ y en el memento que se separó de di el úl</t>
  </si>
  <si>
    <t>Jandel</t>
  </si>
  <si>
    <t>e reforzado de gente, se quedaba disponiendo para salir otra vez al mar. .r: '.Este mes rdé fébréro Mr. Jandel, vicario dé la parroquia, de ‘Cleveci, departamento del Meurthe., yendo á la iglesia de Fraize, pasaba por úa -piiente.de inadera sobre el. mismo rio, que á la sazón venia hinchad</t>
  </si>
  <si>
    <t>Jansen Moller</t>
  </si>
  <si>
    <t>n.alhajas, .para, alivio, de las necesidades de la patria. Otra, semejante; ha mandado . escribir á Mr. Jansen Moller, nuestro cónsul en Nantes, dándole-gracias por la oferta que hace.de. 400 rixdalers anuales (cerca de 8©:rs. vn.) por todo ef tiempo que durare la guerra. ’ 1 . r r. . ■ PRUSIA..,</t>
  </si>
  <si>
    <t>Jaulin, Ramón</t>
  </si>
  <si>
    <t>Ramón Jaulin</t>
  </si>
  <si>
    <t>cisco Villoría 30. D. Juan de.Berriiezo 30. Ramón González X rs. y 8 Jnrf. ; D. F. J. S. C. 200. •' D. Ramón Jaulin 80. &gt; D. J. I. J. D. S. $1?o. . Pedro de Aquino 20* t D. Joaquín Magens 30. Mateo Agudo 20/ Se continuará.</t>
  </si>
  <si>
    <t>Jayme Nogués</t>
  </si>
  <si>
    <t>rid....... 500 1361 •D/'P^etílo-Valeio-^ ooleg-ial platel..L..f.....‘..‘/;. Valéncia...... 500 o 32 D. Jayme Nogués......................................... . Barcelona.... 300 ' 154 Sres. Valero, Andreu menor y Guitart......... Valencia..... 3co 2076 D;Juan Pedro-de Irigoyen...................</t>
  </si>
  <si>
    <t>Jayme Nogues</t>
  </si>
  <si>
    <t>Zaragoza..... 500 645 D. Josef Bartolomé Aguado.............................. Madrid....... 500 33 D. Jayme Nogues............................................... Barcelona.... 300 1136 O. Manuel María Sahun y Palacin.................. Zaragoza..... 500 626 Doña María Ignacia Ornat y Iñiguez...</t>
  </si>
  <si>
    <t>Jban Vicente Tinao</t>
  </si>
  <si>
    <t>lencia..... 300 159 D. Vipente Haedo Pico».»»............................ • Valencia..... 300 2138 .D. Jban Vicente Tinao......... ............ ».»»».»; Zaragoza. .’■.» 3 00 199I D. Fernando Martínez'Rubio.......»»...»....... Zaragoza..... 500 -1438 D. .Antonio Santa Ana.......................... -..</t>
  </si>
  <si>
    <t>JBraidwood</t>
  </si>
  <si>
    <t>donativos voluntarios hechos por particulares. No lejos de la miscapital hai otros 3, dirigidos por Mr. JBraidwood, Mr. Telfalr, y el abate Belet: en estos cada aíunino paga una pensión determinada. En Irlanda se cuentan 4 establecimientos de esta especie, y están baxo la dirección de Mr. Stun</t>
  </si>
  <si>
    <t>Jbsef María de Veladiéz</t>
  </si>
  <si>
    <t>.......... Valencia.&gt;... ICOO 23 5 2 D..■ Manueí-Lecn. Fernandez....... . Zaragoza...., 6co “&gt;■ 267 D. Jbsef María de Veladiéz...................... ........ Burgos....,*... 300 1866 D. Mariano Blanco........ ................................ . Zaragoza..... coo 239° D. Pedro Castillo, presbítero..........</t>
  </si>
  <si>
    <t>JCaviera Escudero</t>
  </si>
  <si>
    <t>ez 2. D. M. C. 6. Doña M. C. una. Doña María Felipa Falcon y Rutiman 4. Cristina Bueno una. Dia 29. Doña JCaviera Escudero 4 camisas. D. Juan Luque 6. Un religioso 42 varas de coruña. Doña Joaquina Bradi 18 camisas. D. Josef Rfoja 6 de coruña. Las monjas de la Concepción francisca d*e la* ciudad de Gu</t>
  </si>
  <si>
    <t>Jcsef Justo Salcedo</t>
  </si>
  <si>
    <t>uarde á V. E. muchos años. Valencia y junta suprema de gobierno 18 de agosto de 1808. = Excmo.. Sr. D. Jcsef Justo Salcedo. jBreve extracto de los servicios hechos por este digno general d la patria. Llegó á esta playa desde Mahon el 25 de mayo, dos dias después de aquel , que será para siempre memora</t>
  </si>
  <si>
    <t>Jcsef Navarro</t>
  </si>
  <si>
    <t>aña é Indias* Y? satisfecho también. S.’M. del zelo y de los buenp$ servicios del mariscal de campo D. Jcsef Navarro:, gefe de estado mayor 'que ha sido de .artillería, ha venido en nombrarle por subinspector comandante de teste feal cuerpo en el departamento dé Barcelona. ; Desde hoi i.° de abr</t>
  </si>
  <si>
    <t>Jdsef Aguado</t>
  </si>
  <si>
    <t>atria y dé nuestro amado y augusto Soberano'Fernando vn, eh las que dixó la oraeion fúnebre él I)r. D. Jdsef Aguado, arce</t>
  </si>
  <si>
    <t>Je Otada, Pedro</t>
  </si>
  <si>
    <t>Pedro Je Otada</t>
  </si>
  <si>
    <t>-sastre, 50c rs. por una vez» y por agesto 2 6 rs. (i 1 arios... •••••• •**«•••*••••«*••■... ■ 636. D. Pedro Je Otada , oficial de ja administraciongciieral'de Ren? / : ' tas, 1 ® rs. por o na vez, y, 1409, por, 4 .meses á, fca. diariosí... 2464. i D. Manuel déla» Heras,porun ajío i 4 rs. diarios</t>
  </si>
  <si>
    <t>JefFerson</t>
  </si>
  <si>
    <t>ste modo han llegado á manos de nuestro gobierno. 1 Ayer se extendió la noticia de que había muerto Mr. JefFerson, prestr* dente de los Estados-Unidos. Aunque esta nueva se da por positiva en una carta escrita el 2 de mayo desde las Bermudas, necesita de confirmación», mediante á no haberse s</t>
  </si>
  <si>
    <t>Jefferson</t>
  </si>
  <si>
    <t>tución americana. Ya, pues, no es de temer la guerra entre la gran Bretaña y los Estados unidos : y Mr. Jefferson manifiesta sus disposiciones de no acceder á las iniquas y absurdas pretensiones de Bonaparte. Entre las escenas de miseria , que ha producido el embargo en el hermoso pays de la</t>
  </si>
  <si>
    <t>nstitución americana. Ya pues no es de temer la guerra entre la gran Bretaña y los EstadosUnidos; y Mr. Jefferson manifiesta sus disposiciones de no acceder á las iniquas y absurdas pretensiones de Bonaparte. Entre las escenas de miseria que ha producido el embargo en el hermoso pais de la Am</t>
  </si>
  <si>
    <t>icano, que saiga de los puertos de los Estados unidos, durante el embargo. 2. ° Por el silencio que Mr. Jefferson ha observado acerca de Ja paz de España con Inglaterra. Esta paz rescinde Jos decretos del consejo británico acerca de nuestro comercio en España; y aquel pays estuviera abierto á</t>
  </si>
  <si>
    <t>JeíTcrson</t>
  </si>
  <si>
    <t>¿__The mornig-chromcle. Según cartas de les Estados-Unidos es segura la victoria para el partido de Mr. JeíTcrson. Mr. Madison, que indicó este para suceáerle, tiene á su favor el mayor número en los estados de Jersei y de Pensilvania, que tanta infidencia exercen en el particular. El partido</t>
  </si>
  <si>
    <t>Jesef de Llano y Pravia</t>
  </si>
  <si>
    <t>ieta. s Bernardo Febrer. = Francisco Eugenio Carrasco.=Ignacio Rodríguez de Rivas.=Francisco López. D. Jesef de Llano y Pravia ,del Consejo de S. M., su secretario oficial mayor de la secretaría del real y supremo consejo de Hacienda, que como tal estoi exerciendo las funciones de secretario de él, por in</t>
  </si>
  <si>
    <t>Jésef Enseña</t>
  </si>
  <si>
    <t>id. V. D. Jésef Enseña, abad de Afligidos. P. D. Antonio Soto, abad de 5. Norberto. D. Josef Molina , diputado de Pinto. D. Francisco Martínez Abad, diputado eclesiástico de id. D. Juan Francisco Fernan</t>
  </si>
  <si>
    <t>Jesef Piseni</t>
  </si>
  <si>
    <t>. Contusos....... . Capitanes»..^' Malíuefpigrado. rD. Ventura Masía. Extraviados.... Tenientes.. .&lt;D. Jesef Piseni. ID. Manuel de la Mata. Artillería. Contuso......... Teniente..... D. Josef Escalera. Caballería de España. ■ai;.—¿a.-’ Muertos.......... •• ..J.D. ¡ Capitanes. ^ Alonso x.. , Gon</t>
  </si>
  <si>
    <t>Jfederico Moreti</t>
  </si>
  <si>
    <t>iguiente: . ,, El dia 26 de julio próximo pasado , habiendo sido comisionado por él ^coronel el Sr. D. Jfederico Moreti, comandante de las tropas españolas en Evora ciudad, para llevar pliegos de aquella suprema junta, y del mencionado Sr. comandante á las juntas de Coimbra y Oporto, y á'los genera</t>
  </si>
  <si>
    <t>Jfosef Álcpo</t>
  </si>
  <si>
    <t>tremece ¡con impiécbd^ tan iojréndas, Continúan los donativos en dinero para el exército de Aragón, D. Jfosef Álcpo iioq^rs. va.; ^ ,o I). Francisco Fernandez Flores 300^ D. Carlos Soldevilla 8o. &gt; \r fr I). josef Ru iz dé la Azuela 2323’rS. • ~ ¿ * r; •- • D. Manuel de AUer ioo/;. , , » ,, .1;</t>
  </si>
  <si>
    <t>Jfu</t>
  </si>
  <si>
    <t>20. Ramoa Rodríguez , id................... .................................................. ioq. D. Jfu^n Diez, portero de los jardines de Aran juez', y superna* merario del alumbrado de Madrid, id......................................... 300. D. Manuel Martínez, id.................</t>
  </si>
  <si>
    <t>Jiian JVIartinai</t>
  </si>
  <si>
    <t>sasy mi litares: 2 tontos éh 4*°--Tratado metódico, ó modo de explicar la?sagráda escritura^ portel D. Jiian JVIartinai : un tomo en :8.?^Mota! deítínifltósofbJetiSti&amp;nó ^ conmáxlmas de ia sagrada escritura: un tomo]en $.^^.ArertgéS^béróIcás dérilás'dá*nás«,rpdí' Mr/ Escuden *.V2 tomos en 8 .-0_ Ar</t>
  </si>
  <si>
    <t>Jiíán Páchebóy</t>
  </si>
  <si>
    <t>e Colomera. excusado á causa de su&amp; notorios achaques édmpo-: Duque de la Roca. sibitidad los Sres. D. Jiíán Páchebóy ¡D; Antonio Marques de las Horma- de Córdoba y Heredia, léyd eDsecretadd una dr-b zas. ' r deh de la suprema Junta gubernativa', instalada enConde de Montarcó. Aranjuez, del tenor</t>
  </si>
  <si>
    <t>Jijan María de Giiemes</t>
  </si>
  <si>
    <t>de S. M., en intereses de vales reales de los años 1800 y 1807 id................... ...... . 631, D. Jijan María de Giiemes, en intereses del real Empréstito id. iooq* El conde de S. EÍLafael, 9® rs, anuales, y satisface en un libramiento del Fondo vitalicio.............................................</t>
  </si>
  <si>
    <t>JLeiraí, Juan</t>
  </si>
  <si>
    <t>Juan JLeiraí</t>
  </si>
  <si>
    <t>. y.........,.*....... h 60. • Fe|áx I^opez, maestro sastre , pór 6‘ meses á-15 ijS. mensuales. i;. D. Juan JLeiraí, por agesto, á ioó rs. iriénsúgles.i..............i.....•* IOQÚ Dr Josef Maquel He Arnedo, discípulo en el departamento del grabado con destiño á la América, por agosto a jo rs» i</t>
  </si>
  <si>
    <t>Jli</t>
  </si>
  <si>
    <t>•• '•••• ,•• Un vecina d'lf ~st~ 'corte, 25 lib.ras de báIs~mo' del ;Perú ....• :~ ....... ~~~4 '1. D. Jli~n António ;ir!u~tiez.,. ~. b:)ten~s I?~J'sa~() tnatay¡lIo~o, "-e y 69 ,rse i~ ••,....•. ,~ ....• ~ .............••..•.....•:......... ,.~ •.~...................'•. ;. 60. D tsi"-r</t>
  </si>
  <si>
    <t>Jñani Verdes-Montenegro y Munibe</t>
  </si>
  <si>
    <t>.....■...■.......... 30. D. Juan Antonio Suarezj;id....... ..................... .............. 00. D. Jñani Verdes-Montenegro y Munibe’, mayordomo de semanade S. M., un recibo de intereses de acciones, id................ 3200. D. F. D. S. M., en intereses de vales, id....................................... 90. 8f.</t>
  </si>
  <si>
    <t>Jo, Juan</t>
  </si>
  <si>
    <t>Juan Jo</t>
  </si>
  <si>
    <t>Urien , D. Angel Ubac; á los cadetes del expresado cuerpo de patriotas , con grado de subteniente, D. Juan Jo— sef Ferrer, D. Josef Beruti , D. Josef Zerero; á D. Francisco Osoro , Dop Juan Abundante Boqúi,&lt;D. Juan Bautista Ceiaya.-y D. Jósef María Coitia, ayudante mayo?, y tenientes del</t>
  </si>
  <si>
    <t>afaela Ormaza 8. mrs. en metálico , y 9161 y 16 María Sánchez 4 rs. y 16 mrs. mrs. en vales reales. D. Juan Jo^ef de la Presilla xoo. D Antonio Xavier de Herrera 2500, D. Manuel Rodriguen 40. D. Pedro de la Riva 60. D. Pablo Muñoz de la (Vega 122 rsi El conde de N. 270 rs. y 25 § mrs. y 7</t>
  </si>
  <si>
    <t>Jo, Manuel</t>
  </si>
  <si>
    <t>Manuel Jo</t>
  </si>
  <si>
    <t>Jiíak de Mena hasta nuestros días,dedicadas ¿ IX Juan Méléndez Valdés, y recogidas y ordenadas por D. Manuel Jo-' $ef Quintana. Esfa obra se ha emprendido en obsequio y utilidad de losjóvenes que empiezan á dedicarse á la poesía.,, de los. aficionados y dé las mugeres que leen versos por dist</t>
  </si>
  <si>
    <t>Jo, Ramón</t>
  </si>
  <si>
    <t>Ramón Jo</t>
  </si>
  <si>
    <t>........&gt;............ 40. D. Manuel Fernandez, á cuenta de 300 rs., por id.................... loo. D. Ramón Jo ver, del comercio, id......... ............... ...................... 2500.’ D. Juan de Herrezuelo, agente de negocios, id................. . 54c. D. Diego Hernández, id..........</t>
  </si>
  <si>
    <t>Jo-ed Niel</t>
  </si>
  <si>
    <t>esta , que se íubia anunciado en C. di/ en la librería de O. Victoriano Pajares, se hará -en la de D. Jo-ed Niel , calle de S. Francisco, pagando 36 &gt;?. vn. por quitro meses, y remitiéndola irán* «a, de portes , según as ha establecido anteriormente* CON SUPERIOR PERMISO. . 3&amp;N. LA IMPREN7 V</t>
  </si>
  <si>
    <t>Jo-lef Flores Galan</t>
  </si>
  <si>
    <t>os al de fusileros D. Francisco Xavier Marsclial. ... ", VENTAS JÜDIdAIES. Por providencia del Lie. D. Jo-lef Flores Galan, subdelegado en el departa» mentó de Llerena en la diócesi de Badajoz, se ha señalado el dia 9 de mayo próximo, por segundo término, para el remate dé una huerta llamada la Primer</t>
  </si>
  <si>
    <t>Joa</t>
  </si>
  <si>
    <t>istencia. Antonio González, maestro peluquero, ó. A. R. 1. Doña María Paula Trapero, 4. D. I. R. 1. Doña Joa</t>
  </si>
  <si>
    <t>de' paño's, por 1111 año a 3 diarios . ^ i^tcoD. Antonio Soldeviíia, médico de familia, y ¿u yerno D, Joa-_* quin Tudela , oficial de la contaduría de Valores, en un li—■ bxarniento del real fondo vitalicio á cuenta de 4 rs. diarios..,.. 1080. ■ £1 Sr. D. Pécíro de Ccvallqa i ^ cuenta</t>
  </si>
  <si>
    <t>Joan Antonio Arias de Saavedra</t>
  </si>
  <si>
    <t>la gazeta dél martes 16 de éste mes, que, tampoco coiicurrierori a prestar el jnramento los señores D. Joan Antonio Arias de Saavedra,. D.. Manuel Per.ez de Lema, y el conde dé Guzman, iriinistros supernumérariosj del itlisfno consejo.</t>
  </si>
  <si>
    <t>Joan Antonio Santa</t>
  </si>
  <si>
    <t>12f8 D. Joan Antonio Santa misa que se celebra en el oratorio; y concluida esta, leyó la real orden y acta de instalación de la suD; Domingo Antonio prema Junta, dirigida á este tribunal , cuya lectura Mira</t>
  </si>
  <si>
    <t>Joan Bautista Pardo</t>
  </si>
  <si>
    <t>del Alcázar de Sevilla 1 3 de Agosto de i8o3. = Por disposición de S« A. S. =&amp; Joan Bautista Pardo , Secretario* Erraras en átennos exempíares de las Gretas números 22 y 23* ==í En el num. 22 , pág. 169, lín. 3, dice 22i lease 12. = En ei fiúm. 23 , pág. 1,82 lío. 1 1, dice Julic; lea se Ag</t>
  </si>
  <si>
    <t>Joan Bautista Yoldi</t>
  </si>
  <si>
    <t>. ........ 400. D. Andrés Saenz Azofira, por-una vez*¿,...v........*.....v...;.,..u.;;¿..;. j 3000» D. Joan Bautista Yoldi, oficial de la secretaría del Refugio, por r una ........ 200. Mari* Peral, sirviente , por una vez.......................... .................... 160. Juan Piedrahita , por una v</t>
  </si>
  <si>
    <t>Joaon</t>
  </si>
  <si>
    <t>torchas de la iluminación; la voz general, que resonaba por todas partes, era: Viva Fernando : viva D. Joaon: muera Napoleaon. Nada me ha incomodado en mi jornada. El calor del sol, la humedad del rocío, mi enfermedad habitual, incompatible, con el exercicio de la equitación, la precisió</t>
  </si>
  <si>
    <t>Joapiin Esquiu, Miguel</t>
  </si>
  <si>
    <t>Miguel Joapiin Esquiu</t>
  </si>
  <si>
    <t>pesos de ¡a creación de setiembre, núms. 145009, 165231, i66?.oi y 205860, encabezados á nombre de D. Miguel Joapiin Esquiu, del comercio de Zaragoza, endosados por este á favor de D. Francisco Xavier Hermandei, y este al de D. Manuel Ximenez. Quien supiere de su paradero, se servirá avisarlo á dicho D</t>
  </si>
  <si>
    <t>Joáqu</t>
  </si>
  <si>
    <t>. Alicante...... 1500 ci:589 'Sres.; Segura, Costazar y* Ibaciola........... Bilbao........ 300 52f D. Joáqu irv' de Uria -y Laquin tarta,'.. !• Bilbao*.*, ' 300 .. Cádiz...... J. 6co ,i Madrid......,. "oo 2377 D. ,. Zaragoza..... 000 . Madrid....*;. 600 . Zaragoza,.... 300 2241 D. Sánti</t>
  </si>
  <si>
    <t>JoaquimMagens</t>
  </si>
  <si>
    <t>................. 60. D. Francisco Wiant, plumista?, 160 id. id............................. . ,6o. D. JoaquimMagens, oficial de la tesorería de Espolios y Vacantes, 30 id. por 3 meses..... .......................................... .............. 90. D. Joaquín de Hervías, oficial de la secreta</t>
  </si>
  <si>
    <t>Joaquín Juan</t>
  </si>
  <si>
    <t>término perderán irremisiblemente sus intereses como está prescrito. AVISO. Por providencia del Sr. D. Joaquín Juan de flores, del consejo de S. M., y ditor de guerra de esta plaza y capitanía general de Castilla la Nuera', se cita, lia* ma y emplaza á los parientes y demas personas que puedan ten</t>
  </si>
  <si>
    <t>Joaquín Lorenzo</t>
  </si>
  <si>
    <t>r. un; año....»; 2190. D. FelicianoAei Arcó, del comercio, 6 id. id.......................... 219O. D. Joaquín Lorenzo.Vilianueya,d ^d’; P9r agos*°*,*v.....•••*...... 186. D. Francisco. Antonio de Rucayado,,4 id. por 5 meses......... . 612. D. Santiago .Gxa.s.er.,.templador.de,pianos, uno id. por</t>
  </si>
  <si>
    <t>Joaquín Salvador</t>
  </si>
  <si>
    <t>mada: cesó el fuego por nuestra parte y por la del enemigo. Salió un oficial de la ciudad, y avanzó D. Joaquín Salvador, caballero maestrante , con un trompeta que venia de entregar la respuesta á la inti-* macion que hizo el general Moncei para que se rindiese la ciudad. Luego qué entró este digno</t>
  </si>
  <si>
    <t>Joaquina Alberto de Zuíúeta</t>
  </si>
  <si>
    <t>os id. con 78 y media. D. Luis Gabaídon y López, abogado del colegio...... ,...... .......;... 55©* Doña Joaquina Alberto de Zuíúeta las alhajas de su uso siguientes:-un alfiier.de oro con perlas,,un.relox de oro, un peine con guarnición de un flechero de plata y oro, y una sortija de diamantes hechura de lanzadera</t>
  </si>
  <si>
    <t>Joaquina Alberto de Zülueta</t>
  </si>
  <si>
    <t>María Rodríguez 1. El colegio de S. Antonio 3. Doña Faustina Bustarviejo 3. Doña Catalina Villa 3. Doña Joaquina Alberto de Zülueta 2 camisas y 2 pares de calcetas. Dia 13. Doña María. Petra Pastor 47 varas de lienzo. D. Tadeo Bravo de Rivero hechura de 24 vestidos completos. D. Lucas Urrea 600 gruesas de boto</t>
  </si>
  <si>
    <t>Joaquina Blanco</t>
  </si>
  <si>
    <t>o de Arríeta 6. Doña María Sánchez Badillo 2 id. y Doña Francisca Ramirez una. una. libra de hilas. Doña Joaquina Blanco una. D. Mariano Blanco 6 camisas. Doña Manuela Martínez Carranza 6* D. Félix Manzaneda 6. Doña Isabel Ilarranza 2. D. Rosendo Saturío 2. D. J. B. 3. Doña Micaela Fourdiniez y sus</t>
  </si>
  <si>
    <t>Joaquina Bradi</t>
  </si>
  <si>
    <t>no una. Dia 29. Doña JCaviera Escudero 4 camisas. D. Juan Luque 6. Un religioso 42 varas de coruña. Doña Joaquina Bradi 18 camisas. D. Josef Rfoja 6 de coruña. Las monjas de la Concepción francisca d*e la* ciudad de Guadalaxara i3. El Excmo. Sr. conde de Miranda 27, y su contador Don Francisco la R</t>
  </si>
  <si>
    <t>Joaquina de los Desamparados, María</t>
  </si>
  <si>
    <t>María Joaquina de los Desamparados</t>
  </si>
  <si>
    <t>noviembre próximo pasado falleció en esta corte, á los 56 años* 4 meses y 17 dias , la Excma. Srá. Doña María Joaquina de los Desamparados , Mónserrat y Acuña, dúquesa de ÁhnodóVar viuda , dama de la Reina^npestra señora , y de, s,u .reá} oi;dén , con Sde,stii1q al qúartb de lá Serma. Sra., Infanta .Dona María .$04,</t>
  </si>
  <si>
    <t>Joaquina Escudero</t>
  </si>
  <si>
    <t>mbres de los interesados. Cgluí sionsdos. lvo&lt; Vil. $08 D#-Francisco de Santiago. Madrid;...../ 300 Doña Joaquina Escudero..................,.»././/../ Zaragoza;../. 600 788’ D. -Jtían Manuel de Ganduqui................... . • Madrid 500 D. Fdrmif/Carnerea Vela.............................¿.7 Madrid..</t>
  </si>
  <si>
    <t>......... 2354 l9• D. F. J. S. C. , en réditos de vales y efectivo, id........................ 200. Doña Joaquina Escudero, en vales reales, id.............................. . 23 ¿5 2. D. Luis Bernardo vPerez, id. id........................................................ . 400.</t>
  </si>
  <si>
    <t>Joaquina Gómez</t>
  </si>
  <si>
    <t>l brigadier D. Miguel dé Gamboa y X). F. 2 y 2 medias. su hermana 4. D. Vicente Pereda 6 camisas. r Doña Joaquina Gómez 2. D. Francisco Gil una. . "v / D Francisco Antonio de Ibarreche 12. D. F.”4. f ; . ■ /;: ■; Doña N. 2V ; y Doña, María Concepción de Ifusta 6. Doña Isabel Carvajal y Castañeda 2.</t>
  </si>
  <si>
    <t>..................... . 300. D. León de Altoiaguirre, aumenta.ásus donativos anteriores ,-id. 2000• Doña Joaquina Gómez una bandeja de plata con. peso de' 96 y media onzas y dos cubos id. con 78 y media. D. Luis Gabaídon y López, abogado del colegio...... ,...... .......;... 55©* Doña Joaquina Albe</t>
  </si>
  <si>
    <t>Joaquina González</t>
  </si>
  <si>
    <t>D; Feli^rBausstc 6-id-:de coruña. D.; F. R: una. ■ ' Dia 1$, Jp. jG.vE- íU.n capote pardo . usado/ Doña Joaquina González 4 camisas. Doña ManudefPjfar y Doña,Josefa Doz; y*Aguírre á*. topñajua-r na Reboles una. La Éxcpia. Sra.* marquesa, de Vilíanjanca 200 pares de .calcetas. ; : . /; - Dia 20. Un ec</t>
  </si>
  <si>
    <t>Joaquina López</t>
  </si>
  <si>
    <t>ción de esta provincia, por una. vez feo^rs. ., D. Antonio Almeida Mendoza, por id. 1200 rs. J:-¡ i Doña Joaquina López, por agosto i 160 rs. mensuales durante la guerra/ 160. El conde de........... á cuenta de 4© rs., 2®. D. Bernardo Murillas, por una vez i50 rs. t ( D. J uan Manuel de Traspeña, d</t>
  </si>
  <si>
    <t>Joaquina Manuela Smit</t>
  </si>
  <si>
    <t>600 1681 D. Josef Ibarra..................................................... S. Sebastian. 500 456 Doña Joaquina Manuela Smit............................. Bilbao...... . 300 1010 D. Santiago Palacios............................................. Madrid....... 300 1022 D. Juan Josef de Bringas.............</t>
  </si>
  <si>
    <t>Joaquina Martínez</t>
  </si>
  <si>
    <t>a universidad de Alcalá de Henares, id....................................................... xooo. Doña Joaquina Martínez, id....................................... ............ . 20. D. Juan de Ja Cruz Sanz de la Torre, en un vale de 1 jo pesos, y en intereses de esta moneda, id................ ....</t>
  </si>
  <si>
    <t>Joaquina Navarro</t>
  </si>
  <si>
    <t>Alcudia 24. Dia 8. D. Joaquín Uceda una camisa. La real archicofradía sacramental de S. Cines 100. Doña Joaquina Navarro 4. Doña María Facunda Lo^ pez 2. Dia D. Simón de Antepara Luceta, vecino de Alcalá de Henares, 240 pares de calcetas. Dia ro. D. Casimiro Navarro, en nombre de sus hijas, 13 camis</t>
  </si>
  <si>
    <t>Joaquina Pallas y Torrente</t>
  </si>
  <si>
    <t>... . 300 137 D. Narciso Boada.......................... ................... Valencia..... 300 loo. Doña Joaquina Pallas y Torrente................. . Madrid....... 300 2154 Doña María de la Cadena y Perez.................. Coruña..... . 300 585 D. Francisco de Larroca y Arredondo............ Madrid........ 30</t>
  </si>
  <si>
    <t>Joaquina Quijada</t>
  </si>
  <si>
    <t>lanco y 74 de lienzo. D. Juan Manuel de Náxera 8-camisas. D. Josef de Urizabal 2-camisas de coruña. Doña Joaquina Quijada 11 varas y media de lienzo. D; Francisco Martino 2 camisas. D. Manuel de Santibañéz 6 de coruña finas. D. Josef Puigdolles 15 pares de zapatos. ' £□ la extracción de la real loter</t>
  </si>
  <si>
    <t>Joaquina Serra</t>
  </si>
  <si>
    <t>lor......... Bilbao................ 300 r; &gt;36 J)..Pedro Felu, presbítero... Barcelona.... -300 875 Doña Joaquina Serra........... (/Madrid........... 3000 1073 P. Miguel Gutiérrez y compañía...................... Madrid............. 500 2079 íb Juan Manuel de Peralta............................. C</t>
  </si>
  <si>
    <t>Joaquina Tobar y Yepes</t>
  </si>
  <si>
    <t>6. Dia ir. Doña M. P. C. y una hermana 3 camisas. Dia 12. Doña Manuela González de Sena 6 camisas. Doña Joaquina Tobar y Yepes 5* AVISOS. Por providencia del tribunal del consulado de Cádiz, y escribanía de D. Melchor Nicolás Truxillo, se cita, llama y emplaza á qualquiera que se considere co_ñ derecho á</t>
  </si>
  <si>
    <t>Joaquina Vi</t>
  </si>
  <si>
    <t>as se?ují su mérito.—— A Doña Josefa Alvarez Santullano, Doña María del Cálmen González. A rango, y Doña Joaquina Vi gil, se las ha gratificado con: media onza de oro.á cada una por haber hilado, torcido , tcxido , teñido y manufacturado varias partidas de híjadiiios, hilos, algodones, laxas y l</t>
  </si>
  <si>
    <t>JoaquinDsés</t>
  </si>
  <si>
    <t>s &gt; D. Manuel-Entrambasaguas, D. Pedro Geridéja, D. Josef Manuel del Valle, D. Josef María Bassoco^ D. JoaquinDsés , D. Joaquín Galdiano, D. Josef María Baquedago, y D. Francisco Xavier de Ezpeleta. Ganaron el premio extraordinario dé instrucción religiosa los caballeros seminarista mayor D. M</t>
  </si>
  <si>
    <t>Joaquínt Sánchez Marcan</t>
  </si>
  <si>
    <t>r. Vicente .Palomequé, comendador de la Merced calzada. Fr. .Juan Maestre, presidente de la Pasión. D. Joaquínt Sánchez Marcan, diputado de S. Basilio. P.Juan de Belandia# diputado de</t>
  </si>
  <si>
    <t>Joaquio Araiiy</t>
  </si>
  <si>
    <t>d. por agosto.......................................... .................. .................. . 20. D. Joaquio Araiiy 6© id. durante medio año, por 2 meses....... 12©.</t>
  </si>
  <si>
    <t>Jofeef Coronal</t>
  </si>
  <si>
    <t>., á 120 rs. menS U ,11 5................... ..j...... jr......i.......’..............i........ *j2 D. Jofeef Coronal-, empleado en la casa de la moneda, por agosto^ 30 rs, mensuales.l^;.í....:¿í.íUt..¡&gt;..&gt;................... ...........vi.... 30. D. Eusebio Pefez* Wlatór déí consejó de Guerra^ po</t>
  </si>
  <si>
    <t>John</t>
  </si>
  <si>
    <t>voces de haberse firmado -la paz entre Rusia , Suecia y Dinamarca, Se asegura que la expedición de Sir John 3\Ioore salió el 30 del pasado de Gofhemburgo , comboyada por el .«avío Audaz y otros buques menores de guerra. El lunes pasado fueron trasladados á seis buqne3 da ttanfpcrte 1183</t>
  </si>
  <si>
    <t>John Mook</t>
  </si>
  <si>
    <t>ra Petersburgo en un buque sueco. , *Gothemburgo 17. de Mayo* Acaba de llegar aquí la expedición de Sir John Mook. Se ignora su destino. La Jinfame rendición de Sweaborg hará quizás que se alte-re el ¡plan de operaciones.</t>
  </si>
  <si>
    <t>John Moore</t>
  </si>
  <si>
    <t>en á su noticia sobre la. suerte del almirante* Se asegura:, aunque la noticia no es de oficio, que Sir John Moore y el almirante-Keates: han llegado á las costas de Noruega, y que las tropas han desembarcado-sin oposición algunas &lt; . ^ • Una *caítá .con» fecha de 6 de ester mes escrita á bordo de</t>
  </si>
  <si>
    <t>mientos con los del exército sueco de Noruega : pero apenas llegó al Categat $ quando sé presentó ó Sir John Moore y ni Almimóte Reates una diputación compuesta de ia priutftpal nobleza de Noruega , proponiendo ,, que se segregarían de la Dinamarca , y se declaratiau neutrales : que abrirían sus</t>
  </si>
  <si>
    <t>XJX •la , y .qüc sus exordios estaban va en movimiento. Las desavenencias entre S. M. Sueca y Sir John Moore son meramente personales , y no trascienden á la per* f^cta armonía que subsiste entre ambos gobiernos* El Rey de Suecia ha dicho públicamente» que si fuera Se* fior de seis reyao</t>
  </si>
  <si>
    <t>ición del Báltico ha llegado a Portsmouth. Apenas se haga de víveres, dará á la vela-para mediodía. Sir John Moore llegó a esta el sábado en la noche , y tuvo una larga conferencia con el lord Castlereagb. Sir HeW Dalrympfe mandará en gefe la expedición* del Sur, y los generales Moore , Wdiesl</t>
  </si>
  <si>
    <t>a á la Francia, y que sus exércitos estaban ya en movimiento. Las desavenencias entre S. M. sueca y Sir John Moore son meramente personales, y no trascienden á la perfecta armonía que subsiste entre ambos gobiernos. ElRei dé Suecia ha dicho públicamente que si fuera señor de seis reinos, no co</t>
  </si>
  <si>
    <t>n en vísperas de marchar hácia las provincias septentrionales de España , h las órdenes del general Sir John Moore , oficial de conocido mérito. Dalrympie ha salido de aquel reyno, y Harry Burrard permanece en la capital con el resto de las tropas. Se ha sabido por la fragata inglesa la Imperi</t>
  </si>
  <si>
    <t>John More</t>
  </si>
  <si>
    <t>os regimientos de caballería. El lord Cathcart tendrá el mando en gefe, y servirán baxo sus ordenes Sir John More, Sir IXivid JBaird, Sir Arturo Velleslei, y los_brigadieres Diott y Cotton. Ha salido para Malta el general Stuart \ á quien se ha conferido el mando de todas las tropas inglesas</t>
  </si>
  <si>
    <t>John Stuart</t>
  </si>
  <si>
    <t>&amp;c., total 106. Suma total general 1106. (Gazeta de la Coruña núm* j8.) SICILIA. Mesina 24 de mayo. Sir John Stuart, comandante en gefe de ias tropas británicas en el Mediterráneo, llegó el 13 á esta, donde se le recibió de una manera digna de sus prendas y del singular mérito que ha contraído</t>
  </si>
  <si>
    <t>JoíHf</t>
  </si>
  <si>
    <t>2. • ; l Doña Manuelft^RámirO’d.'--y • 5 Doña N. 6. -c . - v íva’r-.u'it D. G. A. y U. 2¿• : -l • ' D. JoíHf&amp;lSafr^'tí. 1' Sk. tf ry D. Esteban Guérrérob6.t \ .1 ¡ -■ D. J* A. 4. *c ^ ! l Doña Manuela 4gúado -36 ^araa dé D, N. 2. .tienzo. v - • &gt; S&amp;eontirtúar&amp;</t>
  </si>
  <si>
    <t>Joiséf Bóútet</t>
  </si>
  <si>
    <t>D. Felipe Montes........................... ....... ...... .......... Zaragoza..... ..... 300 1701 D. Joiséf Bóútet....................................... . Cádiz......... . 300. 1802 Doña Ramona de Parada............................ Zaragoza..... 30.0 2107 Sres. Vienne yLarue..................</t>
  </si>
  <si>
    <t>JolHvet</t>
  </si>
  <si>
    <t>, frailees, cuidará provisionalmente, baxo nuestras órdenes , del ramo de hacienda y comérciól 5 .a Mr. JolHvet, consejero de estado, del imperio francés , queda encargado, en la misma forma x de la tesorería , ajuste de cuentas y examen de deudas de todas clases! ^J 6i*° I^&gt;s intendentes d</t>
  </si>
  <si>
    <t>Jones, Félix</t>
  </si>
  <si>
    <t>Félix Jones</t>
  </si>
  <si>
    <t>us exércitos á los brigadieres D. IJlises Albergotti, D. Francisco Mendieta , D. Ramón de Carvajal, D. Félix Jones, D. Miguel Salcedo, D. Pedro Adorno, Don Josef de Vargas y D. Cárlos Luxan , coroneles de los regimientos de infantería de Ñapóles , Rei, España, Irlanda, Zamora, Sabnya, Soria y-</t>
  </si>
  <si>
    <t>anabria^ El teniente general D. Manuel de la Peña con su cuerpo de reserva , y el mariscal de campo D. Félix Jones , comandante de la tercera división , se apoderaron Ja mañana del 15 de los Visos de Andújar , desde donde instaron mucha gente al enemigo y le desmontaron dos pieza; de artillerí</t>
  </si>
  <si>
    <t>nuel de la Peña, que con su cuerpo de reserva y la tercera división, al mando del mariscal de campo D. Félix Jones, se posesionó la mañana del 1 f de los visos de Andujar, desde cuyas alturas incomodó tanto al enemigo, que le mató mucha gente, y desmontó dos piezas de artillería, quando su pér</t>
  </si>
  <si>
    <t>Jonh Móóre</t>
  </si>
  <si>
    <t>caballería.-El lord Cathcart es comandante en gefe de este exército, y sus generales inmediatos són Sir Jonh Móóre, David Baird, Arthuro Velleslei, y los brigadieres generales Diott y Cotton. Los habitantes de Manchester, en numero de 3500, han hecho una representacipn al parlamento pidiendo l</t>
  </si>
  <si>
    <t>Jordán</t>
  </si>
  <si>
    <t>a Sttetin, de donde ha sido nombrado gobernador. El príncipe Real manda nuestra guardia nacional, y Mr. Jordán, que era coronel, ha sido nombrado inspector general de todas las guardias nacionales de Prusia. - ^ .. . El 2 de diciembre llegará aquí una ^'guarnición prusiana de mas d e 3$ ho</t>
  </si>
  <si>
    <t>Jorge Martín</t>
  </si>
  <si>
    <t>........................... 200. Un ayuda de furriera del quarto y servidumbre de S. M., id... 500* D. Jorge Martin, sastre de cámara, una boleta de casa real, id. 550. D. Manuel de Uceta, en libramientos devales de 1807 y 1808, id...................................... .........................</t>
  </si>
  <si>
    <t>Jos'efAntonio Cebollina</t>
  </si>
  <si>
    <t>tapon’dél de la Princesa':'y ‘en éf de Zaragoza compañía al ayudantes graduado de teniente coronel, D. Jos'efAntonio Cebollina ; ayudantía- al teniente de granaderos, con grado de capitán, D. Blas Ximenez; tenencia -ai subteniente de granaderos D. Ignacio de la Villa, y subtenencia de bandera al cadete D.</t>
  </si>
  <si>
    <t>Joscf As-menicb</t>
  </si>
  <si>
    <t>coronel D J uan de ViiU!v-a, y a. su irquierda el de voluntarios de Carmena al mando su- comandante D. Joscf As-menicb,. dexando de reserva á. las órdenes del marqtics da CauipoÍicrmí so las compañías de la costa de Granada y 1 tiradores de Montoro mandado* por el capitán D. Francisco Ñuño. La mañ</t>
  </si>
  <si>
    <t>Joscf Montero, Carlos</t>
  </si>
  <si>
    <t>Carlos Joscf Montero</t>
  </si>
  <si>
    <t>igo magistral: para la dignidad de maestrescuela de la.^ propia...iglesia,*vacante pdr iratterte dé D. Carlos Joscf Montero, á D;Cayetanovjfosef de Roo : para la canongía de este á El. Domingo Estándé B^elgrano ;\y para la media-ración que resulta á D. Josef Manuel, dé Roo » cura, del puebJLo de Canelo</t>
  </si>
  <si>
    <t>Joscf Severo López</t>
  </si>
  <si>
    <t>librería de Ranz, calle de la Cruz, á 14 rs. en rústica y 18 en pasta. Elogio histórico del célebre D. Joscf Severo López, primer- catedrático del real estudio de Medicina-práctica &amp;c., por su discípulo D. Tomas García Suelto, médico dé número de los reales hospitales, y miembro de la real academia m</t>
  </si>
  <si>
    <t>Joséf</t>
  </si>
  <si>
    <t>íf02£ del corregimiento de VitlaFrañca, y D. Joséf 'Xavier Berga, con encargo •de, secretario de la junta. Publico esta inmediatameate un manifiesto á todos los habitantes de Cataluña, exhortándoles á la observancia del orden y di</t>
  </si>
  <si>
    <t>Josef Adalid</t>
  </si>
  <si>
    <t>aga........ 300 1676: D. Josef Antonio de Arrue.............................. S. Sebastian. 6co 203 D. Josef Adalid, del comercio............. ........... Alicante...... 600 1680 D. Josef Ibarra................. . .............. ............. S. Sebastian. 500 2073 D. Alexo Sagastuy............</t>
  </si>
  <si>
    <t>...... .; 500 2115 D. Josef María Moliner........... ........................ Zaragozai.... 300 204 D. Josef Adalid , del comercio......................... Alicante...... 300 650 D. Francisco Tomas Benitez................ ..... . Madrid....... 300 1311 D. Pedro Beyeya, comerciante y comisionado</t>
  </si>
  <si>
    <t>Zafra Gal legos.. ........' ■*#••• • 39® 1614 D. Josef Domingo de Aguirre..,, SiÍlXiQ* MIMM 190 205 D. Josef Adalid.» del comercio........ ............ Alicante. .**. r jOO 2043 Doña María Dolores del. Valle. Cádiz, i?» 1544 Sres. Gonzalo del Rio, hermanos........ . Bilbao......,*. : 5:°° 2114</t>
  </si>
  <si>
    <t>..*....; 300 2110 D. Juan Manuel de Peralta..,.,,..,.....,...'......;.,.. Cádiz.......... ; 5co 201 D. Josef Adalid.......&gt;..... ..»»'.. ;„i.. &lt;■ .Alicante....;; ¿3oq '22 o D.. Josef de&gt;Mollinedo......................................... Alicante..... i :30o * 3 9 ! D«, .Miguel Llinas..........^</t>
  </si>
  <si>
    <t>Josef Adorno</t>
  </si>
  <si>
    <t>ix Marquina, el comandante del arsenal D.‘ Nicolás de Estrada, el de los/tercios navales de levante D. Josef Adorno, el capitán de la compañía de guardias marinas D. Juan Josef Martínez, y el gefe dé escuadra D. Rafael de Hore, el intendente de marina del departamento D. Josef Florez Varela , e</t>
  </si>
  <si>
    <t>Josef Aguilar</t>
  </si>
  <si>
    <t>éreces D. Josef Garibai y D. Pedro Paez; á alféreces al agregado D. Antonio Bonilla y al portaguión D. Josef Aguilar * y á portaguiones á los cadetes D. Pedro María Gil y D. Ramón Carrillo. En la extracción de la real lotería, celebrada el lunes 21 del corriente* salieron los números 67,35 * 9 *</t>
  </si>
  <si>
    <t>Josef Agustin</t>
  </si>
  <si>
    <t>..... .. ,6eo 67 D. Pedro Normande..... ............••»?....... ..........••• Barcelona...; 600 742 D. Josef Agustin de.Larramendi............... Madrid...................■ 500 *182 D. Mariano ¿Romea.y Bayona.....Alicante...... 500 901 D--Antonio de Palacio......... ........................ Madrid.</t>
  </si>
  <si>
    <t>Josef Agustín Álvarez</t>
  </si>
  <si>
    <t>onzález, portero de la caxa del Banco, por agosto á 20 rs. mensuales durante la guerra , 20. ' n *■ D. Josef Agustín Alvarez, por 6 meses á 30 rs. mensuales durante la guerra, 180. Sres. Matute y Sainz, del comercio de joyería, por 5 meses hasta fin de diciembre á 6 rs. diarios durante la guerra, 918. '</t>
  </si>
  <si>
    <t>Josef Agustín de Llano</t>
  </si>
  <si>
    <t>enerales. D. J uan Caro, capitán, graduado de teniente coronel del regimiento de húsares Españoles; D. Josef Agustín de Llano, capitán de dragones de Numancia; D. Francisco Xavier Riera, id. de húsares Españoles; y D. Julio O-Neill, id. de milicias de Puerto-Rico, ayudantes de campo del general en gefe.</t>
  </si>
  <si>
    <t>Josef Agustín Larramendi</t>
  </si>
  <si>
    <t>..................... . 73*D. Juan Cause» platero de oro , por agosto á reai diario............ 3l* D. Josef Agustín Larramendi, comisario de la inspección general de caminos y .canales, por ag°sto á 20 rs.. diarios......... 6io. ri. (friocícoo Hopa» Hebero, por 2 meses a real diario. 61. D. Carlos Prieto,</t>
  </si>
  <si>
    <t>Josef Ai</t>
  </si>
  <si>
    <t>z, capitán de granaderos agregado», al "propio cuerpo; -áb tenientes al subteniente, de. granaderos D. Josef Ai i re íes. yrítl dé fusileros -D, Pedro Cortes; á subteniente de granaderos ai de fusileros EH Gabriéh Aíanuel delturbe é .Iraeta, y á subteniente de bandera á D. Ramón Fernandez.</t>
  </si>
  <si>
    <t>Josef Al</t>
  </si>
  <si>
    <t>a horas en la iglesia de S. Francisca . . , '•» Il • • avisos. - • Ei.profes'*- dentista napolitano D. Josef Al.uchi, que anunció su mudanza ele Ja. cal le de Preciqd°§!4Ja;del -Príncipe, núm, ó, quarto principal, esquina á la de la Visitación, repite que existe en esta misma habitación, y</t>
  </si>
  <si>
    <t>Josef Alarcon</t>
  </si>
  <si>
    <t>id.: con varias comisiones del regimiente . Idem del Infante, Coronel D. Francisco Mariano; capitán D. Josef Alarcon; teniente D. Josef Viilarroei; cirujano D. Juan Arques, en Hamburgo: enfermos. Capitán D. Juan Duraillo, en id.: para asistir á dicho convite. Teniente coronel agregado ©. Agustín</t>
  </si>
  <si>
    <t>Josef Alcalá del Olmo</t>
  </si>
  <si>
    <t>graduado He capitán, D. Gregorio de Cáceres;y en el de cazadores de Olí vencía tenencia al alférez D. Josef Alcalá del Olmo. En atención al mérito y circunstancias del Sr. D. Josef Navarro Vidal, ministro del consejo real, ha venido S. M. en concederle honores de la camara de Castilla. ¡ Eñ Ja extracci</t>
  </si>
  <si>
    <t>Josef Alcalde</t>
  </si>
  <si>
    <t>Juan Antonio Acevo, diputado de los Angeles. D. Nicolás Iniesta, diputado- de las Niñas de la Paz. D. Josef Alcalde, alcalde de dicha. D. Francisco Cabañas , diputado de dicha. Don Ildefonso Ortuño , eclesiástico. D. Estéban Felipe Mórnn, secretario. Don Félix Abrarez dei Villar, diputado dé S.</t>
  </si>
  <si>
    <t>Josef Alcáz</t>
  </si>
  <si>
    <t>. ~ .•......••..•... ~._ ". ~ tII;t • • • ~ . p ••••• ~ 40. " •••••••••• ,', •••••••••••• ' ••• ••• D. Josef Alcáz~r,. caballerizo de S~'}¡I" 40 'id,; pOr 1 ~~eses".,~.: ~~. ·D. Josef IIid:~Jgo ~ tesoré~9 jl.1térin~ d,el MOll~c; p~():d~ "eal~s. ofi- , (,cinas 36t rs. eríintere's~s dé Y~Ieft~aJ</t>
  </si>
  <si>
    <t>Josef Aldave</t>
  </si>
  <si>
    <t>-alcalde. D. Bernardino Quirós, cura de Santiago. D. Miguel Wanderbick, diputado de la Bueña-dicha. D. Josef Aldave , de Sta. Isabel. D. Antonio Ramón Fernandez, secretario de la Buená-dicha. D. Estéban Cormes, diputado de id. D. Francisco Martínez, diputado. D. Juan Antonio Aiicedo, alcalde.,D</t>
  </si>
  <si>
    <t>Josef Alegre</t>
  </si>
  <si>
    <t>cribaño de cámara, la hice escribir por su mandado con acuerdo de los de. su Consejo. = Registrada, D. Josef Alegre. =s Teniente de canciller mayor , D. Josef Alegre. = És copia del original, de que certifico. =D. Bartolomé Muñoz. Nota. Mañana miércoles se publicará suplemento á esta gazeta. EN</t>
  </si>
  <si>
    <t>Josef Alguacil</t>
  </si>
  <si>
    <t>r una vez................................ ..................... ............................ . 50.: D. Josef Alguacil, reloxero, por una vez..........................»...l 160.. , D. Pedro Rodríguez, por una vez..........»..*............... ....... 2006. D. Pedro Antonio Echeverría, oficial de un</t>
  </si>
  <si>
    <t>Josef Allery</t>
  </si>
  <si>
    <t>ntilhombre de boca, por agosto á 100 rs. mensuales.................i....... .................. 100. D. Josef Allery agente, á 120 rs. metisHales........v........A.......... :i2o. D. Mateó Matute, platero, por üñ tercio á 4 rs. diarios.......... 488. D. Manael Luquet , por el primer tercio adela</t>
  </si>
  <si>
    <t>Josef Aloi</t>
  </si>
  <si>
    <t>ho destino, quien sepa su paradero, se servirá avisar á los mencionados señores en Madrid, ó bien á'D. Josef Aloi, residente en Bagur._!í Los expresados Sres. Aloi remitieron en 4 del misino á los Sres; Sargélit, Sagiiier y compañía, de Barcelona, 2 vales reales de 300 pesos de lá creación de</t>
  </si>
  <si>
    <t>Josef Aloi de Figueras</t>
  </si>
  <si>
    <t>S. Felipe. " Los Sres. Aloi hermanos, del comercio de Madrid¿ remitieron en 4 de junio i'iltimaf d D. Josef Aloi de Figueras, y con pliego separado, 2 vales reales de 600 pesos de la creación de mayo, nums. 386836 y 398456, cuyos, vales salieron encabezados á dichos Sres. Aloi hermanos; y teniendo notic</t>
  </si>
  <si>
    <t>Josef Alonso</t>
  </si>
  <si>
    <t>.......... 2joo. El Sr. D. Antonio de Escaño , en vales reales, id........................ 4528 22. D. Josef Alonso, oficial de la contaduría de Juros, id................ 600. D. Blas Quadrado, id.......... ................................................................. 500. Doña M. R. M., id</t>
  </si>
  <si>
    <t>Josef Alonso Caballero</t>
  </si>
  <si>
    <t>adrid....... 3 00 834 D. Juan Saenz de Santa María............. ............ Madrid....... 500 1788 D. Josef Alonso Caballero................................ Cádiz.......... 500 2069 D. Manuel Gallardo.......................................... Cádiz.......... 5 00 1554 D. Santiago de Golidura............</t>
  </si>
  <si>
    <t>Josef Alonso Valdenebro</t>
  </si>
  <si>
    <t>riente al Sermo. Sr. Presidente por medio de sus comisionados I&gt;. Miguel Benito Cantero y Grande, y D. Josef Alonso Valdenebro, para felicitar á la suprema Junta , y darla pruebas de fidelidad , respeto y obediencia. La ciudad de Manresa, tan célebre por haber sido la primera en Cataluña que levantó el es</t>
  </si>
  <si>
    <t>Josef Aloy</t>
  </si>
  <si>
    <t>*374 t Mientras que el general Caldagués se ocupó de este primer choque, su mayor general D. Josef Aloy, sargento mayor del real cuerpo de ingenieros, dispuso tan oportunamente el avance de la tercera col una por la derecha de la primera, que el enemigo abandonó el pueblo, temiendo</t>
  </si>
  <si>
    <t>Josef Altube</t>
  </si>
  <si>
    <t>...... 93. D. Juan Soler y Casader, 2 ra. id........................................ .......... 62. D. Josef Altube, oficial de gremios, 2 id., por 2 meses.......... . 122. D.'Vicente Hurrado de Mendoza, oficial de la contaduría del monte pió de reales Oficinas, 2 id., por agosto...... ........</t>
  </si>
  <si>
    <t>Josef Alvaredo</t>
  </si>
  <si>
    <t>número de la Sala,, en. intereses de vales reales y. pico .en efectivo, id................... 1100. D. Josef Alvaredo. ,.eura propio.de.Se villa la .nueva¿dv. .mu *1 .;*-.••• ,48o. /1 El escribano de ia.villa de Sevilla la nueva ,. idí..vh..Vi.;yi.¿i..:..';;..t f 2404 "Valentín Casas p sombrerero</t>
  </si>
  <si>
    <t>Josef Álvarez Baragaña</t>
  </si>
  <si>
    <t>En Zamora............ D. Josef Alvarez Baragaña. En Zaragoza......... D. Tomas de la Madrid. En Zeiita............... D. Pedro Huguet, comisionado subalterno del de Cádiz. Desde hoi i.° de abril hasta 31 de mayo se renovarán en</t>
  </si>
  <si>
    <t>es. D. Francisco Peirolon y compañía* En Valladolid...... D. Simón de Durango. En Zamora........... D. Josef Alvarez Baragaña. En Zaragoza....... D. Tomas de la Madrid. constitución. Véanse las gazetas ntíms. , roo y /O/. TITULO XIII. Disposiciones generales. aut. cxxiv. Habrá una alianza ofensiva y defe</t>
  </si>
  <si>
    <t>Josef Álvarez Nava y Ramón Corrales</t>
  </si>
  <si>
    <t>o: nombrados por el regimiento para el citado convite. Teniente D. Francisco Carrillo; subtenientes D. Josef Alvarez Nava y Don Ramón Corrales, en id.: con la guardia de honor del príncipe de Pontecorvo. Teniente D. Josef de Prada, en id.: enfermo. Subteniente'de granaderos D. Joaquín Qaamaño, eñ id.: en el estado mayor</t>
  </si>
  <si>
    <t>Josef Alverá</t>
  </si>
  <si>
    <t>Q* D. Fernando Muar, id........................... ............. ............................ 1500. D. Josef Alverá, id...................................... .....1...................... . 1500» Manuel1 García, traginero de vino, id...................... ................ . 3°°* D. B. M. Q., id.</t>
  </si>
  <si>
    <t>Josef Amallo</t>
  </si>
  <si>
    <t>oza..... 300 2316 D. Manuel Gutiérrez de Rosas......................... Cádiz........... . 300 1842 D. Josef Amallo................................................. Zaragoza..... 500 1616 D. Fermín María de Urribarri......................... Bilbao......... 600 1524 Doña María Josefa de Hormach</t>
  </si>
  <si>
    <t>Josef Andujar</t>
  </si>
  <si>
    <t>la ciudad de Sevilla, vacante por muerte'de D. Román de Arrayan y Castilla,áDon Josef Andujar, teniente de la capilla real, con obligación de residiría ^para el beneficio simple de Cilleruelo de arriba, en la diócesi de Burgos, vacante por fallecimiento de D. Pedro Calvo, á D. Franc</t>
  </si>
  <si>
    <t>Josef Ángel Velazquer</t>
  </si>
  <si>
    <t>tería de Cartagena de Indias se lia dignado S. M. promover á teniente al subteniente de -granaderos D. Josef Angel Velazquer pá~subteniente -de -granaderos al de -fu-sileros EX.-Juan- -de Dios del Gordo, y á subteniente ¡de-bandera al cadete D. Gerónimo Carrasquilla:- en;el batallón Jixo'de Panamá á. sa</t>
  </si>
  <si>
    <t>Josef Antolin de Náxera</t>
  </si>
  <si>
    <t>on• tespan.....'......................................................... Cádiz........... 3 00 248 D. Josef Antolin de Náxera.............................. Burgos......... 1000 47 2 Doña Hermenógilda Restituía y Doña Vicen*/ ta de Berruete.v.............................................. Bilbao..........</t>
  </si>
  <si>
    <t>z...,...... 500 1724 Lie. D. Josef María de Castro........................ Cádiz.......... 15QO 249 D. Josef Antolin de Náxera..... ....... .............. Burgos......... 3000 353 D. Tomas Josef de Vilches.... ................... Cádiz.................... . 30® 861 Doña Ramona Castelis.... 1..............</t>
  </si>
  <si>
    <t>Josef Antonia Menguez</t>
  </si>
  <si>
    <t>. .. ■■■■■■. . 1(017 D. Felipe Bech&gt;».............v.,........../.......».» ^Madrid»»». -■ 300 1040 D. Josef Antonia Menguez............i................. Madrid.....;. '500 1330 Doña Rosa Salvador....................................... .... -Valencia;.... 600 *339 D. Miguel Cehrian, del comercio......</t>
  </si>
  <si>
    <t>Josef Antonio</t>
  </si>
  <si>
    <t>Concepción Victoria ó Qerónima de Tcrtosa, y por ella á su comunidad, á D. Juan Bautista, D. Ramón, D. Josef Antonio , D. Tomas, Doña María Josefa y Doña Mónica de Monreai y Abaría, sobrinos del difunto D. Bruno de Abaría , capitán agregado que fue á dicha plaza de Tortosa, para que en el términ</t>
  </si>
  <si>
    <t>.....;......*........... ........... . 300. D. Sebastian de Otaegui, por uña vez« 821506*..... 30a. D. Josef Antonio deTLarra'z, oficial de la tesorería de los Sres. Infantes, por una ....."..............y;..}..!..;.......... 5 00. D. Francisco Hernández , inozo de oficio del guadarnés de la real c</t>
  </si>
  <si>
    <t>vento de la Concepción Gerónima de Tortosa, y por día á su comunidad, á D. Juan Bautista, D. Ramón, D. Josef Antonio, D. Tomas, Doña María Josefa y Doña Monica de Monrea! y Abaría, sobrinos del difunto D. Bruno de Abaría, capitán agregado que fue á dicha plaza de Tortosa, para que en el término</t>
  </si>
  <si>
    <t>Josef Antonio Acebal</t>
  </si>
  <si>
    <t>ero-dé la oficialidad del regimiento ¡de naturales Pardos y Morenos, gra— d&lt;xde alféréz de navio; á'D. Josef Antonio Acebal, comandante segundo, y D. Miguel BarCeío , ayudante priitiefó del expresado cuerpo, grado de teniente de milicias disciplinadas : á D. Francisco Lanuza, ayudante segundo!, y;á los</t>
  </si>
  <si>
    <t>Josef Antonio Aceval</t>
  </si>
  <si>
    <t>a*f&gt;D*;Ramón Alcántara, D. Gerónimo Rabada, ,B» RáL mon Antonio Sanfuente, D. Josef Martin Ortega , D. Josef Antonio Aceval , I&gt;. Gerónimo Agüdélo, D. Aparicio Vidaurraga:, I&gt;. Manuel Rodrifuez Saludua, E). Josef María Rodríguez, D. Santiago Cerro, y Zamudie, &gt;. Biego Estanislaor Imaces, Xbr josef fiar</t>
  </si>
  <si>
    <t>Josef Antonio Arroyo</t>
  </si>
  <si>
    <t>alférez D. Ignacio Peñalósa , y á alféreces al sargento D. Joaquín de Soto y D. Josef Antonio Arroyo, vecino de la demarcación del regimiento. Asimismo en el regimiento provincial dé dragones de S. Carlos, en el propio reino , se ha servido promover á capitán al teniente D. Ignacio As.te</t>
  </si>
  <si>
    <t>Josef Antonio Arrúé de Azcoytia</t>
  </si>
  <si>
    <t>2 D. Josef Lorenzo Ortiz..................................... , Bilbao......... 3°o 245 7 Brigadier D. Josef Antonio Arrúé de Azcoytia. S. Sebastian. IOOO 1605 D. Ignacio de Minondo.........Bilbao.......... 500 2008 D. Josef Screller............................. ................... Cádiz........... 500 2343 Excmo</t>
  </si>
  <si>
    <t>Josef Antonio Canosa</t>
  </si>
  <si>
    <t>Quien quisiere hacer postura á dichas fincas acuda ante su señoría, por la escribanía del número de D. Josef Antonio Canosa; previniéndose que cada una de ellas se ha de rematar separadamente. Por providencia del Sr. D. León de Sagasta, teniente corregidor de esta villa, se subasta el solar de una casa</t>
  </si>
  <si>
    <t>a del Sr. D. Torquato Antonio Collado, teniente corregidor de esta villa, y escribanía de número de D. Josef Antonio Canosa, hacipndo consignación, del capital y réditos vencidos de un censo redimible de 500 ducados de principal, perteneciente á los herederos de D. Gerónimo y Doña Juana Carranza, vecin</t>
  </si>
  <si>
    <t>Josef Antonio CanosaD</t>
  </si>
  <si>
    <t>. Miguel Martínez, D. Pedro Queipo de Llano, D. Juan Ruiz Dávila, D. Josef Bausá, D, Rafael Ricote, D. Josef Antonio CanosaD. Pablo Muñoz de la Vera y D. Miguel García Marín, diputados de parroquias; D. Nicolás Nicol y Josipf González, por el gremio de menuderos; D; Francisco Galvez de Quirós, D. Manuel</t>
  </si>
  <si>
    <t>Josef Antonio Conde</t>
  </si>
  <si>
    <t>ioteca.—Descripción de España de Xerif-Aledris, conocido por el Núblense, con traducción y notas de D. Josef Antonio Conde, bibliotecario de S. M—Exá^nen de las medallas antiguas atribuidas á la ciudad de Munda, en la Hética, por ul^ermoDapez Bustamante, bibliotecario de S M.__Biblioteca universal de</t>
  </si>
  <si>
    <t>Josef Antonio de Abreu</t>
  </si>
  <si>
    <t>otras páirtés del mundo, que comprehende desde el reinado de Felipe iii hasta el dé Carlos 11, por D. Josef Antonio de Abreu. Doce tomos en folio. En papel 360 rs., y en rústica 396. Prontuario dé dichos tratados. Quatro tomos en 8.° En papel á 27 rs., y "en rústica á 30.' Colección de los tratados de p</t>
  </si>
  <si>
    <t>Josef Antonio de Alcalá</t>
  </si>
  <si>
    <t>quez Ttllez 12. de calcetas. Doña María Vacas una libra de hilas. Lá Excma. Sra. condesa de Castél- D. Josef Antonio de Alcalá 2 caflorido 24 camisas. misas. D. Josef Coronat 2 y 2 pares de cal* D. Juan Manuel de Náxera, del concetas. se jo, 67varas y 3 guarías de lieii^ Doña María Dolores Rodríguez San «</t>
  </si>
  <si>
    <t>Josef Antonio de Ap</t>
  </si>
  <si>
    <t>55 D. Manuel Carretero.................................. 3o® 1832 D. Francisco de. Toledo. 300 2166 D. Josef Antonio de Ap.eri.bayt t dP® 1853 D. LopejMaría Romillo,..............., Zaragoza...f. ; 3°P 2187 D. Juan Antonio Várela, Corufía. QOO .... v 1948 D. Tomas Casanova, alcalde de casa y cor te- Z</t>
  </si>
  <si>
    <t>Josef Antonio de Arrue</t>
  </si>
  <si>
    <t>... 500 294 Rosa Dom.a Koops.............. ............................... Málaga........ 300 1676: D. Josef Antonio de Arrue.............................. S. Sebastian. 6co 203 D. Josef Adalid, del comercio............. ........... Alicante...... 600 1680 D. Josef Ibarra................. . .............</t>
  </si>
  <si>
    <t>Josef Antonio de Barcena</t>
  </si>
  <si>
    <t>a..... 300 332 D. Josef Salomón, Cádiz.................................. Cádiz........... 1000 1886 D. Josef Antonio de Barcena............................ Zaragoza..... 30.0 1225 D. Agustin Peceto de Andrés........................... Alicante...... 30 o 1323 D. Vicente Domingo Pastor, beneficiado....... V</t>
  </si>
  <si>
    <t>Josef Antonio de Bor</t>
  </si>
  <si>
    <t>Excmo. Sr. marques de Alcpcebar. = Sr? p. Josef Salazar. =Sr. D. Manuel Fernandez del Burgo. = Sr. D. Josef Antonio de Bor ja. =sSr.D. Vicente Aguí lar y Jurado.,=:Sr. D. Felipe González Vallejo.=Sr. D. Juan Ibañez de la Rentería.=Sr. í). Esteban Antonio de Orellana. =rSr. D. Miguel Munarriz.=:Sr. D.</t>
  </si>
  <si>
    <t>Josef Antonio de Ibarzola</t>
  </si>
  <si>
    <t>oza..... 500 635 Doña Josefa Daganzo......................................... Madrid....... 500 809 D. Josef Antonio de Ibarzola........ ................... Madrid....... 3 00 834 D. Juan Saenz de Santa María............. ............ Madrid....... 500 1788 D. Josef Alonso Caballero.........................</t>
  </si>
  <si>
    <t>Josef Antonio de Izarra</t>
  </si>
  <si>
    <t>...... 500 1047 D. Miguel de Azpiroz...................................... Madrid......... 500 1574 D. Josef Antonio de Izarra.............................. Bilbao.......... 3 co 613 Doña Ines Neviet.............................................. Madrid......... soo M 817 D. Manuel Albuerne................</t>
  </si>
  <si>
    <t>Josef Antonio de Lorca</t>
  </si>
  <si>
    <t>interesados. Comisionados. Rs. vn. 807 P. Francisco de Santiago...... Madrid............. 300 5242 D. Josef Antonio de Lorca... Bilbao................ 1500 .5 205 D, Franciseo Varona........... Barcelona.... 300 4.5.80 JD. Gabriel )de Eguillor......... Bilbao................ 300 r; &gt;36 J)..Pedro Felu, p</t>
  </si>
  <si>
    <t>Josef Antonio de Sta</t>
  </si>
  <si>
    <t>tinúan los donativos y ofertas voluntarias que constan en el lances nacional de S. Carlos. Rs. Mrs. D. Josef Antonio de Sta. María, un pagaré de 30 dé abril de 1806 , por una vez................................................... ................ . '217-27* D. Josef Cortés, capellán de honor de S. M.,</t>
  </si>
  <si>
    <t>Josef Antonio de Torres</t>
  </si>
  <si>
    <t>nuel Silvestre de Echevarría...................... ...................... Bilbao.......... 600 2404 D. Josef Antonio de Torres.............................. Zaragoza...... lOOO 740 Doña Paula Gómez............................................ Madrid......... 300 2209 -D* Antonio Mayone.....................</t>
  </si>
  <si>
    <t>Josef Antonio de Uñarte</t>
  </si>
  <si>
    <t>nta del tabaco, 560 rs, María Gutiérrez, por una vez 20 rs. _D. Diego Alderete, por una vez 200 rs. D. Josef Antonio de Uñarte, por agosto á 1© rs. mensuales, 1©. D. F. V., por una vez 500 rs. D. Fermín de la Torre, tesorero de.pósitos, 2©o rs. por una vez, y 120 por agosto y setiembre á 60 mensuales, 3 2</t>
  </si>
  <si>
    <t>Josef Antonio Diez</t>
  </si>
  <si>
    <t>taduría de Espolios, á cuenta de 458 rs. por una vez.......................................... 229. D. Josef Antonio Diez, por una vez....................... ....................... 500. Doña Teresa García, por una vez...................................................... 32O. D. Josef del Castillo y</t>
  </si>
  <si>
    <t>Josef Antonio Godoi</t>
  </si>
  <si>
    <t>arifa, tasada en 71828 rs. Quien quisiere hacer posturalo executará por la escribanía que desempeña D. Josef Antonio Godoi. Quien quisiere hacer mejora á una casa sita en la calle de las Platerías de esta corte, níim. 7, manz. 417, tasada en 66588 rs., á la que se ha hecho postura en el todo de sU tas</t>
  </si>
  <si>
    <t>Josef Antonio Godoy</t>
  </si>
  <si>
    <t>}*9 Tai lía, tasadas en 63,360 rs. Quien quisiere hacer postura acuda á la escribanía que desempeña D. Josef Antonio Godoy. Por providencia de D. Juan Antonio Rivas, juez comisionado regio en la diócesi de Badajoz, se ha señalado el dia 13 del que rige para el remate de 2 suertes de tierra labrantía,s</t>
  </si>
  <si>
    <t>Josef Antonio Lopezydelbohiércio</t>
  </si>
  <si>
    <t>..-¿.'¿¿íw.v¿.v. 744. Manuel Alvarez, por 6 meses á un real diario......;;..a;;;.’.^...... 183. * 1 D. Josef Antonio Lopezydelbohiércio de fierro y por uná vez1 :ií i v2&gt;-rs., y 6to-rs. por-1-fueses á -10 rs. diarios....;..v.v.........v.v " 1610. D. Francisco Gáceres, ballestero'-de S; M.-&gt; por agosto á'4 rs.* *, ' M</t>
  </si>
  <si>
    <t>Josef Antonio Martínez</t>
  </si>
  <si>
    <t>arenta horas en la iglesia de S. Francisco. AVISO. Los baños del Sr. Carvallo, que al presente pone D. Josef Antonio Martínez, y se ponían anteriormente en el soto de Migas Calientes, frente á la fuente de las Damas, se lian mudado al principio de dicho soto, en la huerta del Excmo. Señor duque de Osuna,</t>
  </si>
  <si>
    <t>Josef Antonio Pariente</t>
  </si>
  <si>
    <t>, Mrs. rs. mensuales, por agosto........ i........... ........................................ - 45 D. Josef Antonio Pariente, dependiente dei conde de Miranda, 3P id. por 2.meses....... ........................ ..................... .................... . 60. El marques &lt;dje Sales, 200 id. por agosto...</t>
  </si>
  <si>
    <t>Josef Antonio Pérez Benito</t>
  </si>
  <si>
    <t>da 6. Doña Evarísta Vizcaíno 4. La Sra. de ligarte 2. D. F. N. 2 Doña Francisca Antonia Matei 8 va­ D. Josef Antonio Perez Benito 2 caras de lienzo. : misas, una sábana y una corta porD. Fernando Barcena 2 camisas. ción de hilas. Doña Xaviera de Osma 2. D. Joaquín de Guper 4 camisas. Doña F. N. 2: La Sra. de</t>
  </si>
  <si>
    <t>Josef Antonio Serrano</t>
  </si>
  <si>
    <t>................ ............ 13 D. Antonio Berven, músico de la Encarnación, por una vez...., 240. D. Josef Antonio Serrano, abogado, por una vez................ . 200. Frutos Orejas, peluquero, por una vez......................................... 240. D. Justo Pastor, médico, por una vez..............</t>
  </si>
  <si>
    <t>Josef Antonio Sobrado</t>
  </si>
  <si>
    <t>i • •« «.«*«« • • *(• * *0** «!»*&gt;**í*&gt;m •• • •••■(&gt;•«• • p • » « r« • ••••*, • «« • • 9 i 4664 5.. D. Josef Antonio Sobrado., por .una vez.........- xqo. Doña ,N.y un par de hebillas, dé.plata. El convento de. religiosas Dominicas descalzas de la.villá de Loeches y en intereses de .vales r¿ales, id. 12</t>
  </si>
  <si>
    <t>Josef Arcos</t>
  </si>
  <si>
    <t>al y Don Juan Antonio Perez, en id.: con la guardia de honor del principe de Pontecorvo. . Teniente D. Josef Arcos , en id.: con el mismo destino. Subteniente D. Angel Imaz, abanderado; D. Francisco Volangero, en id.: enfermos. Ayudante el capitán D. Manuel Volangero, en id.: adonde fue á cond</t>
  </si>
  <si>
    <t>Josef Ariza</t>
  </si>
  <si>
    <t>traviado..... Subteniente. D. Josef Roldan. Provincial de Bujalance. Muerto........... Subteniente. D. Josef Ariza. Extraviado...... Teniente...*. D. Juan de Melgara. Contuso........ Coronel....... Marques de Jas Atalayuelas. Cuenca. Muerto.....;.... Subteniente. D. Natalio Garrido. Ciudad Rea</t>
  </si>
  <si>
    <t>Josef Arizcun</t>
  </si>
  <si>
    <t>de la Peña y San Miguel* En Barcelona...... . D. Ramón de Llordella é hijo. En Burgos........... . D. Josef Arizcun. En Caatz............... , D. Benito de la Piedra. En Cartagena....... D. Bernardo EJizalde. En Ciudad-Real.. D. Ramón Antonio Pico. En Córdoba............ Sres. Barcia, padre é h</t>
  </si>
  <si>
    <t>Peña y de San Miguel* En Barcelona....... Sres. D. Ramón de Llordella é hijo. En Burgos............ D. Josef Arizcun. En Qadiz................ D. Benito de la Piedra. En Cartagena...... D. Bernardo de Elizalde. En Ceuta... D. Pedro Huguet. En Ciudad-Real.. D. Ramón Antonio Pico. En Córdoba...¿..</t>
  </si>
  <si>
    <t>Josef Arjzcun</t>
  </si>
  <si>
    <t>lona...... . D. Ramón de Llordella é hijo , residentes por ahora en Tarragona. En Burgos........... D. Josef Arjzcun. En Cádiz.......... . D. Benito de la Piedr^. ¡ En Cartagena....... D. Bernardo Elizajde. En Ceuta................ D. Pedro Huguet, cami&amp;iopado subalterno del de Cádiz.</t>
  </si>
  <si>
    <t>Josef Asmé</t>
  </si>
  <si>
    <t>ronel D. Juan de Viilalba; y á su izquierda cí de voluntarios de Carmena, ál mando de su comandante D. Josef Asmé4*, nich, dexando para cuerpo de reserva á las órdenes, dél marqües..de^ Caín--, pohermoso las compañías dejas costas de Granada, y 150 tiradores de «Mentor o, que mandaba el capit</t>
  </si>
  <si>
    <t>Josef Atoréno</t>
  </si>
  <si>
    <t>én papef, y 10-en pasta.7 ViagC á Constánt inopia en él ano de 1784» éScritb dé -érdeu édpeíS©# por D. Josef Atoréno. En 4^° dé iniarcá?m£y¿bJ, ádotftíadcr cÓ* ^iftétás »‘ cabeceras , Un mapá grádele y ¿^estampas 8é plaftoí?» éístály añcigSedadesr tragesy otros.1 asuntos útiles y curiososi! Etí</t>
  </si>
  <si>
    <t>Josef Augusto Laporta</t>
  </si>
  <si>
    <t>l Excmo. Sr. D. Manuel de la Peñáy y los mariscalesde campo D. Narciso Depedroy marques de. Jelo, y D. Josef Augusto Laporta,destinados á ella, y á su frente el capitán general de aquel exército el Excmo. Sr. D. Francisco Xavier Castaños. No es posible explicar con palabras la celebridad de la entrada d</t>
  </si>
  <si>
    <t>nte el Excmo. Sr. D. Manuel La-Peña y lo^ mariscales de campo D. Narciso Depedro, marques de Gelo y D. Josef Augusto Laporta, y á su frente ei capitán general y xefe de aquel exército el Excmo. Sr. D. Francisco Xavier Castaños. Las tropas del exército de Valencia y Murcia con su general el Excmo. Sr. D.</t>
  </si>
  <si>
    <t>Josef Aullon</t>
  </si>
  <si>
    <t>... . Zaragoza..... 6co 475 D. Nicolás de Ochazan de Castro.............. Biibao.......... 6c 0 i87 D. Josef Aullon y compañía...................... Alicante..... 3co 1000 Doña Juaua Belloc......... ................. Madrid...... . 600 2270 Doña Antón f na Cándida,de, Laraudo.....,,, 1 •' r4 Büba</t>
  </si>
  <si>
    <t>... óoo “300 *5*7 D. Josef Maltrana............................... .............. Bilbao....... 188 D. Josef Aullon y compañía...... .................... Alicante...... 3°° 234í Exorno. Sr. Marques de Villafranca............ Zaragoza..... 600 460 D. Florencio de Irbarguengoytia..... .............</t>
  </si>
  <si>
    <t>Josef Autolín de Náxera</t>
  </si>
  <si>
    <t>!.1;....':.1...!.. Tiidela.. 5 3'oñ 1572 D. Domingo dé Sópardá..::.AA..AAA Bilbao......... 500 24-7 D. Josef Autolín de Náxera........ Burgos........ 300 968 D: Ramón Pardo...... .......... A.....aA...!...A... Madrid... A.. 1 jeo 2410 D. Antonia CástillóA!.A ji.A...A'A•"• •• .&lt;.V.,s ‘ Zaragoza..... 3¿o 39</t>
  </si>
  <si>
    <t>Josef Azlor</t>
  </si>
  <si>
    <t>de su sargento mayor D. Juan Bernuy. Aquella noche se separó igualmente de 'dicho cuerpo e! espitan D. Josef Azlor con el objeto-dé reunirse á la partida* dispersa , lo que consiguió en Rey elves, y tomó el mando de ella. Su fíii era venirse al exército de Andalucía , y previendo que mucha par</t>
  </si>
  <si>
    <t>Josef Aznarez</t>
  </si>
  <si>
    <t>.. Zaragoza..... 300 2245 D. Francisco Domingo de Echabarri................ Bilbao......... 300 636 D. Josef Aznarez......................................... . Madrid ....... 300 791 D. Vicente Sainz de Baranda..................... . Madrid....... 300 2251 D. Francisco Salvador de Estarta.......</t>
  </si>
  <si>
    <t>Josef Babea</t>
  </si>
  <si>
    <t>... ........ ........... 120. D. Bernabé Schefler, músico de la real capilla , por una vez..... 80. D. Josef Babea , oficial de la secretaría de la cámara de Castilla, por úna vez........................................................ '•••••..... . 600. D. Andrés Grande, por una vez..........</t>
  </si>
  <si>
    <t>eclesiástico. D. Antonio Rovillár, id. D. Francisco Perez y Velazquez, D. Gregorio Guerra Zorrilla, D. Josef Babea, D. Gregorio Dorado, diputación de las Descalzas. D. Benito Alfaya, diputado de S. Márcos. 35. Luis Bautró, diputado de S. Plácido. D. Pedro Rubio, director de los cinco gremios m</t>
  </si>
  <si>
    <t>Josef Badan</t>
  </si>
  <si>
    <t>1 ij, D. Dámaso Santos Martínez, id....... ................................................ 60. •'£ D. Josef Badan, un vale de 150 pesos y un libramiento de esta moneda,.id......... ......................................................... 3167 1^. D. Bernabé Nicolás Martínez, id,.............</t>
  </si>
  <si>
    <t>./. ■: :r;en;e^ec^osAe'HíSíadpv.- • . Doña Ignacia García 60. ' La duquesarviuda,dellníantadpi!62^2 D. Josef Badan 1442 en efectos de rs. 17 mrs. en;ÍU ; ■ o . ,:¡ .-o estado. D. Juan Robira 60. Doña Francisca Muñoz 180 rs., 17 JD. T-. B. zop.r, ,r - -;t : ; ;5 - , -&gt;• ■ ■■ mrs. .enlidi-..¿ ¿-</t>
  </si>
  <si>
    <t>Josef Bahamonde</t>
  </si>
  <si>
    <t>. T. N. ,100 id. id........................................................................... 100. D. Josef Bahamonde, oficial, mayor de ¡a secretaría de las reales gradas del Excusado y Noveno, 310 id. id........................ 310. D. Nicolás-Menendez, 10 id. id...... ....................d....</t>
  </si>
  <si>
    <t>Josef Balhin</t>
  </si>
  <si>
    <t>omisario de guerra. D. Francisco Laborda, comisario de guerra. D. Josef Martínez, D. Josef Bringas, D. Josef Balhin y D. Isidoro Aza— güirre, oficiales de contaduría. . D. Agustín Peiaez, cirujano consultor. . D. Narciso Roca, comisario de entradas de hospital. Ministerio de justicia. D. Juan Migue</t>
  </si>
  <si>
    <t>Josef Ballesteros Fernández</t>
  </si>
  <si>
    <t>l de Rentas, 2 rs. diarios por tiempo de un año , por agosto;............................... . *62. D. Josef Ballesteros Fernandez, abogado del Colegio, uno id. por 4 meses...... ......................................... ............. ......................... I2t 22. D. Juan Manuel de Agreda, presbítero, uno</t>
  </si>
  <si>
    <t>Josef Banks</t>
  </si>
  <si>
    <t>la abundante transpiración que experimentaba, y mas yendo aliviado de ropa. En 1775 el Dr. Fordice, Sir Josef Banks, Sir Cárlos^Blagden, el Dr. Solander y otros físicos hicieron algunas experiencias directas sobre la «materia. .Son mui, sabidos sus resultados para que nos tomemos el trabajo de</t>
  </si>
  <si>
    <t>Josef Banquerí, Antonio</t>
  </si>
  <si>
    <t>Antonio Josef Banquerí</t>
  </si>
  <si>
    <t>u"^acar!a-Iaíiia-Aben-Mohamed-Ben-Ahmed-Ebu-El-Awam, sevillano: tradu?lf?. cast:e^anb,y anotado por D. Antonio Josef Banquerí, individuo de la real biblioteca.—Descripción de España de Xerif-Aledris, conocido por el Núblense, con traducción y notas de D. Josef Antonio Conde, bibliotecario de S. M—Exá^nen</t>
  </si>
  <si>
    <t>Josef Baquero, Juan</t>
  </si>
  <si>
    <t>Juan Josef Baquero</t>
  </si>
  <si>
    <t>departamento de la Piava en el pais veneciano. AVISO. Por separado de los autos de testaméntaríá de D. Juan Josef Baquero, ■vecino y del comercio .que fue de la ciudad de Cádiz, pendientes en el júz*gado civil de ella, y escribanía pública dé D. Josef Padilla, se formo expe-* diente sobre hacer pago</t>
  </si>
  <si>
    <t>Josef Barnuevo</t>
  </si>
  <si>
    <t>... Madrid.. 5 00 1553 D. Antonio de Bengoechea................................ Bilbao.... 300 2405 D. Josef Barnuevo.............................................. Zaragoza 1 &gt;00 735 Doña Dorotea Eltin de Villaba........................ Madrid. 5co 2291 D. Blas Bascones...........................</t>
  </si>
  <si>
    <t>Josef Barón de Montágne</t>
  </si>
  <si>
    <t>ón del 16 fueron .heridos el barón de la Barce y Don Joaquín Andrade, y en la del día 19 el capitán D. Josef Barón de Montágne y D. Cayetano BarresuCbea , todos del regimiento de guardias Valonas. v , El capitán del regimiento de infantería de la Reina D. Antonio Labairu fue muérto en la acción del 16 ; y her</t>
  </si>
  <si>
    <t>Josef Barrera</t>
  </si>
  <si>
    <t>pleo de teniente al alférez D. Josef Valdes; y en el de cazadores de Olivencia ayudantía ai capitán D. Josef Barrera, teniente del mismo cuerpo. En América. El Reí se ha servido nombrar para la canongía magistral de la catedral de Durango, vacante por ascenso de D. Josef Esquivéis í D. Josef Ign</t>
  </si>
  <si>
    <t>Josef Barrios, Juan</t>
  </si>
  <si>
    <t>Juan Josef Barrios</t>
  </si>
  <si>
    <t>rez Vázquez* diputado eclesiástico dei barrió de S. Juan. D. Columbano de Ponz, cura de S. Lorenzo. D. Juan Josef Barrios, cura de Santa María. Fr. Miguel de Herrín, guardián de S. Gil. D. Francisco Ignacio Muñoz, cura de Santa Cruz. D Blas de Lera y Caño, cura de S. Pedro. D. Juan de Lera y Caño, cu</t>
  </si>
  <si>
    <t>Josef Bartolomé Aguado</t>
  </si>
  <si>
    <t>aragoza..... 30a 190) D. Marcelo de San Román............ ................... Zaragoza..... 500 645 D. Josef Bartolomé Aguado.............................. Madrid....... 500 33 D. Jayme Nogues............................................... Barcelona.... 300 1136 O. Manuel María Sahun y Palacin...........</t>
  </si>
  <si>
    <t>Josef Batlles y Coll</t>
  </si>
  <si>
    <t>io segundo de S. Andrés, vacante en la catedral de Barcelona por fallecimiento de D. Josef Julia: á D. Josef Batlles y Coll para una capellanía de la metropolitana de Tarragona, vacante por renuncia de D. Félix Torres de Amat, canónigo de la colegiata de S. Ildefonso: á D. Francisco Miralles para otra</t>
  </si>
  <si>
    <t>Josef Bausa</t>
  </si>
  <si>
    <t>eros entcoioficiaks ry. soldados.; ; / En el número, de los .muertos está compréhendido el teniente D. Josef Bausa ; en los heridos el segundo capitán D. jdsefMartinez; el teniente graduado de capitán D. Mauricio Estrada,, y el subteniente D. Manuel Oromí; y un; solo contuso que hai lo es el c</t>
  </si>
  <si>
    <t>Josef Bausá</t>
  </si>
  <si>
    <t>eto, D. Pedro Marcelino Blanco , D. Miguel Martínez, D. Pedro Queipo de Llano, D. Juan Ruiz Dávila, D. Josef Bausá, D, Rafael Ricote, D. Josef Antonio CanosaD. Pablo Muñoz de la Vera y D. Miguel García Marín, diputados de parroquias; D. Nicolás Nicol y Josipf González, por el gremio de menuder</t>
  </si>
  <si>
    <t>Josef Bayona</t>
  </si>
  <si>
    <t>Volangero, en id.: adonde fue á conducir á su hermano D. Francisco que se hallaba demente. Cirujano D. Josef Bayona: se quedó en Langeland, habiendo seguido la división desde Niborg hasta esta isla. Idem de la Princesa. Teniente coronel D. Pedro Miranda, en Paris: comisionado para el vestuario</t>
  </si>
  <si>
    <t>Josef Becerra</t>
  </si>
  <si>
    <t>.... Madrid........ 500 r25 5 D. Diego Antonio Cabezón, prior y canónigo. Burgos. ...... 600 •'394 •D. Josef Becerra, del comercio........................ Coruña........ 3co 908 -D. Joaquin de Ones............ .................. ........ Madrid....... 3 00 2022 D. Bedro I aflore.................</t>
  </si>
  <si>
    <t>Josef Belmar</t>
  </si>
  <si>
    <t>a vez...... . 1500. Mateo Gómez,r del gremio de ropería, id.::............... í...........¿i.. £oo. D. Josef Belmar, oficial de la contaduría del señor infante Don * Pedro, a cuenta de poo rs. (por una 'Vez.*...a.^»^.........^.a......&gt;VB(a9V ¡ x ^.o. D. ManueI,Francisco, de Goyri, por una vez..</t>
  </si>
  <si>
    <t>Josef Beltran</t>
  </si>
  <si>
    <t>de otros quantiosos donativos que ha hecho en las provincias 5C0 id, por 2 meses.......... . icoo. D. Josef Beltran, 30 id. por agosto............................................ 30. D. Benito Angulo, 30 id. id............. ....................... •V........V - 3Ó' D. Josef Medel y Rosales, ofi</t>
  </si>
  <si>
    <t>Josef Benitez</t>
  </si>
  <si>
    <t>a Clara Sexti y Badan 6. Don Antonio Ribera 6 camisas de coruña. Las religiosas de las Vallecas 10. D. Josef Benitez 6. Doña Gertrudis Padella de Cano una. Doña María Ricarte 2. Día 27. D. Manuel González Peral 2 camisas. Una señora viuda de un militar 2. Doña María del Rosario Alarcon 2. D. Die</t>
  </si>
  <si>
    <t>ivo, id......................................... ............. .......................... 24366 20. D. Josef Benitez, criado del Rei nuestro Señor , id............... . 300. Cándida López, sirviente, id........................................ . 30. Benito Fernandez, maestro sastre, id... 20. i D</t>
  </si>
  <si>
    <t>Josef Benito Zarauz</t>
  </si>
  <si>
    <t>dor y los 2 diputados generales , miembros del gobierno legítimo; y sobre los del mariscal de campo D. Josef Benito Zarauz, vocal de la junta de insurrección, pues que debían justificarse este de haber sido arrastrado á ella, y los 3 primeros de no haber tenido modo ni medios de resistir á la violenci</t>
  </si>
  <si>
    <t>Josef Bernardo Muñoz</t>
  </si>
  <si>
    <t>Bilbao.......... 500 1312 D. Agustín de Ubeda, comerciante................. V alenda..... 600 2322 D. Josef Bernardo Muñoz.................................. Cádiz........... 300 1709 D. Juan Manuel de Peralta................................ Cádiz........... 500 1433 Lorenzo del Castillo y compañía y D</t>
  </si>
  <si>
    <t>..... Madrid....... 3 00 1285 D. Félix y D. Antonio de Lapayese............. Valenciá..... 300 2022 D. Josef Bernardo Muñoz............. ................... Cádiz...;.....1 3°° 1756 D. Josef María Suarez........................................ Cádiz..'...... i 500 909 D. Francisco de Escoveda y Villar.</t>
  </si>
  <si>
    <t>Josef Bernich</t>
  </si>
  <si>
    <t>s de 200. hombres ea el castillo y dos regimientos en la villa. El capitán del falucho Fernando VIL D. Josef Bernich, escribe cea fecha del 24. delante de Blanes, que aquel dia se esperaba en su campamento al Sr. Milaas con 200. caballos; y que habia sabido haber apresado los botes de una fragat</t>
  </si>
  <si>
    <t>Josef Bernieh</t>
  </si>
  <si>
    <t>iu de Guixols. Los capitanes D. Gerónimo Basart con su media galera y 62 hombres de tripulación , y D. Josef Bernieh con su falucho Fernando vn y 38 hombres , armados en corso en esta villa, se hicieron á la vela por disposición de V. S. en la tarde del dia 17 del actual con dirección á la costa</t>
  </si>
  <si>
    <t>Josef Beruti</t>
  </si>
  <si>
    <t>á los cadetes del expresado cuerpo de patriotas , con grado de subteniente, D. Juan Jo— sef Ferrer, D. Josef Beruti , D. Josef Zerero; á D. Francisco Osoro , Dop Juan Abundante Boqúi,&lt;D. Juan Bautista Ceiaya.-y D. Jósef María Coitia, ayudante mayo?, y tenientes del cuerpo de maestranza establec</t>
  </si>
  <si>
    <t>Josef Biilota</t>
  </si>
  <si>
    <t>.............. 200. I). Manuel Bustarviejo, reloxero, 365 id................................. 365. D. Josef Biilota, agente fiscal de Correos, á cuenta de 2200 id. 1080, D. Antonio Quaresma, maestro herrero y cerrajero, un reai diario, por 2 meses.................. .............................</t>
  </si>
  <si>
    <t>Josef Blancó del Toral</t>
  </si>
  <si>
    <t>rañes, ha extraído de sus colmenas diez arrobas y media de miel y cer ra sin lesión de las abejas:. D. Josef Blancó del Toral , vecino del puerto de Gudiiléro, ha extraído de las partidas del pez gata ó lija, que ha cogido</t>
  </si>
  <si>
    <t>Josef Bodet</t>
  </si>
  <si>
    <t>de la Corona, graduado de teniente coronel, D. Atanasio Salazar: la del de Toledo al del de Navarra D. Josef Bodet: la del de Mallorca al del de Sevilla, graduado de teniente coronel; D.-Antonio Zuazo; la del de Irlanda al del mismo regimiento conde dé Ibeágh': la del de Cantabria al del de vo</t>
  </si>
  <si>
    <t>Josef Bomat</t>
  </si>
  <si>
    <t>AVISOS. ' ' lf ’ D. Josef Bomat, del comercio de Madrid, remitió el dia 20 de febrero último dos vales reales de 150 pesos, creación de i.° de enero, núms. 293413 y 258826, endosados á favor de D. Roque Suarez,</t>
  </si>
  <si>
    <t>Josef Bonilla</t>
  </si>
  <si>
    <t>o 2400 Agustina Pinillos 8, , en efectos de estado. Facundo Méndez 21. . . D. Fernando Cárnico 300. D. Josef Bonilla 160. r d: f. m. 75. D. Josef Viñas 20. . D. M. F. 30. D. Manuel de Roxas 80. ' D. Pedro Barbería 200. D. Juan Gil de Arana 60, . * D.; £.; B. 1$. I D ña Justa Rutina de la Puente</t>
  </si>
  <si>
    <t>Josef Borrull</t>
  </si>
  <si>
    <t>heredera, Julián González, maestro espartero , D. Melchor Manconel, Josef Escólau ó sus herederos, D. Josef Borrull, D. Tomas Zalzo, D. Tomas Grabepvos ó sus herederos; D.. Francisco Puente, Josef Duran, maestro,sastre, los herederos de R. Jiiari Prada, D. Josef Vidal, Don Fermin Fernandez, y d</t>
  </si>
  <si>
    <t>Josef Boutet</t>
  </si>
  <si>
    <t>300 312 Isabel Murphi...... .............................................. Málaga........ 1500 1702 D. Josef Boutet................................................. Cádiz,,.,...... 3 00 1955 D. Rafael Irazabal............................................. Zaragoza..... 600 73 D. Francisco Xavier</t>
  </si>
  <si>
    <t>Josef Bringas</t>
  </si>
  <si>
    <t>ador principal y comisario de guerra. D. Francisco Laborda, comisario de guerra. D. Josef Martínez, D. Josef Bringas, D. Josef Balhin y D. Isidoro Aza— güirre, oficiales de contaduría. . D. Agustín Peiaez, cirujano consultor. . D. Narciso Roca, comisario de entradas de hospital. Ministerio de ju</t>
  </si>
  <si>
    <t>Josef Broquel</t>
  </si>
  <si>
    <t>0. D. Manuel de Nicolás, id............... ......................... ......................... 200. D. Josef Broquel , id............................................ . 200. D. Pedro Mayo, id.................. ........... .................... i....... . 500. D. Manuel Mayo, id....................</t>
  </si>
  <si>
    <t>Josef Bueno</t>
  </si>
  <si>
    <t>......... Santander. 4. ($ 00 1737 D. Rafael Gonzalen............ ....i' Cádiz.1..,..... • ^d© 64 8 D. Josef Bueno.................. .................. ........ . Madrid...... 300 2204 D. Josef de Sugasti...................... ;.................. . Córuña;.,/... '. 300 2148 D. Juan Fernandez B</t>
  </si>
  <si>
    <t>Josef Buron, Lucas</t>
  </si>
  <si>
    <t>Lucas Josef Buron</t>
  </si>
  <si>
    <t>al de la contaduría del monte pió de reales Oficinas, 2 id., por agosto...... ................. 62* D. Lucas Josef Buron , sobrestante interventor de Rentas generales, 2 id., por 5 meses............................... ....... ........................ 306. D. Manuel de Barbería, del comercio, 8 id.,</t>
  </si>
  <si>
    <t>Josef Caballero</t>
  </si>
  <si>
    <t>e los Sres. Alvaro Benito seis mil reales en efectivo y siete mil^n vales reales..... 13000. El Sr. D. Josef Caballero, del comercio, en dos vales reales de 150 pesos de enero y resto en efectivo. 5000. El Sr. D. Antonio Xavier de Herrera en. efectivo...... 3000. El Sr. D. S. G. de A., individuo d</t>
  </si>
  <si>
    <t>, id......................... ............................... .............................. igcoo. D. Josef Caballero, 4 vales de 150 pesos, y efectivo, id......... 10000. D. Leandro Geinos, abogado del colegio, id............................... 200. D. Estanislao de Lugo, director de los reales</t>
  </si>
  <si>
    <t>Josef Cabrera</t>
  </si>
  <si>
    <t>cia..... 300 1551 D. Pedro Antonio Sobrado............................... Bilbao......... 5 00 1095 D. Josef Cabrera................................................. Madrid..... . 300 137 D. Narciso Boada.......................... ................... Valencia..... 300 loo. Doña Joaquina Pallas y</t>
  </si>
  <si>
    <t>Josef Camarón</t>
  </si>
  <si>
    <t>blanco con fleco de oro, y aquí estaba colocado el retrato del Sr. Rei D. Fernando vii pintado por D. Josef Camarón. En el semicírculo de la puerta principal habia una sencilla pero elegante inscripción á nuestro Soberano, y en el zaguan una grandísima araña de cristal. En la real casa de corre</t>
  </si>
  <si>
    <t>Josef Cámps y Serra</t>
  </si>
  <si>
    <t>riada y Salinas.............................................................. Zaragoza..... 300 147 D. Josef Cámps y Serra, cornee.................. Valencia..... 300 1424 Salvador Gambetta y Raffo.............................. Málaga........ 500 1861 D. Pablo Ibarra..................................</t>
  </si>
  <si>
    <t>Josef Cándano</t>
  </si>
  <si>
    <t>........................ 9044 ióD. Francisco González, mozo del laboratorio del exército, id.. 122. D. Josef Cándano, maestro de primeras letras, á cuenta de 500 Vs., id......... ....................... ............... ........................................ 160. Celestino de Molina y Fernandez</t>
  </si>
  <si>
    <t>Josef Carlos de Reisig</t>
  </si>
  <si>
    <t>Madrid........ 500 646 D. Ramón García Ximenez............................ Madrid....... 600' 2424 D. Josef Carlos de Reisig............................... Cádiz.......... 300 621 D. Francisco de Irusta............................... . Madrid....... 600 288 D.Pedro de Cárdenas y R.d®del Río...... . Mála</t>
  </si>
  <si>
    <t>Josef Carranza</t>
  </si>
  <si>
    <t>ez».......... . 200. Antonio Casajuana , zapatero, por una vez................... ......... .. 300. D. Josef Carranza, oficial de la contaduría de Indias, á cuenta de ioS&gt; rs. por una vez.................. .................................. ........... 5000. D. Manuel Ruiz, dorador á fuego, por u</t>
  </si>
  <si>
    <t>d. D. Diego de Castro, secretario de la dir i cha .diputación. D. Andrés del Peral, diputado de id. D. Josef Carranza, « diputado dei de SL Francisco. Fr. Vicente .Palomequé, comendador de la Merced calzada. Fr. .Juan Maestre, presidente de la Pasión. D. Joaquínt Sánchez Marcan, diputado de S. Ba</t>
  </si>
  <si>
    <t>Josef Carrati</t>
  </si>
  <si>
    <t>. ser; á capí tan primero ai de -granaderos D. Josef Carrati y y' á --subtenientes á los cadetes -f). Francisco Meyer y D. Carlos Marliani: en el de Reding núm. 2.° á subteniente de granaderos ai de fusileros D. Gerónimo Netf: en el de WimpfFen</t>
  </si>
  <si>
    <t>Josef Casas</t>
  </si>
  <si>
    <t>iarios durante la guerra , 1095. D. Luis Ducós, presbítero, por agosto á 2 rs; diarios, por id. 62. D. Josef Casas, por agosto á 120 rs. mensuales, por id. 120. D. Benito Hernández Sonsola, por una vez 1100 rs. D. Luis Viana, del comercio de libros, por id. 500 rs. La viuda de Barco Lópezdel c</t>
  </si>
  <si>
    <t>Josef Casasa</t>
  </si>
  <si>
    <t>8i3 haber detenido á mano armada el 4 del corriente á Mr* Josef Casasa , presbítero , y haberle quitado su reíox y algún dinero* París i.° de julio* La dirección general de postas de Estockolmo ha hecho saber por un aviso pública que el Reí de Suecia habla permit</t>
  </si>
  <si>
    <t>Josef Casimiro Lavalle</t>
  </si>
  <si>
    <t>de Agosto. De aquí se han enviado todos los auxilios posibles a Zaragoza. Nuestro amado gobernador D. Josef Casimiro Lavalle queria marchar con ellos ; pero hemos podido convencerle á que se quede para nuestra defensa. La Junta suprema del Principado le ha conferido el grado de brigadier* As to rga 2 2</t>
  </si>
  <si>
    <t>Josef Casis de la Torre, Pedro</t>
  </si>
  <si>
    <t>Pedro Josef Casis de la Torre</t>
  </si>
  <si>
    <t>l Albino de Obregon, á D. Tomas Antolin Baxo y Ocerin: para el arcedianato que este dexa al chantre D. Pedro Josef Casis de la Torre : para la chantría al maestrescuela D. Juan Joséf Martínez: par$; la maestrcscolía al tesorero I). Juan Josef CJa^rcas &gt; y para esta resulta al canónigo de gracia D. Josef del Rio</t>
  </si>
  <si>
    <t>Josef Castro</t>
  </si>
  <si>
    <t>............. 2 D. Luis Fernandez'de Córdoba y Pimeotel............................. ......... 1 X D. Josef Castro, alcalde del barrio de la calle deja Montera......... 1 D. Pantaleon Vázquez Zapata, vecino y procurador síndico de la Villa de Brea............. ................ 1 yegua torda de</t>
  </si>
  <si>
    <t>e habia señalado; la de Un sargento, 2' cabos y 42 soldados, entre muertos y heridos, y el teniente D. Josef Castro, que recibió una contusión én un brazo de un golpe de sable de la caballería enemiga, que pasó el vado, como llevo dicho, en mi retirada por la derecha: ia de Borbon ha sido'un so</t>
  </si>
  <si>
    <t>Josef Catatan</t>
  </si>
  <si>
    <t>ntinúan los donativos y ofertas voluntarias qiie constan en el banco nacional de S. Carlos. Rs. Mb. D. Josef Catatan., i o rs. mensuales, por 5 meses....................... 50. D. Josef de Garai, contador de la real compañía de la Havana, 80 rs. id. por agosto....................................</t>
  </si>
  <si>
    <t>Josef Celada</t>
  </si>
  <si>
    <t>... ..... .55°. Doña María Teresa Soto y Cárdenas, por una vez........ ........... 300. La viuda de D. Josef Celada una bandeja de plata. D. Antonio de Lerin, por una vez....................................... . 20000. D. Josef Tresen, por .una vez............................................ ..</t>
  </si>
  <si>
    <t>Josef Clemente de Luja</t>
  </si>
  <si>
    <t>...... 300 1222 D. Francisco Narzagaray................................... Bilbao.......... 500 919 D. Josef Clemente de Luja.....................,....... Madrid........ 700 816 D. Josef Merchan............................................... Madrid........ 500</t>
  </si>
  <si>
    <t>Josef Clemente Zabarte</t>
  </si>
  <si>
    <t>d.......... .1................................... ............. ......... 4°9D. Josef Clemente Zabarte, médico, idT................ *................ •••• 600. D. Francisco Roxo, id................................... ••............................•* IOOi* D. Antonio Baylo , del comercio de</t>
  </si>
  <si>
    <t>Josef Collada</t>
  </si>
  <si>
    <t>...................... 300. Bartolomé Diego Ferrado, tabernero, por uña vez................... 200. D. Josef Collada, portero de cámara de S. M. , por una vez.... 120. D. Manuel Josef Rubio, abogado dél colegio, por una vez...... 200. D. Tadeo Bravo de Ribero, por una vez............. i... iboo.</t>
  </si>
  <si>
    <t>ez......................................................*......... ............ ...... ....... 240. D. Josef Collada, portero de cámara de S. M., por una vez.... 3°o. El conde de Cepillo, por una vez.................................................. 1500. D. Martin de Vergara , del comercio de j</t>
  </si>
  <si>
    <t>Josef Colon</t>
  </si>
  <si>
    <t>el de Castilla D» Sebastian de Torres y D. Igrfatib Martínez de Villelá, que se hallan en Bayona; y D. Josef Colon y D. nuel de Larciizabal, asistiendo con ellos el alcalde de casa y corte D. Liiíi Marcelino Pereira, que está igualmente en aquella ciudad; y los demas loi que elijan á pluralidad de</t>
  </si>
  <si>
    <t>e Santa Cruz&gt;t== E.l conde de 'Fernán-Nvñez, duque de Montellano y del Arco. = EI duque de CEuna.=: D. Josef Colon. = El conde de Santa 'Coipma y de Fuen- clara. ss'D.Raiimirdo’Ettenhard y Salinas. =. Zenon A Ionios Francisco Amorós. = Pedro de Torres. = Ignacio Martínez de Villela.sr Ignacio</t>
  </si>
  <si>
    <t>Josef Company</t>
  </si>
  <si>
    <t>D. Francisco Remoñ, abogado, en cuenta de 3© rs. por una vez, 1©. Juan Rodríguez, por agosto 6 rs. D. Josef Company, oficial de la secretaria de Hacienda, por ahora 1 joo rs. D. Juan Aran , por una vez 1500 rs. D. Antonio Cortés del Valle, oficial primero de la comisión general de Consolidación</t>
  </si>
  <si>
    <t>Josef Conrote, Carlos</t>
  </si>
  <si>
    <t>Carlos Josef Conrote</t>
  </si>
  <si>
    <t>.... . Alicante..... . 500 795 D. Pedro García y PiniÜos................. . Madrid......., 3001 616 D. Carlos Josef Conrote.;*»»................ ............ Madrid....... ooq 1736 D. Josef Perez Muñoz.....*....................Cádiz..;*..... 300 26 D. Manuel Velasco.i..................... .............</t>
  </si>
  <si>
    <t>Josef Conrotté, Carlos</t>
  </si>
  <si>
    <t>Carlos Josef Conrotté</t>
  </si>
  <si>
    <t>....... .s.............. 60. Agustín Sánchez Moredo, sastre, 15 rs. mensuales............... . 15. D. Carlos Josef Conrotté, 160 rs. mensuales..... .................. ....... 160. Joaquin Velasco, mozo de un almacén de carbón, 4. rs. mensuales « M • t •• Mt* M 4444444 4&lt;444 4 4-4 • • • » « •** 4 444*44</t>
  </si>
  <si>
    <t>Josef Coronat</t>
  </si>
  <si>
    <t>hilas. Lá Excma. Sra. condesa de Castél- D. Josef Antonio de Alcalá 2 caflorido 24 camisas. misas. D. Josef Coronat 2 y 2 pares de cal* D. Juan Manuel de Náxera, del concetas. se jo, 67varas y 3 guarías de lieii^ Doña María Dolores Rodríguez San «o. Vicente 6 camisas y 2 pares de eaU D. Josef I</t>
  </si>
  <si>
    <t>Josef Cortes</t>
  </si>
  <si>
    <t>a........• 300 13 D., Tornas de Aguirre..................................... Zaragoza..... 300 1882 D. Josef Cortes................................................. Zaragoza..... 300 1848 ,p. Lorenzo Villanueva...................... .............. Zaragoza..... 300 479 ,D. Juan Antonio de Achut</t>
  </si>
  <si>
    <t>Josef Cortés</t>
  </si>
  <si>
    <t>e 1806 , por una vez................................................... ................ . '217-27* D. Josef Cortés, capellán de honor de S. M., en vales reales, id. 2267 19. D. Fermín de Sota, id............. .......... ........................................... 120. D. Felipe Ortega Gijon, i</t>
  </si>
  <si>
    <t>Josef Cortes y Barrientos</t>
  </si>
  <si>
    <t>ea y Escudero, canónigo de la santa iglesia de Mondonedo, é inquisidor del tribunal de esta ciudad; D. Josef Cortes y Barrientos, comisario de guerra; D. Antonio González de la Hoyuela y D. Juan Manuel Martínez, abogados de los reales Consejos; D. Josef Pantoja y D. Ramón Montiel, tenientes coroneles retira</t>
  </si>
  <si>
    <t>Josef Criado</t>
  </si>
  <si>
    <t>o al mismo tiempo por la puerta opuesta el subteniente de infantería del regimiento de Villaviciosa D. Josef Criado; y habiéndose dirigido á la plaza mayor con ánimo de mantener la tranquilidad pública, hizo romper todos los edictos fixados á nombre de José/ Bonaparte. Poco tiempo después entró</t>
  </si>
  <si>
    <t>sión que por la4 puerta opuesta entraba él subteniente de infantería del regimiento^ de Vilhemciosa D. Josef Criado ; y habiéndose dirigido i la plaza' pú* blica , hizo romper ' todos las edictos fixados «n r ella á nombre de Josef Bónaparte » acción en que 'ha donaestrado su valor , pues estan</t>
  </si>
  <si>
    <t>Josef Cruells</t>
  </si>
  <si>
    <t>l, D. Antonio Da#¿ court;: el de Saboya al teniente coronel del de Zaragoza, graduado de&lt; coronel , D. Josef Cruells: el de Soria al teniente coronel déi de voluntarios &lt;de Estado D¿ Francisco Cabrera: el de España al teniente coronel del de Mallorca D. Vicente Martínez :,el de. Irlanda al tenie</t>
  </si>
  <si>
    <t>Josef Cuevas y Becerril</t>
  </si>
  <si>
    <t>.......... . 368. D. Francisco Xavier Mosquera de Puga , abogado, por medid ano a 3 rs.-diarios.tj; D. Josef Cuevas y Becerril, propietaria, por agosto.á.ua real diario..............¿ 31, D Isidro. Fernandez Cástelao, 1100 rs. por una ¿vezf, y 4400 por un año á 12 rs. diarios.».................... D. Lore</t>
  </si>
  <si>
    <t>Josef da Covos</t>
  </si>
  <si>
    <t>ecutará ante D, Estéban de la Madrid, juez comisionado real en Toledo, por la escribanía que exerce D, Josef da Covos. • •' ■ avisos. ■ A D. Josef Vlia y Carrera, vecino de la ciudad de Barcelona, ce fe han extraviado los vales reales siguientes: 2 de 600 pesos, deja creación de i.°de mayo, núms.</t>
  </si>
  <si>
    <t>Josef Dachs</t>
  </si>
  <si>
    <t>.......................... 1464. D. Josef Ponte,. recaudador de Temporalidades, por una vez... 100. D. Josef Dachs, del comercio, por una vez........................ . 1000. D. Gabriel Peréz, librador de la reafcaballeriza, un vale real de 150 pesos por una vez........... .....................</t>
  </si>
  <si>
    <t>Josef Daguino</t>
  </si>
  <si>
    <t>l regimiento de caballería de Farnesio , y el ca citan í). Gregorio Prieto; y heridos los ayudantes D. Josef Daguino y D. Antonio Angulo; al teniéntb D. Joaquín Tornos y D. Nicolás Cherif, que se hallaba de comandante de la compañía de lanceros, les fueron atravesadas las dos muñecas con una bala de</t>
  </si>
  <si>
    <t>Josef de Alba Mazariegos</t>
  </si>
  <si>
    <t>120. D. Nicolás Rodríguez, id............................. ................... ............... l6o. D. Josef de Alba Mazariegos , procurador de los reales Consejos, en intereses de vales reales de 1800, id.................. . 722. D. Manuel de Barcena, del comercio* en vales reales, id........ . 4)41 22Í F</t>
  </si>
  <si>
    <t>Josef de Albert</t>
  </si>
  <si>
    <t>cambios , por una vez...... 3000. D. Romualdo García, á cuenta de 120 rs. poruña vez.*......... 20. D. Josef de Albert, notario mayor dé la visita, por una vez... 120. D. Manuel Barco, del comercio de libros , por una vez.............. 35 o* D. Santiago Cuesta, médico de familia, por una vez......</t>
  </si>
  <si>
    <t>Josef de Aldai</t>
  </si>
  <si>
    <t>, diputado del barrio, de S. «Juan. D. Josef Flores id. D. Antonio Tabairaeh, alcalde de barrio id. D. Josef de Aldai, diputado de S. Cayetano. Fr. Andrés Duran , presidente del convento de S. Juan de Dios. £&gt;. Ramón Gar*r cía, alcalde del barrio de la Encarnación y Palacio. D. Félix Alvarez, alc</t>
  </si>
  <si>
    <t>Josef de Aldama, Juan</t>
  </si>
  <si>
    <t>Juan Josef de Aldama</t>
  </si>
  <si>
    <t>de rentas de Madrid, por una vez..... ........................................................ 200* D. Juan Josef de Aldama , auditor de la Rota, por una vez..... 500. D. Juan Bautista Stuyck., de la fábrica de tapices, por una vez. 100* La comunidad de padres Agonizantes de la calle de Fuencarral entr</t>
  </si>
  <si>
    <t>Josef de Amezua</t>
  </si>
  <si>
    <t>reales de 600 pesos, núm. 392805 y 4132 19, creación de mayo, renovados á su nombré, y endosados á D. Josef de Amezua, vecino de Elorri^. El que supieré de su paradero, se servirá avisar ó entregarlos en Madrid á dichos señores, y en Elorrio al interesado. ■ lili 1 ——&lt;—, Nota. En algunos éxé tipi</t>
  </si>
  <si>
    <t>Josef de Anduaga</t>
  </si>
  <si>
    <t>nfantes D. Carlos y.D. Francisco de Paula, habiendo en el mismo hecho mandado remitir al Excmo. Sr. D. Josef de Anduaga, su enviado extraordinario y Jministro plenipotenciario en el Haya, quatro grandes cruces de Cáríos m, con orden de que las ponga en manos del Rei de Holanda., y destinada la una</t>
  </si>
  <si>
    <t>Josef de Arce</t>
  </si>
  <si>
    <t>n año....................................................................................... 21900. D. Josef de Arce , por agosto á. 4 rs. diarios............................... 124. D. Pedro Blaqnez, por agosto á 2 rs. diarios............................... 62. D. Pedro Hebrar, por agosto á 2 r</t>
  </si>
  <si>
    <t>Josef de Armésto</t>
  </si>
  <si>
    <t>Pedro de Mora y Lomas.................... I 1 El comisario de guerra D. Antolin Ramos.. 1 1 nueva. D. Josef de Armésto , contador de contaduría mayor.........;......................................... 1 1 El coronel'D. Felipe Sicre............................ 1 1 í). Manuel de Beja..... 1 1 D. Ant</t>
  </si>
  <si>
    <t>Josef de Azanza, Miguel</t>
  </si>
  <si>
    <t>Miguel Josef de Azanza</t>
  </si>
  <si>
    <t>unta suprema de gobierno, reunida y compuesta en este dia de los señores D. Francisco Gil de Lemos, D. Miguel Josef de Azanza , D. Se4 b.stian Piñuela y D. Gonzalo O-Farril, secretario del despacho; y de los señores Duque de Granada de Ega, presidente del consejo de las Órdenes, marques Cabulero, preside</t>
  </si>
  <si>
    <t>el cóñsejo de Hacienda, la junta suprema de Comercio y Monéda, presidida pof'sú gefe él Exento. Sr. D. Miguel Josef de Azanza. ^Pronunció S. E. un corto y elefante discurso análogo á las circunstancias, y $; A. I. y R respondió Con mucho decoro y oportunidad, manifestando ^l ajto aprecio que le merece un</t>
  </si>
  <si>
    <t>49* darán los avisos convenientes. En palacio á 22 de mayo de 1808.=A Don Miguel Josef de Azanza.” En la gazeta num. 48 se insertaron los documentos de abdicación ,y se omitió publicar la circular del.consejo, que ahora se publica , y es del tenor siguiente: j v./ '• f ,,Gonf</t>
  </si>
  <si>
    <t>n gran numero de proyectos de mejoras que se les han presentado. El discurso pronunciado por ti Sr. D. Miguel Josef de Azanza en : ’ la abertura de la asamblea dé'los Notables^ españoles reunidos en Bayona, de la qite es presidente, es como sigue : • '■señores: ~ y &gt; i;-* ’■t &lt; •'* " Í Qué ocupación tan du</t>
  </si>
  <si>
    <t>dia 15 de este mes, señalado para la apertura de la asamblea de Bayona baxo la presidencia del Sr. D. Miguel Josef de Azanza, y desempeñando, las funciones de secretarios el Sr. D. Mariano Luis de IJrquíjo, consejero de Estado, y D. Antonio Ranz Romanillos, del supremo de Hacienda, se procedió á la veri</t>
  </si>
  <si>
    <t>istro de Negocios extrangeros; al Sr, D. Gaspar Melchor de Jovellanos ministro del Interior; al Sr. D. Miguel Josef de Azanza ministro de Indias: ha confirmado al Sr. D. Gonzalo O-Farril en el ministerio de la Guerra que regenta, y al Sr. D. Josef de Mazarredo en el de Marina ; finalmente ha nombrado S.</t>
  </si>
  <si>
    <t>do por desgracia (á excepción del Sr; IX Pedro Cevallos) los ministros S . Mariano Luis de Urquijo, D. Miguel Josef de Azanza, D. Gonzalo OFarril, D. Josef Mazarredo y el conde de Cabamis. Todos los supremos tribunales-de la nación que tienen su residencia en esta, corte han vivido hasta j est^rmamento o</t>
  </si>
  <si>
    <t>Josef de Balde</t>
  </si>
  <si>
    <t>orada con 239 onzas de peso. D. Federico Marión, 60 rs. mensuales, por un mes.................. 60. D. Josef de Balde, 60 id. por 2 meses.............. ........................ 120. D. Bernardo Perez, por una vez.......... ....................................... 1000. Doña María Peral , id.... ..</t>
  </si>
  <si>
    <t>Josef de Boixó</t>
  </si>
  <si>
    <t>llón de voluntarios de Barcelona se ha servido S. M. promover á capitán segundo al segundo ayudanta D. Josef de Boixó; á segundo ayudante al teniente D. Francisco ignéson; á tenientes á los. subtenientes D. Juan de Gaíli Y'D. Ramón,Sanjurjo; á Subteniente, al cadete D. Mariano Febrer , y á; subte</t>
  </si>
  <si>
    <t>Josef de Bringas, Juan</t>
  </si>
  <si>
    <t>Juan Josef de Bringas</t>
  </si>
  <si>
    <t>. 300 1010 D. Santiago Palacios............................................. Madrid....... 300 1022 D. Juan Josef de Bringas.................................... Madrid....... 500 441 D. Francisco Barangot...... .................................. Santander.... 600 436 D. Gregorio de Arce.................</t>
  </si>
  <si>
    <t>ció de fierro.............. *y. * -y H D. B* sirviente............ ................. 2^ y x espada» D. Juan Josef de Bringas, del comercio..... x 1•, Un particular, que pudo recoger una por- . 4 í » ción de sillasítranchas, entrego .............. 62 9 1. - ;.v ' .—■o c/i *'■ ■) ' \ - &gt;¡v -* ■ tr.í , v.v</t>
  </si>
  <si>
    <t>añedo, regidor; D. Juan Xaramillo, id.; D. Manuel Montaos, diputado del común; D. Matías Bayo, id.; D. Juan Josef de Bringas , procurador general; D. Mateo Norzagarai, personero del común. Diputación del estad» eclesiárHco regular. Fr. Eugenio Arnoedo, abad del monasterio de S. Bernardo; P. D. Calixto N</t>
  </si>
  <si>
    <t>Josef de Bustamante</t>
  </si>
  <si>
    <t>1841 Zaragoza...... 500 29 D. Josef Marugan............... ............. ... Zaragoza.;..*: 300 949 D. Josef de Bustamante.................. . Madrid....... 300 6)2 D. Cipriano de la Haza y Garay... Madrid....... IOOO 2421 D. Juan Manuel de Peralta,.......... &gt;«. Cádi'Z'*M*^if' 500 176) D. Viceñte Arr</t>
  </si>
  <si>
    <t>Josef de Bustamente</t>
  </si>
  <si>
    <t>.. Coruña....... 300 1746 Doña María Manuela de Uiloa........................ Cádiz........ 500 950 D. Josef de Bustamente............. ..................... Madrid....... IODO c 59 D. Lnis Carrera..............v............................... Barcelona.... 500 : 946 P. Eugenio de S. Pelayo...........</t>
  </si>
  <si>
    <t>Josef de Calzada</t>
  </si>
  <si>
    <t>D. Félix 2crbano,-: sargento .mayor de el- del Príncipe fjr la dél de Alcántara al teniente coronel D. Josef dé Calzada , sargento nfrayór del de Montésa; y co ñipa ñ ras. en este último- cuerpo! ¡i los ayudantes,!‘gKáduadbs dé capítan’, D. Juan-.Montéagudo y D. Mahuel Esteban dé Eiordur. También s</t>
  </si>
  <si>
    <t>Josef de Campos</t>
  </si>
  <si>
    <t>..;...................................................................................... 22617 28. D. Josef de Campos , en intereses de 1800, id........................... 270 27. D. Diego Narciso Herranz, en efectos contra Tesorería mayor, y pico en efectivo, id........................ ;........</t>
  </si>
  <si>
    <t>Josef de Carranza</t>
  </si>
  <si>
    <t>Nafarrondo en un vale real de 150 pesos de enero y un pagaré de réditos de vales atrasados.. 2700. D. Josef de Carranza, oficial de la contaduría general de Indias, en efectivo......................................................................... 1500. Los Sres. Sánchez y Lozano en id..........</t>
  </si>
  <si>
    <t>... 120. D. C. P. R. de G. , id,,..,...,,• • •.,,v............. • ............................. 6or D. Josef de Carranza, ^oficial de la contaduría general de In, dias, id.................íi,.,...,,..... ...... 1500. Lorenzo Sanz, oficial de carpintero, id...................................... 20. D</t>
  </si>
  <si>
    <t>Josef de Carrascosa y Dutari</t>
  </si>
  <si>
    <t>... 13200. D. Domingo María de Salazar, id.................................................... IOO. D. Josef de Carrascosa y Dutari, oficial jubilado de la contaduría del Sr. Infante D. Antonio, id..... ....................... ............. 160. M. G. V., id............. ..................... .................</t>
  </si>
  <si>
    <t>Josef de Casanova y de Parrella</t>
  </si>
  <si>
    <t>as Carretas. Reflexiones sobre: el establecimiento de laijuryta central en ¿1 reino ,de España, por D. Josef de Casanova y de Parrella. Se hallará en las librerías de Castillo y de Ramos. GRABADO. Estampa nueva que representa á nuestro augusto Monarca D. Fernando vn* de cuerpo entero, iluminada y en negro. Se hal</t>
  </si>
  <si>
    <t>Josef de Celayeta, Pedro</t>
  </si>
  <si>
    <t>Pedro Josef de Celayeta</t>
  </si>
  <si>
    <t>nuel, alcalde de casa y corte, y escribanía de provincia que exerce D. Julián Alonso y Estrada, por D. Pedro Josef de Celayeta, presbítero, cura rector de Ja villa de Maya, reino de Navarra, sobre pertenencia de un vale de 300 pesos, creación de setiembre, nú'.n. 50277, se dio escrito últimamente por dich</t>
  </si>
  <si>
    <t>Josef de Checa y Gíjoñ</t>
  </si>
  <si>
    <t>Mro. Manuel Gil, vice presidente, marques de Grañiaa, D. Josef Mócales Gallegos, D. Andrés de Coca, D. Josef de Checa y Gíjoñ y D. Celedonio Alonso , eran harto clara prueba déí amor de los Sevillanos. Al fin; el Serenísimo Sr. Presidente con los demas Sres. de la Junta central recibieron en'el real palacio</t>
  </si>
  <si>
    <t>Josef de Cisrue</t>
  </si>
  <si>
    <t>° de enero del presente año falleció en Zaragoza , á los 82 años cumplidos de su edad, el limo. Sr. D. Josef de Cisrue, barón de la Menglana, caballero pensionado de la distinguida orden de Carlos m, ministro jubilado del consejo y cámara de Indias, y de la junta general de comercio,; moneda y min</t>
  </si>
  <si>
    <t>Josef de Colon</t>
  </si>
  <si>
    <t>usticia de la nación española, representado por D. Manuel de Í -ardizabal, D. Sebastian*de Torres y D. Josef de Colon, el mas-antiguo de esta diputación, tie.ne hoi el alto honor de saludar a . M», .y de manifestarle su sincero júbilo por el feliz y deseado arribo á los brazos é imperio de su gra</t>
  </si>
  <si>
    <t>Josef de Covarrubias</t>
  </si>
  <si>
    <t>la abogacía «1 los tribunales de la nación; dirígelo á los ilustres y perfectos abogados españoles D. Josef de Covarrubias : un tomo en 8.°, á 5. rs. en pasta---- Carta dirigida á un amigo, en que se le da razón de las facultades y libros de que debe instruirse, no solo un poeta, sino qualquiera que a</t>
  </si>
  <si>
    <t>Josef de Covos</t>
  </si>
  <si>
    <t>apreciada en 111,520 rs* Quien quisiere hacer postura, lo executará por la escribanía que desempeña D. Josef de Covos¿ La cabaña fina leonesa trasuntanteYpropia de la testamentaría del excelentísimo señor duque que fue de Osuna, cuyo remate se anunció al público para el dia 2 de diciembre próximo</t>
  </si>
  <si>
    <t>Josef de Echinique, Pedro</t>
  </si>
  <si>
    <t>Pedro Josef de Echinique</t>
  </si>
  <si>
    <t>.. Madrid...... . 500 777 Doña Teresa Ceferina. Remonel.................... . Madrid....... loco 16 D. Pedro Josef de Echinique....................... Zaragoza..... 300 2828 D. Miguel Zabaleta.................... ........................ Zaragoza..... 500 660 D. Francisco Antonio Abadía....................</t>
  </si>
  <si>
    <t>Josef de Escalante</t>
  </si>
  <si>
    <t>.... Zaragoza..... 300 1813 Doña Antonia Zarate y Murguía.................... Zaragoza..... 500 443 D. Josef de Escalante.................................... . Santander... 600 164 D. Francisco Santos........................ ................... Valencia..... 300 1551 D. Pedro Antonio Sobrado.........</t>
  </si>
  <si>
    <t>Josef de Espinosa</t>
  </si>
  <si>
    <t>María de Salazar, intendente general; D. Juan Perez Villamil, ministro togado; el gefe de escuadra D. Josef de Espinosa, secretario, y el capitán de navio D. Martin Fernandez de Navarrete, contador fiscal, todos nos negamos á prestarle quando en 22 de julio último se nos exigió, y acompañamos nuest</t>
  </si>
  <si>
    <t>Josef de Ezguiaga</t>
  </si>
  <si>
    <t>... 1000 2198' D. Bartolomé de Casas.......... ............................. Coruña....... 1000 504 D. Josef de Ezguiaga........................................... Bilbao.......... 300 916 Doña Juana Teresa de Latorre y compañía.... Madrid........ 300 148 D. Luis María Andriani, sargento mayor......</t>
  </si>
  <si>
    <t>Josef de Feria</t>
  </si>
  <si>
    <t>os dichos, se avisa para que en el término de 3 meses, según previene la cláusula, comparezcan ante D. Josef de Feria, rector y cura de aquella villa. En la villa de Xaraicejo, provincia de Extremadura, partido de Truxtllo, se necesita un cirujano aprobado y de buenas circunstancias, á quien se l</t>
  </si>
  <si>
    <t>Josef de Gabriel y Estenoz</t>
  </si>
  <si>
    <t>za..... 500 17$ D; Fernando Galán.....-..;....... ........................... Valencia..... 300 492 D. Josef de Gabriel y Estenoz, coronel de In- ' ; " ‘ ! genierós..;..............!...a. ............. Bilbao.... .... 3 00 ^790 Doña-Jesusa Martínez Luengo.-......... Madrid;...... 3 00 468 D. Vicente Puente m</t>
  </si>
  <si>
    <t>Josef de Gamboa, Juan</t>
  </si>
  <si>
    <t>Juan Josef de Gamboa</t>
  </si>
  <si>
    <t>60 rs. mensuales ínterin las circunstancias: por agosto 60. D. Ramón Monroi, por una vez 150 rs. ' D. Juan Josef de Gamboa, contador del nóvenb1, sin . perjuicio! de 30 rsl diarios durante la. guerra, por.una vez 33:00. . . ' [ D. Manuel Velasco, mayordomo del marques de las Amarillas, por una vez 3 2</t>
  </si>
  <si>
    <t>Josef de Garai</t>
  </si>
  <si>
    <t>de S. Carlos. Rs. Mb. D. Josef Catatan., i o rs. mensuales, por 5 meses....................... 50. D. Josef de Garai, contador de la real compañía de la Havana, 80 rs. id. por agosto..................................................................... 80. Un capellán de un convento de religiosas</t>
  </si>
  <si>
    <t>Josef de Gárate</t>
  </si>
  <si>
    <t>. ........... ............ IO. D. Mateó de la Quintana, por 4 meses á 250 rs. mensuales...... IQOO. D. Josef de Gárate, oficial de la fábrica de los cristales, á 60 rs. mensuales ‘* * 4444 4 f ***•*• •*•••*• 44444.444 4 4 4 4 4&gt;4 44 4 4;4 44-4 4 4 4 6a. D. Luis Antonio García, por 3 meses á 20 rs.</t>
  </si>
  <si>
    <t>Josef de Girón</t>
  </si>
  <si>
    <t>lación de las acciones militares, acaecidas sobre el Guadiana el 21. de Junio. •STjSLabiendo sabido D. Josef de Girón* vocal de la Juate de Ayamonte, que había muy pocos franceses en Viilareal y Castromarin * comunicó esta noticia al Comandante general D. Ignacio F'onnegra y á la Junta que se for</t>
  </si>
  <si>
    <t>Josef de Goycoechea, Juan</t>
  </si>
  <si>
    <t>Juan Josef de Goycoechea</t>
  </si>
  <si>
    <t>....... . Madrid....... tdoO 202 D. ■ Jóséf Adalid ..... ....~ .»f.» » »l ¿» Alicante...... 500 518 D. Juan Josef de Goycoechea ...... ...... : Bilbao............... 300 33 8 D. Tontas de Urrutia.......«.».»*.......... . Cádiz.......... fóó 409 D. Juan Francisco Barric.................................... C</t>
  </si>
  <si>
    <t>Josef de Granda</t>
  </si>
  <si>
    <t>brar para la primera canongía á D. Juan Manuel Diaz de Avecillas , y para la ración que este dexa á D. Josef de Granda, cura en la misma diócesi: para la segunda canongía á D. Mauricio Salazar, y para la ración de este á Don Tomas Borrero Ponton, cura rector de dicha catedral: para la primera raci</t>
  </si>
  <si>
    <t>Josef de Hernando</t>
  </si>
  <si>
    <t>..... . 500. D. J. A. P..................... .................................... ............ 500. D. Josef de Hernando......... ........................................... 400. D. Felipe Santiago Gallo, procurador de los reales "Consejos.............................................................</t>
  </si>
  <si>
    <t>Josef de Herrea y Ripa, Martín</t>
  </si>
  <si>
    <t>Martín Josef de Herrea y Ripa</t>
  </si>
  <si>
    <t>z, y D. Mav . nuel de v illanueva......................................... Burgos........ 300 175 9 D. Martin Josef de Herrea y Ripa............... Cádiz........... 500 1598 D. Bernardo de Elezaga................................... . Bilbao......... 3 00 9-56 D. Ramón Bertrán....................................</t>
  </si>
  <si>
    <t>Josef de Ibarra</t>
  </si>
  <si>
    <t>omas Saez de Parayuelo., D. Sancho de Llamas y D. Manuel de Echeverría.; los señores fiscales de él D. Josef de Ibarra, D. Tadeo Segundo Gómez y D. Manuel de Torres Cónsul, y el secretario de millones D. Ignacio de Rivas. VENTA. Habiéndose aprobada por el señor intendente de esta proxóncía el rema</t>
  </si>
  <si>
    <t>. 20. D. Josef Pauton, anualmente.................................. ......................... 1000. D. Josef de Ibarra* fiscal del supremo consejo de Hacienda, la sexta parté del-sueldo qiie percibe dé Tesorería , cuyo importe e&amp; de'7 24- rs. mensualmente, y ademas 1460 por 4 mesesanticipados á 12</t>
  </si>
  <si>
    <t>Josef de Iglesia</t>
  </si>
  <si>
    <t>..................................................................-...-..y............ !&gt; ' . 60. 7 D. Josef de Iglesia, ayudante de la caxa del Banco nacional, : ? 1 por id. á 20 rs: id.........i. ..................•...................20* . D. Lúeas Cordobés, id. de id * por id. á 24 id...........</t>
  </si>
  <si>
    <t>Josef de Irriberri</t>
  </si>
  <si>
    <t>l'Segundó'Martínez'. Madrid...-.^.. yoo 587 D. Felipe Martíñe'z'de 'Viergol. Madrid,..;... 6bo 39 2 D. Josef de Irriberri y oidor; Coruña;...... : 300 2145 D. Leopoldo de San Vicente y Godoy.» • • • iMI* Coruña...;.: foo 1964 D. Martin de Enseña............................i Zaragoza.;;., i 300 '2029 D.</t>
  </si>
  <si>
    <t>Josef de Irunclaga</t>
  </si>
  <si>
    <t>.. Alicante...... 503 914 D. Manuel de Llano y compañía*........... ....... Madrid ...... 1 oco 463 D. Josef de Irunclaga......................................... Bilbao......... 300 748 D. Mauricio.de Parada...................... ........ ...... Madrid....... 300 2282 D. Josef Floranes..............</t>
  </si>
  <si>
    <t>Josef de Isla</t>
  </si>
  <si>
    <t>.... 500. D. Juan Mapuel Pedrosa, id.......................................................... 400. D. Josef de Isla, en vales reales, id........... ..................................... 9300 io. Doña E. B.., id......... ...........................................................................</t>
  </si>
  <si>
    <t>Josef de Iturralde</t>
  </si>
  <si>
    <t>...... 80. D. S. B. S., 60 id., por agosto............ ............................*........... 60. D. Josef de Iturralde , contador-delduque de-Medinaceli, 150 id., por 2 meses............................................. ............................. . 300. D.» Josef Campos, 20 id., por agosto.....</t>
  </si>
  <si>
    <t>Josef de Iturrigarai</t>
  </si>
  <si>
    <t>en el palacio real de México á xx de agosto de 18b#. = Josef de Iturrigarai. Cartas del Exento. Sr, D. Josef de Iturrigarai, virei de México ¿al Exento. Sr. D. Tomas de Moría. México 24 de agosto de 1808. Mi mui estimado amigo: tengo escrito á vmd. muchas cartas en repetidas ocasiones, y ni á una me ha</t>
  </si>
  <si>
    <t>Josef de Izarbe</t>
  </si>
  <si>
    <t>430 Josef Barrau..................... ■•••••.........*..... ..... ........ Málaga......... 500 1791 D. Josef de Izarbe...................... .................. Cádiz....... ...150000 2168 D. Gaspar Josef García........ ........................... Coruña....... 500 294 Rosa Dom.a Koops.............</t>
  </si>
  <si>
    <t>Josef de la Dehesa</t>
  </si>
  <si>
    <t>. Francisco Torres 4. D. Benito García Perez de Castro D. Severo Andrés García 2.’ una. La viuda de D. Josef de la Dehesa €. D Juan Mazarron 2 usadas. D. Juan Aceto 2. Doña Francisca Arias Perez 12, D. Francisco y Doña María Corche- D. Manuel de Salazar 2. ro 4. - D. V. M. 8 varas de lienzo. D. Anton</t>
  </si>
  <si>
    <t>Josef de la Fuente</t>
  </si>
  <si>
    <t>-id. por 6 meses. 1100. D- Juan.Pujalriu , del comercio, 3 id. por 2 meses................... 183. D. Josef de la Fuente , dependiente del anterior , 3 id. id....... . ¿ 183. JX Josef Frutos Posadillo, dependiente del dicho, 2 id. id...... 122/ {Se continuará,) i ________________________ . » _______</t>
  </si>
  <si>
    <t>Josef de la Muela</t>
  </si>
  <si>
    <t>s dirigirán sus memoriales y docuntentos al ayuntamiento» de la misma, por mano de los comisionados D. Josef de la Muela, regidor perpetuo, y D. Antonio Pérez; en inteligencia de que el nombramiento se ha de hacer el primer domingo-de marzo próximo. _También se halla vacante en dicha villa la plaza</t>
  </si>
  <si>
    <t>Josef de la Peña Rodrigo</t>
  </si>
  <si>
    <t>to 4o2r,s» ídVl 62. '? D. Pascual.Román, contador de Jgro^,por-:id*: á 6&gt;rs. jd.it...i. -I 186. •./ D. Josef de la Peña Rodrigo, del comercio&gt;;por ?una vez...... . 1500. Mateo Gómez,r del gremio de ropería, id.::............... í...........¿i.. £oo. D. Josef Belmar, oficial de la contaduría del señor infan</t>
  </si>
  <si>
    <t>Josef de la Porte</t>
  </si>
  <si>
    <t>Fernandez Blanco á otro beneficio servidero de la villa de Moron , en el arzobispado de Sevilla, á D. Josef de la Porte, con retención de los dos simples que disfruta en las parroquias de S. Salvador de la villa de Talavera de la Reina, y de Sta. Leocadia de la ciudad de Toledo: para el beneficio s</t>
  </si>
  <si>
    <t>Josef de la Presilla, Juan</t>
  </si>
  <si>
    <t>Juan Josef de la Presilla</t>
  </si>
  <si>
    <t>D. Juan Josef de la Presilla, agente de Indias, por 4 meses desde agostó á 4 rs. diarios......................................... ....... J....... 488, D. Pedro Beotas, aposentador jubilado de S. M. ,-927 rs,</t>
  </si>
  <si>
    <t>Josef de la Sotiila</t>
  </si>
  <si>
    <t>HALLAZGOS. Quien hubiese perdido 2 monedas de oro, acuda á D. Manuel de Santiuste, eti li tienda de D. Josef de la Sotiila, portales de Paños, quien dándole las señas las entregará. ¡La persona que hubiese perdido 2 acciones de los 5 gremios mayores, acudirá i la calle de la Madera alta , núm. 21, qua</t>
  </si>
  <si>
    <t>Josef de la Torre</t>
  </si>
  <si>
    <t>^afyeatfJb rsgirojsqfp 4g?Htj|n|egíft de voluntarios de Castilla al teniente, graduado de capitán , D. Josef de la Torre; y en el de Borbon 4í-cábálíéro page de S. M. Ó. Josef María Olaguer Feliu. - .-A V-v-“ i;:: , b., M-se jha^eEyid^conferirjCa^íffíegijnk^^^^ifari^kideife^&lt;&amp;9ron* compañía g«£ t^ni</t>
  </si>
  <si>
    <t>úsico de la real capilla, 80 rs. mensuales..................... ............ .......... ....... 80. D. Josef de la Torre, oficial de la secretaría de Nueva España* por 5 meses á 60 rs. en cada uno............................... ............ . 300. D. Felipe Seco, por 2 meses á 40 rs....... .........</t>
  </si>
  <si>
    <t>comisión militar del mismo por su Excmo.. Sr. gobernador y capitán general, y por la escribanía de D. Josef de la Torre. . IIBROS. Las Siete Partidas del Rei D. Alfonso el Sab-io : nueva edición, cotejada coa varios códices antiguos, por la real academia de la Historia. Se han expresado al pie del</t>
  </si>
  <si>
    <t>...................... . 124. D. Pedro de Garibaí, agente de Indias, 4 id., por 6 meses....... 736. D. Josef de la Torre, 3 id., por agosto..».......... .............. ............ 93. D. Juan Soler y Casader, 2 ra. id........................................ .......... 62. D. Josef Altube, oficial d</t>
  </si>
  <si>
    <t>do Saturío 2. D. J. B. 3. Doña Micaela Fourdiniez y sus dos D. Agustín Sanz 2. hijas 4. D. J. Q. 2. D. Josef de la Torre 4. D. Pedro Arnaiz una. Doña Isabel Andrea Huésterlíng 12. D. Manuel Martínez de Aedo y Do­ Doña Cándida Irueta, sirvienta, una. ña Bernarda Arnaiz una. Doña María Ramona deAguirr</t>
  </si>
  <si>
    <t>Joséf de la Vega Boláño</t>
  </si>
  <si>
    <t>de Santiago y á Don Josef Perrote y Racionero de la misma catedral: para la ración que este dexa á D. Joséf de la Vega Boláño, clérigo diácono, colegial del real monasterio de S. Lorenzo: pata úna ración ae la colegiata de Covarrubias, diócesi de Búrgos y vacante por promoción de D. Joaquín Bustámantey A</t>
  </si>
  <si>
    <t>Josef de Lapaz</t>
  </si>
  <si>
    <t>....Coruña....... 300 99 ) Doña Rosa'Bárbara-Perez. Labrador.............v.: Madrid....... 500 1034 D. Josef de Lapaz........... ........................ ....... . : Madrid........ 300 1619 D. Lorenzo de Solieta Balzplav....,.....*;*.....:........; ¿Bilbao./.;...;/ 300 2273 Doña Maríá Antonia .Ma</t>
  </si>
  <si>
    <t>Josef de Lavalle, Manuel</t>
  </si>
  <si>
    <t>Manuel Josef de Lavalle</t>
  </si>
  <si>
    <t>a Torre, comandante dél tercer batallan del de infantería de Cuba. ; S. M. se ha servido conferir á D. Manuel Josef de Lavalle el empleó de‘director general de la renta dé. iabacos del vireinatp; de Buenos-Aíres, vacante,por fallecimiento dé D. Francisco Ortega y Marrón; y al propio tiempo sev ha dignado pr</t>
  </si>
  <si>
    <t>Josef de Limón y Benavides, Juan</t>
  </si>
  <si>
    <t>Juan Josef de Limón y Benavides</t>
  </si>
  <si>
    <t>w z6j VENTAS JUDICIALES. Por providencia de D. Juan Josef de Limón y Benavides, subdelegado en el departamento de Huelma en la diócesi de Jaén, se ha señalado el dia 5 de abril próximo para el remate de un olivar sito en término de la villa de Cambil, su cab</t>
  </si>
  <si>
    <t>Josef de Liona</t>
  </si>
  <si>
    <t>jubilado de S. M. ,-927 rs, en una boleta de su sueldo, y 73 en efectivo por una vea......... 1000. D. Josef de Liona , administrador general del abastó.de carnes, por ahora..'............................................................................. 2000. D. Vicente de Pereda, del comercio de</t>
  </si>
  <si>
    <t>Millar, Manuel Alonso Gómez, del gremio de botilleros; Santiago Rulica, del gremio de sombrereros; D. Josef de Liona, D, Miguel Sainz , Ángel Josef de la Cruz y Jacinto Majolero, del gremio de peluqueros; Inocencio Beaojos y Jacinto Puvillers, del gremio de latoneros; Juan García Vacas y Antonio</t>
  </si>
  <si>
    <t>Josef de Llano y Pravia</t>
  </si>
  <si>
    <t>llero. = Excmo. Sr. Presidente interino de la Junta central suprema de gobierno de España é Indias. D. Josef de Llano y Pravia, del Consejo de S. M., su secretario, y oficial mayor de la secretaría del real y supremo de Haciénda, que como tal estoi ejerciendo las funciones de sectetario de él: Certifico q</t>
  </si>
  <si>
    <t>Josef de los Reyes</t>
  </si>
  <si>
    <t>. 300 1829 D. Pedro Bezares................................................ Zaragoza..... 300, 2301 D. Josef de los Reyes....................................... Cádiz........... 300 15 D. Matías Marton............................................... Zaragoza..... 300 1132 D. Juan Doz y Cornel.........</t>
  </si>
  <si>
    <t>Josef de Loysaga, Pablo</t>
  </si>
  <si>
    <t>Pablo Josef de Loysaga</t>
  </si>
  <si>
    <t>................ Madrid. r j o&lt;sr 667 D. Juan Andrés Gomenge............... Madrid....... 300 23 23 D. Pablo Josef de Loysaga................................. Cádiz......... 500 814 D. Manuel Ramírez............................................ Madrid....... 300 1383 D. J uan de Basas...;.................</t>
  </si>
  <si>
    <t>Josef de Manzanal, Pedro</t>
  </si>
  <si>
    <t>Pedro Josef de Manzanal</t>
  </si>
  <si>
    <t>ionado, ¡ Vajencia&gt;5 09 . 1931 D. Vicente Martínez, dignidad 4.e tesprsrp... Zaragoza,?...,óoo 1522 D. Pedro Josef de Manzanal............................. Bilbao.....-!... 300 2165 D. Narciso Forte....................................... -.. Coruña.......; 500 744 D- Tomas García Arribas y Quizq..........</t>
  </si>
  <si>
    <t>000 470 D. Miguel de Laca................................. ............. Bilbao.......... 1)03 1523 D. Pedro Josef de Manzanal.............................. Bilbao.......... 303 1864 D. Antonio Domingo de Guardia...................... Zaragoza..... 600 1681 D. Josef Ibarra.................................</t>
  </si>
  <si>
    <t>Josef de Marcos, Antonio</t>
  </si>
  <si>
    <t>Antonio Josef de Marcos</t>
  </si>
  <si>
    <t>Domingo Fernandez, id....................................................................... 320. ■ D. Antonio Josef de Marcos , id....................................................... 500. D. Tomas de Arsu, en un vale de 300 pesos de mayo, y un crédito contra Tesorería ¿id...».'...... .................</t>
  </si>
  <si>
    <t>Josef de Mazarredo</t>
  </si>
  <si>
    <t>consejero de guerra, y sin embargo en 1795 fue empleado en la escuadra del’ Mediterráneo, que mandó D. Josef de Mazarredo, hasta que pasó ú Cádiz hecho cargo de una división de 10 na*víos. En 1800 mandó interinamente el departamento de Cartagena en circunstancias tan Críticas, que influyeron notablem</t>
  </si>
  <si>
    <t>de estado y del despacho de Marina, y en Ja dirección general de la Armada, he Venido en nombrar á D. Josef de Mazarredo, teniente general de la Armada, en atemcion á sus distinguidos servicios, notorio mérito y demas prendas. Tendréjslo entendido , y lo comunicareis á quienes corresponda.=En palaci</t>
  </si>
  <si>
    <t>ndias: ha confirmado al Sr. D. Gonzalo O-Farril en el ministerio de la Guerra que regenta, y al Sr. D. Josef de Mazarredo en el de Marina ; finalmente ha nombrado S. M, al señor conde de Cabarrus ministro de Hacienda Lo participo á V- E« de orden del Rei, previniéndole que después que lie— gue S. M. á</t>
  </si>
  <si>
    <t>e Dios y por la constituciou del estado, Rei de‘las Españas y de las Indias. He venido en nombrar á D. Josef de Mazarredo capitán general de mi rea) armada, en atención á los notorios méritos y relevantes servicios que concurren en su persona, y á que exerce el empleo de director general de dicha mi</t>
  </si>
  <si>
    <t>inistros en Miranda, la impresión que la cuenta que el general Marlin daba de lo sucedido, hacia en D. Josef de Mazarredo; y manifestando este á S. M. la representación que le dirigía la municipalidad, postrándose á los pies del Rei con la aflicción de sus males y los de todas las anteiglesias circun</t>
  </si>
  <si>
    <t>Josef de Médiná Bilbao, Tomás</t>
  </si>
  <si>
    <t>Tomás Josef de Médiná Bilbao</t>
  </si>
  <si>
    <t>. .....................Santander...*/ 500 850 D. Ildefonso Jo6ef-de Medina‘ Madrid./.;.../ 300 2248 D. Tomas Josef de Médiná Bilbao;;...... $oo 2a00 D. Antonio España......................................... — Cádiz........ ..100000 3468 D. Juan Manuel de Soldevilla........................— Málaga...... 300 17</t>
  </si>
  <si>
    <t>Josef de Medina, Tomás</t>
  </si>
  <si>
    <t>Tomás Josef de Medina</t>
  </si>
  <si>
    <t>d........ 600 845 D. Francisco María Botino....,........................... Madrid........ 500 2249 D. Tomas Josef de Medina............................... Bilbao......... 500 j 220 D. Indalecio Moreno Montenegro de Velasco.. Bilbao......... 300 14 5 Doña Ramona y Doña Vicenta Martínez Vállelo...... ...</t>
  </si>
  <si>
    <t>Josef de Mendizabal, Juan</t>
  </si>
  <si>
    <t>Juan Josef de Mendizabal</t>
  </si>
  <si>
    <t>400 ts.fy^o mensuales.... 430. D Baltasar Marco, procurador de villa, 120 rs. por agosto...... 120. D. Juan Josef de Mendizabal, oficial de eorreos, por 5 meses á 20 rs. mensuales................................................................ *............ roo. D. Sebastian de Soto, por agosto............</t>
  </si>
  <si>
    <t>Josef de Metzger</t>
  </si>
  <si>
    <t>. 300. D. Andrés Rubio Escudero........................................................ 200. El Sr. D. Josef de Metzger, director de la real lotería......... 100. El Sr. inquisidor D.( Juan Martínez Nubla......... ............ ......... 640. El Sr. D. Joaquín Lorenzo Villanueva, capellán de honor..</t>
  </si>
  <si>
    <t>Josef de Mier y Salcedo</t>
  </si>
  <si>
    <t>hubo sermón, coa asistencia de la misma Suprema Junta de Gobierno. En virtud de providencia del Sr. D. Josef de Mier y Salcedo, del Consejo de S. M. su alcalde de Quadra en esta reai audiencia , se hace notorio que por decreto ele S. A. S. ei Sr. D. Francisco de Saovedra, presideete de la Suprema Junta de</t>
  </si>
  <si>
    <t>Josef de Miranda y Cabezón</t>
  </si>
  <si>
    <t>diz.......... 300 109 Doña Angela Clara de Pineda.......... ............... Tudeia........ 300 2184 D. Josef de Miranda y Cabezón...................... Coruña........ 300 •55 D. Josef Ignacio Sagrista y Soler........... ........ Barcelona.... ' 300 2roi D. Martin Laífore.................... .................</t>
  </si>
  <si>
    <t>Josef de Mollinedo</t>
  </si>
  <si>
    <t>... 500 140 D. Pascual Mora.................................................. Valencia..... 300 221 D. Josef de Mollinedo..... ................................. Alicante...... 300 1558 D. Apolinar de Iguazan....................... ...... 1..... Bilbao.......... 300 2449 H. Hilario Ximenez............</t>
  </si>
  <si>
    <t>Josef de Moreda, Juan</t>
  </si>
  <si>
    <t>Juan Josef de Moreda</t>
  </si>
  <si>
    <t>lazar, mayor general de la esquadra de Cartagena...»........................ Alicante...... 300 579 D. Juan Josef de Moreda................. »•».......... Madrid....... 3°o</t>
  </si>
  <si>
    <t>Josef de Moya</t>
  </si>
  <si>
    <t>é Irlanda, Jaén, de línea, Barbastroy tercios de-Tejas, al mando de su¿ dignos gefesD. Juan Nacten, D. Josef de Moya, cuyo coronel ha muerto de^sus Eeridas , D. Francisco Merino , D. Francisco deoSierra y D. Melchor «le ia^Concha , se distinguieron por su valor y cons-* tanda, como igualmtnte' D</t>
  </si>
  <si>
    <t>Josef de Navia Boiaños</t>
  </si>
  <si>
    <t>para esta regencia á D. Josef Pagóla, que lo es de lal de Galicia: para la regencia que este dexa á D. Josef de Navia Boiaños, oi-r dór de la audiencia de Valencia : para esta resulta al alcalde mas antiguo dei mismo tribunal D. Josef López de-Co¿afr-;t y para la plaza ‘de alcaldedéí crimen qué eSte dexa</t>
  </si>
  <si>
    <t>Josef de Ojanguren, Juan</t>
  </si>
  <si>
    <t>Juan Josef de Ojanguren</t>
  </si>
  <si>
    <t>36 Rs. Mr*. D. Francisco García, del comercio, id........................................... 400. D. Juan Josef de Ojanguren, por una vez un vale de 150 pesos de setiembre............................................... .......................... 22f8 23. D* Valentín Ignacio de Urquijo, del comercio, por</t>
  </si>
  <si>
    <t>Josef de Olaegui</t>
  </si>
  <si>
    <t>omisionados. Es. vn., 871 D. Antonio García y compañía....................... Madrid....... 500 223 D. Josef de Olaegui........................................... Alicante...... 300 842 D. Felipe García Ontiveros............... . Madrid...... 500 923 D. Bonifacio Saenz de Tejada y compañía..... Mad</t>
  </si>
  <si>
    <t>z........... 600 2428 D. Pedro Matamoros y Pacheco....................... Cádiz........... 1500 222 D. Josef de Olaegui............................................. Alicante...... 300 1579 Doña Modesta Antonia de Bringas................... Bilbao.......... 30a 1836 D. Esteban Die...................</t>
  </si>
  <si>
    <t>Josef de Oñaederra</t>
  </si>
  <si>
    <t>id.1 á 120 rs. id.,.....-.í4ii...¿......................................................... . 120. D. Josef de Oñaederra , archivero de Pósitos, por id. á 20 rs. id. 20. (* R «*■ M., A! d v-v «A .n. «a MA &gt; 1 . -1 _! A — *1 f *1, - • ^ , 7 : . _____ 200. D. Asíénsio Garda Ordoñéz , Boticario, por id</t>
  </si>
  <si>
    <t>Josef de Oroz y Gutiérrez</t>
  </si>
  <si>
    <t>64360. D. Pió de Erran, id ................................................................... 60. D. Josef de Oroz y Gutiérrez, en un libramiento del fondo vitalicio, id................................................................................... i773D. Antonio Alvarez, conductor de Correos, id.....</t>
  </si>
  <si>
    <t>Josef de Palafo</t>
  </si>
  <si>
    <t>ivad dia 2 de mayo: la inocencia perseguida, ó las desgracias de Fernando vii : himno al Excmo. Sr. D. Josef de Palafo* y Melai: himno de la victoria de Zaragoza: dichas canciones también están con acompañamiento de guitarra. Asimismo hai para tocar al forte-piano la batalla de las Era», la de Bai</t>
  </si>
  <si>
    <t>Josef de Palafox</t>
  </si>
  <si>
    <t>be, que el reyno di Aragón ha dado disposiciones para un alistamiento general, teniendo al frente á D. Josef de Palafox, Exento de Guardias de Corps, que en conseqüencia todos obedecerán á este, baxo la pena de ?er juzgados militarmente. Que se reunirán quantos militares haya en dicho Reyno , inclu</t>
  </si>
  <si>
    <t>de haber evacuado los franceses aquella ciudad en los términos que expresa el parte del Excmo. Sr. D. Josef de Palafox, que se publico en la gazeta extraordinaria dé ayer, sin embargo de que el vencedor, el héroe de la Europa, el soberbio Napoleón, habkt tomado á su cuenta rendir la capital de Ara</t>
  </si>
  <si>
    <t>rde á V. E. muchos años. Sangüesa 24 de octubre de 1 80S. = Excmo. Sr. = Juan 0-Neille.=:Excmo. Sr. D. Josef de Palafox.” EN LA IMPRENTA REAL,</t>
  </si>
  <si>
    <t>y Santo Domingo. Tudela 6 de noviembre. Ayer á las 3.de la tarde llegó á eStá ciudad el Excmo. Sr. D. Josef de Palafox con él mariscal de campo Doflé, y sé alojó en 1a posada de su hermano él Excmo. Sr. D. Francisco de PalafoxJ Por la noche hubo junta de generales, qué duro hasta mui tardé, y hoi</t>
  </si>
  <si>
    <t>Josef de Palafox y Melci</t>
  </si>
  <si>
    <t>interino del Consejo recibió ayer por correo extraordinario el oficio que le dirigió el Excmo. Sr. D. Josef de Palafox y Melci, capitán general del exército y reino de Aragón, y es del tenor siguiente: ,, limo. Sr. Tengo la satisfacción de participar á V. I. que el exército francés que durante dos meses h</t>
  </si>
  <si>
    <t>XTRAORDINARIA DE MADRID DEX DOMINGO 3 O DE OCTUBRE DE l8o8. ¿íranjuez 29 de ^octubre. El Excmo. $r. D. Josef de Palafox y Melci, capitán general de Aragón, remite el parte que le ha dado el teniente general D. Juan O-Neille, comandante de la división de la derecha de aquel exército, y es como sigue: ,, Exc</t>
  </si>
  <si>
    <t>Josef de Palafox y Melzi</t>
  </si>
  <si>
    <t>mjvv-' v -Jin consideraron idos importantes servicios hechos á la patria por el mariscal dei Campo D. Josef de Palafox y Melzi durante el sitio y bloqueo de la ciudad de Zaragoza, que tan gloriosamente ha defendido con hoiior&lt; de nuestras armas y oprobio ¿de nuestros enemigos, y al voto general de los natura</t>
  </si>
  <si>
    <t>MARTES 8 DE NOVIEMBRE DÉ i'8'68\9 fe ‘ ESPAÑA. Pudela io de setiembre. Manifiesto del \Exento. Sr. D. Josef de Palafox y Melzi dirigido d esta ciudad en honor d los delicados sentimientos que acreditó en la entrada de las tropas de su mando , y de la carta que S. JE. le escribió con fecha de 2 2 de agosto</t>
  </si>
  <si>
    <t>Josef de Prada</t>
  </si>
  <si>
    <t>rez Nava y Don Ramón Corrales, en id.: con la guardia de honor del príncipe de Pontecorvo. Teniente D. Josef de Prada, en id.: enfermo. Subteniente'de granaderos D. Joaquín Qaamaño, eñ id.: en el estado mayor del príncipe de Pontecorvo. Barcelona. Capitán D. Manuel Saliquet, en Hamburgo: para el</t>
  </si>
  <si>
    <t>Josef de Quescedo</t>
  </si>
  <si>
    <t>oo 2327 D. Josef Glosa........................................... ..u-nu.. Cádiz....;....- 30o 2388 D. Josef de Quescedo....... Zaragozá...,. 300 2014 Doña• María Magdalena Sánchez;........... Cádiz. .'4 ,. ..i i 10000 932 D. Trofino Arduson... Máddfl.^4 :39o 2006 D. .Quirico L’uig.. Cádiz.:........</t>
  </si>
  <si>
    <t>Josef de Resa</t>
  </si>
  <si>
    <t>. D. Pedro Pjerez Llanos 3 id. D. M. F. del C. 3 camisas y 3 pares de calcetas nuevas. La: viuda de D. Josef de Resa ¿camisas id., 12 pañuelos de faltriquera, 2 pares de medias grises de estambre y 13 varas yjquarta de paño antiguo, todo para beneficia dé la tropa. D..Ra-, fael Gutiérrez, visita</t>
  </si>
  <si>
    <t>Josef de Rioja</t>
  </si>
  <si>
    <t>...... .......... ......... 9128 27. La real congregación del"ilustre cuerpo de Arquitectos de esta D. Josef de Rioja, en intereses de 1800, id.......... ....... ............. 180 17^ D. Pedro Andrés del Corral, oficial de. la secretaría de la cámara y real patronato de Aragón, en 2 libramientos</t>
  </si>
  <si>
    <t>Josef de Riquena</t>
  </si>
  <si>
    <t>........ Madrid........ 500 481 D. Leandro González de Lafuente............ Bilbao......... 500 759 D. Josef de Riquena..................... . Madrid....... IOOO 1019 Doña María Josefa Badarán........................ Madrid....... 500 599 sC.OjS^O* •* /t • * **« ».•*.*.***.*.•,*.**.*.**•.**•••***••</t>
  </si>
  <si>
    <t>Josef de Roura y Sala</t>
  </si>
  <si>
    <t>.. 300 1180 Conde de la Estrella........................................... Zaragoza..... 3 00 2192 D. Josef de Roura y Sala................................. Coruña....... 600 1459 D. Josef Lizalde.................................................. Málaga........ 300 442 D. Francisco Antonio de Rucabado.</t>
  </si>
  <si>
    <t>Josef de Roxas</t>
  </si>
  <si>
    <t>. Coruña...:... 300 542 D. Esteban Fernandez de León.................... ... Madrid...;... 300 2278 D. Josef de Roxas..................... .......... . ... Bilbao..... . 300 462 D. Vicente de Urcullu......... .............. i......... Bilbao.-.v..;.., 3Ó0 339 D. Tomas de Urrutia..................</t>
  </si>
  <si>
    <t>Joséf de Roxas</t>
  </si>
  <si>
    <t>medio pliego de marca mayor de nuestro augusto Monare* D. Fernando yn, Rei, de España, dibuxado por D. Joséf de Roxas, y grabado por Castro, á 8 rs. Igualmente el de su augusto padre D, Carlos iv á caballo, de pliego de marca, á 8 rs. También se hallarán cartas grabadas de relieve en blanco y dé</t>
  </si>
  <si>
    <t>..... ............ ....... 1200* Di Manuel*García, dependiente de Rentas , id................. 200. D. Josef de Roxas * consejero de Indias, un vale real de 300 pesos, id............... ...... ..í.................. 4643 D. Pedro Sedaño, agente de-negocios r en vales realés, id......... 9167 1 o.</t>
  </si>
  <si>
    <t>Josef de Salazar</t>
  </si>
  <si>
    <t>conferir compañía á D. Juan Viñáls, ayudante del propio cuerpo; y esta resulta á su capitán segundo D. Josef de Salazar. En el regimiento de dragones de México se ha servido S. M. promover á tenientes á los alféreces D. Josef Garibai y D. Pedro Paez; á alféreces al agregado D. Antonio Bonilla y al</t>
  </si>
  <si>
    <t>Josef de Santibañez, Juan</t>
  </si>
  <si>
    <t>Juan Josef de Santibañez</t>
  </si>
  <si>
    <t>.......... iooo. D. Santiago Tabajo....,...... ................................................ 40. D. Juan Josef de Santibañez, del comercio, en un vale real de 300 pesos y resto de dinero efectivo..... 65 90... D. Francisco Cabañas, del comercio............................ . 500. D. Angel Moreno.........</t>
  </si>
  <si>
    <t>Josef de Serra y Fránqh</t>
  </si>
  <si>
    <t>.. 200000. D. Feliciano Fernandez, id Mé*éé'étltlé*é&lt;*éé4*«rM*»l-« Uiétll « l #M &lt; IM »*•* »*• IOO. D. Josef de Serra y Fránqh,-del comercio, 244 rs. por los me«es de agosto y setiembre á 4-durios, y 1® id......... ............... 1244» D. León Manuéb de la Torre,-en intereses de vales .reales de •i 808,</t>
  </si>
  <si>
    <t>Josef de Sugasti</t>
  </si>
  <si>
    <t>... • ^d© 64 8 D. Josef Bueno.................. .................. ........ . Madrid...... 300 2204 D. Josef de Sugasti...................... ;.................. . Córuña;.,/... '. 300 2148 D. Juan Fernandez Bobad i i la....; v.¿r. • CorüñáL.Í... -aoo *2210 Sres. D. Isidoro Sauz y compañeros.......</t>
  </si>
  <si>
    <t>Josef de Tejada Ruiz</t>
  </si>
  <si>
    <t>Antonio Martínez. Alonso! y su -xisfeff&amp;i mrsiremvales reales. ; muger 128. D.Pedrode Prado 200^ v D. Josef de Tejada Ruiz 300. El marques deSales roo* . .r D. Ignacio Abadía, del consejo de D..¡Francisco Alsina 60, S. M., 6317 rs. 17 mrs. en efectos Doña Eulalia Mónforte 200. : • ¿ ( . de estado. Doñ</t>
  </si>
  <si>
    <t>Josef de Ter-an</t>
  </si>
  <si>
    <t>......... i. Cádiz..,.-, LC.OO 1827 D. Josef Gil de Llanderai........... : Zaragoza. ...U ■ 500 *33 D. Josef de Ter-an.............................. . Valencia ■3C.°: 1534 D. Apolinar de Isuaz-an................, . -Bilbao»,.. .y., 3,00 2451 D. Santiago Piñuela............................. Zaragoz</t>
  </si>
  <si>
    <t>Josef de Tóbálin’á</t>
  </si>
  <si>
    <t>Números tefes aú las -i elr' acc!o¡j¿s. Nombres de los interesados. Comisionados. R¿. vn. ■'4^7 D. Josef de Tóbálin’á.... A'.‘ Bilbao i-.-.AA *973 Di ’Ambrosio NassarreAA:A.:.:: . 'Zaragoza./.:, ,j:3?o D. Francisco Tóiiias;Be ni tez A.\ .no Madrid......'. '■|5 06 : 049 *745 D. Juan Sánchez dél Co</t>
  </si>
  <si>
    <t>Josef de Urionagoena</t>
  </si>
  <si>
    <t>. Burgos........ 600 1569 D. Francisco Xavier de Goycoechea.............. Bilbao........ . 1000 906 D. Josef de Urionagoena................................... Madrid....... loco 264 D. Andrés Mariano de Cerezo.............. ........... Burgos........ 500 597 Excmo. Sr. D. Vicente Joaquin de Osorio de M</t>
  </si>
  <si>
    <t>Josef de Urizabal</t>
  </si>
  <si>
    <t>. Un incógnito 40 varas y quarta de paño blanco y 74 de lienzo. D. Juan Manuel de Náxera 8-camisas. D. Josef de Urizabal 2-camisas de coruña. Doña Joaquina Quijada 11 varas y media de lienzo. D; Francisco Martino 2 camisas. D. Manuel de Santibañéz 6 de coruña finas. D. Josef Puigdolles 15 pares de z</t>
  </si>
  <si>
    <t>Josef de Valgoma</t>
  </si>
  <si>
    <t>.,»..»».,»»»»...... . 6co. D. Alfonso Gómez, del comercio, por una vez ••a•••••••••«••*••••••• 200. D. Josef de Valgoma, oficial de la contaduría de Millones, por una vez..................... ........................ .................................... . 244. D. Bartolomé Tenreyro de Villar, agent</t>
  </si>
  <si>
    <t>Josef de Vargas</t>
  </si>
  <si>
    <t>, D. Francisco Mendieta , D. Ramón de Carvajal, D. Félix Jones, D. Miguel Salcedo, D. Pedro Adorno, Don Josef de Vargas y D. Cárlos Luxan , coroneles de los regimientos de infantería de Ñapóles , Rei, España, Irlanda, Zamora, Sabnya, Soria y-Jaén. S. M. se ha servido conferir el regimiento de infanterí</t>
  </si>
  <si>
    <t>Josef de Vargas Vaca</t>
  </si>
  <si>
    <t>la villa de Alcoi á D. Juan Bermejo: para la vara de alcalde mayor de Valladolid, que este dexa, á D. Josef de Vargas Vaca; y para el corregimiento de letras de Borja á D. Manuel Antonio Denia. ! En América. En el regimiento de infantería provincial de Valladolid en Nueva-España se ha servido el Reí p</t>
  </si>
  <si>
    <t>Josef de Vil-, Gonzalo</t>
  </si>
  <si>
    <t>Gonzalo Josef de Vil-</t>
  </si>
  <si>
    <t>,,Se declaran nulos, de ningún valor ni D. Arias Mon. efecto los decretos de abdicación y cesión de D. Gonzalo Josef de Vil- la corona de España, firmados en Francia por ches. los señores Reyes D. Fernando vii y D. CarD. Manuel de Lardizabal. los ív, los dados á su consecuencia por esté D. Antonio Villanue</t>
  </si>
  <si>
    <t>Josef de Vilches, Gonzalo</t>
  </si>
  <si>
    <t>Gonzalo Josef de Vilches</t>
  </si>
  <si>
    <t>trámites y solemnidades de derecho, ademas de los tres que formaban la junta, á otros ocho, que son D. Gonzalo Josef de Vilches, D. Antonio Villanueva, D. Antonio González Yebra, el marques de Casa García, D. Andrés Lasauca, D. Antonio Alvares Contreras, D, Miguel Alfonso Vilagómez, del propio conseje*</t>
  </si>
  <si>
    <t>ciese su real aprobación, pueda llevarse á efecto; y asi lo acordaron y firmaron. = D. Arias Mon.^s D. Gonzalo Josef de Vilches.=D; Antonio 'Víllánuéva. =Doü Antonio González Yebra.==El marques de Gasa*García.=D. Eugenio Manuel Alvarez Caballero.=E&gt;. Sebastian de Torres. = ¡D/:Domingo Fernandez de Campoman</t>
  </si>
  <si>
    <t>de Castilla, y su gobernador inteirino: el duque de Granada, presidente del consejo de las Ordenes: D. Gonzalo Josef de Vilches, ministro del consejo y cámara de Castilla : D. Josef Navarro y Vidal, y í&gt;. Francisco Xavier Duran , ministros del mismo con</t>
  </si>
  <si>
    <t>Josef de Vilches, Tomás</t>
  </si>
  <si>
    <t>Tomás Josef de Vilches</t>
  </si>
  <si>
    <t>.......... 15QO 249 D. Josef Antolin de Náxera..... ....... .............. Burgos......... 3000 353 D. Tomas Josef de Vilches.... ................... Cádiz.................... . 30® 861 Doña Ramona Castelis.... 1................................ Madrid ....... IOO® 2128 D. Juan Antonio López y Glavería...</t>
  </si>
  <si>
    <t>Josef de Yarraga, Juan</t>
  </si>
  <si>
    <t>Juan Josef de Yarraga</t>
  </si>
  <si>
    <t>....... Coruña....... 500 46 D. Juan Agustin García, paborde................. Barcelona.... 500 501 D. Juan Josef de Yarraga............................... Bilbao......... 300 2407 D. Carlos Mesía de la Cerda.............. ............ Zaragoza..... 600 1027 D. Manuel Josef Marín y Borda................</t>
  </si>
  <si>
    <t>Josef de Zayas</t>
  </si>
  <si>
    <t>onel, D. Pedro López Hermoso ; y* Ja del de la Princesa al sargento mayor del de: Ordenes militares D. Josef de Zayas;y las sargentías mayores del inmemorial del Reí -al rcapotan del de Navarra, graduado de teniente coronel, D. Ramón Go¿méz: la del de Sabóya al capitán del de Toledo D. Julián Mur</t>
  </si>
  <si>
    <t>Josef del Barrio</t>
  </si>
  <si>
    <t>-525 en metálico, id........................................... ............................ 20000. D. Josef del Barrio, del comercio de lienzos, id............. ............. 15000. D. Josef González, id.................................................................... ^o. ; Doña D. R., viuda, i</t>
  </si>
  <si>
    <t>Josef del Castillo</t>
  </si>
  <si>
    <t>úít£L uto se manda emplazar á qualquiera que sel considere con derecho al cóncurso/d¿ acreedores de D. Josef del Castillo y compañía, de aquel comercio, para que én el perentorio término de 6 meses comparezca á formalizar- su acción con los documentos comprobantes, bakó la prevención de que en su defec</t>
  </si>
  <si>
    <t>... 500. Doña Teresa García, por una vez...................................................... 32O. D. Josef del Castillo y sobiino, del comercio de paños, por una vez..... ...................................................... 5 500. D. Josef del Conde Vallejo, su dependiente, por una vez......... IOO</t>
  </si>
  <si>
    <t>Josef del Conde Vallejo</t>
  </si>
  <si>
    <t>l comercio de paños, por una vez..... ...................................................... 5 500. D. Josef del Conde Vallejo, su dependiente, por una vez......... IOO. D. Manuel de Viergol, relator del consejo, por una vez........... 2CO. D. Juan Manuel Aparicio, por una vez...... *.....................</t>
  </si>
  <si>
    <t>Josef del Corral</t>
  </si>
  <si>
    <t>ero.s 4. D. Fernando Martínez de Viérgol 18. Doña Rosa Ruiz y Aguilar una. Doña Teresa Rodríguez 2. D. Josef del Corral 6. Doña Rosalía Santos ?.</t>
  </si>
  <si>
    <t>Josef del Moral</t>
  </si>
  <si>
    <t>aturales dé las’doil Amerceas» encestar forma: Al marques de S. Felipe y Santiago, por la Havaaa: á D. Josef del Moral, candnigo.de México, por Nueva-España: i</t>
  </si>
  <si>
    <t>Josef del Rio y Serrano</t>
  </si>
  <si>
    <t>$; la maestrcscolía al tesorero I). Juan Josef CJa^rcas &gt; y para esta resulta al canónigo de gracia D. Josef del Rio y Serrano. AVISOS. . Para la oposición del magisterio de leer de la villa d* Madridejos, en la Mancha, cuya dotación consiste en 3^ rs. pagados de los fondos de propios » y otros tantos lo</t>
  </si>
  <si>
    <t>Josef Delgado</t>
  </si>
  <si>
    <t>mos, ó dar alguna lección: tiene también buena letra, y personas que abonen su conducta. Dará razón D. Josef Delgado , en la portería de lá dirección de correos. NODRIZA. Vitoria Nieto, casada, solicita cria para su casa: tiene Jeche.de 24 días. Vive en la calle de Embaxadores, núm. 2, frente al</t>
  </si>
  <si>
    <t>Josef Demblans</t>
  </si>
  <si>
    <t>Herido........... Subteniente. D. Jaan Capilla. Ordenes Militares. Muerto........... Cadete........ D. Josef Demblans. r2- Pedro Nieto. _ . ' D. Rafael Altecona. fCapitanes....,' D Bartolom¿ Boutelou. Heridos.................. ■{ ID. Manuel Bu Ines. I rD. Atanasio (U. B Revuelta. i Tenientes ...J</t>
  </si>
  <si>
    <t>Josef Díaz</t>
  </si>
  <si>
    <t>......................... . 100. Doña Micaela Ugbicain y Doña Joaquina de Cuevas, id.......... 160. D. Josef Díaz, id......... ................................ ......... 20. Doña Manuela de Corres, en intereses de acciones, por una vez. ioooo. r Un religioso de la Merced calzada de esta corte</t>
  </si>
  <si>
    <t>Josef Díaz, Juan</t>
  </si>
  <si>
    <t>Juan Josef Díaz</t>
  </si>
  <si>
    <t>40 rs. mensuales......... 40. D. Juan Cbbeña, por agosto á 30 rs. mensuales........................ D. Juan Josef Díaz, id...,.,,......,............................. ....... ........ . 3°. D. Francisco Morales Ramírez, por agosto á60 rs. mensuales;.. ©O. D. Luis Leclair, presbítero, por id. á 40 r</t>
  </si>
  <si>
    <t>Josef Diego Molina y Castro</t>
  </si>
  <si>
    <t>cura interino del Sagrario de la misma catedral de Cuenca.__ También se ha servido S. M. nombrar á D. Josef Diego Molina y Castro para una ración de la catedral de Monterey , en el nuevo reino de León___ Asimismo se ha dignado el Reí conceder plaza de ministro de capa y espada en el consejo supremo de las In</t>
  </si>
  <si>
    <t>Josef Domingo de Aguirre</t>
  </si>
  <si>
    <t>............. . Zaragoza.—. ; : fO® 2090 D, Manuel de Zafra Gal legos.. ........' ■*#••• • 39® 1614 D. Josef Domingo de Aguirre..,, SiÍlXiQ* MIMM 190 205 D. Josef Adalid.» del comercio........ ............ Alicante. .**. r jOO 2043 Doña María Dolores del. Valle. Cádiz, i?» 1544 Sres. Gonzalo del Rio, herma</t>
  </si>
  <si>
    <t>. Burgos........ 500 357 D. Domingo de Hormache.............................. Cádiz....... 300 1587 D. Josef Domingo de Aguirre........... ......... . Bilbao........! 300 111 D. Juan Antonio de Escarga, abad de Beruéte. Tudela... 1500 1945 D. Manuel Pedro Bueno......................... Zaragoza....! 300 44</t>
  </si>
  <si>
    <t>Josef Doroteo Gómez de Navia</t>
  </si>
  <si>
    <t>allegos, en la diócesi de Oviedo, yacarure.porfallecimiento de D. Pedro BeTiito Sierra y Pamblei, á D. Josef Doroteo Gómez de Navia, y Mo.reno, colegial en el real monasterio de S. Lorenzo; y pára el behbficio siinple' servidero de la parroquia del lugar de HerVás en la diócesi' de Plasencia , Vacante por muer</t>
  </si>
  <si>
    <t>Josef Duelo</t>
  </si>
  <si>
    <t>al, y con el nombramiento de almirante. La junta suprema diputó inmediatamente al teniente de navio D. Josef Duelo i con órdenes al general español de la escuadra para que no obedeciese las del gobierno francés. Su llegada fue tan oportuna, que ya Ja escuadra se disponía para salir, habiendo r</t>
  </si>
  <si>
    <t>Josef Dupuy</t>
  </si>
  <si>
    <t>id.!../.;. 8 300 217 ó Doña Rosa Taboala y Mondragós..'..V.'..í¿;.ui;' * ‘CóriíñáL.-.U. *-300 s 2 2 D. Josef Dupuy y sobrinos......... Bilbao, i..:.;. 300 1889 Doña Ursula Marimon....... ................................ Zaragoza..... 1000 ¿Sí5 D. Juan Francisco de la Iglesia, párroco....... Coru</t>
  </si>
  <si>
    <t>... 300 1080 D. Juan de Oñate.............................................. Madrid........ 600 5 20 D. Josef Dupuy y sobrinos..................... . Bilbao.......... 3 00 757 D. Juan Esteban Trieso y compañía............... Madrid......... 3°° 545 D. Juan de Parada y Otazo.......................</t>
  </si>
  <si>
    <t>Josef Duran</t>
  </si>
  <si>
    <t>Manuel de Ocampo. S.M . se ha servido nombrar coronel del regimiento de infantería fixo de Ceuta á D. Josef Duran , teniente coronel del de España, graduado de coronel; y capitán de granaderos en el suizo de Reding número 3.0 á D. Miguel Reí, capitán segundo del propio cuerpo. En el regimient</t>
  </si>
  <si>
    <t>Josef Echenique, Pedro</t>
  </si>
  <si>
    <t>Pedro Josef Echenique</t>
  </si>
  <si>
    <t>. D. Ramomdel HoMb?é-fe&amp;eriÓ}? jjóf ag&amp;^fó i*s.-'meñVtíalés....:. 6. D.. CayetanoObregon....... 10. D. Pedro Josef Echenique/ ;tfista de^Gorreos, por agostó á 80 rt»? mensuales........... ¿. ...i.iv.tiv.v.* •..•••••¿*.. .Mv.va .í. a.'/M.. ...mi 80* Daña F. Nbi dormid '&amp;''¿&amp;u-H~‘Ídt'to-rl-!“í - - ni ' •</t>
  </si>
  <si>
    <t>Josef Echevarría</t>
  </si>
  <si>
    <t>..... 500 1021 D. Diego de Herce............................................. Madrid....... 300 152 D, Josef Echevarría........................................... Valencia..... 300 1989 D. Manuel Abad y Monsco...,................ ........ Zaragoza.,... IOOO 57 D. Armengol Dalmau y de Cubells......</t>
  </si>
  <si>
    <t>Josef Enderica García</t>
  </si>
  <si>
    <t>.. Madrid....... 3o o 2366 D-,ManueFGonzález de Vallejo........... ......... Zaragoza..... 1500 423 D. Josef Enderica García.............. .................. Santander.... 300 1621 D. Juan Manuel, D. Josef y D. Rafael de Michilená....... ............. ........................... ......... Santander....</t>
  </si>
  <si>
    <t>Josef Escalante</t>
  </si>
  <si>
    <t>ao.......... 300 1718 D. Miguel Eusebio de Irigoyen...................... Cádiz........... 300 1622 D. Josef Escalante............................................... Santander.... 500</t>
  </si>
  <si>
    <t>Josef Escalera</t>
  </si>
  <si>
    <t>D. -Francisco-de Redirtg, y los subtenientes de fusileros D. Garlos Gréner y D.'Bonifacio Uirerch. D. Josef Escalera, del real duerpo dé artillería, fue asimismo contuso el dia 19. ? -- ID. Melchor de Conéha , sargento mayor de los tercios de Tejas, fue heTÍdo-el 1-6 ; igualmente él cadete D. To</t>
  </si>
  <si>
    <t>.. Tenientes.. .&lt;D. Jesef Piseni. ID. Manuel de la Mata. Artillería. Contuso......... Teniente..... D. Josef Escalera. Caballería de España. ■ai;.—¿a.-’ Muertos.......... •• ..J.D. ¡ Capitanes. ^ Alonso x.. , González. , 0 T r xD. Miguel de S. Juan. Herido............ Teniente..... D. Josef Galet</t>
  </si>
  <si>
    <t>Josef Escarano</t>
  </si>
  <si>
    <t>......... 2262. Paula Itlana, crradade la anterior, id......................................... 60. D. Josef Escarano y oficial de la contaduría de Correos, un libramiento del Fondo vitalicio, id............................................ ......... 500. Joaquín Fernandez, pastelero, id............</t>
  </si>
  <si>
    <t>Josef Escribano Montoya</t>
  </si>
  <si>
    <t>....................... 5 00. D. Angel dé Abril;, administrador del Tabaco en esta corte, id. rooo. D. Josef Escribano Montoya* presbítero, id........................... ...... 320^ Manuel Montenegro, tendero, id........................................ .............. 60. D. Josef Lozano , portero de la se</t>
  </si>
  <si>
    <t>Josef Escudero</t>
  </si>
  <si>
    <t>de España, y varios oficiales del mismo cuerpo, que se habían reunido todos al mando de su coronel D. Josef Escudero. A una legua de camino observé que una partida de caballería enemiga venia siguiéndole paia observar sus movimientos; mandó formar su tropa en línea de batalla, é hizo salir una p</t>
  </si>
  <si>
    <t>Josef España</t>
  </si>
  <si>
    <t>........... . 2072. Los correes de gabinete de S. M. D. Fernando Castañeda , D. Alfonso Alazorra .y.D. Josef España, por sí y por los demas empleados en igual clase, jubilados y en exercicio, naturales del valle de C¿rriedo, han entregado, con destino á las urgencias de , este exéreito, del fon</t>
  </si>
  <si>
    <t>Josef Espinosa</t>
  </si>
  <si>
    <t>e hacer postura, lo executará por la escribanía que desempeña D. Nicolás Blanco. Por providencia de D. Josef Espinosa, juez comisionado regio en la diócesi de 'Toléda y provincia dé la Mancha, se há sacado á pública subasta, per término de £0 d ias, un olivar compuesto de 1218 olivos frondosos-,</t>
  </si>
  <si>
    <t>D. N. N. por medio de D. Marcelo Naveiro y Ordoñez............ La Sra. condesa de Chinchón........ D. Josef Espinosa, gefe de escuadra.................................... ....... 2 La Justicia de Robledo Chávela, de una aprehensión........................... ¿ x pistola. La Justicia de Alcobenda</t>
  </si>
  <si>
    <t>i r (l Doña María Gertrudis.Támaró y $» Dona María Manuela Gil 4. criada María Bonilla A y 2 pares D. Josef Espinosa 6. - * de calcetas. Doña Tétesrora Mateo Perez 2‘ y 2 D. Baltasar Novales-2-camisas. \ * pares. 4e calcetas, y *' 1 ,r D; Júaii de Gñófó'S; ¡ f- •1 tí. Mañuél Jósefde Ribáfcbbay G</t>
  </si>
  <si>
    <t>Josef Esquivéis</t>
  </si>
  <si>
    <t>se ha servido nombrar para la canongía magistral de la catedral de Durango, vacante por ascenso de D. Josef Esquivéis í D. Josef Ignacio Iturribarria, cura del reai de S. Josef deí Parral. ,, Ei&gt; el regimiento de; infantería de la Corona de Nueva-España se ha servido el Reí promover á capitán al</t>
  </si>
  <si>
    <t>Josef Éstevez de Ribera</t>
  </si>
  <si>
    <t>. IIPO. D.. Domingo Muñoz, cirujano, id........... .................... ............ i... t 3 P°- . D Josef Éstevez de Ribera , 2 recibos de intereses de vales rea­ f les de 1808., y 3 de 1800, id........................... ........................ 631 25. Agustín Sauz, id................................</t>
  </si>
  <si>
    <t>Josef Fabregás</t>
  </si>
  <si>
    <t>e D. Baltasar Doncel 428. las Salesas i y el alcalde del barrio La condesa viuda de los Villares un D. Josef Fabregás, 6f5 rs. y j par de broches de diamantes tablas mrs. en metálico, y 270 rs. y y esmeraldas. ^ jmrs* en efectos de estado , por sí Deña María Simancas, viuda, 120* y los vecinos dé</t>
  </si>
  <si>
    <t>Josef Falc</t>
  </si>
  <si>
    <t>ingenieros el brigadier D. Juan Bautista Americ. Mayor general el teniente coronel del mismo cuerpo D. Josef Falc. El teniente general de la real armada D. Felipe Jado Cagigal esta destinado á este exército, y sigue al quartel general. Intendente el comisario ordenador D. Manuel de Michilena.</t>
  </si>
  <si>
    <t>Josef Febrero</t>
  </si>
  <si>
    <t>stillo, frente á las gradas de S.Felipe. - Febrero adicionado ó librería de escribanos, que compuso D. Josef Febrero: parte 2 tomo 4° y último de la obra, que trata del juicio de concurso de acreedores: 5." impresión, en la que.se ha corregido notablemente el estilo, se han verificado las: citas</t>
  </si>
  <si>
    <t>Jósef Felipe de CHive</t>
  </si>
  <si>
    <t>binete mineralógico. Dio asimismo tas mas expresivas acias á los señores socios de mérito literario D. Jósef Felipe de CHive f S . Francisco Meseguer por la aplicación, desinterés y notorio fruto Cotí qué desempeñan gratuitamente , hquel la cátedra, de economía política, y este Ü de graiñatica castellan</t>
  </si>
  <si>
    <t>Josef Fermín y Garrida</t>
  </si>
  <si>
    <t>ez, ministro de la junta de comercio y moneda, por ahora neo rs., y ademas 6 diarios......... 1100. D. Josef Fermín y Garrida, agente de negocios, por agosto á 4 rs. diarios...... ............................................ ......... ........................... 124. D. Lorenzo Cisnero y Toledo, agente d</t>
  </si>
  <si>
    <t>Josef Fernández</t>
  </si>
  <si>
    <t>■■■•■},,:■ . ^-..V........ .. D. Lucas López, criado del Reí nuestro Señor, por una vez..... 1000. D. Josef Fernandez, id...... ......... ............. ................. .................... 30. D. Casimiro Gómez Ortega, en intereses de vales reales, id..... 1263 17. D. Antonio Valoneen intereses</t>
  </si>
  <si>
    <t>90c» en metáli* Doña Ines Ramírez 8. - eo y 1 r oo en cédulas.. : Doña María Teresa Briz; 203. ?; l D. Josef Fernandez 30,. D. Matías Gimo por sí y su muger 6&lt;&gt;. D. Mariano de Auísa 242. i). Josef García Alvarez 160, Doña Isabel Perez 90 rs. 8 mrs. y D. Manuel Martínez de Aedo 60* medio en efectos</t>
  </si>
  <si>
    <t>al seminario de Nobles, 2 id. id................................ ............................. 122. D. Josef Fernandez, por una vez................................................ 20. Manuela Blanco, id....................................................................... 20. La comunidad de Padr</t>
  </si>
  <si>
    <t>Josef Fernández Abarca</t>
  </si>
  <si>
    <t>a contaduría del consejo de Guerra, por agosto 20 rs. Juana López, su criada, por una vez 300 rs. . D. Josef Fernandez Abarca, á cuenta de 300 rs. por una vez, 100. •. !. D. Andrés del Peral, dorador, 80 rs. por una vez, y 240 mensuales, 320. D. Francisco Antqnio Rivacoba un vale de 300 pesos de enero po</t>
  </si>
  <si>
    <t>Josef Figueras</t>
  </si>
  <si>
    <t>rs. D. Manuel Santibañez, abogado del colegio, por agosto á 40 rs. mensuales durante la guerra, 40. D. Josef Figueras, tesorero de la real compañía de Filipinas, por una vez 1500 rs. Manuel González, portero de la caxa del Banco, por agosto á 20 rs. mensuales durante la guerra , 20. ' n *■ D. Jos</t>
  </si>
  <si>
    <t>Josef Floranes</t>
  </si>
  <si>
    <t>a..... 300 469 D. Manuel de Sarachaga................................. •••• Bilbao.;....... 300 351 D. Josef Floranes, directorde la real fábrica de tabacos........ ................ ....... ............* *......... Cádiz;......... rooo 1825 D. Fernando Barbaza.................... ...........*....</t>
  </si>
  <si>
    <t>........ 300 748 D. Mauricio.de Parada...................... ........ ...... Madrid....... 300 2282 D. Josef Floranes..................................... ;........ Cádiz......... 5001 1048 D. Miguel Crespo de San Fernando................ Madrid....... 300 622 D. Francisco de Irusta..............</t>
  </si>
  <si>
    <t>Josef Flores</t>
  </si>
  <si>
    <t>os. Fr. Nicolás Luengo, provincial de la Vitoria. D. Ramón Camps, diputado del barrio, de S. «Juan. D. Josef Flores id. D. Antonio Tabairaeh, alcalde de barrio id. D. Josef de Aldai, diputado de S. Cayetano. Fr. Andrés Duran , presidente del convento de S. Juan de Dios. £&gt;. Ramón Gar*r cía, alc</t>
  </si>
  <si>
    <t>Josef Flores Oalan</t>
  </si>
  <si>
    <t>iá' de rea! orden de 30 de junio de 1804. ^ : ; - • ^ VENTA JUDICIAL. ^ , Por providencia d&lt;*l Lie. D. Josef Flores Oalan , subdelegado en el departa» fnento de Llerena, se ha señalado por segundo término el día 28 del presente4para el reirnte de 4 molinos harineros-sitos etV la ribera de lós Molinos</t>
  </si>
  <si>
    <t>Josef Florez Varela</t>
  </si>
  <si>
    <t>n Josef Martínez, y el gefe dé escuadra D. Rafael de Hore, el intendente de marina del departamento D. Josef Florez Varela , el comandante de ingenieros D. Josef Pilón y Espejo, el mayor general del departamento D. Juan María Butler, el comandante del quarto batallón de maxiíia D. Antonio Barrientos,</t>
  </si>
  <si>
    <t>Josef Fontenelle</t>
  </si>
  <si>
    <t>............. 20. D. Francisco Xavier del Moral , por un mes.................. ............. 180. ■ D. Josef Fontenelle, grabador de cámara en piedras ñnas, por 5 meses á 60 rs. mensuales en cada uno.............. . 180. 3E1 Intendente D. Antonio García de Roa, administrador general de rentas de Ma</t>
  </si>
  <si>
    <t>Josef Fonton</t>
  </si>
  <si>
    <t>6o 4X . . v*. La venida de algunos individuos de la antigua legación de Rusia , entre otros Mr. Josef Fonton , primer intérprete , hace creer con razón que las né—; gociaciones de paz están mui adelantadas en París, y que no se tardará mucho en concluirse y publicarse. í. Parece que por</t>
  </si>
  <si>
    <t>Josef Francisco de Lema</t>
  </si>
  <si>
    <t>. . D. Rodrigo Rodríguez 40. D. Fermín Celayeta 2&lt;¡ 5 o en id. Ifcr Lorenzo Cisneros y Toledo 3 20. D, Josef Francisco de Lema 60. 1^. Ai S. 30. ,t, D. Jaime Ferrer y Ribas 320. / vt D¿ Aléxd)Guardia I * • ^ 5 Vicente Vázquez del Viso *40* El P¿. prepósito de Portaceli ;4:o.‘ &gt; ■ D. Santiago, de^Aramburu</t>
  </si>
  <si>
    <t>Josef Francisco Lema</t>
  </si>
  <si>
    <t>Toledo, por sí y su familia por agosto á 10 rs. diarios, 310. D. Carlos Rodrigo, por una vez 60 rs. D. Josef Francisco Lema, por 6 meses á 30 rs., 180. D. Lorenzo Garcia Robredo, por una vez 1100 rs. D. Santiago Gancedo Pelaez, id. 300 rs. D. Vicente Montenegro, secretario de las fábricas de Alcaraz, i</t>
  </si>
  <si>
    <t>Josef Francisco Mornau</t>
  </si>
  <si>
    <t>..... 300 336 Doña María de Jesús Perez.................... .... ... Cádiz.......... 300 19^3 Sres. D. Josef Francisco Mornau............. ... Zaragoza..... 000 *97 2 D. Jacinto Uria Nafarrondo................. . ... Zaragoza..... 600 1822 D. Manuel Centurión.................... ............ ... Zaragoza</t>
  </si>
  <si>
    <t>189 D. Francisco Besa................................................. Barcelona.... 3°o 1979 Sres. D. Josef Francisco Mornau...................... Zaragoza....., 500 1794 Doña Ana María de Varo y Ribero................ Cádiz.......... 1500 1131 D. Manuel Palacin........ .................................</t>
  </si>
  <si>
    <t>. Cádiz.......... 300 496 D. Mariano Ordoñez de Barraiqua................. Bilbao......... 500 1980 D. Josef Francisco Mornau............................... Zaragoza..... 300 2011 Sr. Conde del Parque........................................ Cádiz.......... 300 2062 D. Juan Francisco Pezron...............</t>
  </si>
  <si>
    <t>a..... 300 583 Doña Teresa Escoin y Trigo............................. Madrid....... 500 1978 Sres. D. Josef Francisco Mornau..................... Zaragoza..... 600 823 Sres. Sierra y Casao.................................... ....... Madrid....... 300 108 D. Manuel Sagaseta de Ilurdoz....................</t>
  </si>
  <si>
    <t>.. 300 819 D. Manuel Albuerne.........,¡............................. Madrid........ 300 1982 Sres. D. Josef Francisco Mornau...................... Zaragoza...... 1500 766 D. Josef Mateo Abad y compañía.................... Madrid....... 600 466 Doña María Concepción de Salazar y Alendelagua. ..*.........</t>
  </si>
  <si>
    <t>Josef Francl</t>
  </si>
  <si>
    <t>*4* guel Esquiaga, D. Josef Francl , Jtían Ignacio Terrada, D. Juan /Ramos, D. Bernabé San Martin, D. Bernardo Mateo Ximenez, D. Manuel Pintos’, y á D. Juan de Dios Dbzó , capitán y sargento mayor interino del refe</t>
  </si>
  <si>
    <t>Josef Franco</t>
  </si>
  <si>
    <t>apitán D. Agustín Vaquer, en id.: comisionado con los depósitos y enfermos. ’ — Teniente el capitán D, Josef Franco; subtenientes D. Juan Vidal y Don Juan Antonio Perez, en id.: con la guardia de honor del principe de Pontecorvo. . Teniente D. Josef Arcos , en id.: con el mismo destino. Subteni</t>
  </si>
  <si>
    <t>Josef Gaite, Juan</t>
  </si>
  <si>
    <t>Juan Josef Gaite</t>
  </si>
  <si>
    <t>44; y no habiendo ilegado á su destino, quien los retuviese -se*servirá entregarlos á los*referidos D. Juan Josef Gaite, de Sevilla, ó á los señores Martínez dé Linillos, hermanos, de^Baeza. : ; - y ^ i jBor.providencia del&gt;tribunal del consulado.de Cádizpy.escribaníaide Dí Melchor híicolas Txttxil</t>
  </si>
  <si>
    <t>Josef Galet</t>
  </si>
  <si>
    <t>Capitanes. ^ Alonso x.. , González. , 0 T r xD. Miguel de S. Juan. Herido............ Teniente..... D. Josef Galet. Caballería del Príncipe. Contuso......... Cojrcnpl...... D. Alonso de Terán. Campo de Bailen 22 de julio de 1808. = Juan Rafael de Lassala. Acabo de saber por el capitán caxero d</t>
  </si>
  <si>
    <t>Josef Galluzo</t>
  </si>
  <si>
    <t>Orodoi todo vuestro acrisolado y sublime patriotismo, vais á igualarlos. E' ex-&gt; celen tí simo Sr. D. Josef Galluzo es el valeroso y prudente general qué vo*«) sotros mismos habéis elegido. Corred ai triunfo.=Badajoz y julio 9 de í8v&gt;$.M proclama. De órden superior: Portugueses: Es tiempo de expu</t>
  </si>
  <si>
    <t>noticia los adjuntos documentos que acabo de recibir por extraordinario, y me remite el Excmo. Sr. D. Josef Galluzo, capitán general de Extremadura. El oficio del Sr. Galluzo es como sigue: 4,Excmo. Sr.: Habiendo recibido las noticias de haber capitulado el general Junot con el del exército de</t>
  </si>
  <si>
    <t>ii68 de Badajoz el Excmo. Sr. D. Josef Galluzo, general en gefe del exército de Extremadura. Excmo. Sr.: „Sin embargo de las noticias que pasé á V. E. en 7 del corriente, lo hago de la copia del oficio que he recibido del gefe</t>
  </si>
  <si>
    <t>general en gefe del exército británico Hus Dalrimple avisó con fecha 5 del corriente al Excmo. Sr. D. Josef Galluzo, que lo es de este exército y provincia de Extremadura, lo siguiente: „Quartel general de Oyeras 5 de setiembre de 1808. _ Señor: en contestación á la carta de V. E. tengo el hono</t>
  </si>
  <si>
    <t>te, y que de oficio ha recibido esta suprema junta y su presiden-* te el Excmo. Sr. general en gefe D. Josef Galluzo. A las 9 de la mañana entraron en la plaza de Campo pequeño varios piquetes del exército ingles, y tomaron los puntos que tenian señalados de an-2mano. A las 10 de la misma entrar</t>
  </si>
  <si>
    <t>Josef Gamboa, Juan</t>
  </si>
  <si>
    <t>Juan Josef Gamboa</t>
  </si>
  <si>
    <t>egio, 3 id. id..... 183. D. Manuel de la Quintana y Gardoqui, 30 id. id...................... 1830. D. Juan Josef Gamboa, contador general del Excusado y Noveno, 30 id. id.................. ........................................................... 1830. Ramón Fernandez, mozo de posada, por una vez</t>
  </si>
  <si>
    <t>Josef Ganeda</t>
  </si>
  <si>
    <t>..... 600 I49 D. Nicolás Vargas Valencia............. .................... V alencia...... 600 2044 D. Josef Ganeda................................................ . Cádiz,.......... 300 2423 D. Francisco Fernandez Elias....»........................ Cádiz...;..... ..... 500 876 D. Francisco Apa</t>
  </si>
  <si>
    <t>Josef Garay</t>
  </si>
  <si>
    <t>. Comisionados. Rs. vo. 16 D. Pedro de Echevarría y Udiondo................ Bilbao......... 306 433 D. Josef Garay................................................... Santander,.,. 300 9y 7 D. F rancheo Ignacio de Arrieta....................... Madrid....... 500 15 7 5 D. Félix de Csntabrana...</t>
  </si>
  <si>
    <t>...... Madrid.;..... 300 8,13 D. Manuel pantos Gutiérrez.................. . Madrid....... IOOO 434 D. Josef Garay,.,. • ......... *...... Santander.... IOOO 205,4 Doña María' Concepción del Valle............... 300 1576 D. Benito y D. Josef de Murga , de Castrourdiales........................</t>
  </si>
  <si>
    <t>Josef García</t>
  </si>
  <si>
    <t>conde del Campo de Alange. El Excmo. Sr. marques Caballero. El Excmo. Sr. D. Francisco Gil. El Sr. D. Josef García de.León y Pizarro, secretario del consejo. Los Excmos. Sres. ministros, el Excmo. Sr. duque de Frías, y otros, como los gefes de la casa real, habían prestado de antemano su jurament</t>
  </si>
  <si>
    <t>. Pascual de este sitio; y concluiD. Pedro de Ribero, do este acto religioso, y pasando por delante D. Josef García de la del bizarro batallón de infantería ligera de Torre. Valencia, que se hallaba formado eh dos filas, Por Valencia. desde la salida de la capilla hasta la escalera El conde de Contami- d</t>
  </si>
  <si>
    <t>Joséf García</t>
  </si>
  <si>
    <t>del de Franciscos observantes; Fr. Rufino Calvo, comendador del de nuestra señora de las Mercedes; D. Joséf García. Bal inaseda, D. Manuel Morales y Espinosa y D. Manuel López de Arriaga, curas propios de las parroquiales de S. Marcos, Sta. María Magdalena y S. Martin; D. Miguel Sabino de Acos</t>
  </si>
  <si>
    <t>te soledad de la augusta habitación de bero. nuestros Reyes, y el recuerdo de la época y motfEl Sr. D. Josef García vos por que se cerraron, arrancaron lágrimas a tode la Torre. dos los concurrentes, aun los mas firmes, que htPor Valencia cieron el acto mas tierno é interesante, y al mismo El S</t>
  </si>
  <si>
    <t>........ 320. D. Francisco Rodríguez Maqueda.................................................. 320. D. Josef García............................................................................ , oco. D. Celedonio de Lope..................................................................... 640. D</t>
  </si>
  <si>
    <t>Josef García Abella</t>
  </si>
  <si>
    <t>........ 322. D. Manuel García Isla, 2 id. por agosto.......................................... 62. D. Josef García Abella, 3 id. por 2 meses..................................... 183. D. Alateó Larreta , 3 id. por 5 id...................................................... 459» Patricio López, 2 id. po</t>
  </si>
  <si>
    <t>Josef García Aleson</t>
  </si>
  <si>
    <t>z, del comercio........ D. Eugenio de Ariza, vecino de Colmenar dé Oreja.1..........i-......... i ■ D. Josef García Aleson.................. i x El Sr. conde de Altamira................ 8 Las reales caballerizas por orden del Sr. caballerizo mayor.................. 14 10 D. Pedro Sainz de Baranda.....</t>
  </si>
  <si>
    <t>Josef García Álvarez</t>
  </si>
  <si>
    <t>za..... 500 571 D* Francisco Bouligni....................................... Madrid....... 300 1902 D. Josef García Alvarez................................... Zaragoza..... 30» 234 Doña Paula Gonzalo del Rio......................... Burgos........ 300 958 D. Manuel Abad de Aparicio.....................</t>
  </si>
  <si>
    <t>D. Isidro Marcelo 4. D. M. J. 6 id. 12 vendas, unos caDoña M. L. F. 2. bezales y 2 libras de hilas. D. Josef García Alvarez 6. D. Antonio Sainz de Rozas 6, D. Josef Matiuste 2 id. y 1 2 vendas. Se continuara. Avrscs. El Excmo. Sr. conde de Fuenfeblanca ha* cedido para atender á las urgencias de la defe</t>
  </si>
  <si>
    <t>Josef García Cater</t>
  </si>
  <si>
    <t>Í y- ... -■ . *&gt;&gt;,/•,.- ,0 ’ ,, i'-. Una poíore sirvienta una. D. Agustín de Landa 6 id. y 2 libras D. Josef García Cater, su muger y de hilas. hermano 6. D. Felipe Salcedo 2 camisas. D. Ramón de Aldai 48 pa res de cal* D.-Manuel María de Valdés 2. cetas. D. Plácido Martin Sanz una. D. J. J. B. R. 12</t>
  </si>
  <si>
    <t>Josef García de la Madrid, Miguel</t>
  </si>
  <si>
    <t>Miguel Josef García de la Madrid</t>
  </si>
  <si>
    <t>rs., acuda ante el Sr D. Mariano Alonso, alcalde de casa y corte, por la escribanía de provincia de D. Miguel Josef García de la Madrid, en el término de 30 dias. : - • AVISOS. • ’ Noticia de los alcances que existen en caxa córréspondientes á váríos individuos difuiitos del cuerppTlé inválidos inhábiles dé S. Fel</t>
  </si>
  <si>
    <t>la, acuda ante el Sr. D. Mariano Alonso, alcalde de casa y corte, por la escribanía de provincia de D. Miguel Josef García de la Madrid, dentro del citado término contado desde el 7 del presente. Se ha mandado sacar á pública subasta, por término/de 30 dias contados desde el 5 del corriente, una casa sita en la ca</t>
  </si>
  <si>
    <t>Josef García de la Torre</t>
  </si>
  <si>
    <t>e Campo-sagrado,. D* Francisco Palafox, el príncipe Pió , el conde de Tii'jy,- |): Tomas de Bcrry y D. Josef García de la Torre: su secretario el Exorno..Sr. D. Antonio Corne!. En fin, la secciónde. marina, consta de ios Excmos. Sres.,D. Josef Zanglada de..</t>
  </si>
  <si>
    <t>Josef García de León y Pizarró</t>
  </si>
  <si>
    <t>s individuos de mi consejo de estado, y el ^secretario de estado y de gobierno, de mi dicho consejo D. Josef García de León y Pizarró necesitan habilitación mia para continuar en sus respectivos destinos después de la abdicación del reino que acaba de hacer mi augusto Padre, he venido en confirmarlos en ellos po</t>
  </si>
  <si>
    <t>Josef García de León y Pizarro</t>
  </si>
  <si>
    <t>marillas, á D. Ignacio Muzquiz , á D. Manuel de Lardizabal y Uribe, á D. Ramón de Posada y Soto , á D. Josef García de León y Pizarro, á D. Ignacio Martínez de Villela, á D. Manuel Romero, á D. Antonio Ranz Romanillos, á Don Estanislao de Lugo, á D. Pablo de Arribas, á D. Francisco Angulo, á D. Juan Antonio Llór</t>
  </si>
  <si>
    <t>is Gacel, D. Ignacio Abadía, y el secretario D. Tomas Lobo ; no habiéndolo podido hacer los señores D. Josef García de León y Pizarro y D. Luis de, Onis y González por hallarse en ese real sitio. Todo lo qual traslado á V. E. de acuerdo de la suprema asamblea para su noticia, y para que se sirva enterar á la suprema</t>
  </si>
  <si>
    <t>Josef García de Mermes</t>
  </si>
  <si>
    <t>, 20 dias de bueyes del mismo fruto: Francisco Rodríguez de Cabaña Quinta, otros 26 dias de bueyes: D. Josef García de Mermes, del,concejo del Franco, tiene plantados y presos 10® pinabetes, y hecho un vivero de los mismos: Antonio García Roxas, de Aller, tiene sembrados 22 dias de bueyes, de patatas, cu</t>
  </si>
  <si>
    <t>Josef García del Corral</t>
  </si>
  <si>
    <t>.....-V................ ........... í 320* D. Diego Panlagua, agente de Indias.,, por una vez 3OÓO. D. Josef García del Corral, oficial de da contaduría de las Ordenes militares.................................................................. . . 600. El teniente coronel D. Hilario Mendinueta............</t>
  </si>
  <si>
    <t>Josef García Infante</t>
  </si>
  <si>
    <t>o tenencia al subteniente de granaderos D. Juan Antonio López. En atención al mérito y servicios de D. Josef García Infante, asesor de gtaerra del exército del campo de Gibraltar, alcalde mayor de Algeciras, y alcalde honorario del crimen de la chaneíllería de Granada, ha venido S. M. en concederle pla</t>
  </si>
  <si>
    <t>Josef García Paredes</t>
  </si>
  <si>
    <t>de artillería el brigadier D. Juan de Silva. Mayor general de esta arma el coronel del mismo cuerpo D. Josef García Paredes. Comandante general de ingenieros el brigadier D. Juan Bautista Americ. Mayor general el teniente coronel del mismo cuerpo D. Josef Falc. El teniente general de la real armada D.</t>
  </si>
  <si>
    <t>Josef García y Ponsich</t>
  </si>
  <si>
    <t>...... . Bilbao......... 500 2260 Doña María Manuela de Acha y Mandojana... Bilbao........ ■ 500 52 D. Josef García y Ponsich.................... . Barcelona.... Óoo 2269 D. Domingo Fernando de Ibarra........ ............ Bilbao......... 300 1856 D. Josef Luis de Aniandi............................... .</t>
  </si>
  <si>
    <t>Josef García, Gaspar</t>
  </si>
  <si>
    <t>Gaspar Josef García</t>
  </si>
  <si>
    <t>.. 500 1791 D. Josef de Izarbe...................... .................. Cádiz....... ...150000 2168 D. Gaspar Josef García........ ........................... Coruña....... 500 294 Rosa Dom.a Koops.............. ............................... Málaga........ 300 1676: D. Josef Antonio de Arrue........</t>
  </si>
  <si>
    <t>Josef García, Miguel</t>
  </si>
  <si>
    <t>Miguel Josef García</t>
  </si>
  <si>
    <t>s, acuda ante el Sr. D. Mariano Alonso ¿ alcalde de casa y corte, por la escribanía de provincia de D. Miguel Josef García de ia Madrid ; previniendo está señalado para su remate el dia 17 del presente. La casa sita en la calle de Bordadores dse esta corte, núm. 3, manz. 389, tajada *n 58631.5 rs., que s</t>
  </si>
  <si>
    <t>Josef Garcihi de Queralt</t>
  </si>
  <si>
    <t>ribanía déla misma comisión regia, que despacha D. Diego de la Barrera y Castro. Por providencia de D. Josef Garcihi de Queralt, juez comisionado regio en la diócesi- de Granada ,, se ha señalado el dia 18 del que rige para el remate de dos cortijos, con sus casas de teja, término de la villa de Ilíóra, el</t>
  </si>
  <si>
    <t>Jósef Gárcini de Queralt</t>
  </si>
  <si>
    <t>dos desde el 6 del presente, en la auditoría aejpiarina de aquel departamento. ' Por providencia de D. Jósef Gárcini de Queralt, juez comisionado regio en la diócesi de Granada , se ha señalado el día 22 del corriente para el remate de una hacienda, compuesta de 250 marjales de tierra de riego, con morales</t>
  </si>
  <si>
    <t>Josef Garibai</t>
  </si>
  <si>
    <t>ar. En el regimiento de dragones de México se ha servido S. M. promover á tenientes á los alféreces D. Josef Garibai y D. Pedro Paez; á alféreces al agregado D. Antonio Bonilla y al portaguión D. Josef Aguilar * y á portaguiones á los cadetes D. Pedro María Gil y D. Ramón Carrillo. En la extracción</t>
  </si>
  <si>
    <t>Josef Garrido</t>
  </si>
  <si>
    <t>oposiciones se han de hacer á la mayor brevedad, y los que aspiren á su logro dirigirán memorial á D. Josef Garrido* alcalde de primer voto de dicha villa. : LIBROS. Secretos raros de artes y oficios: tomo ia y último de la obra. Contiene este tomo los secretos pertenecientes á la fabricación d</t>
  </si>
  <si>
    <t>Josef Garriga</t>
  </si>
  <si>
    <t>r.° la religión: 2.0 R moral: 3.0 Ja política: 4.0 la jurisprudencia y el comercio: traducidas por D. Josef Garriga; un tomo en 8.° á 12 rs. en pasta. Se hallarán en la librería de Cerro, portal de Manguiteros. GRABADO. Quaderno 2.0 de la colección de estampas que representan la clase y porte d</t>
  </si>
  <si>
    <t>Josef Gavilanes</t>
  </si>
  <si>
    <t>del expresado batallón y 60 del de caballería de España , mandados por el capitán del mismo cuerpo D. Josef Gavilanes , ios que dirigiéndose á la villa de Lerin,hasta adonde llevaban ya á ios enemigos los valientes de Borbon,</t>
  </si>
  <si>
    <t>ción, marché con el resto de mi batallón y 30 caballos, mandados por su capitán el teniente coronel Don Josef Gavilanes, á sostener al batallón de tiradores de Cádiz, que se hallaba en Lerin. Al dar vista á aquella villa, algunos caballos enemigos que estaban de la parte de acá del rio Ega los pers</t>
  </si>
  <si>
    <t>bedecer mis órdenes, sin dudar en la execucion, y despreciar el riesgo que le amenazaba: el capitán D. Josef Gavilanes , tanto á mi vista , como en la retirada de ia tropa que estaba á las órdenes de D. Tomas García, me consta contuvo al enemigo en lo posible a tuerzas superiores^ que pasaron por</t>
  </si>
  <si>
    <t>dores de España, y 30 caballos del regimiento del mismo nombre, al mando estos del teniente coronel D. Josef Gavilanes, capitán del regimiento de caballería de España, que ocupaban la posición de Sesma, y 5 compañías del batallón de voluntarios catalanes, y 16 caballos de España, al mando de D. Ju</t>
  </si>
  <si>
    <t>os de su sargento mayor D. Baltasar de Villalba, y la bizarría de los comandantes de las guerrillas D. Josef Gavilanes, teniente bcíronel de exército, y capitán del regimiento dé caballería, de España , D. Pedro Loscertales y D. Juan Moran., teniente y alférez de los dé .caballería de Borbon y Esp</t>
  </si>
  <si>
    <t>Josef Genaro Salazar</t>
  </si>
  <si>
    <t>de las Ordenes...................... ................ k El marques de Bélgida....... *.......... i D. Josef Genaro Salazar..... *........... D. Domingo Antonio de la Braña, de Tesorería mayor.......... ........... La marquesa del Castillo de S.Felipe. 2 i coche y guarnic, El barón de Espes............</t>
  </si>
  <si>
    <t>Josef Gi</t>
  </si>
  <si>
    <t>s, como .asimismo la descubierta de Sesma al marido del capitán del batallón dé tiradores de España D. Josef Gi* ron , que desde que entró en la ciudadela por orden del comandante la Cruz h# hecho su servicio como los demas. - Esto es lo que. liemos presenciado;; pero ademas, sabemos por no</t>
  </si>
  <si>
    <t>Josef Gil</t>
  </si>
  <si>
    <t>... 16©. Cayetano Vare]a Andrade, id................................ ......................... 300. D. Josef Gil, capellan.de navio, id................ ................. ............ 600©. El gremio de menuderos de esta villa , id................................... . loco. D. Antonio María J</t>
  </si>
  <si>
    <t>Josef Gil de Llanderai</t>
  </si>
  <si>
    <t>Zaragoza 3co 2307 D. Juan Manuel de Peralta............................. i. Cádiz..,.-, LC.OO 1827 D. Josef Gil de Llanderai........... : Zaragoza. ...U ■ 500 *33 D. Josef de Ter-an.............................. . Valencia ■3C.°: 1534 D. Apolinar de Isuaz-an................, . -Bilbao»,.. .y., 3,00 2451</t>
  </si>
  <si>
    <t>Josef Giorgi</t>
  </si>
  <si>
    <t>de plata de $ onzas. Pintura: á D. Antonio González Villamil, de Madridj de1 18 años. Escultura: á D. Josef Giorgi........ de id., de 21 años. Arquitectura : á D. Manuel Sánchez, dePalencia, de 2# años. Premios segundos. Medallas de plata de j onzas. Pintura : á*D. Antonio Ramos, de Madrid, de</t>
  </si>
  <si>
    <t>Josef Girón</t>
  </si>
  <si>
    <t>sef Verdo y D. Josef Girón con 6o hombres al puente» puesto qué debían sostener á toda costa» por ser el paso preciso para que baxando Mourgeón del pueblo, se reuniera conmigo: á mi izquierda situé al capit</t>
  </si>
  <si>
    <t>las familias de los que han muerto en esta acción. La pérdida de mi batallón ha sido la del capitán D. Josef Girón, que ignoro si es muerto ó prisionero, porque sin dudar su bizarría le llevó mas allá del puesto que yo le habia señalado; la de Un sargento, 2' cabos y 42 soldados, entre muertos</t>
  </si>
  <si>
    <t>Josef Glosa</t>
  </si>
  <si>
    <t>Rincón..,......... Madrid....... .300 2300 D», .Josef dedos Rcye$»wiwrtw/. Cádiz.......... yoo 2327 D. Josef Glosa........................................... ..u-nu.. Cádiz....;....- 30o 2388 D. Josef de Quescedo....... Zaragozá...,. 300 2014 Doña• María Magdalena Sánchez;........... Cádiz. .'</t>
  </si>
  <si>
    <t>Josef Gómez</t>
  </si>
  <si>
    <t>Ramón de Victoria, del de S. Cayetano; D.. Gregorio de Aller, diputado del barrio* del Buen-suceso. D. Josef Gómez, diputado id. D. Ignacio Muñoz, diputado id. D. Rafapl Puente, alcalde del barrio de id. D. Manuel Bernabla, diputado eclesiástico de S. Plácido. D. Domingo Mesa, alcalde del barr</t>
  </si>
  <si>
    <t>Josef Gómez de Herrera</t>
  </si>
  <si>
    <t>55 Rs. MrS. D. Josef Gómez de Herrera, 20 mensuales por 2 meses............. 40. D. Gregorio García Vinuesa , por 3 meses...................................... 600. D. Pedro Perez , 2 rs. diarios, en intereses de vale</t>
  </si>
  <si>
    <t>Josef González</t>
  </si>
  <si>
    <t>......... . . 600. El teniente coronel D. Hilario Mendinueta................................ iocgo. D. Josef González , portero de las. oficinas del señor conde de A ltamira , pór una vez * •'•••*•• • • •••*»•«*.«.••••* ••■*••••« ....... 4QO.D. Jtian Marimon, fabricante de fideos, por una vez....</t>
  </si>
  <si>
    <t>bogados de los reales Consejos; D. Josef Pantoja y D. Ramón Montiel, tenientes coroneles retirados; D. Josef González de ía Torre, capitán de exército; D. Antonio Perez del Castillo, presbítero; D. Martin Galarza y D. Claudio Blanco, alféreces retirados; D. Justo Pastor Perez, administrador del real</t>
  </si>
  <si>
    <t>......... 20000. D. Josef del Barrio, del comercio de lienzos, id............. ............. 15000. D. Josef González, id.................................................................... ^o. ; Doña D. R., viuda, id...................A......... .................................... 100. . D.. Ju</t>
  </si>
  <si>
    <t>... 500. D. Roque Verodia, id.................................................................. 40. D. Josef González, en un recibo del real Empréstito, id.......... 200. Josef María Pagani, id.................................................................. 20. D. Nicolás Antonio Perez, id¿....</t>
  </si>
  <si>
    <t>Josef González Dávila</t>
  </si>
  <si>
    <t>rado Castellano, coronel de milicias, agregado al estado mayor. D. Joaquín Laguna, vicario general. D. Josef González Dávila, teniente coronel del real cuerpo de ingenieros; y D. Pedro Hermosilla, subteniente de dicho cuerpo. Ministerio de real hacienda. , D. Lá*árodé las Heras, intendente honorario, y</t>
  </si>
  <si>
    <t>Josef González de Bernedo</t>
  </si>
  <si>
    <t>adrid..... . C .**N 637 Excma. Sra. Doña Martina Castro................... Madrid......... 300 1783 D. Josef González de Bernedo.............. Cádiz...... too 1900 D. Manuel González de Lobera.......... ....... ¿... Zaragoza..... 300</t>
  </si>
  <si>
    <t>Josef González de Ribera</t>
  </si>
  <si>
    <t>Bilbao.......... 300 1313 D. x\gustin de Ubeda, comerciante.......... ...... Valencia..... 300 .432 D. Josef González de Ribera........................... Santander.... 300 1303 Sres Berqueyre hermanos , comerciantes........ Valencia..;.. 300 989 D. Francisco Antonio Amandi...................... Madrid....</t>
  </si>
  <si>
    <t>,. .•. t&gt; 'qoo ' 806 D. Juan Sevilla y Navarro........................;. Ma'dridí'..,Ci. 7(^oo * 1^ D. Josef González de Ribera,........V.............. Santander. 4. ($ 00 1737 D. Rafael Gonzalen............ ....i' Cádiz.1..,..... • ^d© 64 8 D. Josef Bueno.................. .................. ........ . Ma</t>
  </si>
  <si>
    <t>. Coruña........ oco 233 5 D. Juan Gregorio Gil de Santibanez............... Zaragoza..... 500 429 D. Josef González de Ribera........................... Santander.... 600 1535 Sres. Mena é hijos............................................... Bilbao.......... 500 1897 D. Francisco del Campo...............</t>
  </si>
  <si>
    <t>Josef González Figueras</t>
  </si>
  <si>
    <t>d...... 500 2244 D. Marcos Anguisolea.................... ................... Bilbao»...».. 300 274 D. Josef González Figueras............... ........... Burgos....... 500 406 D. Francisco Barrio Joven........u............ ' Coruña.»uu„ -300 2399 D. Ramón Ramirez de Loáis*........................ . Zarago</t>
  </si>
  <si>
    <t>Josef González Manrique</t>
  </si>
  <si>
    <t>-í. *• » ^ , ciclo- de sus émpléos "y destinos á! conde de'Orgazmarques de Ayerbe , Andrés Casaña, D. Josef González Manrique , 'Pedro Collado yF’érnándó Seígas ,-'cásilÍere$ loi* fdos ‘uíírmbs con destino al quarto de S: Ai íreal, presos todos por-estecau'sa, y lo pedido y éxpuestó por ellos eri sus res</t>
  </si>
  <si>
    <t>Josef Gonzálfez- Mabriqué</t>
  </si>
  <si>
    <t>feridos Don Juan Escóiqjuizduque del. Infantado, Conde de Orgaz, marques dd Ayerbe, Andrés CasáfiaÍ?D. Josef Gonzálfez- Mabriqué^ Pedro ColladoyFetnandfcMSelgas ,'ífiáhdándólos pánér é'rt líber* tad: igualmente á D. jiíah Manuel- deVillena, Di’ I*edró: Gt* raido de Chaves, conde de Bornos, y Manuel Ribero^</t>
  </si>
  <si>
    <t>Josef Goya</t>
  </si>
  <si>
    <t>e de los Jardines, núm. 52 , quarto baxo. arte P°6tica de Aristóteles en griego y castellano ,, por D. Josef Goya y ■Muniain—.Catecismo católico trilingüe del P. Pedro Canisio, dispuesto por el piismo Goya para uso de la juventud española. — Libro de agricultura, su autor _^u"^acar!a-Iaíiia-Abe</t>
  </si>
  <si>
    <t>Josef Grosoley</t>
  </si>
  <si>
    <t>vez..... ............... 100. D. Domingo Chavarrí, del comercio de lienzos, por una vez.... icooo. D. Josef Grosoley, gefe del ramillete........................................... 20a. D. Josef Lesé, ídem, por una vez..........................................»..... 200. D. Josef Valenzuela, agre</t>
  </si>
  <si>
    <t>Josef Guell y Ferrari</t>
  </si>
  <si>
    <t>. H., id................................. .................................................... 360. D. Josef Guell y Ferrari , en vales reales, id................ ............. 2327 D. Juan Vega, id...................... ................................. ...... ............. 100. D. A. P., en intereses</t>
  </si>
  <si>
    <t>Josef Guerrero</t>
  </si>
  <si>
    <t>de campo, en id.: no abrazaron la resolución de la división, y se separaron de ella cautelosamente. D. Josef Guerrero, capitán del real cuerpo de artillería, y segundo ayudante general: pasó al Schlewigg con comisión reservada importante del general eñ gefe, y se teme que en su desempeño haya sid</t>
  </si>
  <si>
    <t>Josef Gumá</t>
  </si>
  <si>
    <t>li Y'D. Ramón,Sanjurjo; á Subteniente, al cadete D. Mariano Febrer , y á; subteniente de bandera á: D. Josef Gumá, sargen—; to primero del primer batallón dé voluntarios dé Cataluña. En la gura dé Forasteros de este año, pág. 73, se equivocaron los dejartamentos asignados á los señores fiscal</t>
  </si>
  <si>
    <t>Josef Haro y Arriada</t>
  </si>
  <si>
    <t>n ia de la viuda é hijos de Santanders en Zaragoza en la de D. Josef Yagüe: y en Santander en la de D. Josef Haro y Arriada. El precio de la subscripción por 4. meses, para fuera de Sevilla franca de portes, es 30. rls. vn. y para dentro de la ciudad por el mismo tiempo 24. Todos los sugetos que tengan</t>
  </si>
  <si>
    <t>Josef Henriquez de Otero</t>
  </si>
  <si>
    <t>....... Coruña....... 600 398 D. Nicolás Labagghi, tesorero deexército.... Coruña......... 500 1927 D. Josef Henriquez de Otero.......................... Zaragoza..... 30 o 736 D. Antonio de Goycoechea............................. Madrid....... 500 604 D. Mateo Agüero Marcos................................</t>
  </si>
  <si>
    <t>Josef Hénriquiez de Otero</t>
  </si>
  <si>
    <t>oza..... 300 50 Dr. D. Manuel Barba....................................... . Barcelona.... 600 1926 D. Josef Hénriquiez de Otero............. ............. Zaragoza..... 600 1963 D. Martin de Enseña. Zaragoza..... 500 2086 D. Francisco Arráfañy Múñóz.l.......... i......... Cádiz........... 300 1995 D. Vicen</t>
  </si>
  <si>
    <t>Josef Hernández Ilenarejos</t>
  </si>
  <si>
    <t>rcediano de Viilena D. Mariano García Zamora, DonJosef Angeler, capitán de navio de la real armada, D. Josef Hernández Ilenarejos, comisario de guerrá, y D* Francisco López dé Aguila^ regidor’</t>
  </si>
  <si>
    <t>Josef Herrero</t>
  </si>
  <si>
    <t>vo, id. 2538 27. D. Domingo Sánchez Soldeviiia, id................................. ........... 40. D. Josef Herrero, en intereses de vales, id.............. ................... 180 17. Doña A. G. , id............... ............... ............................................ . 30. D. Estanisla</t>
  </si>
  <si>
    <t>Josef Hidalgo</t>
  </si>
  <si>
    <t>........ IOO. D. Santos Sánchez, por agosto á 100 rs. id.................................... . IOO. D. Josef Hidalgo, tesorero interino del Monte pío de oíicinas, por agosto á 60 rs. id......*...................................................... .......... 60. Doña Felipa Alvarez, viuda-, por a</t>
  </si>
  <si>
    <t>zaro del Ortal, prepósito dei Salvador. Fr. Ignacio de Cantapino, guardián de Capuchinos del Prado. D. Josef Hidalgo, diputado de los Angeles. D. Manuel Lozano, de id. D.-Josef Fernandez Garrida, diputado de id. D. Tadeo Font, diputado id. D. Tomas Tordesiilas, secretario. El señor conde de Iban</t>
  </si>
  <si>
    <t>Josef Hilario Fernández</t>
  </si>
  <si>
    <t>el Benaya id. D. Pedro López Conche, de id. D. Blas de Torres Errazque, diputado de Jesús Nazareno. D. Josef Hilario Fernandez, eclesiástico. D. Juan Bautista Lasa. D. Pedro Trigoen, secretario de las Trinitarias. Fr. Andrés de S. Juan Bautista, prior de Recoletos. D. Juan de - Mata, alcalde de S. Nicolás</t>
  </si>
  <si>
    <t>Josef Hilario López</t>
  </si>
  <si>
    <t>1270; Dia $0, D. Josef Hilario López, presbítero, 2 camisas. D. Antonio Solana y Doña María Ramona Giiemes 12 de coruña. Las señoras mugeres y familias de los dependientes de la real biblioteca de S. M. 100. Doña Fra</t>
  </si>
  <si>
    <t>Josef Ibarra</t>
  </si>
  <si>
    <t>. Sebastian. 6co 203 D. Josef Adalid, del comercio............. ........... Alicante...... 600 1680 D. Josef Ibarra................. . .............. ............. S. Sebastian. 500 2073 D. Alexo Sagastuy.............................................. Cádiz.......... 300 380 D. Tosef de Velasco</t>
  </si>
  <si>
    <t>ilbao.......... 303 1864 D. Antonio Domingo de Guardia...................... Zaragoza..... 600 1681 D. Josef Ibarra..................................................... S. Sebastian. 500 456 Doña Joaquina Manuela Smit............................. Bilbao...... . 300 1010 D. Santiago Palacios....</t>
  </si>
  <si>
    <t>Josef Ignacio de Lequenda</t>
  </si>
  <si>
    <t>mparecientes ó desconocidos que lo sean y estimen tener derecho á los bienes de la testamentaría de D. Josef Ignacio de Lequenda , para que en el término preciso de un año, contado desde el 23 de diciembre último, se presenten á deducir sus derechos y acciones; apercibidos que pasado que sea, no serán oídos</t>
  </si>
  <si>
    <t>Josef Ignacio García Illue</t>
  </si>
  <si>
    <t>niente ds granaderos ai de fusileros D. Joaquín Mondragon : á teniente al subteniente de granaderos D. Josef Ignacio García Illue</t>
  </si>
  <si>
    <t>Josef Ignacio Iturribarria</t>
  </si>
  <si>
    <t>r para la canongía magistral de la catedral de Durango, vacante por ascenso de D. Josef Esquivéis í D. Josef Ignacio Iturribarria, cura del reai de S. Josef deí Parral. ,, Ei&gt; el regimiento de; infantería de la Corona de Nueva-España se ha servido el Reí promover á capitán al teniente de granaderos D. Ramón</t>
  </si>
  <si>
    <t>Josef Ignacio Macazaga</t>
  </si>
  <si>
    <t>lbao........ 3 00 2314 D. Isidoro de Angulo.................. ............. Cádiz.......... 3oa 768 D. Josef Ignacio Macazaga,... ^ &lt;•••# 000 Valencia..... 500 139 D. Pascual Mora............. Málaga........ $QQ 1457 D. Antonio Laserra......... Se continuará*</t>
  </si>
  <si>
    <t>Josef Ignacio Sagrista y Soler</t>
  </si>
  <si>
    <t>Tudeia........ 300 2184 D. Josef de Miranda y Cabezón...................... Coruña........ 300 •55 D. Josef Ignacio Sagrista y Soler........... ........ Barcelona.... ' 300 2roi D. Martin Laífore.................... ......................... Cádiz......... 500 295- Fernando de Osorno.......... .................</t>
  </si>
  <si>
    <t>Josef IIid</t>
  </si>
  <si>
    <t>, •••••••••••• ' ••• ••• D. Josef Alcáz~r,. caballerizo de S~'}¡I" 40 'id,; pOr 1 ~~eses".,~.: ~~. ·D. Josef IIid:~Jgo ~ tesoré~9 jl.1térin~ d,el MOll~c; p~():d~ "eal~s. ofi- , (,cinas 36t rs. eríintere's~s dé Y~Ieft~aJé§'~ .por' jí?~~.. y~~,: ..... ~ '3~"'~ Bi:lnifa~lo Asenjo2 rs~daiál1'ós··</t>
  </si>
  <si>
    <t>Josef Irene Rodríguez</t>
  </si>
  <si>
    <t>.............. . 7308. -D. Matías Justo, mozo de furriera, por una vez........................ 200. D. Josef Irene Rodríguez, id..................... ................................... 600. Francisco de Paula Kramer, maestro sastre, id............................ 320. D. Manuel Gaspar González Montaos,</t>
  </si>
  <si>
    <t>Josef Izquierdo</t>
  </si>
  <si>
    <t>varas y 3 guarías de lieii^ Doña María Dolores Rodríguez San «o. Vicente 6 camisas y 2 pares de eaU D. Josef Izquierdo un par de medía* cetas. ’ de seda. La Sra. Doña N. F. 6 camisas y 4 D. Silvestre Abad de Aparicio 15 capares de calcetas. misas. ■: D. Pc:dro Velarde 2 camisas. D. Julián García S</t>
  </si>
  <si>
    <t>Josef Izquierdo Ortihuela</t>
  </si>
  <si>
    <t>.... 5000 663 D. Manuel Agüilon............................................. Madrid....... 1000 165 D. Josef Izquierdo Ortihuela........ .................. Valencia..... 300 %y\ 2 D. Hipólito' Fernandez de Retana.................... Cádiz........... 300 2002 D. Santiago Cavarrbuy...... .....................</t>
  </si>
  <si>
    <t>Josef Joaquín</t>
  </si>
  <si>
    <t>idor de Guridáia'JuráA/AA 300 362 D. Joaquin Sardén, sargento mayor............! GádiZii. 5 00 ?7.4 D. Josef Joaquin 'López.......... ...A....y/ Madrid....:.. ICOO 106 D. Manuel María dé‘ Qyáiiarté.^. A A AAi/.V.A. A''0Tudelá‘. 'I'5óo 153 Sres. Valero Andreu y MárzolA.A...AAA.4..... ' Valencia..</t>
  </si>
  <si>
    <t>Josef Joaquín de Irriherri</t>
  </si>
  <si>
    <t>gue al quartel general. Intendente el comisario ordenador D. Manuel de Michilena. Auditor de guerra D. Josef Joaquín de Irriherri. En las 4 divisiones hai una compañía de zapadores en cada una, 2 de ellas del real cuerpo de ingenieros, y otras 2 que ?e formaron de las maestranzas del departamento del Ferrol.</t>
  </si>
  <si>
    <t>Josef Joaquín López</t>
  </si>
  <si>
    <t>sares de Leguerica.. Bilbao...,..... 500? 963 D. Francisco López- N-uñez..... Madrid.....á, 300 873 D. Josef Joaquín López..................... ...... Madrid:.... . 300* 5*84 D; Diego Larrea........... ................ ................... Madrid........ 600 5Í80 Doña Manuela Serrano y Fuentenegro.....</t>
  </si>
  <si>
    <t>Josef Joaquín Martí</t>
  </si>
  <si>
    <t>enos de 60. art. 4.0 El teniente general de mi real armada D. Antonio Escaño , él mariscal de campo D. Josef Joaquín Martí, y el ministro del consejo Real D- Adrián Marcos Martínez están nombrados comisarios de la organización</t>
  </si>
  <si>
    <t>o de Orellana. =rSr. D. Miguel Munarriz.=:Sr. D. Guillelmo de Vargas. Sr. D. Juan Josef Polo. = Sr. D. Josef Joaquin Martí.=rSr. D. Benito San Juan.=Sr. D. Ramón de Villalba. =r Sr. D. Francisco Bucheli. = Sr. Don .Francisco Diz. Excmo. Sr.=r Habiendo hecho presente esta macana .en el ¿qonsejq de Indi</t>
  </si>
  <si>
    <t>Josef Julia</t>
  </si>
  <si>
    <t>ir para el beneficio segundo de S. Andrés, vacante en la catedral de Barcelona por fallecimiento de D. Josef Julia: á D. Josef Batlles y Coll para una capellanía de la metropolitana de Tarragona, vacante por renuncia de D. Félix Torres de Amat, canónigo de la colegiata de S. Ildefonso: á D. Fr</t>
  </si>
  <si>
    <t>Jósef Juncar</t>
  </si>
  <si>
    <t>’cn aquel punto!-1 ! lJLos; coroneles D. Francisco Xavier Abadía, mayor general de la‘ dividí sion, D. Jósef Juncar, ayudante general dé la artillería, y D. Antonio de' la Cruz, comandante de estas armas, se han hecho dignos del mayor elogio; -oííEB barón de-Montagrie, eapitíínPdé guardias Valo</t>
  </si>
  <si>
    <t>Josef Junco</t>
  </si>
  <si>
    <t>..... ....................... 20. D. Manuel d^ la Peña y Padura, arquitecto, 120 id. por agosr 240. D. Josef Junco,.portero de S, M., 90 id. por agosto..... 90. D. Josef de .Albet,, i?q por 4&lt;mese$...4........... , 12.0* D. Antonio Pajarillo,, 4 mensuales, por agosto 4. D. Manuel Ildefonso Lóp</t>
  </si>
  <si>
    <t>Josef Justo Salcedo</t>
  </si>
  <si>
    <t>ntregarnos á su iniquo poder. ((razeta de Oviedo ntím. 30.) 1 Valencia 2 de setiembre. El Excmo Sr. D. Josef Justo Salcedo, teniente general de la real armada, y vocal de esta suprema junta, al separarse de este ilustre cuerpo para pasar á Madrid» no pudo menos de usar de aquel lenguage tierno y modes</t>
  </si>
  <si>
    <t>T*59 todos sus ministros, que son los tenientes generales D. Antonio de Escaño, D. Josef Justo Salcedo y yo; D. Luis María de Salazar, intendente general; D. Juan Perez Villamil, ministro togado; el gefe de escuadra D. Josef de Espinosa, secretario, y el capitán de navio D. Martin Fern</t>
  </si>
  <si>
    <t>Josef Kindelan</t>
  </si>
  <si>
    <t>ue tuvo anteriormente. Estado mayor general. D. Juan de Kindelan, mariscal de campó, en Fredericia; D, Josef Kindelan, teniente graduado de capitán del regimiento de Ultonia , y sU ayudante de campo, en id.: no abrazaron la resolución de la división, y se separaron de ella cautelosamente. D. Jose</t>
  </si>
  <si>
    <t>Josef Kossi</t>
  </si>
  <si>
    <t>jco rs, D. N. Taranco, 1© rs. D. N. Zámorano, 2© rs. D. N. Villanueva, 100 rs, D. N, Seguí , 10 rs. D. Josef Kossi, por una vez 800 rs. D. Francisco Labat, por agosto á 60 rs. mensuales, 60. D. Juan Andureo 160 rs. por una vez y 20, mensuales, 180. D. Fernando del campo, oficial de la contadur</t>
  </si>
  <si>
    <t>Josef Lamano</t>
  </si>
  <si>
    <t>tonio Aiicedo, alcalde.,D..Roque Antonio Lema, diputado de .Mosteases. D. Alfonso Luceño, diputado. D. Josef Lamano, alcalde de id. D. Gregorio Sánchez, diputado. D. Antonio Rafael de la Peña, D. Agustin Plácido Zanon, D. Juan Ventura Apostegui, diputación del Carmen calzado. D. Juan Antonio Ru</t>
  </si>
  <si>
    <t>Josef Languet, Juan</t>
  </si>
  <si>
    <t>Juan Josef Languet</t>
  </si>
  <si>
    <t>de Pajares. Tratado de la confianza en la misericordia de Dios, escrito en francés por el limo. Sr. D. Juan Josef Languet, obispo de Soisons, traducido por el P. Andrés de Honrubia__ Exercicio quotidiano, con diferentes oraciones para asistir con devoción al santo sacrificio de la misa, y para antes</t>
  </si>
  <si>
    <t>Josef Ldpez Engufdanbs</t>
  </si>
  <si>
    <t>T A oo;/!«'&gt; Nicolás Chain érói! y plajeróy por &lt;una &lt;VeftuUa 1 ufó.J, ,'shuLl.üj2 i -¿ 400I -. O. D. Josef Ldpez Engufdanbs; pinrorndeaéát»ar3tt,ipbr ¡u»4^ek.,AVdi jjoovO--* D. JoSef Simonel y Estrada, agente de losr*eaíes consejosypbr :' uri3 vQZmpp1 »••• *••••••••••••••'•*#• *f••••••*«»•«*'*y*v**4•*•</t>
  </si>
  <si>
    <t>Josef Leandro Pimentel</t>
  </si>
  <si>
    <t>nos poderes para este efecto. En la villa de Rueda, y en poder del caballero maestrante de Valencia D. Josef Leandro Pimentel, se hallan depositadas por orden del Excmo. Sr. D. Gregorio García de la Cuesta, capitán general de Castilla la vieja, 2$ arrobas de algodón en rama apresado á los franceses en aq</t>
  </si>
  <si>
    <t>Josef Lesé</t>
  </si>
  <si>
    <t>ez.... icooo. D. Josef Grosoley, gefe del ramillete........................................... 20a. D. Josef Lesé, ídem, por una vez..........................................»..... 200. D. Josef Valenzuela, agregado ai ministerio de España en Hoi.&gt;ida, por una vez.............................</t>
  </si>
  <si>
    <t>Josef Lese</t>
  </si>
  <si>
    <t>Doñ^ Josefa del Rio una chaqueta y bras de hilas, úii pantalón. D. Prudencio Heínandez Sta. Grjsz 6 D. Josef Lese 6 camisas, k; caminas. 1X o ‘ D. N. 2 libras déJiilás y uii-paño, tíoña M. J. G.‘ A camisas; f ; Doña Josefa Caballero una camisa. ? D.. Feiipe Ramirez 8,' tulá libfa de Doña Tere</t>
  </si>
  <si>
    <t>. Josef Teodoro Santos, # ;abóga-i Juan de Noy a 20, - do, 180,•••. si f ro.rf 'Xi Manuel López 24. D. Josef Lese roo. v¡ ;/• 'A Julián D.elgado 20. Doña M. de A. una caxa de plata D. Pedro Pérez Juana, en dos na- ovalada, y una sortija ó anillo de . poleones,37 rs. y 17 mrs. oro. . Doña Vice</t>
  </si>
  <si>
    <t>Josef Lespougne</t>
  </si>
  <si>
    <t>drid........ 500 159o Sres. Segura Costazar y Baciola................. ... Bilbao......... 500 1436 D. Josef Lespougne...................... ................. .... Málaga......... 300 2081 D. Josef María Gadeine...... ............... . ... Cádiz......... 300 1464 D. Miguel de Baños................</t>
  </si>
  <si>
    <t>Josef Lidón</t>
  </si>
  <si>
    <t>Carió* Sexn............................. .... 3 Sr. D. Mauricio ‘Manuel de Parada....... . 1 2 Sr. D. Josef Lidón ...................................... 1 Dos personas, nduya moderación ha exigido rio se hagan públicos sus nombres, han entregado a! comisionado D. Antonio de Abaurre 10 caballo</t>
  </si>
  <si>
    <t>Josef Ligero</t>
  </si>
  <si>
    <t>.... D. Vicente Fedeli. En Toledo.............. Sres. Chavarri y Posadillo. En Toro................ D. Josef Ligero. En Valencia.......... Sres. D. Francisco Peirolon y compañía* En Valladolid...... D. Simón de Durango. En Zamora........... D. Josef Alvarez Baragaña. En Zaragoza....... D. Tomas</t>
  </si>
  <si>
    <t>Josef Linacero</t>
  </si>
  <si>
    <t>a .Raymunda Sastre, vecinas de Arganda, 4* y 3 varas de paño pardo. Doña Viqenta Miranda 2 camisas. D. Josef Linacero 2. Doña María Antonia Martínez una. Doña María G. 2 finas, y 2 pares de calcetas. Doña M. T. y C. 2 d$ coruña y 2 pares de calcetas. Doña Juana Lacroix 6 camisas. Las señoritas Ce</t>
  </si>
  <si>
    <t>Josef Lizalde</t>
  </si>
  <si>
    <t>. Coruña....... 500 1704 D. Francisco Luis de Lara y Noriga............... Cádiz......... 500: 2461 D. Josef Lizalde».................. ............. Málaga...... 300 3613 D. Juan Simón de Arriaga , viuda de Bengoa, y D. Antonio Gaubeca.................................. Bilbao........ . 50a 2S83</t>
  </si>
  <si>
    <t>Números de las acciones. "Nombres de los Interesados» •, ' i : &lt; «Comisionados. 1460 D. Josef Lizalde,..,,................... ................ / a....... '500 373 Doña Ramona Cabañas................................ Cádiz......... 341 D. Tomas.de Urrutia...,,..,....... Cádiz.,,....</t>
  </si>
  <si>
    <t>D. Agustín Peral................................................ Málaga......... 0 ^ (O J'-'O 1462 D. Josef Lizalde.................. ............................. Málaga......... 6co 1971 Doña Antonia Catalá........................................ Zaragoza..... 300 2005 D. Quirico Puyo........</t>
  </si>
  <si>
    <t>oza..... 3 00 2192 D. Josef de Roura y Sala................................. Coruña....... 600 1459 D. Josef Lizalde.................................................. Málaga........ 300 442 D. Francisco Antonio de Rucabado............;... Santander.... 3°° 1911 D. Francisco Rousille.............</t>
  </si>
  <si>
    <t>• • «•• - . r • • /l • 30Q 1871' 13* ]VÍ 111 ucl J3&lt;iit.itr^/• Muis«• &gt;«* Zaragoza.;... 300 14 i 8 D. Josef Lizalde......................... ............. . Málaga........ ÓOQ 2267 Sres. viuda de Trotiaga é hijo.....'........ ■ Bilbao.......... 300 2272 D. Pascual de Atristain,,, Bilbao. I 5 OO</t>
  </si>
  <si>
    <t>Josef Llinas</t>
  </si>
  <si>
    <t>María del Mar de Barcelona por promoción de D. Miguel Casset á un beneficio de aquella catedral: á D. Josef Llinas para una ración de coro y altar de Ja catedral de Ibiza, vacante por muerte de D. Juan Calvet; y á D, Martin Laencuentra para una ración de la parroquial, de la villa de Capelíá,</t>
  </si>
  <si>
    <t>Josef López</t>
  </si>
  <si>
    <t>oi-r dór de la audiencia de Valencia : para esta resulta al alcalde mas antiguo dei mismo tribunal D. Josef López de-Co¿afr-;t y para la plaza ‘de alcaldedéí crimen qué eSte dexa á D. Vicente Fustér. AsiAiismó para {lá’plaza de" alcalde de mi:'casa y corte j, vafeante por promoción deD. Éráhcisc</t>
  </si>
  <si>
    <t>................. . 320. D. Miguel » del comerció, por un ano................................ jooo¿ D. Josef López, portero en la casa almacén de cristales, ióors. anuales....................... .................................... ......v...;......... roo. D. Francisco y D. Juan Verdier, cape</t>
  </si>
  <si>
    <t>ta villa , id......' 1000, Los individuos de esta Inrmardaá en particular, id................629 4* D. Josef López, id........................................................ ....... ...... 120. D. C. P. R. de G. , id,,..,...,,• • •.,,v............. • ............................. 6or D. Josef</t>
  </si>
  <si>
    <t>Josef López Braña</t>
  </si>
  <si>
    <t>% secretario de S Juan. Don Juan Sagra , alcalde de los Caños. D. Andrés Luis, secretario de dicha. D. Josef López Braña, eclesiástico de dicha. D. Manuel Taraayo, diputado</t>
  </si>
  <si>
    <t>Josef López Cándano</t>
  </si>
  <si>
    <t>á 6 diarios, y 500 id..................................... .................................. 1418. D. Josef López Cándano, id...................... .................................. 20. D. Justo Agudo del Rio, agente de negocios, en vales reales, id........ ..........................................</t>
  </si>
  <si>
    <t>Josef López de la Iglesia</t>
  </si>
  <si>
    <t>nimo Alvarez, por id. 5 00 rs. D. Félix de Larena, id. 500 rs. D. Juan Laví y Zavala, id. 1100 rs.. D. Josef López de la Iglesia, id. 40 rs. D. Miguel Castellanos, id. 640 rs. D. Matías. Robles, arcediano de Toledo, por sí y su familia por agosto á 10 rs. diarios, 310. D. Carlos Rodrigo, por una vez 60 rs.</t>
  </si>
  <si>
    <t>Josef López de Villa</t>
  </si>
  <si>
    <t>l comercio de joyería , por una vez.. 500. D. Juan Antonio Elorduy y su muger un cubierto de plata. D. Josef López dé Villa , reloxero de cámara , por una vez...... 320. Paulino Moreno, por una vez.......................................................... 140. D. Miguel de Aza, por uña vez....... .....</t>
  </si>
  <si>
    <t>Josef López Juana Pihüla</t>
  </si>
  <si>
    <t>icencias necesarias. ^ Tratado teórico práctico de losquiciós de contrabando, dispuesto por el Lie. D. Josef López Juana Pihüla, subdelegado de todas rentas del partido de Sigíienza, dividido en dos partes: la 1.a trata de la ritualidad con qué debe precederse en . ellos, con arreglo á la última instrucció</t>
  </si>
  <si>
    <t>Josef López Martínez</t>
  </si>
  <si>
    <t>ciepto, en la de 7S). Quien quisiere hacer postura, lo exécutará por 'la* escribanía .que desempeña D. Josef López Martínez. ¡ ó ' Por decreto del señor intendente dé esta provincia, de'5 del' corricrite, se señalan 30 dias para la mejora del quarto de una casa sita en la cálle de Bordadores de esta co</t>
  </si>
  <si>
    <t>Josef López Sobrp</t>
  </si>
  <si>
    <t>... . Zaragoza..... &gt;00 1849 Doña Alexandfa Hernández......... .......... . Zaragoza..... 300 • 195 D. Josef López Sobrp.ymas.......... ......... Alicante;... 3°° »75* D. Antonio Manuel Trianes,....... ............. Cádiz.......... 600 8,1 sias........................................................</t>
  </si>
  <si>
    <t>Josef Lorenzo Ortiz</t>
  </si>
  <si>
    <t>adrid....... 500 604 D. Mateo Agüero Marcos................................. Madrid....... 500 1562 D. Josef Lorenzo Ortiz..................................... , Bilbao......... 3°o 245 7 Brigadier D. Josef Antonio Arrúé de Azcoytia. S. Sebastian. IOOO 1605 D. Ignacio de Minondo.........Bilbao........</t>
  </si>
  <si>
    <t>Josef Lozano</t>
  </si>
  <si>
    <t>.... 320^ Manuel Montenegro, tendero, id........................................ .............. 60. D. Josef Lozano , portero de la secretaría del señor infante Don , Pedro, id-.v.v..;;......... ...................... ............. ....................;. ...v roo. D. ‘Nicolás Pedro López,- def</t>
  </si>
  <si>
    <t>Josef Luis Cumplido</t>
  </si>
  <si>
    <t>mpañía á Jos de bandera D. Diego Abarca y D. Isidoro Puente y Robledo; y á subteniente de bandera á D. Josef Luis Cumplido, vecino de la demarcación del regimiento. La villa de Milmarcos, en la provincia de Guadalaxara, ha obtenido de S. M. facultad para celebrar un mercado todos los miércoles del año</t>
  </si>
  <si>
    <t>Josef Luis de Aniandi</t>
  </si>
  <si>
    <t>Barcelona.... Óoo 2269 D. Domingo Fernando de Ibarra........ ............ Bilbao......... 300 1856 D. Josef Luis de Aniandi............................... . Zaragoza..... 300 153° Sres. Mena, Castaños y Mendive,.................. Bilbao......... 500 321 Francisca Manuela Bazo ,y Berri..................</t>
  </si>
  <si>
    <t>Josef Luis de Sorondo</t>
  </si>
  <si>
    <t>... Zaragoza..... 500 H02 D. Juan Xavier de ¿aplaza y *Xazarraga........ Madrid.1...:.. • 500 2456 D. Josef Luis de Sorondo;..... .................. .... ... S. Sebastian. 300 2156 D. Manuel Francisco de Soto............... ... Coruña...:... 300 542 D. Esteban Fernandez de León.................... ...</t>
  </si>
  <si>
    <t>Josef Mafia</t>
  </si>
  <si>
    <t>últimos tiempos, y males que le ha causado Ja criminal: conducta del privado D. ÍViamiel Godoi: por D. Josef Mafia rBremon.;'Se; vende en las librerías de Perez y Hurtado, calle de fasCarretásyiy en la de Castillo, frente á S. Felipe el Real. ■ Sermón en acción de gracias á nuestro señor Jesuc</t>
  </si>
  <si>
    <t>Josef Maldonado</t>
  </si>
  <si>
    <t>..... . 300 3 23 Ceferiño Chorvis.......................................... Málaga......... 3°o 860 D. Josef Maldonado................................ . Madrid..... . 500 144 D. Joaquín Martínez Vallejo......................- Valencia..... 300 i°59 ' D. Armando Laurrete, mariscal de campo... Madri</t>
  </si>
  <si>
    <t>sefa del Rio 4. Doña María Ignacia de Mogozuza 2. D. Manuel Baquero 2. , D. Joaquín Antonio Sóxo 6. D. Josef Maldonado 6. Doña A. y B. 2. D. Juan Gutiérrez 4. Doña Ana Rodríguez, sirvienta, 2. Doña Rafaela Martínez de Ariza 4. Doña María Ruiz 6. Doña Cándida Orejón 2. Una pobre sirvienta 4. D. Jai</t>
  </si>
  <si>
    <t>Sánchez del Carpió ¿ dfitial de la contaduría de Correos, 60 id, por 6 meses:::......... •••., 360. D. Josef Maldonado ,120 id. por 2 meses........... 240* D. G. de C., 60 id. por agosto................................... .......... . 60. D. M. V., 50 ?J. id,...5o* D. A. H., 50 id. id.......:.....</t>
  </si>
  <si>
    <t>Josef Maltrana</t>
  </si>
  <si>
    <t>.;.. r 6cO 1798 D.‘ Trian Antonio ’d'é Y'ai’diola y Garay .;:.A..r' C iZi«« •• 11 /• ■* ■ 3 oó 1556 D. Josef Maltrana.....................A.; Cádiz..;...Ai -!3oo 2342 D. Joaquin, de Górvea.A........ i.:............:....; Zaragoza..;.! ' 5 00 2095 D. Juan Lóüstalét.................................</t>
  </si>
  <si>
    <t>oza..... 3 00 1860 D. Víctores Abad de Aparicio........... ............ Zaragoza..... óoo “300 *5*7 D. Josef Maltrana............................... .............. Bilbao....... 188 D. Josef Aullon y compañía...... .................... Alicante...... 3°° 234í Exorno. Sr. Marques de Villafranca...</t>
  </si>
  <si>
    <t>Josef Mamada Lomas</t>
  </si>
  <si>
    <t>Por providencia de D. Josef Mamada Lomas, Juez comisionado regio en la diócesi de Jaén, se ha señalado el día 20 del corriente para el remate de una haza de 22 fanegas y 6 celemines en los arbolillos, término de Villanue</t>
  </si>
  <si>
    <t>Josef Manuel</t>
  </si>
  <si>
    <t>o : para la canongía de este á El. Domingo Estándé B^elgrano ;\y para la media-ración que resulta á D. Josef Manuel, dé Roo » cura, del puebJLo de Canelones en aquel obispado. " : 1 - i ’ . . , VFNTAS ; JüDlCTAIfES.r Por providencia de D, Antonio Saenr de; Vizmarcos» ]\sq%,comisionado regicr en</t>
  </si>
  <si>
    <t>Josef Manuel de Ainz</t>
  </si>
  <si>
    <t>drid i...... ' oco IJ99 D. Josef Plunas. y Molut...........»»4.»............. Barcelona.... 6co 97i D. Josef Manuel de Ainz»........ ...... ...... . Madrid..».;. 300 993 D. Manuel de Palomera....... Madrid éiií*** 300 *0,57 D. Juan Ostalezde Calvo......................... . Madrid »»»l 300 359 D.. Jose</t>
  </si>
  <si>
    <t>Josef Manuel de Izaguirre</t>
  </si>
  <si>
    <t>t 83 varas de paño pardo dieziocheno. Doña Cesaría Estella una camisa y un par de calcetas. Dia /j. D. Josef Manuel de Izaguirre 6 camisas. D. Luis Fernandez Gonzalo del Rio 281 varas de paño pard¿&gt; para capotes. Francisco Sánchez 2 camisas y un par de medias. D. Domingo Trota 2 camisas. D. F. M. 7. Doña Ma</t>
  </si>
  <si>
    <t>Josef Manuel de Unzaga</t>
  </si>
  <si>
    <t>.... ..i. 600 2213 D. Juan Soler y Galseran................................. Coruña....... 300 2089 D. Josef Manuel de Unzaga.......... Ciddiz. i,*.**.. ■ &gt; 300 503 D. Juan Aiexo de la Llana Bilbao..,.,... 300 893 D. Ramón Lletget... Madrid....... 300 2031 D. Juan Miguel de Lostra.............. ...... .</t>
  </si>
  <si>
    <t>Josef Mánuel de Uriarte</t>
  </si>
  <si>
    <t>L DIA 5 DE ABRIL. 2026 D. Ignacio Estevas y Matute;....................... . Cádiz...... 3 00 3567’ D. Josef Mánuel de Uriarte............................. Bilbao..... 300 242 D. Agustín Lozano........... .................................. Burgos.... 3°o 2027 D. Juan Manuel García................ ........</t>
  </si>
  <si>
    <t>Josef Manuel de Urterte</t>
  </si>
  <si>
    <t>. ................... Málaga, 300 881 D. Celedonio y D: Francisco de López......... Madrid 500 1568 D. Josef Manuel de Urterte.......................... Bilbao., 300 513 D. Antonio Rufino de Aranguren............. . Bilbao., 500 65 5 Doña Antolina Francisca de S". Peláyo........... Madrid IOOO 287 D. Gena</t>
  </si>
  <si>
    <t>Josef Manuel del Valle</t>
  </si>
  <si>
    <t>arrillo D - Eugénio Zuíoaga i D¿ t Félix Pa-¿ lacios &gt; D. Manuel-Entrambasaguas, D. Pedro Geridéja, D. Josef Manuel del Valle, D. Josef María Bassoco^ D. JoaquinDsés , D. Joaquín Galdiano, D. Josef María Baquedago, y D. Francisco Xavier de Ezpeleta. Ganaron el premio extraordinario dé instrucción religio</t>
  </si>
  <si>
    <t>cadete de reales guardias Valonas, D. Félix Palacios, D. Manuel Entramfbasaguas, D. Pedro Cendeja , D. Josef Manuel del Valie, D. Josef María Bassoco, D. Matías de la Torre, D, Francisco Xavier Vidarte, D. Josef María Bretón, D. Fermín de Labastrda y D. Juan Josef de Zulaica. Ganaron el premio extraordin</t>
  </si>
  <si>
    <t>Josef Mánuelrdé Ainz Gardeázabal</t>
  </si>
  <si>
    <t>. D. Manuel de Frías, oficial de la tesorería del Príncipe de Astúrias , por agosto á 2 rs. diarios D. Josef Mánuelrdé Ainz Gardeázabal, por id’.* áioid........... yiov D. Felipe de Satrustegúi ,* mayordomo dél conde deSacedapor • • • id. á id.......................................................................</t>
  </si>
  <si>
    <t>Josef Maquel He Arnedo</t>
  </si>
  <si>
    <t>ijS. mensuales. i;. D. Juan JLeiraí, por agesto, á ioó rs. iriénsúgles.i..............i.....•* IOQÚ Dr Josef Maquel He Arnedo, discípulo en el departamento del grabado con destiño á la América, por agosto a jo rs» id..... jO\ D.( Nicolás de Basabes, córitador jubilado del marquer de Al­ ' : * inees, 160‘</t>
  </si>
  <si>
    <t>Josef Mar</t>
  </si>
  <si>
    <t>dor: se hallaban con destino en Hamburgo. D. Juan Marti, teniente coronel del regimiento de España; D. Josef Mar^ tin Echenique , comisario de guerra; D. Josef Suria, comisario de entradas de hospital: se hallaban con destino en Zelanda. Regimiento de infantería de Zamora. Capitán D. Mariano</t>
  </si>
  <si>
    <t>Josef Mar de Fuentes</t>
  </si>
  <si>
    <t>Cádiz en la de Pajares, en Sevilla en la de Caro, y en Tmedo en la de Hernández. Godoi, sátira, por D. Josef Mar de Fuentes. Se hallará, con la sátira de B®naparte y el himno de Aragón, en la librería de Pérez, calle de las Carretas. Letrillas que cantan los artilleros voluntarios de Madrid después de</t>
  </si>
  <si>
    <t>Josef Marchan</t>
  </si>
  <si>
    <t>1468 Ru iz 3. El'Sr. D. Cayetano de Urbina, del consejo de Indias, 40. D. Lorenzo Moreno 2. D. Josef Marchan, carpintero, un uniforme de paño blanco, 1 camisas y un par de calcetas. Doña Manuela Farinos 2 camisas. Dia ir. Doña María Sebastiana Gil una camisa., Varios vecinos de Torrejon</t>
  </si>
  <si>
    <t>id..... 1095 24. Varias1'Sras. Grandes.y Títulos de esta corte, id..................... . 17629 24. D. Josef Marchan, un cubierto de plata. D. Santiago Palacios, 1© rs. anuales......................................... 1000. D. Estéban Carranzo, 20 rs. mensuales,por 2 meses................ 40. D.</t>
  </si>
  <si>
    <t>Josef Marco y Vidacar</t>
  </si>
  <si>
    <t>..,.; Madrid....... 5 00 2344 Excmo. Sr. Marques de Villafranca............. Zaragoza.*... 300 2411 D. Josef Marco y Vidacar.;**....*.**.*.**..**.... Zaragoza..... 5 oó 328 Manuel Seta....................................... ...............i Málaga:....... 300 291 Antonio Francisco Córdoba...............</t>
  </si>
  <si>
    <t>Josef Marcos Iglesias</t>
  </si>
  <si>
    <t>e la tesonería general, por una vez 4© rs. D. Teodoro Cía, oficial de la misma, por una vez 4© rtf. D. Josef Marcos Iglesias, por agosto á 20 rs. mensuales durante la guerra, 20. ' ; , D. Cárlos Mesmain, por id;, idv,&lt;2o. D. Marcelo de Ondarza, oficial' de la secretaría de Hacienda, por una vez 1100 rs.</t>
  </si>
  <si>
    <t>Josef Márcos Reguera</t>
  </si>
  <si>
    <t>de D. Vicente de la Costa. En el juzgado del alcalde mayor de la ciudad de Iionda, y escribanía de D. Josef Márcos Reguera, se siguen autos de concurso de acreedores á ios bienes del presbítero D. Juan Quiñones y Medina, vecino que fue de dicha ciudad. Qualquierapersona que juzgue tener derecho á los</t>
  </si>
  <si>
    <t>Josef María</t>
  </si>
  <si>
    <t>l, hijo y compañía. En Segovia............. Sres. viuda de Ramiro y Mesa. En Sevilla......... /.... D. Josef María. Gómez. ■ En Soria......... D. Luis Martinez de Aparicio. En Toledo............... Sres. Chavarri y Pósadillo. ^ ■* En Vahnda......... Sres. D. Francisco Peirolon y compañía. En V</t>
  </si>
  <si>
    <t>ito honorario, por un añoanticipado... ...V........... 720. D. Francisco Bacarini, por un mes , 20. D. Josef María* de Macuso, del comercio , por un mes.......... 500. D. Vicente Sancho ¿ arquitecto, por un mes......... .............. ...... 320. D. Cárlos Holtz , maestro antera, por una vez..</t>
  </si>
  <si>
    <t>...... . 6s. D. Antonio Bobadilla ,16 id. por 2 id................................. .......... 3 2. D. Josef María lita , 30 id. por agosto........................................... 30. D. Francisco Norte, 30 id. por unaño.......................... 360. D. J. M. G. de H., 30 id. por agosto...</t>
  </si>
  <si>
    <t>Josef María Baquedago</t>
  </si>
  <si>
    <t>Geridéja, D. Josef Manuel del Valle, D. Josef María Bassoco^ D. JoaquinDsés , D. Joaquín Galdiano, D. Josef María Baquedago, y D. Francisco Xavier de Ezpeleta. Ganaron el premio extraordinario dé instrucción religiosa los caballeros seminarista mayor D. Manuel'Fernández^ géfé «Je sa^a O* Manuel de la C</t>
  </si>
  <si>
    <t>Josef María Bassoco</t>
  </si>
  <si>
    <t>i D¿ t Félix Pa-¿ lacios &gt; D. Manuel-Entrambasaguas, D. Pedro Geridéja, D. Josef Manuel del Valle, D. Josef María Bassoco^ D. JoaquinDsés , D. Joaquín Galdiano, D. Josef María Baquedago, y D. Francisco Xavier de Ezpeleta. Ganaron el premio extraordinario dé instrucción religiosa los caballeros semina</t>
  </si>
  <si>
    <t>alonas, D. Félix Palacios, D. Manuel Entramfbasaguas, D. Pedro Cendeja , D. Josef Manuel del Valie, D. Josef María Bassoco, D. Matías de la Torre, D, Francisco Xavier Vidarte, D. Josef María Bretón, D. Fermín de Labastrda y D. Juan Josef de Zulaica. Ganaron el premio extraordinario de instrucción reli</t>
  </si>
  <si>
    <t>Josef María Bel</t>
  </si>
  <si>
    <t>y Pra t. 2094 D. Domingo de Aramburu......?&gt;..i«ht ••« 290 Pauljn......' li r,'lagav...... 506 617 D. Josef María Bel idiez, ; Madrid....... i-oop 500 D. Juan* Jo^ef de. Ya r raga.l* • • • « • •« Bilbao......... 1000 21:91 IX Josef Ilotah... ► 1» •&gt; •* Barcelona.... 300 Dí . Josef Maítrana »*» •*</t>
  </si>
  <si>
    <t>Josef María Blanco</t>
  </si>
  <si>
    <t>do quanto produzca para socorro del exército. Oda á la instalación de la suprema junta central, por D. Josef María Blanco. Se hallará á real en la librería de Perez, calle de las Carretas. Mis desahogos á Jas ninfas del Betis por la sensible é inesperada situación de nuestro amable y deseado Soberano</t>
  </si>
  <si>
    <t>Josef María Bretón</t>
  </si>
  <si>
    <t>Josef Manuel del Valie, D. Josef María Bassoco, D. Matías de la Torre, D, Francisco Xavier Vidarte, D. Josef María Bretón, D. Fermín de Labastrda y D. Juan Josef de Zulaica. Ganaron el premio extraordinario de instrucción religiosa los caballeros seminarista mayor E&gt;. Manuel Fernandez; gefes de sala</t>
  </si>
  <si>
    <t>Josef María Caíonge</t>
  </si>
  <si>
    <t>. Sres." Moreda y Ladalid. £n Oviedo.......... . D. Manuel Rubiano y Nieto, F JEPatencia........... D. Josef María Caíonge. £n Palma............ D. Lorenzo Gibert. . £n Pamplona........ Sres. viuda de Barbería é hijo. £n Salamanca...... Sres. Urrero y Casaseca. £n Santander....... Sres. Vial, hijo y c</t>
  </si>
  <si>
    <t>Josef María Calonge</t>
  </si>
  <si>
    <t>............ Sres. Moreda y Ladalid. En Oviedo......... . D. Manuel Rubiano y Nieto. En Palenda.... D. Josef María Calonge. En Palma....... . D. Martin Mayol. En Pamplona........ Sres. viuda de Barbería é hijo. En Salamanca..... Sres. Urrero y Casaseca. , En Santander....... Sres. Vial, hijo y compañí</t>
  </si>
  <si>
    <t>... Sres. Moreda y Ladalid. En Oviedo............. D. Manuel Rubiano y Nieto. En Patencia.......... D. Josef María Calonge. En Palma............. D. Martin Mayol. En Pamplona....... Sres. viuda de Barbería é hijo. En Salamanca..... Sres. Urrero y Casaseca. En Santander...... Sres. Vial, é hijo y compa</t>
  </si>
  <si>
    <t>Josef María Carrillo</t>
  </si>
  <si>
    <t>trozo D. Manuel Ferrando, D. Pedro Sánchez Pavón y D. Pablo Unda; seminaristas D. Matías Oiivencia,D. Josef María Carrillo, D. Félix GHman, cadete de reales guardias Valonas, D. Félix Palacios, D. Manuel Entramfbasaguas, D. Pedro Cendeja , D. Josef Manuel del Valie, D. Josef María Bassoco, D. Matías d</t>
  </si>
  <si>
    <t>Josef María Carvajal</t>
  </si>
  <si>
    <t>El Reí se ha servido conferir el regimiento de infantería del Príncipe al coronel del fixo de Ceuta D. Josef María Carvajal. J JEn América. S. M. se ha servido conferir el empleo de coronel del regimiento de dragones provinciales de S. Carlos en Nueva España á D. Ramón Ce vatios, teniente coronel del p</t>
  </si>
  <si>
    <t>Jósef María Coitia</t>
  </si>
  <si>
    <t>ruti , D. Josef Zerero; á D. Francisco Osoro , Dop Juan Abundante Boqúi,&lt;D. Juan Bautista Ceiaya.-y D. Jósef María Coitia, ayudante mayo?, y tenientes del cuerpo de maestranza establecida en la fortaleza, grados,de teniente de milicias urbanas; A D. Carlos Baneti , Don Mariano García, D. Carlos Chelo</t>
  </si>
  <si>
    <t>Josef María Cortés</t>
  </si>
  <si>
    <t>,.. 300 864 D. Pedro Porter................................................. Madrid........ 300 283 D. Josef María Cortés, teniente coronel de ingenieros........................ ................. .............. Málaga........ 500 411 Doña Candelaria de Herrera............................. Santander..</t>
  </si>
  <si>
    <t>Josef María Costa</t>
  </si>
  <si>
    <t>........................ . 120. D. Pedro Dublé y Urreta, corredor de cambios, mensualmente. 100. '' D. Josef María Costa, por agosto.............................. .................. 40. ; _ D. Josef Severino Urruela........................... .................................. 20. D. Francisco Xavie</t>
  </si>
  <si>
    <t>Josef María Cueto</t>
  </si>
  <si>
    <t>nto Infantería de la Rey na, D. Francisco de Checa y Xixon, Capitán de Exército agregado á Plaza, y D. Josef María Cueto, Teniente de Caballería de Santiago. Por un expreso del dia de ayer , recibido de Córdoba, hemos sabido haber llegado á nuestra vanguardia la artillería , fusiles y municiones que</t>
  </si>
  <si>
    <t>Josef María de Alos</t>
  </si>
  <si>
    <t>comer el rancho en el término que media esta larga jornada. Hice de antemano adelantar al brigadier D. Josef María de Alos, para que tomase el mando de las tropas; examinase la situación del enemigo; colocase los cuerpos que existían anteriormente , y habían abandonado también la ciudad, en los parage</t>
  </si>
  <si>
    <t>Josef María de Andrade</t>
  </si>
  <si>
    <t>tista Mirasol..—.................................... Málaga....... 300 390 I)., Josef María de Andrade, teniente........... Coruña....... 300 1448 Francisco Mánéscari------ ............. Málaga......... 3000 ,2136 J&gt;,.Pedro Laño.................................. i............... Zaragoza....</t>
  </si>
  <si>
    <t>Josef María de Atristain</t>
  </si>
  <si>
    <t>ona.... 3OÓ 1768 D. Guillermo Leonardo................................ , Cádiz.........,1 JODO 2274 D. Josef María de Atristain........................ Bilbao....... .. 300 939 E&gt;. J osef López de la Iglesia........... ............ Madrid....... 300 181 D. Joaquin Costa........... .........................</t>
  </si>
  <si>
    <t>Josef María de Castro</t>
  </si>
  <si>
    <t>Valencia..... 3OO 540 D. Esteban Fernandez de León.................. Madrid....... : 5 00 1716 Lie. D. Josef María de Castro.................... Cádiz........ 5 00 10^9 Sres. Gil y Benitia.............................. ......... Madrid 300 93i D. Francisco Xavier Balmis......................... Madrid..</t>
  </si>
  <si>
    <t>d....... 600 2088 Doña Josefa Cebrian y Pizarro............. .......... Cádiz...... . 300 1725 Lie. D. Josef María de Castro..................... Cádiz........... 3^o 531 D. Francisco de Baulini................................... Madrid....... 1500 602 Excmo. Sr. D. Vicente Joaquin Osorio de Moscoso....</t>
  </si>
  <si>
    <t>oza..... 300 1739 D. Francisco Arrafan y Valdés...................... Cádiz...,...... 500 1724 Lie. D. Josef María de Castro........................ Cádiz.......... 15QO 249 D. Josef Antolin de Náxera..... ....... .............. Burgos......... 3000 353 D. Tomas Josef de Vilches.... ...................</t>
  </si>
  <si>
    <t>Josef María de Egüren</t>
  </si>
  <si>
    <t>é Gasté- D.- J*.-Y.-J.'D. S. 32 varas1 y medía lar 12 camisas. ^ ' - ' ; •'; ; ' de lienzo. • f : : D. Josef María de Egüren i. ' D. Cosme de Miguel García 6 cá* D. Franciscos Blanco112. misas. La diputación del barrio de las Des- Doña María la Oiancia 8 varas de calzas Reates ^53;. — T „ lienzo. ■ Doña</t>
  </si>
  <si>
    <t>Josef María de Espujol y de Villalba</t>
  </si>
  <si>
    <t>Valencia.....' 5#© 1942 Sra. Condesa viuda de Bureta......................... Zaragoza..... 300 65 D. Josef María de Espujol y de Villalba...... Barcelona.... 300 43 Sres. Casabona Floreusa y compañía.............. Barcelona.... 3co</t>
  </si>
  <si>
    <t>Josef María de Galdos</t>
  </si>
  <si>
    <t>ento dei Fondo vitalicio, id............................................................... . 1440. D. Josef María de Galdos, agente de negocios, id....................... 500. D. Fermin de Zelayeta, secretario de la presidencia del supremo consejo de las Indias, en un libramiento dei Fondo vitalicio, i</t>
  </si>
  <si>
    <t>Josef María de la Cuesta</t>
  </si>
  <si>
    <t>n en la madrugada del 13 de mayo pro? xímo; calculadas por el teniente de fragata de la real armada D. Josef María de la Cuesta. Inmersión Emersión Angulo de salida en anteojos directos: tiempo verdad, tiempo verdad. lo contrario en los inversos. h v' « ■ h y /í 'O i i 2 21-30 3 36 00 49 á la derecha del v</t>
  </si>
  <si>
    <t>Josef María de la Paz Rodríguez</t>
  </si>
  <si>
    <t>s* virtudes, usos y dosis de las preparacíones y cbm'pósicióñes de iafsrmacopea de España, por elDr.D. Josef María de la Paz Rodríguez, profesor de; medicina y'.dé química ó». la villa de Talayera, éár ció de las reales academias iñédicas !dd Madrid y &amp;arceíona,¿ individuo de otros cuerpos literarios. El autor ,</t>
  </si>
  <si>
    <t>Josef María de la Torre</t>
  </si>
  <si>
    <t>eí se ha servido conferir la tenencia coronela del regimiento dé infantería de la Havana al coronel D. Josef María de la Torre, comandante dél tercer batallan del de infantería de Cuba. ; S. M. se ha servido conferir á D. Manuel Josef de Lavalle el empleó de‘director general de la renta dé. iabacos del vi</t>
  </si>
  <si>
    <t>Josef María de Ormaegui</t>
  </si>
  <si>
    <t>Nunciatura, 20 rs. cada mes. 20. D. Manuel Miquelez, ayuda de cocina del Reí ,10 rs. cada mes. 10. D. Josef María de Ormaegui, capellán de las señoras comendadoras, 60 rs. mensuales.............. ...................... ....... .s.............. 60. Agustín Sánchez Moredo, sastre, 15 rs. mensuales.........</t>
  </si>
  <si>
    <t>Josef María de Quesada</t>
  </si>
  <si>
    <t>...... Coruña....... 300 1901 D. Manuel de Robledo.......................... Zaragoza..... 300 1776 D. Josef María de Quesada.............................. Cádiz.......... 500 1187 D. Antonio Buenaventura Valiester de Villanueva............................................„...... ,......... Barcelona....</t>
  </si>
  <si>
    <t>Josef María de Retz</t>
  </si>
  <si>
    <t>que le impidieron llegar á Nieborg. D. Miguel Hermosilla, brigadier del real cuerpo de ingenieros; D. Josef María de Retz y D. Vicente Boado, sargentos mayores de id.; D. Vicente Silvestre, médico consultor; D. SerapioSaviñac, pagador: se hallaban con destino en Hamburgo. D. Juan Marti, teniente coronel</t>
  </si>
  <si>
    <t>Josef María de Salazar</t>
  </si>
  <si>
    <t>. Bilbao......... IOOO 1061 Doña Vicenta María de Guzman.................... Madrid....... 3 00 183 D. Josef María de Salazar, mayor general de la esquadra de Cartagena...»........................ Alicante...... 300 579 D. Juan Josef de Moreda................. »•».......... Madrid....... 3°o</t>
  </si>
  <si>
    <t>Josef María de Urrutia</t>
  </si>
  <si>
    <t>lencia..... IOOO1295 D. Vicente Gil de Arias............................... . Valencia..,.. 300 741 D. Josef María de Urrutia............................... Madrid........ 300 1943 D. Francisco Sensevé y Fon.......... .................V Zaragoza.....* 300' •656 D.■-JosefLáínorv................ Madrid. r</t>
  </si>
  <si>
    <t>Josef María Esteban y García</t>
  </si>
  <si>
    <t>Numero Lotes de |,¡s «n at-cioijis. Nombres de les interesados. -Comisionados. Rs. vn. 201 2 D. Josef María Esteban y García................... Cad i(Z. ,.»».». •, [ i©oo 232S D. limado 9Tuzana * ■ • • «•• - . r • • /l • 30Q 1871' 13* ]VÍ 111 ucl J3&lt;iit.itr^/• Muis«• &gt;«* Zaragoza.;... 300 14 i 8 D. Jose</t>
  </si>
  <si>
    <t>Josef María Furdinier</t>
  </si>
  <si>
    <t>secretario. 35. Juan del Rio y Otero, diputado id. D, Manuel de Robles y González,' diputado de idy D. Josef María Furdinier, diputado del Rosario. Don' Francisco Iturmendi, diputado de S. Martin. D. Francisco Xavier de Eli— pe, id. D. Tomas Busto González id. D. Antonio Rubio, de S. Isidro. D. Fernando</t>
  </si>
  <si>
    <t>Josef María Gadeine</t>
  </si>
  <si>
    <t>. 500 1436 D. Josef Lespougne...................... ................. .... Málaga......... 300 2081 D. Josef María Gadeine...... ............... . ... Cádiz......... 300 1464 D. Miguel de Baños................... ........ ............... Málaga....... icoo 324 Bernardo Loustaunau......................</t>
  </si>
  <si>
    <t>Josef María Gadeyne</t>
  </si>
  <si>
    <t>agoza.;.1.. 300 19^7 D. Juan Antonio Rodrigo............................ . Zaragoza.!.1.. ,560 2082 D. Josef María Gadeyne.....¿.....7. ■ Cádiz..,. .•. t&gt; 'qoo ' 806 D. Juan Sevilla y Navarro........................;. Ma'dridí'..,Ci. 7(^oo * 1^ D. Josef González de Ribera,........V.............. Santa</t>
  </si>
  <si>
    <t>....... Valencia.... JOO 01 Doña Josefa Squid y de Castellarnau............. Barcelona.... 500 2105 D. Josef María Gadeyne.................................. . Cádiz.......... JOOO 1504 D. Mariano de Egea, tesorero general de rentas. Valencia..... 600 775 D. Juan Bautista Salazar.......................</t>
  </si>
  <si>
    <t>... Zaragoza 500 480 Doña Ventura de Urizar................................... Bilbao.... 1000 2104 D. Josef María Gadeyne............ ...................... .Cádiz..... 30.00 1452 D. Adrián Hernaez...........................................; Málaga... 500 2290 D. Francisco Isidro de Aparicio.i..... C</t>
  </si>
  <si>
    <t>Josef María Gómez</t>
  </si>
  <si>
    <t>al, é hijo y compañía. En Segovia........... Srés. viuda de Ramiro y Mesa. En Sevilla.........[.... D. Josef María Gómez. En Soria.......... . D. Luis Martínez de Aparicio. En S. Ildefonso.... D. Vicente Fedeli. En Toledo.............. Sres. Chavarri y Posadillo. En Toro................ D. Josef Lig</t>
  </si>
  <si>
    <t>es. Vial, hijo y compañía. , v,jE|m Segovia.,Sres., viuda de[Ramiro y Martin. £n Sevilla • ••••***• D. Josef María Gómez. ■u£n Soria....... D. Luís Martínez de Aparicio. _ £n Toledo..*..*........ Sres. Chavarri y Posadillo. £h Valencia............ Sres. D. Francisco Peirolon y compañía. n Valladolid</t>
  </si>
  <si>
    <t>Josef María Gutiérrez de Terán</t>
  </si>
  <si>
    <t>de S. .......... •«....... 1 1 ? . B. Manuel Diaz y Contreras , agénte de negocios. I i cabezada1. D. Josef María Gutiérrez de Terán.¿..................... 2- :J ‘ r / D. K R: Mi'G..... • i.1': ”7 T &gt; . D. Pablo déJa Vegái:..»;........v..... ' ’i nueV. i ?in bbcádó. Doña Ignacia Ferriol de López 1 id. " . : P.</t>
  </si>
  <si>
    <t>Josef María Henriquez</t>
  </si>
  <si>
    <t>real Empréstito 8®, id................ ................................................ 1705 t 10. D. Josef María Henriquez, administrador de la Imprenta real, id. 1000. Blas- Martínez de Trancedo, lacayo de S. M., ua recibo de intereses de vales de 1800, id....................... .....................</t>
  </si>
  <si>
    <t>Josef María Jalor</t>
  </si>
  <si>
    <t>........ 500 1002 D. Pascual f.e de Ardanaz............................ . Bilbao....... . 3 00 1950 D. Josef María Jalor.................... ...... ........... . Zaragoza..... óoo 1314 D. Joaquín Redin, comerciante...................... . Valenda.... 600 L318 D. Diego Bordehore y compañía...........</t>
  </si>
  <si>
    <t>Jósef María Lastres</t>
  </si>
  <si>
    <t>l. Reí se ha seryjdo conferir el regimiento de caballería del Rei at coronel í&gt;.Jósef María Lastres, teniente coronel del mismo cuerpo: el de caballería de la Reina al coronel D. Verermindo Ramírez de Areliano, teniente coronel del de Farnesio'; y el de Alcántara al coronel D. Andrés de M</t>
  </si>
  <si>
    <t>Josef María Manescau</t>
  </si>
  <si>
    <t>e á 5 rs. en el despacho de la imprenta real. . . .. ? ' Manifiesto de: la causa formada por eh Sr. D. Josef María Manescau, alcalde de la real- audiencia dcvValenciavpor comisión de la. suprema junta .dé gobierno de dicha ciudad, contra ;el canónigo de i S. Isidro de Madrid D. Baltasar Calvó*, un quad</t>
  </si>
  <si>
    <t>Josef María Moliner</t>
  </si>
  <si>
    <t>1 •" ^ ^ * Benavente......... ...... .................................. . Bilbao....... .; 500 2115 D. Josef María Moliner........... ........................ Zaragozai.... 300 204 D. Josef Adalid , del comercio......................... Alicante...... 300 650 D. Francisco Tomas Benitez................</t>
  </si>
  <si>
    <t>Josef María Morales</t>
  </si>
  <si>
    <t>y al ayudante D. Antonio Barredas, ambos graduados de capitán; ayudantía al teniente de granaderos D. Josef María Morales; tenencias á los subtenientes D. Juan María Lator y D. Josef Moreno, y subtenencia de bandera al cadete D. Esteban López Vidal: en el de Cantabria compañía al ayudante , graduado</t>
  </si>
  <si>
    <t>Josef María Naranjo</t>
  </si>
  <si>
    <t>ha dignado S. M. conceder empleo de alférez en el regimiento de dragones de la Reina al portaguión D. Josef María Naranjo : ayudantía en el de Lusitania al teniente , graduado He capitán, D. Gregorio de Cáceres;y en el de cazadores de Olí vencía tenencia al alférez D. Josef Alcalá del Olmo. En atenci</t>
  </si>
  <si>
    <t>Josef María Ortiz</t>
  </si>
  <si>
    <t>. Juan Lascano, los subtenientes D. Bernardo Tortosa y D. Santiago Escario, como asimismo el cadete D. Josef María Ortiz. En la acción de dicho día 19-fueron heridos el c-apitan D. Gaspar Garth, el subteniente'de granaderos D. -Francisco-de Redirtg, y los subtenientes de fusileros D. Garlos Gréner y</t>
  </si>
  <si>
    <t>Josef María Pérez</t>
  </si>
  <si>
    <t>de historia natural el R. P. Fr. Tomas de Monóvar, ex-difinidor del orden de menores capuchinos, y D. Josef María Perez. A estas agradables é instructivas lecturas sucedió un exercicio entre 11 niños, que manifestaron los progresos que habían hecho en el conocimiento de la historia eclesiástica, de</t>
  </si>
  <si>
    <t>ver establecido el centro de unidad del Ochoa. ^ gobierno en la suprema Junta central, en que se ha D. Josef María Perez depositado la soberana autoridad del Rei nuestro SeValiente. ñor D. Fernando vii, manifestando la ternura con D. Pedro Franco. que asistían á este agradable y solemne acto, bien D. J</t>
  </si>
  <si>
    <t>Josef María Prichardo</t>
  </si>
  <si>
    <t>acante por promoción de D. Eugenio García al arcedianato titular de la misma iglesia, y renuncia de D. Josef María Prichardo, á quien S. M. fue servido nombrar para ella por decreto de 12 de octubre del año próximo pasado, á £&gt;. Luis Gines oc Villanueva, administrador del convento de Comendadoras de la</t>
  </si>
  <si>
    <t>Josef María Rodríguez</t>
  </si>
  <si>
    <t>y subtenencias de bandera en los de Zamora., Valencia y León á los cadetes D. Francisco Bolangero , D. Josef María Rodríguez, D. Manuel Muñoz y D. Josef Nuñez Baamonde. ^ El Reí se ha servido promover en el regimiento .suizo de Reding número 3.0 á sargento mayor al capitán primero del mismo D. António K</t>
  </si>
  <si>
    <t>Josef María Suárez</t>
  </si>
  <si>
    <t>id........ 300 161 Sra. Condesa de Toreno................................... Valencia..... 500 3755 D. Josef María Suarez....................................... Cádiz.......... 500 2201 D. Carlos Morillo.............................................. Coruña....... 300 844 D. Felipe Siete..............</t>
  </si>
  <si>
    <t>ciá..... 300 2022 D. Josef Bernardo Muñoz............. ................... Cádiz...;.....1 3°° 1756 D. Josef María Suarez........................................ Cádiz..'...... i 500 909 D. Francisco de Escoveda y Villar.............. Madrid....... 500 1107 D. Juan Guínza.............................</t>
  </si>
  <si>
    <t>Josef María Tapia</t>
  </si>
  <si>
    <t>sileros D. Domingo Malo; á tenientes al subteniente de granaderos D. Manuel Muñíz y al de fusileros D. Josef María Tapia; á subteniente de granaderos al de fusileros D. Manuel Mayo Caamaño; á subtenientes de compañía á Jos de bandera D. Diego Abarca y D. Isidoro Puente y Robledo; y á subteniente de</t>
  </si>
  <si>
    <t>Josef María Truxillo</t>
  </si>
  <si>
    <t>nte de granaderos D. Francisco de Bustamante y Serrera, y á teniente de ^granaderos al de fusileros D. Josef María Truxillo. VENTAS JUDICIALES. Por providencia de D. Domingo Mora y Jaraba, juez comisionado regio en lá diócesi de Ciudad-Rodrigo, se ha señalado el día ió del presente para él remane de la</t>
  </si>
  <si>
    <t>Josef María Zaro</t>
  </si>
  <si>
    <t>arios de Murcia. Toda esta infantería, á las órdenes del sargento mayor de dicho segundo regimiento D. Josef María Zaro, y la caballería con el todo de la expedición á las del coronel comandante de la Fuensanta D. Domingo Vasallo. Pasaron estas tropas el vado del rio Ebro por el auxilio de los mach</t>
  </si>
  <si>
    <t>Josef María- Mauri</t>
  </si>
  <si>
    <t>-......... Madrid;...... 3 00 468 D. Vicente Puente menor....... ....U.' Bllbáb..’ .....¿ 60 D 93 5 D. Josef María- Mauri....................................... Madrid....... 3C’° 141 Sres; Viuda de Lasala é hijos, comerciantes.. Valencia..... 1000 828 D.- Juan Ruiz Alvarez y compañía..;.....i..;.. M</t>
  </si>
  <si>
    <t>Josef Mariano Vallejo</t>
  </si>
  <si>
    <t>e esta teoría por los dos métodos analítico y sinténtico , Independientemente el uno del otro : por D. Josef Mariano Vallejo, catedrático de matemáticas dal real seminarlo de nobles de esta corte fkc. En esta memoria se concilia, aclara y rectifica quanto sobre este punto escribieron Huygéns , Leibnitz</t>
  </si>
  <si>
    <t>D. Francisco Garrido, presbítero, 3 ras de barragan. camisas. D. J. A. 10 varas y media de lienzo. D. Josef Mariano Vallejo 2. D. Vicente Ortiz de Urbina y su D. Estanislao Antonio Barreta ¿ pres*? muger 70 varas de lienzo. bífero, 3. Doña M; A. A. B. G. 8 camisas y D. J. Y. 2: 56 varas de lienzo. D. F</t>
  </si>
  <si>
    <t>Josef Marín y Borda, Manuel</t>
  </si>
  <si>
    <t>Manuel Josef Marín y Borda</t>
  </si>
  <si>
    <t>bao......... 300 2407 D. Carlos Mesía de la Cerda.............. ............ Zaragoza..... 600 1027 D. Manuel Josef Marín y Borda.................... Madrid ....... 300 7$4 Excmo. Sr. Duque de Osuna..... .................... Madrid....... 300</t>
  </si>
  <si>
    <t>Josef Mariscal</t>
  </si>
  <si>
    <t>nia Bellas y García 2. Doña María Antonia Cano 2 camisas de coruña. Los señ res condes de Gausa 12. D. Josef Mariscal 4. Una viuda una. Doña María Rueda 2. Doña Ignacia Rodríguez 2. D. M. C. 6. Doña M. C. una. Doña María Felipa Falcon y Rutiman 4. Cristina Bueno una. Dia 29. Doña JCaviera Escuder</t>
  </si>
  <si>
    <t>Josef Marmol</t>
  </si>
  <si>
    <t>e la Torre , presidente :de su Junta de gobierno, tres vales reales , dos de ellos pertenecientes á D. Josef Marmol?jo, y .el otro á D. Juan Diez ..de la Cortina. Estos sugetos , cuya ,•residenciase ignora podrán,acu ¡ir á dicho Sr. Presidente, expresando los números, valores y creación de dich</t>
  </si>
  <si>
    <t>Josef Martín</t>
  </si>
  <si>
    <t>t [ ;? ;!&gt; Di*,Joaquín Hernández Llano. 1®: D*. Josef Alberto. . ¿ D. Luis .Garbonero 40. ' ; &gt;. -t D. Josef Martin 5 yo en efectos de D; A. p. ,64o. f: - l .- estado.. . .. ■ .» Di Jgnacio. del Villar 300. ¡ D. P. Y. 275 en id. . . í í Josef Nieto 6bo encédulas. D. Pedro Roca, del consejo de S</t>
  </si>
  <si>
    <t>Josef Martín Herrera</t>
  </si>
  <si>
    <t>..... 300 1877 D. Joaquín Saldueña......................................... Zaragoza..,.. 1000 1007 D. Josef Martin Herrera................................... Madrid........ 300 1970 D. Ramón La Rapa........................................... Zaragoza..... 500 635 Doña Josefa Daganzo...................</t>
  </si>
  <si>
    <t>diz.....»^i 'j6oo 3” D.° López................................. ............ Málaga........ 300 418 D. Josef Martin Herrera............................ . Santander...; 500 ■918 D. Juan Antonio del Nava! y.compañía...... Madrid..»». 300 2396 D. 'Ramón Aguado................ »..»»»»—........ 1 Zaragoza.»</t>
  </si>
  <si>
    <t>Josef Martín Ortega</t>
  </si>
  <si>
    <t>lií*&gt; fe FededeoR&lt;^rííguea*f&gt;D*;Ramón Alcántara, D. Gerónimo Rabada, ,B» RáL mon Antonio Sanfuente, D. Josef Martin Ortega , D. Josef Antonio Aceval , I&gt;. Gerónimo Agüdélo, D. Aparicio Vidaurraga:, I&gt;. Manuel Rodrifuez Saludua, E). Josef María Rodríguez, D. Santiago Cerro, y Zamudie, &gt;. Biego Estanisl</t>
  </si>
  <si>
    <t>Josef Martínez</t>
  </si>
  <si>
    <t>te.....-.' 1506 487 D. Antonio de Trebolazabala........................... ■Bilbao...;..... 500 543 D. Josef Martínez...........................................•.... Madrid.......; 500 611 D. Josef Narciso Neviet................................... Madrid........ 600 845 D. Francisco María Botino.</t>
  </si>
  <si>
    <t>nanza por motivo grave ni leve, los caballeros seminarista mayor D. Manuel Fernandez; gefes de sala D. Josef Martínez, D. Manuel de la Cámara, D. Josef Ramón Fernandez y D. Manuel de Abbad; gefes de trozo D. Manuel Ferrando, D. Pedro Sánchez Pavón y D. Pablo Unda; seminaristas D. Matías Oiivencia</t>
  </si>
  <si>
    <t>.... .................. Antonio M^chinena, barbero, por agosto........».»...,................... 8. D. Josef Martínez, pintor, por agosto......................... .............. 40. D. Francisco Verdejo, catedrático de S. Isidro, por agosto á 6o rs. mensuales........... ..........................</t>
  </si>
  <si>
    <t>el Vitaoarros, contador principal y comisario de guerra. D. Francisco Laborda, comisario de guerra. D. Josef Martínez, D. Josef Bringas, D. Josef Balhin y D. Isidoro Aza— güirre, oficiales de contaduría. . D. Agustín Peiaez, cirujano consultor. . D. Narciso Roca, comisario de entradas de hospital</t>
  </si>
  <si>
    <t>Josef Martínez Cancela</t>
  </si>
  <si>
    <t>. G.., id................................... ................................................. 320. D. Josef Martínez Cancela, id........... .............................*............. . 80. D. N. de Zuazaga, en intereses de-vales de 18^0, id............... 2000. D. Jorge Palacios de Urdaniz, intendente</t>
  </si>
  <si>
    <t>Josef Martínez de Arellano</t>
  </si>
  <si>
    <t>teresados. ' Comisionados. I?5. Vil.. 1^83 Doña María Urzola de Loredo..*..Bilbao........ 3 00 1990 D. Josef Martínez de Arellano....».............. . Zaragoza..... 500 17$ D; Fernando Galán.....-..;....... ........................... Valencia..... 300 492 D. Josef de Gabriel y Estenoz, coronel de In- ' ; "</t>
  </si>
  <si>
    <t>Josef Martínez de Bustos</t>
  </si>
  <si>
    <t>s, id......... 9167 1 o. Gaspar Eisarrega, id...........................^ ................... . 80. D. Josef Martínez de Bustos, 200 xsv mensuales, por agosto.... 200.</t>
  </si>
  <si>
    <t>Josef Martínez de Castro</t>
  </si>
  <si>
    <t>, con los trofeos alegóricos á su real Persona. Dedicado á la junta suprema de Sevjlla por su autor D. Josef Martínez de Castro; su precio ^ rs., y tomándolos por mayor á peseta de 25 para arriba. Se hallará en las librerías de Barco, carrera de S. Gerónimo; deQuiroga, calle de las Carretas; de Esparza, pu</t>
  </si>
  <si>
    <t>Josef Martínez de Junquera, Pedro</t>
  </si>
  <si>
    <t>Pedro Josef Martínez de Junquera</t>
  </si>
  <si>
    <t>lo, se cita, llama y emplaza á qualquiera que se:considere con derecho al concurso de acreedores de D. Pedro Josef Martínez de Junquera, para que en el preciso término de un año, contado desde el 31 de agosto ultimo, concurra á formaiizarlo con los documentos comprobantes; baxo. la prevención que de no hacerlo se</t>
  </si>
  <si>
    <t>Josef Martínez Moscos</t>
  </si>
  <si>
    <t>................... 2190. D. Francisco Saenz Ruiz, medio año á 12 rs. diarios................ 2190. D. Josef Martínez Moscos», abogado del colegio, 4 meses á 6 5</t>
  </si>
  <si>
    <t>Josef Martínez Unamuzaga</t>
  </si>
  <si>
    <t>s del. Valle. Cádiz, i?» 1544 Sres. Gonzalo del Rio, hermanos........ . Bilbao......,*. : 5:°° 2114 D. Josef Martínez Unamuzaga......... Zaragoza...;. 59O 526 D, Joaquin de Uria y Xaquintana................. Bilbao.,.....;. IOOO 992 D. Manuel de Palomera...,........ . Madrid.....;. :3?P 3287 D. Antonio Gar</t>
  </si>
  <si>
    <t>Josef Martínez, Félix</t>
  </si>
  <si>
    <t>Félix Josef Martínez</t>
  </si>
  <si>
    <t>del alumbrado i 2Ó id,; por 2 meses. 40. D. Juan González, 20 id.por 6meses.................. 120. D, Félix Josef Martínez y portertydel consejo de Marina , 20 id. por agosto.......................................... .................. .................. . 20. D. Joaquio Araiiy 6© id. durante medio año,</t>
  </si>
  <si>
    <t>Joséf Martínez, Juan</t>
  </si>
  <si>
    <t>Juan Joséf Martínez</t>
  </si>
  <si>
    <t>anato que este dexa al chantre D. Pedro Josef Casis de la Torre : para la chantría al maestrescuela D. Juan Joséf Martínez: par$; la maestrcscolía al tesorero I). Juan Josef CJa^rcas &gt; y para esta resulta al canónigo de gracia D. Josef del Rio y Serrano. AVISOS. . Para la oposición del magisterio de l</t>
  </si>
  <si>
    <t>Josef Martínez, Juan</t>
  </si>
  <si>
    <t>Juan Josef Martínez</t>
  </si>
  <si>
    <t>el de los/tercios navales de levante D. Josef Adorno, el capitán de la compañía de guardias marinas D. Juan Josef Martínez, y el gefe dé escuadra D. Rafael de Hore, el intendente de marina del departamento D. Josef Florez Varela , el comandante de ingenieros D. Josef Pilón y Espejo, el mayor general d</t>
  </si>
  <si>
    <t>Josef Marugan</t>
  </si>
  <si>
    <t>...: 500: * ^ n D. Josef Romero y Sequera... ., Cádiz. •••••■•, ICOO 3JJ 1841 Zaragoza...... 500 29 D. Josef Marugan............... ............. ... Zaragoza.;..*: 300 949 D. Josef de Bustamante.................. . Madrid....... 300 6)2 D. Cipriano de la Haza y Garay... Madrid....... IOOO 2421</t>
  </si>
  <si>
    <t>Josef Mas</t>
  </si>
  <si>
    <t>a..... 1500 638 D. Francisco de Castro.......... ........ ................. Madrid........ 300 1316 D. Josef Mas, comerciante............................... Valencia..... 1000 1896 D. Juan Bonifacio de Irribarren, presbítero... Zaragoza..... 300 1381 D. Manuel Antonio Vela...................</t>
  </si>
  <si>
    <t>Joséf Masót</t>
  </si>
  <si>
    <t>Sevilla 42</t>
  </si>
  <si>
    <t>ito. Con 5 fecha de 15?. de Se-ptienibre avisa desde el lugar de Darñius él comandante de somatenes D. Joséf Masót á esta muy ilustre Junta lo que sigue. ,, Ayer á las siete y media de la mañana hicieron señal las avanzadas de Agullana de haber avistado al enemigo: inmediatamente reuní toda mi</t>
  </si>
  <si>
    <t>Josef Mateo Abad</t>
  </si>
  <si>
    <t>drid........ 300 1982 Sres. D. Josef Francisco Mornau...................... Zaragoza...... 1500 766 D. Josef Mateo Abad y compañía.................... Madrid....... 600 466 Doña María Concepción de Salazar y Alendelagua. ..*............................................. Bilbao......... 500 1722 Doña J</t>
  </si>
  <si>
    <t>Josef Mathé GH, Antonio</t>
  </si>
  <si>
    <t>Antonio Josef Mathé GH</t>
  </si>
  <si>
    <t>dependiente...*................... ..................................... ................... 4000. D. Antonio Josef Mathé GH1, presbítero, por una vez........... 1100. p! Casimiro Maroto, por una vez.&lt; 320. D. Ange 1 de Aragón y. Aivarez , por. una. vez................... $00. D. Gregoriodeia Cruz ,&gt;por</t>
  </si>
  <si>
    <t>Josef Matías</t>
  </si>
  <si>
    <t>. ^ ^ o® 2 261 IX Francisco de. Capanaga.............;;w..;.ú.wL-.v.. o Bilbao-.4...,/L 0300 i8f 2 ,D. Josef Matías de.la Hiva,,...................... . Zaragoza.,/!. i,yoo 2J;88 .B*.,JofMcndjQí,d? .ago.&lt;íy*s.,,........,...... Coruña,,..//!. . 300 2297 Doña Luisa Perez Delgado,,................id.</t>
  </si>
  <si>
    <t>Josef Matías Costa</t>
  </si>
  <si>
    <t>. Gabriel de los Ríos , D. Gaspar Urdapiileta ,;JD. Juan Narcdo y Riega, D. JósefMaría Santelices , D. Josef Matías Costa, Don Juan Domingo Allende , D. Juan Francisco Diaz , D. Angel Hubach ; á los subtenientes del cuerpo de patriotas; D. Miguel Mugra, D. Vicente Bordas, D. Juan Bautista Viton, D. J</t>
  </si>
  <si>
    <t>Josef Matiuste</t>
  </si>
  <si>
    <t>ña M. L. F. 2. bezales y 2 libras de hilas. D. Josef García Alvarez 6. D. Antonio Sainz de Rozas 6, D. Josef Matiuste 2 id. y 1 2 vendas. Se continuara. Avrscs. El Excmo. Sr. conde de Fuenfeblanca ha* cedido para atender á las urgencias de la defensa de la patria una. huerta, su cabida mas de 16</t>
  </si>
  <si>
    <t>Josef Maurino y Sánchez</t>
  </si>
  <si>
    <t>bao....... 500 2246 D. Lorenzo de Solocta Valsóla...... ...... ......... ‘ Bilbao......... OOO 1098 D. Josef Maurino y Sánchez......................... Madrid,...... - fOO 500 1593 D. Francisco Salvador de Estarta.................... Bilbao.......... 1070 D. Ignacio de Aguirre y Castellanos............. M</t>
  </si>
  <si>
    <t>Josef Mayorá, Pedro</t>
  </si>
  <si>
    <t>Pedro Josef Mayorá</t>
  </si>
  <si>
    <t>.................... 30. D. Manuel Perez, marmolista, 40 rs. cada mes.......................... 40* D. Pedro Josef Mayorá, 120 rs. cada mes................................. 120. D. Isidro Viota y Ximeno, oficial de la contaduría general de pósitos, 120 rs. cada mes....................................</t>
  </si>
  <si>
    <t>Josef Mazarredo</t>
  </si>
  <si>
    <t>jos. 16. Que per lo tocante á la marina concurran el bailío D. Antonio Vaídés y el teniente general D. Josef Mazarredo; y por lo respectivo si exérclto de tierra el teniente general D. Domingo Cervino; el mariscal de,campo D. Luis Idiaquez; el brigadier D. Andrés-de Errasti, comandante del primer</t>
  </si>
  <si>
    <t>-'•'ví* 541 ESPAÑA. Bilbao 3x de mayo. Ayer per la mañana regresó aquí el Excmo. Sr. D. Josef Mazarredo desde Bayona , adonde pasó el 24 de este mes por orden del Sermo. Sr, Lugar-Teniente del reino, conforme á los deseos de S. M. el Emperador de los franceses, para tratar con S. E. de</t>
  </si>
  <si>
    <t>Cevallos) los ministros S . Mariano Luis de Urquijo, D. Miguel Josef de Azanza, D. Gonzalo OFarril, D. Josef Mazarredo y el conde de Cabamis. Todos los supremos tribunales-de la nación que tienen su residencia en esta, corte han vivido hasta j est^rmamento oprimidos, sin libertad ni acción, baxo eL ma</t>
  </si>
  <si>
    <t>Josef Medel y Cabezas</t>
  </si>
  <si>
    <t>.... rcoo®. D. Vicente de Perea, por ahora.......*...... ................................... . roo. D. Josef Medel y Cabezas , por una vez........................................ 320. *D. Miguel de Lavandero, portero de Rentas , id.................. 60. D. Lorenzo Bade, fiel de la renta del TabacoV* id.</t>
  </si>
  <si>
    <t>Josef Medel y Rosales</t>
  </si>
  <si>
    <t>............ 30. D. Benito Angulo, 30 id. id............. ....................... •V........V - 3Ó' D. Josef Medel y Rosales, oficial de la secretaria de la conaesa de Benavente, 40 id. id...................... ................... .................. 40. Juan Antonio Alvarez 15 id. por 2 meses.,..,......</t>
  </si>
  <si>
    <t>Josef Medina y Cabailías</t>
  </si>
  <si>
    <t>se han creado 5. nuevos de infantería, de los quales son Coroneles los Sres. D. Joaquín CJarebout, D. Josef Medina y Cabailías, D. Juan María Maestre, Caballeros maestrantes de la Real de Caballería de esta Ciudad , D. Gonzalo Ramírez Delor , Comisario Ordenador , y D, Pedro Pedresa, Marques de Dos-herman</t>
  </si>
  <si>
    <t>Josef Mendez de Vigo</t>
  </si>
  <si>
    <t>......... Madrid ....... 500 641 D. Francisco Hernando Briongos y compañía. Madrid....... 3 00 2172 D. Josef Mendez de Vigo................. .............. Coruña....... 300 1846 D. Pedro Roca..................................................... Zaragoza..... IOOO 1560 D. Apolinar de Iguazan....;......</t>
  </si>
  <si>
    <t>Bureos........ ... "“‘5^,........ 6co 2416 D. Antonio Rodríguez Rama....... Zaragoza..... 3co 2Í7Í D. Josef Mendez de Vigo........... . ... Coruña........ 300 360 D.- Manuel dé Irazaval...»............ . ... Cádiz........... 600 265 6 Doña Máríá Catalina Mexía ... Cádiz..... . "500 2 ¿99 D-. Juan de D</t>
  </si>
  <si>
    <t>Josef Mendez Rodríguez</t>
  </si>
  <si>
    <t>taría y contaduría del Monte pió de reales oficinas, por id- a 2 rs. id................. ...... Ó2» D. Josef Mendez Rodríguez, platero de oro, por id. á un: real diario................................... .......................... .........................31¡• &gt; t X). Lorenzo Rodríguez, oficial jubilado</t>
  </si>
  <si>
    <t>Josef Meneses</t>
  </si>
  <si>
    <t>.... 310. D. Antonio Hervás, vidriero, id............. ..................................... . $00. D. Josef Meneses, en intereses de vales reales, id........................ 180 if* D. Lu is López de Para, del comercio de fierro, en intereses de 4 vales reales de i.° de setiembre de 1800, y ea</t>
  </si>
  <si>
    <t>Josef Merchan</t>
  </si>
  <si>
    <t>bao.......... 500 919 D. Josef Clemente de Luja.....................,....... Madrid........ 700 816 D. Josef Merchan............................................... Madrid........ 500</t>
  </si>
  <si>
    <t>Josef Merlo</t>
  </si>
  <si>
    <t>.... 300 2153 D. Genaro Fontenla.............. ........................... . Coruña....... 1000 558 D. Josef Merlo......................... ......................... Madrid....... 500 253 D. F rancisco Antonio Rodríguez.................. ... Burgos........ 1506 2092 D. Pedro Pons..............</t>
  </si>
  <si>
    <t>licante...... 500 2427 D. Pedro Matamoros y Pacheco....................... Cádiz........... 600 557 D. Josef Merlo................................................. . Madrid........ 300 2175 D. Francisco Saber Bernete........................... . Coruña........ oco 233 5 D. Juan Gregorio Gil de</t>
  </si>
  <si>
    <t>...¿ r 000 428 D. Bernardo Ortega..... ...................................... Santander.... 300 556 D. Josef Merlo................................................ . Madrid...... óco 402 D. Diego Betegon , oficial de la contaduría de</t>
  </si>
  <si>
    <t>Josef Metzger</t>
  </si>
  <si>
    <t>34 Rs. Mrs-i D. Josef Metzger, por agosto á 20 rs. mensuales......................... ... 20. D. Vicente García, ayuda de portero de damas de S. M., por agosto á 20 rs. mensuales........................... ...</t>
  </si>
  <si>
    <t>Josef Miguel Carrion</t>
  </si>
  <si>
    <t>n que este dexa á D. Juan Antonio Xaramillo, cura en el obispado de Quito: para la segunda ración á D. Josef Miguel Carrion, y para la media ración ae este á D. Bernardino Alvear , cura interino del Sagrario de la misma catedral de Cuenca.__ También se ha servido S. M. nombrar á D. Josef Diego Molina y</t>
  </si>
  <si>
    <t>Josef Miguel de Azanza</t>
  </si>
  <si>
    <t>or de Madrid, todas idénticas, escritas desde Burgos,.con fecha de 17 del corriente, y firmadas por D. Josef Miguel de Azanza,Don Gonzalo O-Farrill, D. Manuel Romero, Don Mariano Luis de Urquijo, D. Pablo Arribas , y el conde de Cabarrus. Estos hombres ilusos, vendidos por ambición al enemigo, siguen en</t>
  </si>
  <si>
    <t>Josef Miguel de Toraya</t>
  </si>
  <si>
    <t>0» Juan Feyto, id............................................................................. 100. D. Josef Miguel de Toraya, académico de mérito de la real de S. Fernando, en intereses de vales reales y efectivo, id....... 1154 33* La comunidad de religiosas de la Concepción Gerónitna de esta corte, un</t>
  </si>
  <si>
    <t>Josef Miguel Ramírez</t>
  </si>
  <si>
    <t>........ . 300. Doña Dionísia Gutiérrez, sirviente, id....... ................................. 40. D. Josef Miguel Ramírez, id............ ...... ........ ............................ 60» D. M. R. C. i íd................................... IIOO¿ El real convento *de Santa Clara de* religiosas francisc</t>
  </si>
  <si>
    <t>Josef Mócales Gallegos</t>
  </si>
  <si>
    <t>rema Junta, compuesta de los Excmos. Sres. P. Mro. Manuel Gil, vice presidente, marques de Grañiaa, D. Josef Mócales Gallegos, D. Andrés de Coca, D. Josef de Checa y Gíjoñ y D. Celedonio Alonso , eran harto clara prueba déí amor de los Sevillanos. Al fin; el Serenísimo Sr. Presidente con los demas Sres.</t>
  </si>
  <si>
    <t>Josef Molina</t>
  </si>
  <si>
    <t>id. V. D. Jésef Enseña, abad de Afligidos. P. D. Antonio Soto, abad de 5. Norberto. D. Josef Molina , diputado de Pinto. D. Francisco Martínez Abad, diputado eclesiástico de id. D. Juan Francisco Fernandez Haro , se** cretario. D. Saturnino Feal, diputado eclesiástico de S. Just</t>
  </si>
  <si>
    <t>Josef Molla</t>
  </si>
  <si>
    <t>Cádiz........4 300 488 D. Juan Antonio de Aguirre............ ............... Bilbao.;.... 300 1747 D. Josef Molla................................... ............ Cádiz.......... 500 985 Sres. Zorrilla hermanos.......................... ........... Madrid....... 300 275 D. Rafael Perez Romo...</t>
  </si>
  <si>
    <t>Josef Móntemayor</t>
  </si>
  <si>
    <t>ará á efecto é'l Referido remate, • - • -r " V ' - " . \ ■ avisos. 1 Y’:' J Por providencia del Sr. D. Josef Móntemayor, juez de 16 civil en la plaza dé Cádiz, se ha mandado citar y emplazar á quantos se consideren con derecho á-. los bienes de la testamentaría de D. Francisco Echevarría, á fin de</t>
  </si>
  <si>
    <t>Josef Montemayor</t>
  </si>
  <si>
    <t>uanto.se actué el propio perjuicio que sí fuese con su intervención y audiencia. Por providencia de D. Josef Montemayor, juez de lo civil en la ciudad de Cádiz, y escribanía de D. Ranzón García de Meneses, se ha mandado citar y emplazar á los acreedores no comparecientes ó desconocidos que lo sean</t>
  </si>
  <si>
    <t>Josef Montenegro</t>
  </si>
  <si>
    <t>pañía al tenieñtéde granaderos , graduado de capitán , D. Juan Lance : ayudantía al capitán- D. Josef Montenegro, teniente del mismo cuerpo: tenencias á ios subtenientes de granaderos D. Vicente Amat y D. Juan Dalmansa ; y subtenencias de bandera al cadete D. Félix Amat y al sargento primero</t>
  </si>
  <si>
    <t>Josef Monterde</t>
  </si>
  <si>
    <t>o para la dignidad de sacristán de la colegial de Mora', diócesi de Teruel, vacante por renuncia de D. Josef Monterde : á D. Juan Bautista García para el beneficio de Sta. Mar ría y S. Juan de ía parroquial de Pego, diócesi, de Valencia, vacante poj fallecimiento de D. Sebastian Cholvi; y á D. Fe</t>
  </si>
  <si>
    <t>Josef Montes de Oca</t>
  </si>
  <si>
    <t>granaderos al de fusileros D. Tosef Leonardo de Tejada ; y á subteniente de compañía al de bandera D. Josef Montes de Oca. . La junta de gobierno del banco nacional de S. Carlos, en virtud: del5capíeulo 19 de La reaL cédula de erección, y de lo que previenen el i,° y 2.® del reglamento de juntas gene</t>
  </si>
  <si>
    <t>Josef Montes Sil</t>
  </si>
  <si>
    <t>partamento- de Barcelona al brigadier gefe'de escuela del departamento de. artillería de- la Coruña D. Josef Montes Sil azar: habíáá\i6$e también dignado promover á subtenientes del expresado real cuerpo á los caballeros cadetes del colegio militar de Segovia D. Manuel y D. Josef Barreiro y. Manjon</t>
  </si>
  <si>
    <t>Josef Montes y Saiazar</t>
  </si>
  <si>
    <t>eral en gefe marques de la Romana. El Excmo. Sr. marques de la Romana, general en gefe, en Londres. D. Josef Montes y Saiazar, brigadier del real cuerpo de artillería; D. Ignacio Martínez Valiejo, coronel de voluntarios de Castilla; y D. Miguel Rengel, coronel del real cuerpo de ingenieros, primeros ayud</t>
  </si>
  <si>
    <t>Josef Mor de Fuentes</t>
  </si>
  <si>
    <t>no gratis, y se les hacen otras rebaxas, según se ha publicado. ' Fernando vn, romance heroico, por D. Josef Mor de Fuentes. Se hallará a 1rs. en la librería de Castillo, frente á las gradas de S. Felipe, en la de Ramos, carrera de S. Gerónimo, y en la de Perez, calle de las Carretas. Tratado de las en</t>
  </si>
  <si>
    <t>sta aquí para los que no han suscrito á 30 rs. en rústica y 35 en pasta común. Himno de Aragón, por D. Josef Mor de Fuentes. _ Entrada del' vencedor de Bailen-en Madrid: romance español, por D. O, E. Dictamen que un amigo da i otro sobre el origen y facúltales de las juntas supremas de las provincias,</t>
  </si>
  <si>
    <t>age de esta corte. Se hallará en las librerías de Cifuentes y de Bengoechea. Bonaparte, sátira, por D. Josef Mor de Fuentes. Se hallará en la librería de Perez, calle de las Carretas. grabado. Estampa nueva que representa á S. Fernando m, Re» de España, como se venera en el convento de mercenarias calz</t>
  </si>
  <si>
    <t>Jóséf Morales</t>
  </si>
  <si>
    <t>500. D. Pedro Ezqufcrtá, id................................ ........ .......... .............. 500. D. Jóséf Morales, 20 rs. mensuales, por 2 meses....................... 40. D. Isidro Ardura, 20 id. id......................................................... 40. D. Rufo Agustín Martínez, 2 rs.</t>
  </si>
  <si>
    <t>Josef Moreda y Alaría Siara</t>
  </si>
  <si>
    <t>er postura, acuda ante dicho señor y citada escribanía. J&gt;e conformidad de.los hijos y herederos de D. Josef Moreda y Doña Alaría Siara, vecinos que fueron de esta corte,.y por providencia del Sr. D. Ramón Navarro Pingarron, alcalde de casa y corte, que entiende en su testamentaría, se ha mandado publicar por 20 d</t>
  </si>
  <si>
    <t>Josef Moreno Martínez</t>
  </si>
  <si>
    <t>agoza;.... 300 1847 D. Juari António Sánchez................ .... w .».*;... Za rágoza...» 1500 591 D. Josef Moreno Martínez................... !........... Madrid.....» 1500 471 D. Vicente Crespoí...»»;;»»»»»...»..... •............ Bilbao......... 500 *444 D. Gerónimo Herrera...........................</t>
  </si>
  <si>
    <t>Josef Moyano, Juan</t>
  </si>
  <si>
    <t>Juan Josef Moyano</t>
  </si>
  <si>
    <t>... 40. D. Diego García de Tovar en un recibo de réditos de vales.. 180. Donativos de otra especie. D. Juan Josef Moyano 6 camisas de bravante nuevas. B. Juan Escolano 6 id. D. Pedro Antonio de Sobrado 4 id. La Excma. Sra. duquesa de la Roca 48 id. Las dos nietas de dicha Excma. Sra. 24 id. La Excma</t>
  </si>
  <si>
    <t>Josef Munarriz</t>
  </si>
  <si>
    <t>gui, director de la reai compañía de Filipinas, por una vez..............................1.0000.. ^ D. Josef Munarriz , secretario de dicha*compañía , ifoo rs. por \ una vez, y ademas 186 por agosto á ó rs. diarios.....:.........;. 3686. ) D. Lorenzo de Palacio y Gorbea, de este comercio, por uña</t>
  </si>
  <si>
    <t>Josef Muñoz</t>
  </si>
  <si>
    <t>Benito Llórente y Ferraz: en el de Murcia compañía al teniente de granaderos, graduado de capitan, D. Josef Muñoz; tenencia al subteniente de granaderos D. Salvador Llobregat, y subtenencia de bandera al cadete D. Antonio Alonso Gaseo: en el de Extremadura compañía al teniente de granaderos ,</t>
  </si>
  <si>
    <t>Josef Murga</t>
  </si>
  <si>
    <t>aría Luisa Arroquia, viuda... &lt;de muías Ide coche. El conde de Salvatierra....................... 3 D. Josef Murga.................................... 1 La duquesa de Rivas............. 1 El conde de Contamina....................... 2 El conde de Campomanes................... 1 Juan Andrés Sol</t>
  </si>
  <si>
    <t>Josef Murphy</t>
  </si>
  <si>
    <t>o, para que si algún facultativo de esta clase quisiere ocuparla, ocurra á tratar en la materia con D. Josef Murphy , vocal de la suprema Junta de aquellas islas, que vive en ia posada de los tres Reyes, en esta Capital. También se convida á algún -hábil profesor de medicina, que se sienta incl</t>
  </si>
  <si>
    <t>Josef M’endez de Vago</t>
  </si>
  <si>
    <t>iDao,..... ... 300 30)5 D. Domingo Ürbina y Arnaez................. ....... Madrid....... rooo 2189 D. Josef M’endez de Vago;................... . Coruña........ 300 642 Di Francisco, Mena y compañía,......... Madrid....... ©q</t>
  </si>
  <si>
    <t>Josef Nafria</t>
  </si>
  <si>
    <t>.. 100. D. Ciríaco Ximeno, id. id.......................... 1................................. roo. D. Josef Nafria, id. id............. ............... .............. ......... ............... 100. D. Estanislao Barreta, id. id................ ............................................ 100.</t>
  </si>
  <si>
    <t>Josef Napoleón</t>
  </si>
  <si>
    <t>VÍos dos reales decretos publicados en él, y expedidos en Bayona á 10 de r este mes por el Sr. Reí D. Josef Napoleón, en que se sirve aceptar la cesión de la corona de España hecha en su real Persona por su augusto hermano el Emperador de los franceses, nombrar por su Lugar-Teniente General del</t>
  </si>
  <si>
    <t>r salido de su palacio. En medio de tan incesantes tareas sigue sin novedad en su importante salud. D. Josef Napoleón por la gracia de Dios y por la constitución del Estado, Rei de las Españas y de las Indias. Compadecido de los funestos errores que han apartado á muchos de los habitantes de esta</t>
  </si>
  <si>
    <t>ganizar el nuevo consejo de Estado, y para ello se ha servido expedir el real decreto siguiente: ,, D. Josef Napoleón por la gracia de Dios y por la constitución del estado, Rei de las Españas y de las Indias. ,,He decretado y decreto lo que sigue: He tenido á bien conferir plaza efectiva en mi c</t>
  </si>
  <si>
    <t>Alange se pronunció : Castilla, Castilla, Castilla por el Rei nuestro Señor , que: Dios giiar— de, D. Josef Napoleón 1; y concluido este acto , por los 4 reyes de armas se esparció gran cantidad de moneda ai pueblo que pre$enciaoa dicha proclamación. igual ceremonia se practicó en los 3 tablados</t>
  </si>
  <si>
    <t>rca de nuestra corte, una caxa magnífica.adornada con la cifra de S. M. ESPAÑA. Madrid 29 de julio. D. Josef Napoleón.ppr la gracia de Dios y por la constitución del estado, Rei de las Españas y de las Indias. Considerando las necesidades públicas y apuros de la tesorería, y deseosos de establece</t>
  </si>
  <si>
    <t>os de la Union, siempre que por las circunstancias no sea ya necesario. ESPAÑA. Madrid jo de julio, Don Josef Napoleón por la gracia de Dios y por la constitución del estado , Rei de las Españas y de las Indias: Queriendo dar á la villa de Madrid una fuerza municipal capaz de proteger las personas</t>
  </si>
  <si>
    <t>Josef Ñapoleqn</t>
  </si>
  <si>
    <t>da encargado de, la execucion deí .presente decreto. De mi palacio de Madrid á 27 de julio de 1808. D. Josef Ñapoleqn por la gracia de Dios y por la constituciou del estado, Rei de‘las Españas y de las Indias. He venido en nombrar á D. Josef de Mazarredo capitán general de mi rea) armada, en aten</t>
  </si>
  <si>
    <t>Josef Narciso Neviet</t>
  </si>
  <si>
    <t>.. 500 543 D. Josef Martínez...........................................•.... Madrid.......; 500 611 D. Josef Narciso Neviet................................... Madrid........ 600 845 D. Francisco María Botino....,........................... Madrid........ 500 2249 D. Tomas Josef de Medina...............</t>
  </si>
  <si>
    <t>Josef Navarrete</t>
  </si>
  <si>
    <t>sco Gómez Urbano , 20 id. por 2 meses............................................... .......... 40. D. Josef Navarrete, presbítero, por 6 meses.............................. 1100.</t>
  </si>
  <si>
    <t>Josef Navarro</t>
  </si>
  <si>
    <t>........... 100. Cayetano García, maestro xalmero, id......................................... 100. D. Josef Navarro, id...... ............................................................... 300. D. J uan Josef García, á cuenta de 800 rs. id.............................. 400. D. Rafael ^González</t>
  </si>
  <si>
    <t>Josef Navarro del Dosaí</t>
  </si>
  <si>
    <t>ontaduría general de pósitos, por agosto á 40 rs. mensuales.................................. . 40* D. Josef Navarro del Dosaí, gentilhombre de la real ¿asa, por 5 agosto y setiembre a 30 rs. mensuales.................... .. 60. Lorenzo Balseiro, tahonero , por agosto á 60 rs. mensuales....... 6o* Antonio</t>
  </si>
  <si>
    <t>Josef Navarro Vidal</t>
  </si>
  <si>
    <t>vencía tenencia al alférez D. Josef Alcalá del Olmo. En atención al mérito y circunstancias del Sr. D. Josef Navarro Vidal, ministro del consejo real, ha venido S. M. en concederle honores de la camara de Castilla. ¡ Eñ Ja extracción de la real lotería, executada el lunes 22 del corriente, salieron lo</t>
  </si>
  <si>
    <t>Josef Navarro Villareal, Francisco</t>
  </si>
  <si>
    <t>Francisco Josef Navarro Villareal</t>
  </si>
  <si>
    <t>razón de casa. Loa pretendientes dirigirán sus memoriales ¿1 ayuntamiento^ por mano de su escribano D. Francisco Josef Navarro Villareal, en todo el presente mes de marzo, Se halla vacante la plaza de cirujano de la villa de Tembleque, provincia de la Mancha, que está dotada cpn 400 ducados anuales, pagados por ter</t>
  </si>
  <si>
    <t>Josef Navarro y Marcos</t>
  </si>
  <si>
    <t>uC SliutidS ■ Zaragoza..... x 007 600 3028 D. Juan de Lecanda.............. Madrid..... . 3 00 1821 D. Josef Navarro y Marcos. Zaragoza..... 500 1063 D. Vicente Comercn.......... . Madrid.»..... 500</t>
  </si>
  <si>
    <t>rs. por una vez... 70. D. Francisco Perez,, boticario, por un año...........................1200» ; D. Josef Navarro y Marcos^j d^i comercio de génerps ultrama» . i r, / ,VJL rinos, por’ id*•••.,.»...»• D. Manuel Fernandez, su dependiente, por id.................... ........ .. 120. Miguel ,PereR.l4mttea</t>
  </si>
  <si>
    <t>Josef Navarro y Vidal</t>
  </si>
  <si>
    <t>el consejo de las Ordenes: D. Gonzalo Josef de Vilches, ministro del consejo y cámara de Castilla : D. Josef Navarro y Vidal, y í&gt;. Francisco Xavier Duran , ministros del mismo con</t>
  </si>
  <si>
    <t>Josef Nicolás de Azara</t>
  </si>
  <si>
    <t>da de. M reo Tu lio Cicerón, escrita en ingles por Goiw yers Middleton, traducida por el Excmo. Sr. D. Josef Nicolás de Azara*</t>
  </si>
  <si>
    <t>Josef Nieto</t>
  </si>
  <si>
    <t>............. Coruña...... . 500 75° D. Anselmo Prieta Hermosino......... . ... Madrid......600 564 D. Josef Nieto.................................. ............ . ... Madrid....... 1000 197 D. Pedro Cassou................................... ........ ... Alicante..... 300 5&amp;2 D. Marcelo de Áye</t>
  </si>
  <si>
    <t>Números Lotes de las eo acciones. Nombres de los interesados. Comisionados. Rs. vn. 5 66 D. Josef Nieto........ .......................................... Madrid ....... 300 1080 D. Juan de Oñate.............................................. Madrid........ 600 5 20 D. Josef Dupuy y</t>
  </si>
  <si>
    <t>Jóséf Nieto</t>
  </si>
  <si>
    <t>..».»!; 'Zapágóza..;;.! 600 254 D. Diego Antonio Cabezón, prior y canónigo. BtíVgós.u .;.. 5 00 565 D. Jóséf Nieto...................»....'....:..;. Madrid....... 3 00 *774 Doña María Teresa de Quesada..................... • ' Gádik!.. 300</t>
  </si>
  <si>
    <t>Josef Nono</t>
  </si>
  <si>
    <t>etas. MUSICA. Te Deum, puesto en música i grande orquesta análoga i las circunstancias del dia, por D. Josef Nono. Se hallará en la librería de Corral, calle de Jos Tintes. Si alguno de fuera de esta corte gústase de dicha obra, podra dirigir las cartas francas de porte al autor. __ r SUPLEME</t>
  </si>
  <si>
    <t>Joséf Núñez de Haro</t>
  </si>
  <si>
    <t>ugat; y la del de Ñapóles al capitán del citado' inmemorial del Rei, graduado de teniente coronel , D. Joséf Nuñez de Haro. " É11 América. ' En el regimiento de infantería de Cartagena de Indias se lia dignado S. M. promover á teniente al subteniente de -granaderos D. Josef Angel Velazquer pá~subtenie</t>
  </si>
  <si>
    <t>Josef O-Donel</t>
  </si>
  <si>
    <t>Castilla; y D. Miguel Rengel, coronel del real cuerpo de ingenieros, primeros ayudantes generales. D. Josef O-Donel!,. comandante del tercer batallón de voluntarios de la Corona, en Londres; y D. Juan de la Vera, capitán del real cuerpo de ingenieros, segundos ayudantes generales. D. J uan Caro</t>
  </si>
  <si>
    <t>Josef Ofer, Francisco</t>
  </si>
  <si>
    <t>Francisco Josef Ofer</t>
  </si>
  <si>
    <t>arreño , alcalde del &gt; barrio del Amor de Dios. D. Luis Gii Fernandez , del del Hospital general. ) D. Francisco Josef Ofer, diputado del Amor de Dios. D. Francisco Perez de las Muelas, diputado id. D. Antonio Sánchez, diputado del barrio del Hospital. D. Silverio Perez id. id. D. Diego de Castro, secr</t>
  </si>
  <si>
    <t>Josef Oriol</t>
  </si>
  <si>
    <t>las solemnes fiestas con que en la ciudad de Barcelona se celebró la beatificación de su paisano el Dr. Josef Oriol, beneficiado de i a iglesia de nuestra señera de los Reyes-, vulgarmente del Pino, desde el día 6 hasta, el 23 de junio de 1807. Se venden en; la librería de. Martínez, frente á S</t>
  </si>
  <si>
    <t>Josef Ortega</t>
  </si>
  <si>
    <t>.Subteniente.................... D. Miguel Pierson. j.° Barcelona.. Subteniente.................... D. Josef Ortega , levemente. .Subteniente.......... ........ De la 3.a compañía de Cervera. Miqueletes..... (.Subteniente.................. De la 4.a id. id. Somatenes...... El comandante de las</t>
  </si>
  <si>
    <t>rques de; Montealegre, conde de Oñate, 48. D. Manuel García Serralde 2. La condesa de S. Rafael 36. D. Josef Ortega y sus dos hijas 2. D. Mariano Sancho, administrador de la fábrica de Valdemoro, 68 varas de paño pardo dieziocheno. La condesa de la Puebla, del Maestre 12 camisas. El Excmo. Sr. ma</t>
  </si>
  <si>
    <t>Josef Ortiz</t>
  </si>
  <si>
    <t>rústica á 8. Los diez libros de arquitectura de Marco Vitruvio Prlion, traducidos y comentados por D Josef Ortiz ySanz, presbítero. Un tomo en folio mayor: en pasta á 200 rs., y en papel á 172. Los quatro libros de arquitectura civil de Andrés Paladio, traducidos del italiano , é ilustrados bo</t>
  </si>
  <si>
    <t>eal diario........... ..... »......... ................................. .................... . 92. D. Josef Ortiz, 500 rs. por una vez, y730 por 4 meses á 6 xs. diarios.............. ............................... *..... ....................... *.......... 1230. 6</t>
  </si>
  <si>
    <t>s. infantes D. Carlos y Don S. M.» 60. Francisco de Paula 361. D. M. L. S. una. Doña María Damor 2. D. Josef Ortiz 1 f varas de lienzo. D. Francisco de Moya y Cortés 6. Doña Juana María del Val 2 camisas* Doña María Damiana de Otaolá 6 Doña Francisca Arroteta, su criada. Doña Nicolasa Perez de</t>
  </si>
  <si>
    <t>t *339 Muías. Caball. Sillas. Bridas. Otros efecto*. D. Josef Ortiz, del comercio........ D. Eugenio de Ariza, vecino de Colmenar dé Oreja.1..........i-......... i ■ D. Josef García Aleson.................. i x El Sr. conde de Altamira............</t>
  </si>
  <si>
    <t>Josef Ortíz y Sanz</t>
  </si>
  <si>
    <t>de arquitectura civil de Andrés Paladio, traducidos del italiano , é ilustrados bon notas por dicho D. Josef Ortíz y Sanz, to’mó i.a en folio mayor. Lleva 96 láminas. Contiene los libros primero y segundo de Paladio, en los qu a les trata dejos materiales, describe los 5 ordenes de arquitectura, y un</t>
  </si>
  <si>
    <t>Josef Osterét</t>
  </si>
  <si>
    <t>cha de S. Bernardo hasta la casa del Emo. Sr. arzobispo de Toledo, se servirá entregarla en casa de D. Josef Osterét, puerta de?Moros', ésqiíiná á la calle de las Tabernillas, núm. 5 y óyquarío segundo, y seledará el hallazgo. ; ¡ ¿í-/. i v í-~ - - — l-.j: . 1/. ■ ■ •/ ,n- -u j.'stRvrBK-TSás.. ¿</t>
  </si>
  <si>
    <t>Josef Pablo Malnero</t>
  </si>
  <si>
    <t>e las fábricas de Alcaraz, id. 300 rs. Pedro de Prado', maestro de obra prima, por una vez 2200 rs. D. Josef Pablo Malnero, criado de los señores infantes, por id. 320 rs. Doña Agustina Lozano, por una vez 100 rs. D. Mateo Cerrillo, id. 60 rs. D. Vicente Romero, oficial de la secretaría de Hacienda de</t>
  </si>
  <si>
    <t>Josef Pablo Valiente</t>
  </si>
  <si>
    <t>................... 62. Doña Ana de Zulueta, del comercio, por 4 meses á 1 oj’S. diarios. 1216 e t. D. Josef Pablo Valiente, del consejo de Indias, por un mes á 6* rs. diarios...,........................ ....................... .............................. 186. D. Bernardo Ortiz, contador honorario d</t>
  </si>
  <si>
    <t>Josef Padilla</t>
  </si>
  <si>
    <t>io .que fue de la ciudad de Cádiz, pendientes en el júz*gado civil de ella, y escribanía pública dé D. Josef Padilla, se formo expe-* diente sobre hacer pago de la cantidad de 7® pesos fuertes, importe de una dé las responsabilidades manifestadas por dicho difunto en cierto papel de comunicato,</t>
  </si>
  <si>
    <t>Josef Padros</t>
  </si>
  <si>
    <t>endosó en Sevilla á D, Josef Sarríera y Quinquer. Quien supiere de su paradero, se servirá avisar a D. Josef Padros en esta corte , o en Barcelona á los Síes. Sarríera, hermanos y compañía. En la ciudad de Soria se hallan vacantes una escuela de primeras letras y otra de dibuxo, con las dotacione</t>
  </si>
  <si>
    <t>Josef Padrós</t>
  </si>
  <si>
    <t>................i........ 500. D. Manuel Manz de Moles, en intereses de vales reales, íd...... 722. D. Josef Padrós , id.............................................. .......................... . 120. D. Nicolás Rodríguez, id............................. ................... ............... l6o.</t>
  </si>
  <si>
    <t>Josef Pagóla</t>
  </si>
  <si>
    <t>hombro á D.. Pascual.Qúiíez y Talón ,; regente de la au-j díencia de Asturias: para esta regencia á D. Josef Pagóla, que lo es de lal de Galicia: para la regencia que este dexa á D. Josef de Navia Boiaños, oi-r dór de la audiencia de Valencia : para esta resulta al alcalde mas antiguo dei mismo</t>
  </si>
  <si>
    <t>Josef Paláfbx</t>
  </si>
  <si>
    <t>Antonio de Salas: el i.° al Rei nuestro Sr. D. Fernando vri: el 2.0 á España: el 3.0 al Excmo. Sr.!D. Josef Paláfbx; y el 4.0 al Excmo* Sr. D. Francisco Xavier Castaños; Se hallarán á real én íá imprenta de Justo Sánchez, calle de las Veneras; y en la librería de Campins cálle de las Carretas.</t>
  </si>
  <si>
    <t>Josef Palafox</t>
  </si>
  <si>
    <t>clama del Excmo. Sr. D. Gregorio de la Cuesta, y manifiesto que hizo á los aragoneses el Excmo. Sr. D. Josef Palafox. Véndense juntos á 6 quartos en la librería de Barco, calle de las Carretas, y en el puesto del Diario, plazuela de Sto. Domingo. Manifiesto de los intensos afectos de dolor, amor</t>
  </si>
  <si>
    <t>lestísimo señor.=Como secretario de la junta y de su orden, D. Josef Xavier de Goitia.=: Excmo. Sr. D. Josef Palafox.” (Gazeta extraordinaria de Zaragoza núm. 7.) : ! . : Madrid 23 de agosto. Representación dirigida al supremo consejo de Castilla por el limo. Sr* obispo de Orense. La fuerza y so</t>
  </si>
  <si>
    <t>nuestro Soberano el Sr. D. Fernando vu , dando márgen este relato á que mi honor, el del Excmo. Sr. Don Josef Palafox, ahora capitán general del exército y reino de Aragón, que era mi segundo, el de los guardias de Corps, y demas cuerpos que estaban á mis órdenes en dicha comisión, quede manchado</t>
  </si>
  <si>
    <t>fiel y seguro servidor = Santiago Leitt, teniente general y comisario civil y militar. = Excmo. Sr.,D. Josef Palafox, general del exército y reino de Ara* gon.” {Gazeta extraordinaria de Zaragoza núm. 2.) Coruña 17 de setiembre. Ayer entró en este puerto el bergantín de guerra de S. M. británica</t>
  </si>
  <si>
    <t>desa de Chinchón, su hermana, con quien había venido á esta. AVISO DE OFICIO , El general de Aragón D. Josef Palafox, con fecha de 2, del corriente, comunica á la Junta central suprema el parte siguiente. Los enemigos, en número de 12. á 1 $9 hombres, y 2$. caballos, atacaron el 1. 0 del corrien</t>
  </si>
  <si>
    <t>Josef Palafox y Meizi</t>
  </si>
  <si>
    <t>vorista: un tomo en Se hallarán en la librería de Llera , plazuela del Angel. , Himno a¿ Excmo. Sr. D. Josef Palafox y Meizi, capitán general del temo, de Aragón, por ifn americano. Sé vende en la librería de Alonso, frente á lar. gradas jle S. Felipe. El producto es para el exéfcíto de Aragón. GRABADO.</t>
  </si>
  <si>
    <t>Josef Palafox y Melci</t>
  </si>
  <si>
    <t>a de acuerdo del consejo. Dios guardé á V. muchos años. Madrid 12 de agosto de i$c8.” El Excmo. Sr. D. Josef Palafox y Melci, capitán general del exército y reino de Aragón, se sirvió de comunicar al consejo por medio de S. I. el señor decano gobernador la plausible noticia de la evacuación y huida de l</t>
  </si>
  <si>
    <t>én Toledo en la de Soria. ■ Poesías de D. P. P. de A. á los Excrnos. Sres. conde de Floridablanca y Don Josef Palafox y Melci , general defensor del reino dé Aragón, con otras composiciones hechas sobre los asuntos’del dia: papé! en 8.° Se hallará en la librería de Matute, calle angosta de Majáderitos ,</t>
  </si>
  <si>
    <t>Josef Panlagua</t>
  </si>
  <si>
    <t>S Josef. D. Diego Alderete, diputado de S. Isidro. D. Pedro Querpo de Llano, diputado de Santiago. D. Josef Panlagua, alcalde de id. D. Juan Pinedo, diputado de id. D. Cayetano Aravaca , eclesiástico de id. D. Tomas Zapelena, diputado calle de Segovia. D. Manuel Medina, diputado id. D. Antonio U</t>
  </si>
  <si>
    <t>Josef Pantoja</t>
  </si>
  <si>
    <t>erra; D. Antonio González de la Hoyuela y D. Juan Manuel Martínez, abogados de los reales Consejos; D. Josef Pantoja y D. Ramón Montiel, tenientes coroneles retirados; D. Josef González de ía Torre, capitán de exército; D. Antonio Perez del Castillo, presbítero; D. Martin Galarza y D. Claudio Blanco</t>
  </si>
  <si>
    <t>Josef Parayuelo</t>
  </si>
  <si>
    <t>. mensuales.................................................................. ............... . 2Qt D. Josef Parayuelo, del archivo del consejo de Estado, por agosto á 24 rs. cada mes.............................................. ............... 24. D. Gonzalo Díaz de Ribera, por agosto á 30 rs. m</t>
  </si>
  <si>
    <t>Josef Pastor</t>
  </si>
  <si>
    <t>idencia del Sr- D. León d.e Sagasta, teniente corregidor de esta villa, J»e cita, llama y emplaza á D. Josef Pastor, D. Miguel Giró ó sus herederos, Don Manuel Ezquerra , D,. Vicente García ó su heredera, Julián González, maestro espartero , D. Melchor Manconel, Josef Escólau ó sus herederos, D</t>
  </si>
  <si>
    <t>Josef Pastor de Cáceres</t>
  </si>
  <si>
    <t>......... 50. D. Francisco Peñaredonda, 120 id. id...i.............. ........................ .120. D. Josef Pastor de Cáceres, 90 id. id..........................*............... 90. D. Gerónimo Rodríguez, pintor, 30 id. id...,...,........ ................ 30. D. Manuel González, 20 id. id........... ...</t>
  </si>
  <si>
    <t>Josef Patricio Sorgoyen</t>
  </si>
  <si>
    <t>a de Delgado. Valencia..... 300 473 D. Martin de Aldanav.......................... Bilbao..300 2125 D. Josef Patricio Sorgoyen........... . Zaragoza.... 20000 1862 D. Francisco Tornos Zaragoza.,.;. jpo 1570 Doña Juliana de Jáuregui................. .............. .. Bilbao.... ..i. 600 2213 D. Juan Soler</t>
  </si>
  <si>
    <t>Josef Paulo Valiente</t>
  </si>
  <si>
    <t>orada...................................... 1 I 1 La condesa de Alcudia........................ 1 1 D. Josef Paulo Valiente................. i.. 1 El marques de Monreal............. ......... 2 2 2 El marques de Cumbre-hermosa....... 1 t D. J.u an Perez Villamil...................... 1 El conde de Sace</t>
  </si>
  <si>
    <t>Josef Pauton</t>
  </si>
  <si>
    <t>....................... 1 10. Santos de la Fuente, mozo del Banco nacional, 20 id. id.......... 20. D. Josef Pauton, anualmente.................................. ......................... 1000. D. Josef de Ibarra* fiscal del supremo consejo de Hacienda, la sexta parté del-sueldo qiie percibe dé</t>
  </si>
  <si>
    <t>Josef Pectorclli</t>
  </si>
  <si>
    <t>..........i. 400. Domingo Riesgo y .Cabrios., por una.vez................................... . 300. D. Josef Pectorclli j:sobrestante»dé -las obras' reales , 361 rs. en intereses desvales, y í3^.jsi‘.eiií3Eáecti^p,¿porcuna v^z........... 400. D. Josef.Riv.es.,.cirujano., á cneota. de .3© rs/ppx.iin</t>
  </si>
  <si>
    <t>Josef Peña Carrillo</t>
  </si>
  <si>
    <t>el aprecio-per sus disposiciones respectivas, por su acierto y por su valeroso denuedo. Ei capitán D. Josef Peña Carrillo, agregado á la artillería, dio un testimonio demasiado público de su suficiencia, intrepidez y energía, antes y después de la acción, para que nos detengamos en encarecer su mérit</t>
  </si>
  <si>
    <t>Josef Pérez</t>
  </si>
  <si>
    <t>nes de Almansa. Teniente D. Antonio Salgado; cirujano D. Manuel Gómez, en Altona: enfermos. Alférez D. Josef Perez; portaguión D. Diego Gamacho, en Mompeller, id. Idem de Villavkiosa. Capitán D. Luis Bouch; teniente D. Ventura Montero, en Langeland: luego que trascendieron la determinación del</t>
  </si>
  <si>
    <t>..... ........................... 120. f&gt;. Antonio Marques, id................................ 240. D. Josef Perez, ayudante de la'repostería del duque de San Cárlos,id............................................................... loo* D. Santos de Pando, dependiente del Banco nacional, id...</t>
  </si>
  <si>
    <t>1604 id. D. Josef Perez, diputado id. D. Francisco'Xavier Cavaza, alcalde de San Isidro. D. Vicente Tercilla, secretario. D. Angel de Diego , diputado de id. D. Diego Uriondo , diputado id. D. Francisco</t>
  </si>
  <si>
    <t>Josef Pérez Benito, Antonio</t>
  </si>
  <si>
    <t>Antonio Josef Pérez Benito</t>
  </si>
  <si>
    <t>160. Juan Piedrahita , por una vez................... ....... ............................... 200. D. Antonio Josef Perez Benito, por una vez............... .......... . 300. D. Juan Valenzuela* evanista, poruña vez............................. . 320. La marquesa dc Villa verde ,por una. vez............. .</t>
  </si>
  <si>
    <t>Josef Pérez Caballero</t>
  </si>
  <si>
    <t>-rt lipe Canga Argliellés. ' i „ DeL de indias á D. García Gpmez Xara. :. . ir; ,,Del de Hacienda á D. Josef Perez Caballero,]*. v j v.t ,, Pará Secretario al marques;de Fuerté-Híjar.'fn . I .'■&lt;ru;: • Kj „Y reservo por ahora el nombramiento del superintendente^ v \ •=!»•&gt;•;*.• ¿íí „ Dispenso á estos mi</t>
  </si>
  <si>
    <t>Josef Pérez Muñoz</t>
  </si>
  <si>
    <t>d......., 3001 616 D. Carlos Josef Conrote.;*»»................ ............ Madrid....... ooq 1736 D. Josef Perez Muñoz.....*....................Cádiz..;*..... 300 26 D. Manuel Velasco.i..................... ............. . Zaragoza/...; 500 1893 D». Josef de Garlaza................................</t>
  </si>
  <si>
    <t>Josef Pérez Vázquez</t>
  </si>
  <si>
    <t>alcalde del barrio de Pinto. Fr. Gerónimo de Santa Cruz , presidente del convento de S. Bernardino. D. Josef Perez Vázquez* diputado eclesiástico dei barrió de S. Juan. D. Columbano de Ponz, cura de S. Lorenzo. D. Juan Josef Barrios, cura de Santa María. Fr. Miguel de Herrín, guardián de S. Gil. D. Fr</t>
  </si>
  <si>
    <t>Josef Pérez, Juan</t>
  </si>
  <si>
    <t>Juan Josef Pérez</t>
  </si>
  <si>
    <t>an Trie so y compañía... Madrid. 500 3884 D.vAngel Ramirez de- Arellario.....^-.. Zaragoza. 3Q° 532 D. Juan Josef Perez........... .......... : Madrid.... 300 8-11 D. Alexandro de Silva y Ayanz....;.... Madrid.... .300 1732 D Jul ian Negrete..................... ............. Cádiz...... 300 20^7 D</t>
  </si>
  <si>
    <t>e Ajalvir....................................... i D. Roque García Maganto................. 1 I ' X D. Juan Josef Perez, vecino de Fuente el Saz...................................... x D. Julián López Zerna, vecino de Velez-rubio...................... 1 X D. Dámaso Mexía, vecino de Seseña.. 1 El ma</t>
  </si>
  <si>
    <t>Josef Perrote y Racionero</t>
  </si>
  <si>
    <t>ngía de la catedral dé Moni* doñedo y vacante por1 fallecimiento dé Di -Ramón López de Santiago y á Don Josef Perrote y Racionero de la misma catedral: para la ración que este dexa á D. Joséf de la Vega Boláño, clérigo diácono, colegial del real monasterio de S. Lorenzo: pata úna ración ae la colegiata de Covarrub</t>
  </si>
  <si>
    <t>Josef Pico Santisteban</t>
  </si>
  <si>
    <t>por agosto.......... . 20. D. Francisco del Corte, del comercio, por agosto..............U.... 60. D. Josef Pico Santisteban, oficial del patronato de Aragón, por agosto....................... ........... .......................... ............ 66, v D. redro Florez Quevedo, del consejo de Hacienda, á 1</t>
  </si>
  <si>
    <t>Josef Pilón y Espejo</t>
  </si>
  <si>
    <t>Hore, el intendente de marina del departamento D. Josef Florez Varela , el comandante de ingenieros D. Josef Pilón y Espejo, el mayor general del departamento D. Juan María Butler, el comandante del quarto batallón de maxiíia D. Antonio Barrientos, el comisario provincial del real cuerpo de artillería</t>
  </si>
  <si>
    <t>Josef Pió Muxica</t>
  </si>
  <si>
    <t>cias qué requiere este empleó,, Ha mandado S. M. que á las viudas , y en su defecto á los hijos, de Don Josef Pió Muxica, capitán comandante, D. Eustaquio Cabieces, teniente-, D. Juan Rufo de Zorrilla, ayudante maycír, graduado de capitán, y á Juan de Dios Campuzáno, capitán retirado, y Pedro Isica,</t>
  </si>
  <si>
    <t>Josef Pío Santos</t>
  </si>
  <si>
    <t>un crédito contra Tesorería ¿id...».'...... .............................................. 4750 26. D. Josef Pío Santos, oficial de la secretaría de Consolidación, el 10 por 100 de su suelda, que compone 45 rs. mensualmente, por agosto.......... .....................................................</t>
  </si>
  <si>
    <t>Josef Piqueras Gómez</t>
  </si>
  <si>
    <t>isionados siguientes: ^ En Alicante............ D. Juan Casou y compañía. En Avila............... . D. Josef Piqueras Gómez. •' En Badajoz........... D. Francisco Fernandez de la Peña y San Miguel* En Barcelona...... . D. Ramón de Llordella é hijo. En Burgos........... . D. Josef Arizcun. En Caatz.....</t>
  </si>
  <si>
    <t>....... D. Mariano Melgosa. En Alicante.......... D. Juan Casou y compañía. En Avila............... D. Josef Piqueras Gómez. En Badajoz.......... D. Francisco Fernandez de la Peña y de San Miguel* En Barcelona....... Sres. D. Ramón de Llordella é hijo. En Burgos............ D. Josef Arizcun. En Qadiz..</t>
  </si>
  <si>
    <t>comisionados siguientes: ' En Alicante.......... D. Juan Casou y compañía. En Avila........ ...... D. Josef Piqueras Gómez. En Badajoz......... D. Francisco Fernandez de la Peña y San Miguel* En Barcelona...... . D. Ramón de Llordella é hijo , residentes por ahora en Tarragona. En Burgos........... D.</t>
  </si>
  <si>
    <t>Josef Pizarro</t>
  </si>
  <si>
    <t>viente de la anterior, id..................... 120. Benita Barranco, id........................ 40. D. Josef Pizarro, secretario del consejo de Estado, en recibos de intereses de vales ei importe de 2 mesadas, id.................... 11600. D. Julián Rafael Carrera, ea 2 recibos de réditos del re</t>
  </si>
  <si>
    <t>Josef Plunas</t>
  </si>
  <si>
    <t>Málaga.»»... 300 940 D. Juan Manuel Ruiz..........................•«»»»» Madrid i...... ' oco IJ99 D. Josef Plunas. y Molut...........»»4.»............. Barcelona.... 6co 97i D. Josef Manuel de Ainz»........ ...... ...... . Madrid..».;. 300 993 D. Manuel de Palomera....... Madrid éiií*** 300 *</t>
  </si>
  <si>
    <t>Josef Polo, Juan</t>
  </si>
  <si>
    <t>Juan Josef Polo</t>
  </si>
  <si>
    <t>ía.=Sr. í). Esteban Antonio de Orellana. =rSr. D. Miguel Munarriz.=:Sr. D. Guillelmo de Vargas. Sr. D. Juan Josef Polo. = Sr. D. Josef Joaquin Martí.=rSr. D. Benito San Juan.=Sr. D. Ramón de Villalba. =r Sr. D. Francisco Bucheli. = Sr. Don .Francisco Diz. Excmo. Sr.=r Habiendo hecho presente esta</t>
  </si>
  <si>
    <t>Josef Ponte</t>
  </si>
  <si>
    <t>á 12 rs. diarios................ .................. •....... ................................ 1464. D. Josef Ponte,. recaudador de Temporalidades, por una vez... 100. D. Josef Dachs, del comercio, por una vez........................ . 1000. D. Gabriel Peréz, librador de la reafcaballeriza, un</t>
  </si>
  <si>
    <t>Josef Prieto</t>
  </si>
  <si>
    <t>irmándose con las que en seguida me ha comunicado el teniente coronel del real cuerpo de Ingenieros D. Josef Prieto, á quien comisioné para que pasase á Portugal á conferenciar con el general conde Monteiro-Mos, y acordar con seguridad las disposiciones que debían adoptarse para la posición mas</t>
  </si>
  <si>
    <t>enado v completamente sus deberes, igualmente que el teniente coronel del real cuerpo de ingenieros D. Josef Prieto, y el capitán del mismo D. Sebastian S. Juan, que puse á sus órdenes. La compañía de cazadores del exército, que había mandado avanzar desde Aranda ae Duero con 40 caballos del re</t>
  </si>
  <si>
    <t>Josef Puig</t>
  </si>
  <si>
    <t>enciales , y por la magnanimidad con que se distinguieron en todo el tiempo de la acción. El exento D. Josef Puig, los cadetes D. Juan Bóveda y Ignacio Mora, y les guardias D. Francisco Riaño * Josef Ggvantes, D. Josel Sóstoa, D. Manuel Zt rraquin y Don Felipe Luengo, serán eternamente nombre</t>
  </si>
  <si>
    <t>Josef Puig y Prats</t>
  </si>
  <si>
    <t>rdenes D. Juan Caracol, que se hallaba mandando la coluna de retaguardia; sin dexar de recomendar á D. Josef Puig y Prats , interventor de correos, el que hace tiempo me sigue, pues basta su valor para animar teda la gente. En fin, la tropa y míqueletes cumplen su deber con mucho valor. Sant Andreu 3</t>
  </si>
  <si>
    <t>Josef Puigdolles</t>
  </si>
  <si>
    <t>varas y media de lienzo. D; Francisco Martino 2 camisas. D. Manuel de Santibañéz 6 de coruña finas. D. Josef Puigdolles 15 pares de zapatos. ' £□ la extracción de la real lotería extraordinaria, celebrada el lunes 19 del corriente, salieron los números 84, 13, 50, 61 y 21; y con ellos han ganado lo</t>
  </si>
  <si>
    <t>Josef Pul</t>
  </si>
  <si>
    <t>guardias Valonas y regimiento’ de Ordenes Militares, cuyos dignos gefes el; capitán delude guardias D. Josef Pul y D. Francisco de Paula Soler,- coronel,del segundo, igualmente que su teniente Coronel ?D. Sebastian.de Zah ragoza, sostuvieran su notorio crédito, y firmeza , .tomando Soler distint</t>
  </si>
  <si>
    <t>Josef Quintana, Manuel</t>
  </si>
  <si>
    <t>Manuel Josef Quintana</t>
  </si>
  <si>
    <t>electas castellanas desde el tiempo de Juan de Mena hasta nuestros días,5 recogidas y ordenadas por D. Manuel Josef Quintana : tomo í.° Comprehende !•• mejores composiciones que se hallan en nuestros romanceros; el poema de la Circe y demas poesías escogidas de Lope de Vega, y. termina con la Gatomaquia</t>
  </si>
  <si>
    <t>e acto, y que se anuncie al público en esta gazeta para su noticia.” LIBROS. España Ubre: odas: por D. Manuel Josef Quintana. La primera es á la situación de España en abril del año presente: la segunda es en elogio de las provincias españolas armadas contra los franceses. Se venden las dos en 2 rs. en</t>
  </si>
  <si>
    <t>la librería de Perez, cálle de las Carretas: haj exem piares en papel viteU. Poesías patrióticas de D. Manuel Josef Quintana,: quaderno que contiene las composiciones siguientes: i.a á la expedición española para propagar la vacuna en América: 2.a á Juan de Padilla, defensor y mártir de la antigua liber</t>
  </si>
  <si>
    <t>Josef Raboso</t>
  </si>
  <si>
    <t>......... 1 Juan Andrés Solana.................... x D. Francisco Aguilera....................... 4 D. Josef Raboso, vecino de Alcalá de Henares.......................................... I D. Andrés Raboso, id........................ 1 D. Juan Miguel González, vecino de Ajalvir.................</t>
  </si>
  <si>
    <t>Josef Radon</t>
  </si>
  <si>
    <t>eina en todas partes la alegría y la confianza, y el pueblo es mas español que nunca.” Por carta de D. Josef Radon, escrita desde Paris á un amigo suyo, sabemos el por menor y los progresos de un descubrimiento que nos habían anunciado sucintamente y*mui á los principios, algunos periódicos fr</t>
  </si>
  <si>
    <t>instrucción teórica de artífices de instrumentos astronómicos y físicos: 2 tomos en 4.0 mayor; por D. Josef Radon: enpasta á 32 rs. cada uno , y 22 en papeL En; el -i.° se incluye la aritmética, la geometría, algunas noticias de dinámica, y la astronomía: el 2.0 comprehende la mecánica-. . -</t>
  </si>
  <si>
    <t>Josef RafaeLFernandez Cid</t>
  </si>
  <si>
    <t>cutara por la escribanía que desempeña D. Cristóbal Valero ,y Arc^s." , - i / . Por providencia dé D. Josef RafaeLFernandez Cid, subdelegad^ en- el depara tamento de Sobrado del juez comisionado reglo en las diócesis de Tuy y Orense, se, ha, señalado el día 25 del presente para el remate de 1 casas, 4 viña</t>
  </si>
  <si>
    <t>Josef Ramírez</t>
  </si>
  <si>
    <t>............................................. ........ i............ ................. . 2348 ■ 28; D. Josef Ramírez, caballerizo de campo de S. M., por una vez. 200. ‘ I). Antonio Mayoral y sobrino, del comercio, por una vez...... 3000. D. Martin de Vela^co, por una vez.........................</t>
  </si>
  <si>
    <t>Josef Ramón de Aldana</t>
  </si>
  <si>
    <t>itio de $. Ildefonso: para la canoncía de la metropolitana de Sevilla, vacante por fallecimiento de D. Josef Ramón de Aldana, á D. Agustín Moreno y Garino, racionero deja misma iglesia; y para la ración que resulta vacante por el ascenso de este á D. Nicolás Luis de Lezo y Garro: para la canongía de la</t>
  </si>
  <si>
    <t>Josef Ramón de Ibarra</t>
  </si>
  <si>
    <t>Isidro Alvarez, id........................................................................... 100. D. Josef Ramón de Ibarra, capitán de ingenieros cosmógrafos, 500 rs. por una vez, y 186 por agosto á 6 rs. diarios............ 68&amp; D. Manuel López Barajas, diputado de los reinos, poruña vez. 3 0004 Josef</t>
  </si>
  <si>
    <t>Josef Ramón Fernández</t>
  </si>
  <si>
    <t>s seminarista mayor D." Manuel Fernandez; gefes de sala D; Josef Martínez, D. Manuel de* lá Cámara, D. Josef Ramón Fernandez, y D. Manuel de Abad; gefes de trozo D. Manuel Ferrando, D. Sebastian Fernandez Navarrete, D. Pedro Sánchez Pavón, Di Pablo línda , Di Bonifacio Otiveuda, D. Francisco; Martínez ,</t>
  </si>
  <si>
    <t>ros seminarista mayor D. Manuel Fernandez; gefes de sala D. Josef Martínez, D. Manuel de la Cámara, D. Josef Ramón Fernandez y D. Manuel de Abbad; gefes de trozo D. Manuel Ferrando, D. Pedro Sánchez Pavón y D. Pablo Unda; seminaristas D. Matías Oiivencia,D. Josef María Carrillo, D. Félix GHman, cadete de re</t>
  </si>
  <si>
    <t>Josef Ramos</t>
  </si>
  <si>
    <t>.. ........ 180. Domingo Quiñones,40 id. por agosto........ ....................... .......... 40., D. Josef Ramos, t-&lt;fco id.' id........*».................................... .......... *oo., D. Francisco Vassalo, 40 id. por 6 meses.......................... ^2-40.. Santiago Nrgaiedo, 15 id¿</t>
  </si>
  <si>
    <t>Josef Ramos y Cerda</t>
  </si>
  <si>
    <t>.. . 992* D. Antonio Mollinedo, id................ ,,....... ................................. 500* D. Josef Ramos y Cerda, escribano de S. M., en intereses de vales reales de los años 1800 y 1807 id................... ...... . 631, D. Jijan María de Giiemes, en intereses del real Empréstito id. iooq*</t>
  </si>
  <si>
    <t>Josef Rebolledo de Palafox y Mein</t>
  </si>
  <si>
    <t>dé Perez, calle de las Carretas, y de González, frente de los Gremios. t . . Retrato del Excmo. Sr. D. Josef Rebolledo de Palafox y Mein, capitán general del exército y reino de Aragón, puesto á caballo. Se hadara a O rs. en las libre» rías de Escamilla, frente á las gradas: de S. Felipe, y de Zaragoza, calle de la</t>
  </si>
  <si>
    <t>Josef Rebolledo de Palafox y Melci</t>
  </si>
  <si>
    <t>calle de las Carretas, y de Villa, plazuela de Sto. Domingo. Proclama que dirigió á los aragoneses D. Josef Rebolledo de Palafox y Melci, brigadier de los reales exércitos, luego que le eligieron general de aquel reino._ Proclama del almirante ingles hecha en la rada de Cádiz á 11 de mayo.de 1808.—, 1.a prisión de</t>
  </si>
  <si>
    <t>n Perez. = Télesforo Iturralde. = Con su acuerdo, Josef Yanguas y Miranda, secretarte. = Excmo. Sr. D. Josef Rebolledo de Palafox y Melci.” Contestación. ,,'Nuncacreí, señores, quando en primeros de junio envié á petición de V. SS.' áTudela armas , municiones, y una división de 3® hombres al mando de mi hermanó para</t>
  </si>
  <si>
    <t>Josef Rech</t>
  </si>
  <si>
    <t>. 300 844 D. Felipe Siete................................................... Madrid....... 300 2009 D. Josef Rech......... ........ ................... ••••...... .* Cádiz.......... 300 3013 D. Pedro Garibay............................... .............. Madrid...... 600 1591 D. Pedro Luis de</t>
  </si>
  <si>
    <t>Joséf Repitado</t>
  </si>
  <si>
    <t>de Cuba í). Sebastian Kinaelan, y el que ha contraído en la acción el teniente koWjñadbr de Baracoa D. Joséf Repitado, que ia‘*dirigió con solói 7 soldados dél segundó batallón de lá Havana, 7 artillerdsjy ico hombres de milicias urbanas; comp igualmente el buen desempeñó que manifestaron el capi</t>
  </si>
  <si>
    <t>Josef Reta y Miguel</t>
  </si>
  <si>
    <t>.,»^, C,adiz.,«...«f. v &lt;5(03 059 Doña Antonia Molina de Risel, ....v^U*&gt;. Madrid*;...;*. 5 ÓO 2330 D. Josef Reta y Miguel........ .. Cádiz........ oóo i2if D. Juan de Aiuruaga,....................... ............... Bilbao........ 500 2452 D, Hilario Ximenez................ . Zaragoza.—. ; : fO® 2090</t>
  </si>
  <si>
    <t>Josef Rfoja</t>
  </si>
  <si>
    <t>cudero 4 camisas. D. Juan Luque 6. Un religioso 42 varas de coruña. Doña Joaquina Bradi 18 camisas. D. Josef Rfoja 6 de coruña. Las monjas de la Concepción francisca d*e la* ciudad de Guadalaxara i3. El Excmo. Sr. conde de Miranda 27, y su contador Don Francisco la Rúa a*</t>
  </si>
  <si>
    <t>Josef Rico Pablo</t>
  </si>
  <si>
    <t>... 3^8* D. J. M. V., 900 rs. anuales......................................................... 900. D. Josef Rico Pablo, secretario de cámara del duque de Bervick y de Alba, 2 rs. diarios, por 6meses......'......................... 367, D. A. A., por-una vez............. ............... ...........</t>
  </si>
  <si>
    <t>Josef Rio del Pino</t>
  </si>
  <si>
    <t>. Isidoro García Plaza. En Jaén................. D. Ramón María Montoro. En León................. . D. Josef Rio del Pino. En Málaga............ D. Juan Ximeno.4 En Mahon.............. Doña Catalina Germán y Hugalde. En Murcia............. Sres. Moreda y Ladalid. En Oviedo......... . D. Manuel Rubian</t>
  </si>
  <si>
    <t>Josef Ríos</t>
  </si>
  <si>
    <t>s de café y 3.0 de palo de me* rá. En el día 30entró también la goleta española el Tunante, capitán Don Josef Ríos , procedente de Cumaná, en 44 dias de navegación , trayendo de cargamento 540 fanegas de cacao de Caracas. Ambos capitanes dicen haberse proclamado en los dos puertos antes de su</t>
  </si>
  <si>
    <t>Josef Rivas</t>
  </si>
  <si>
    <t>l de milicias urbanas. A los tenientes de dichas milicias D. Juan de Viatica, D. Antonio Echavarri, D. Josef Rivas, D. Ramón Gorrondona, D. Juan Bastarte, D. Antonio Zavala , D. Francisco'Baldrich , D. Eugenio de Iturraga, Don Basilio Viola, D. Julián Viola , D. Juan Viola, D. Mauricio Xaplane</t>
  </si>
  <si>
    <t>Josef Rivas y Pérez</t>
  </si>
  <si>
    <t>á las gradas de S, Felipe. ■ . Antorcha de colmeneros ó tratado económico de abejas , compuesto por D. Josef Rivas y Perez. Esta obrita, tari ^preciable por su objeto de utilidad pública, lo es tanto mas por haber contribuido á. su formación la experiencia, por cuya razón sale libre de los muchos erro</t>
  </si>
  <si>
    <t>Josef Robleda</t>
  </si>
  <si>
    <t>.. ........... .......... 240. D. Luis Bantro, 300 rd. 'pot agosto..... ...... ............... 300. D. Josef Robleda, agenté de negocios, 100 id. por agosto....... . 100. D. F. I. V. , 40 id. por 2 meses........... ................................;......... 80. Josef Espina, repostero ¿20 id. po</t>
  </si>
  <si>
    <t>Josef Rodilla</t>
  </si>
  <si>
    <t>e se le echaban por el muro, y animando con el mayor calor á tóda la tropa y paisanage. El teniente D. Josef Rodilla, con el alférez y su compañía de fusileros, hicieron en esta ocasión un servicio mui importante y distinguido, incomodando al enemigo por el flanco derecho, contribuyendo á apresu</t>
  </si>
  <si>
    <t>Josef Rodríguez León</t>
  </si>
  <si>
    <t>rcetos de Blangini, todo para cantar al piano, y también con acompañamiento de guitarra, puesto por D. Josef Rodríguez León, músico de la real capilla de S. M .: una sonata para piano, de ICeirmair: concierto fácil de Pleyel para víolin: dúos de Vioti fáciles para dos violines: grande concierto de Devi</t>
  </si>
  <si>
    <t>Josef Rodríguez Pelaez</t>
  </si>
  <si>
    <t>conde de Raparaz y todas sus incidencias,dictado por ante el escribano de guerra de ja misma plaza D. Josef Rodríguez Pelaez, se lia mandado citar á junta generab de acreedores para el dia 31 del presenté ante S. E. y en sus_casa.sá las 10 de la mañana; lo que se avisa para que todas las personas que se</t>
  </si>
  <si>
    <t>Josef Rodríguez, Felipe</t>
  </si>
  <si>
    <t>Felipe Josef Rodríguez</t>
  </si>
  <si>
    <t>es de vales def año de 1 9qo, por una Tez...........;......................................... 722* D. Felipe Josef Rodríguez, dependiente de la fabrica de tapia tes, por una vez;.;;......40. D—Ramon Saez de Santa María , por una vez.l.....éóo* D. Domingo-Sainz de la Penay del comercio de fierro, por una</t>
  </si>
  <si>
    <t>Josef Roldan</t>
  </si>
  <si>
    <t>(D. Antonio Echesuria. Contuso.......... Subteniente. D. Blas de Luna. Extraviado..... Subteniente. D. Josef Roldan. Provincial de Bujalance. Muerto........... Subteniente. D. Josef Ariza. Extraviado...... Teniente...*. D. Juan de Melgara. Contuso........ Coronel....... Marques de Jas Atalayuel</t>
  </si>
  <si>
    <t>Josef Romaña</t>
  </si>
  <si>
    <t>. mensuales durante la guerra, 300. p. Simón de Ansótegui, por agosto á 12 rs. diarios, id., 372.~\ D. Josef Romaña en un recibo de vitalicio por una vez 1100 rs. V El duque de Medinaceli, por agosto á 20© rs. mensuales, 20©. \ D. Pablo Serrano , dependiente de su casa, por id. á 180 rs., id., 18</t>
  </si>
  <si>
    <t>Josef Romero</t>
  </si>
  <si>
    <t>ompañía al teniente,graduado de capitán,Don Miguel Bolangéro; tenencia al subteniente de granaderos D. Josef Romero, y subtenencia de bandera al sargento primero D.Juan Astrua: en el de Guadalaxara compañía al ayudante, graduado de capitán, D. Manuel de OrdoVas; ayudantía al teniente, graduado</t>
  </si>
  <si>
    <t>Josef Romero y Sequera</t>
  </si>
  <si>
    <t>............. 3 00 2371 D. Mariano Osorio, capitán.......... . »•••••• . Zaragoza:,;...: 500: * ^ n D. Josef Romero y Sequera... ., Cádiz. •••••■•, ICOO 3JJ 1841 Zaragoza...... 500 29 D. Josef Marugan............... ............. ... Zaragoza.;..*: 300 949 D. Josef de Bustamante.................. . Madri</t>
  </si>
  <si>
    <t>Josef Rosinos</t>
  </si>
  <si>
    <t>;mesés...,...l............1 45^ D. Gaspar García j cirujano, 2 id. pwí&gt;ri 2 id........ ...... 122. D. Josef Rosinos, uno y medio id. por 5 id......,.*......... . ... 229. D. Nicolás Palacios García, maestro de primerás letras, 2 id. por ^ 1 el.,,í,•.................,»...* 24I4-*li^. AoJtonic Mp</t>
  </si>
  <si>
    <t>Josef Rossi</t>
  </si>
  <si>
    <t>......... 300. D. Manuel Gutiérrez del Bustillo, id........................................ . 3 20. D. Josef Rossi, correo dé gabinete, id....................................... icco. D. Juan Cbavarría ,* rd.V„..............;................................ 750. D. Gregorio García j id........</t>
  </si>
  <si>
    <t>Josef Rubio</t>
  </si>
  <si>
    <t>4 D. Josef Rubio un recibo de réditos sobre la renta del tabaco, 560 rs, María Gutiérrez, por una vez 20 rs. _D. Diego Alderete, por una vez 200 rs. D. Josef Antonio de Uñarte, por agosto á 1© rs.</t>
  </si>
  <si>
    <t>Josef Rubio, Juan</t>
  </si>
  <si>
    <t>Juan Josef Rubio</t>
  </si>
  <si>
    <t>meses............................ ....................................... ............. ...... 61. D. Juan Josef Rubio, tesorero del marques de Villafranca, 2 id. por 6 id....,............................................*................. .•................... 3^8* D. J. M. V., 900 rs. anuales....</t>
  </si>
  <si>
    <t>Josef Rubio, Manuel</t>
  </si>
  <si>
    <t>Manuel Josef Rubio</t>
  </si>
  <si>
    <t>uña vez................... 200. D. Josef Collada, portero de cámara de S. M. , por una vez.... 120. D. Manuel Josef Rubio, abogado dél colegio, por una vez...... 200. D. Tadeo Bravo de Ribero, por una vez............. i... iboo. D. Lorenzo Rubio de Albarran, alguacil mayor jubilado, por una vez......</t>
  </si>
  <si>
    <t>Josef Rufo de DgSiíté y EspaifcaV y Di Francisco</t>
  </si>
  <si>
    <t>y Daeñafe ^J&gt;ínVicentáflez Yebra y Vaca Domingo TJlzamní ybPeráltd ManuelSandlm* y Arjona y Vargas, D. Josef Rufo de DgSiíté y EspaifcaV y Di Francisco ‘ Costa y Mut* .' ' ■ ■ ■ ■; : } '‘-J -1 . '::v*' r‘T^-r&gt;</t>
  </si>
  <si>
    <t>Josef Ruiz</t>
  </si>
  <si>
    <t>rgarita Casanova, sirvienta, lico y po rs. 8 J mrs. en efectos de 128.. r estado» í : . .....r,' :■ D. Josef Ruiz 206.. D. Juan Bautista deCiaran 300* j D. Antonio Fuentes Lopéz 60. D.í Pedro Nalda 240/ : ,.. D. Mariano Sancho, 100., Doña Manuela Moron 160. ' £ : D. Custodio Alcalde.y su hijo</t>
  </si>
  <si>
    <t>Josef Ruiz de Alcalá</t>
  </si>
  <si>
    <t>éro nuestras baterías les contestaron con tanto acierto, por la dirección del capitán de artillería D Josef Ruiz de Alcalá, que el enemigo no pudo menos de sorprehenderse. El canon de 24 colocado en la parte interior del portal empezó á hacer fuego con bala rasa y metralla, haciendo un estrago espanto</t>
  </si>
  <si>
    <t>Josef Ruiz de Santayana</t>
  </si>
  <si>
    <t>.»»»....«»»»• X*1 '.í'^x. -t El Sr. D. Tomas de Teran..... ............ ........... x &gt; ., &gt; El Sr. D. Josef Ruiz de Santayana.............. xs ¿ i D. Francisco Garrido^ presbítero .;»«u».».. x x ■ 1 , &gt;ü D. Andrés SevilíanoU4»....^;i».....L..i;...i...j»' ? 2 ^ . 2 y x &lt;Jabe*.*f r D. B. M¡, del comerció d</t>
  </si>
  <si>
    <t>stia pide no se publique su nombre, en id....,..... .................................. 6000. El Sr. D. Josef Ruiz de Santayana................. ............. 300. El Sr. D. L. de P- y G.............................................. 1000. El Sr.* Di Antonio Bailo................................... . 1000.</t>
  </si>
  <si>
    <t>- Josef A-lbuerne, id...................................... ................................. 100. D. Josef Ruiz de Santayana, comisario ordenador, y su hijo D. Santiago, comisario de guerra, sin embargo de haber sido - saqueada su casa ef 2 de mayo, en 2 vales reales de enero, * uno de 300 pesos,y el ot</t>
  </si>
  <si>
    <t>Josef Ruiz Manzano</t>
  </si>
  <si>
    <t>entapien el 25 del que rige, y al tercero siguiente se ha de celebrar su remate. Por providencia de D. Josef Ruiz Manzano, subdelegado en el departamento de Arjona en la diócesi de Jaén, se ha señalado'el dia 28 del corriente para- el remate de una haza de 67 fanegas de tierra, en el sitio de Cojival</t>
  </si>
  <si>
    <t>Josef Sabauy</t>
  </si>
  <si>
    <t>, por una vez.40000. 1 D. Ignacio Puchart, pintor, por una vez..... ......................... iqoo. D. Josef Sabauy canónigo de S: Isidro* á cuenta de 19 1$. por una vez.......................... .......... .............. .......... 320* D. B. M. F;, por una vez.................................</t>
  </si>
  <si>
    <t>Josef Sáenz de Sici</t>
  </si>
  <si>
    <t>der. .. 300 2195 D. Patricio'Alonso Nuñez............. ........... ........ Coruña....... 300 . 840 D. Josef Saenz de Sici lia................. .. Madrid........ 300 133 2 IX. Mgnuel ^Sebastian Gil del .Reinq..-..-........,,. '‘."Valencia...™ 600 iCdru ña...500 399 Doña Hebrea González de Urrutiá.....</t>
  </si>
  <si>
    <t>Josef Salazar</t>
  </si>
  <si>
    <t>de artillería de marina D. Francisco Millau ,y el comandante del puerto y de la fragata Proserpina D. Josef Salazar, á las 10 de la mañana de este dia, prestaron ante dicho señor capitán general el juramento de fidelidad á la religión , al Rei y á la patria, con la solemnidad que se requiere en</t>
  </si>
  <si>
    <t>Josef Saldias, Juan</t>
  </si>
  <si>
    <t>Juan Josef Saldias</t>
  </si>
  <si>
    <t>►».»„».„„... 300. D. Mateo Abena, por una vez.»....................... .......................... . D. Juan Josef Saldias, á cuenta de 8 rs. diarios por agosto..... 1*28. D. Juan Nepómuceno d¿ Aranda, por una vez.......................... JOO. D. Andrés de Tejada, tesorero de exército honorario, por</t>
  </si>
  <si>
    <t>Josef Salomón</t>
  </si>
  <si>
    <t>te general........ .......................................................... Valencia..... 300 332 D. Josef Salomón, Cádiz.................................. Cádiz........... 1000 1886 D. Josef Antonio de Barcena............................ Zaragoza..... 30.0 1225 D. Agustin Peceto de Andrés....</t>
  </si>
  <si>
    <t>Josef Salomón Fernández</t>
  </si>
  <si>
    <t>la parroquia de Sta. Cruz, en recibos de vitalicio icL.............. .............. ......... 1473. D. Josef Salomón Fernandez, procurador de villa, en un recibo del Fondo vitalicio iu.................... ............................ 562. D. G. de T. A., en vales reales id.................... ............</t>
  </si>
  <si>
    <t>del comercio., 10© rs: por una i L vez ,y 24 diarios,, y satisfacen 4 meses..i..:........ 12928^ í D. Josef Salomón Fernandez, procurador del número de esta e i villa, 2 rs. diarios , por agosto.............................—/. 62. j Josef de Catalina, maestro vidriero, por.una vez...................... 2</t>
  </si>
  <si>
    <t>Josef Sanabria</t>
  </si>
  <si>
    <t>ra, por el honroso servicio que han prestado en las ocasiones que se les ha ofrecido con su capitán D. Josef Sanabria y oficiales subalternos. Yo me glorío de haber sido gefe de tan dignas tropas , que han sostenido el honor y reputación de la nación española, y-dado á conocer quan capaces son de l</t>
  </si>
  <si>
    <t>pañía de lanceros de Xerez á las órdenes de D. Nicolás Cherif y la de voluntarios de Utrera a la de D. Josef Sanabria^ El teniente general D. Manuel de la Peña con su cuerpo de reserva , y el mariscal de campo D. Félix Jones , comandante de la tercera división , se apoderaron Ja mañana del 15 de</t>
  </si>
  <si>
    <t>ía de lanceros de Xerez, á las órdenes de D. Nicolás Cherif, y la de voluntarios de Utrera, i la de D. Josef Sanabria , han hecho servicios mui distinguidos. Si la conducta de los generales Reding y Coupigni es digna del mayor elogio, no lo es menos la del teniente general D. Manuel de la Peña, q</t>
  </si>
  <si>
    <t>Josef Sánchez</t>
  </si>
  <si>
    <t>600. D. Gabriel Rossi, id.................................................................... 240. D. Josef Sánchez, profesor de Farmacia , id................................ 200. D. Francisco Xavier de Elipe, escribano de cámara del consejo d¿ las Indias, en vales reales, id........ ..........</t>
  </si>
  <si>
    <t>Josef Sánchez de Castro</t>
  </si>
  <si>
    <t>. diarios............... .............................................•»»•.................... 184» D. Josef Sánchez de Castro , interventor del ñelato de la casa de la moneda , por agosto á 3 rs. diarios.................................. 93. . D. Tomas de Foronda, contador de cargo de la tesorería mayor,</t>
  </si>
  <si>
    <t>Josef Sánchez, Juan</t>
  </si>
  <si>
    <t>Juan Josef Sánchez</t>
  </si>
  <si>
    <t>adrid!...*!. ifód 2398 D. Pedro Bernardo de Lapeña.............. ....... . Zaragoza..*.'. 500 17 77 D. Juan Josef Sánchez......... .*.**........ Cádiz.......... 500 1617 D. Saturnino de Atueha. ...v..v....Bilbattñ.v..*.. £oor 1967 D. PasCual Martin de Vídacar....................... Zaragoza,....; -50</t>
  </si>
  <si>
    <t>Josef Sanmartín</t>
  </si>
  <si>
    <t>milicias; D. Juan Pras, ayudante de los tercios de Tejas; D. Juan dé la Puente, capitán de fragata; D. Josef Sanmartín, capitán agregado á Bórbon;. D.* Josef Mauri , capitán retirado; D. Antonio Moreno, teniente dfc Hafiuatería jde Cócdobaq el teniente , coronel D'. Juan Freire, cadete de reales g</t>
  </si>
  <si>
    <t>Josef Sansot</t>
  </si>
  <si>
    <t>neral eñ gefe, y se teme que en su desempeño haya sido arrestado por los franceses ó dinamarqueses. D. Josef Sansot , teniente graduado de capitán del regimiento de Borbon, y ayudante de campo del general en gefe, en Odensé: no abrazó la resolución de la división. D. Antonio Cibat, cirujano may</t>
  </si>
  <si>
    <t>Josef Sanz</t>
  </si>
  <si>
    <t>primero de cazadores de esta ciudad, compuesto de 1 i00 plazas ¿ aP mando» del coronel y comandante D. Josef Sanz. Pocos dias antes se había bendecido su bandera en el convento de nuestra señora y patrona la Virgen de la Victoria, y en el mismo dia la juraron delante del quartel del Carmen, á</t>
  </si>
  <si>
    <t>Josef Sarden, Juan</t>
  </si>
  <si>
    <t>Juan Josef Sarden</t>
  </si>
  <si>
    <t>al frente de Sepúlveda, es de 1© caballos poco mas ó menos, según los últimos avisos del brigadier D. Juan Josef Sarden, con 4 piezas de artillería y poca infantería, lo que demuestra ser un pequeño cuerpo de observación de nuestros movimientos; y como que en aquel día nada tenia que comunicar en p</t>
  </si>
  <si>
    <t>ian ¿ la mano para refrescar las tropas. Le dice el comandante del puesto de Sepúlveda el brigadier D. Juan Josef Sarden , coronel del regimiento de caballería de Montesa, que le atacaron en la madrugada los enemigos con 3500 á 4® hombres de infantería, 1500 caballos y 4’piezas de attjUería^ y que l</t>
  </si>
  <si>
    <t>o Fermín Perez; y 3 escuadrones de caballería , uno de Montesa, al mando de su coronel el brigadier D. Juan Josef Sarden, y 2 de Alcántara, al mando del teniente coronel, graduado de coronel, D. Rafael Mariano, y 6 piezas de artillería, baxo el mando del capitán D. Cayetano £ lengua. • i . SN LA IMP</t>
  </si>
  <si>
    <t>Josef Sarríera y Quinquer</t>
  </si>
  <si>
    <t>segundo endosó estaba a D. Juan Cara vallo y Vera, quien en 1 2 de noviembre lo endosó en Sevilla á D, Josef Sarríera y Quinquer. Quien supiere de su paradero, se servirá avisar a D. Josef Padros en esta corte , o en Barcelona á los Síes. Sarríera, hermanos y compañía. En la ciudad de Soria se hallan vacant</t>
  </si>
  <si>
    <t>Josef Sarro y Vidal</t>
  </si>
  <si>
    <t>no._É)e 600 pesos uno torij el núm. 396251, con encabezamiento á I&gt;. Manuel Xímeno: 8 encabezados á D. Josef Sarro y Vidal, núms. 378638, 390323, 394145» 394*73» 394873» 39ó7*2» 402577 y 403820 :* 20 encabezados,;á D.Roque Fernandez, jnúms. 381004, 381507, 38434*» 385727» 388c*9, 388978, 389262, 39199</t>
  </si>
  <si>
    <t>Joséf Saturnino</t>
  </si>
  <si>
    <t>Madrid.....„. 300 : 227 -D.- Juan-María Marín.Garnica................... . Alicante...... 300 ^433 *D. Joséf Saturnino de.la.Quintana......... . Cádiz......... 3 co 1 80 D. Gil FaBra y Baznola...... ............................. Barcelona.... 0 0 : 803 D. Juan Saenz de Santa María....................</t>
  </si>
  <si>
    <t>Josef Screller</t>
  </si>
  <si>
    <t>Arrúé de Azcoytia. S. Sebastian. IOOO 1605 D. Ignacio de Minondo.........Bilbao.......... 500 2008 D. Josef Screller............................. ................... Cádiz........... 500 2343 Excmo. Sr. Marques de Villafranca............... Zaragoza..... 3GO \ SORTEO DEL DIA 5 DE ABRIL. 2026 D.</t>
  </si>
  <si>
    <t>Josef Se</t>
  </si>
  <si>
    <t>Castillo , frente á S. Felipe. Puede ir #n carta. Óraciod fúnebre qué se predico en las exequias dé D. Josef Se vero López, que CfiJqfcufajrq* tus discípulos en k iglesia de PP. dominicos de Sto. Tomas de esta cor</t>
  </si>
  <si>
    <t>Josef Señan y Velazquez</t>
  </si>
  <si>
    <t>ses....,...... .................................................... ........................... 12. D. Josef Señan y Velazquez , oficial del departamento del. Fermento y Balanza, 100 id. durante un año, por agosto......... . 100, El núsmo, por una vez en intereses de vales ceales del año de .1800....... .</t>
  </si>
  <si>
    <t>Josef Serrano y Monzon</t>
  </si>
  <si>
    <t>rid .....i.* 500 *2339 D. Pedro Ricarde.............................. ......... Zaragoza.. je© 1325 D. Josef Serrano y Monzon............................. Valencia.....' 5#© 1942 Sra. Condesa viuda de Bureta......................... Zaragoza..... 300 65 D. Josef María de Espujol y de Villalba...... Barce</t>
  </si>
  <si>
    <t>Josef Severino Urruela</t>
  </si>
  <si>
    <t>. 100. '' D. Josef María Costa, por agosto.............................. .................. 40. ; _ D. Josef Severino Urruela........................... .................................. 20. D. Francisco Xavier del Moral , por un mes.................. ............. 180. ■ D. Josef Fontenelle, grabador d</t>
  </si>
  <si>
    <t>Josef Severo López</t>
  </si>
  <si>
    <t>lo,frente á las gradas de S.Felipe,y en la de Ranz, calle de la Cruz,á 30 rs. en pasta. . Elogio de D. Josef Severo López, compuesto y leído 4 la real academia médica de Madrid, en junta ordinaria del 24 de diciembre último, por su discípulo D. Tomas García Suelto, académico de número. Se hallará en</t>
  </si>
  <si>
    <t>la de Vila ? y en la Coruña en la de Soto. r J. gxabado. ' J -T Retrato de I). Josef Severo López, médico de cámara de S. M., director y primer catedrático del real estudio, de medicina práctica, dibuxado y grabado con la mayor exactitud por Rodríguez. Se hallará en la librería de Cas</t>
  </si>
  <si>
    <t>que se usan en la mayor parte del reino: noticia de Ausias March y sus obras: crítica dél elogio de D. Josef Severo López , compuesto por: D. Tomas García Suelto: noticia crítica dél .papel intitulado Idea del teatro pintoresco y mecánico; y el artículo variedades, que contiene la relación dé un fenó</t>
  </si>
  <si>
    <t>tampa en medio pliego de papel de marca mayor, que representa el cenotafio erí cido á la memoria de D. Josef Severo López por sus discípulos en las exequias celebradas en el convento.de padres dominicos de Sto. Tomas de e$ta corte; inventado y dibuxado por D. Silvestre Perez, y grabado por Rodríguez.</t>
  </si>
  <si>
    <t>JoSef Simonel y Estrada</t>
  </si>
  <si>
    <t>uLl.üj2 i -¿ 400I -. O. D. Josef Ldpez Engufdanbs; pinrorndeaéát»ar3tt,ipbr ¡u»4^ek.,AVdi jjoovO--* D. JoSef Simonel y Estrada, agente de losr*eaíes consejosypbr :' uri3 vQZmpp1 »••• *••••••••••••••'•*#• *f••••••*«»•«*'*y*v**4•*••• **•• ’ 40* ' La archicofradía sacramental de S‘. MaírtiÁ/y^riuna^ve?;.^^..</t>
  </si>
  <si>
    <t>Josef Soler</t>
  </si>
  <si>
    <t>as fixas veteranas de artillería á los sargentos primeros de los regimientos del propio real cuerpo D. Josef Soler y D. Antonio del Barrio para las compañías de Almería; D. Matías Carrascon para la de S. Sebastian, y D. Juan García para la de Ceuta. ^E1 Reí se ha servido conferir el empleo de teni</t>
  </si>
  <si>
    <t>Josef Sta</t>
  </si>
  <si>
    <t>n, distante 2 leguas de aqui, y á las 9 de la noche llegó el capitán, graduado de teniente coronel, D. Josef Sta. María con 2 subalternos y 60 caballos: en aquella hora preparé mi expedición, y antes de las 12 de la noche me dirigí al rio con el citado mi segundo el brigadier Moreno, y con l</t>
  </si>
  <si>
    <t>Josef Suarcz Solis</t>
  </si>
  <si>
    <t>s frutales: Manuel Alvarez dé S.Román, de Candamo, tiene en la propia forma plantados y presos 334* D. Josef Suarcz Solis tiene también 510: el mismo Josef de la Pipa, ya dicho, ha segado toda su cosecha de pair con hoces: D. Juan Arecós Cuervo, de,Pronga tiene plantadas, presas y en buen estado 8105</t>
  </si>
  <si>
    <t>Josef Sureda</t>
  </si>
  <si>
    <t>D. F. N., id....................................... ......................................... 320. D. Josef Sureda, conserge del real gabinete de máquinas, 40 rs. mensualmente, y 1© id.................................... ................... . 1040. Josef Matiella, cochero , id.................</t>
  </si>
  <si>
    <t>Josef Suria</t>
  </si>
  <si>
    <t>arti, teniente coronel del regimiento de España; D. Josef Mar^ tin Echenique , comisario de guerra; D. Josef Suria, comisario de entradas de hospital: se hallaban con destino en Zelanda. Regimiento de infantería de Zamora. Capitán D. Mariano Vaquer; tenientes D. Juan Gamarra y D. Manuel</t>
  </si>
  <si>
    <t>Josef Tagie y Velarde</t>
  </si>
  <si>
    <t>total 175930. Las persona* que quieran hacer postura acudirán en el expresado término ante el Lie. D. Josef Tagie y Velarde, alcalde mayor de dicha villa, que se halla comisionado para su venta, per la escribanía de ayuntamiento á cargo de Fernando Antonio Gonzalo; con ia prevención de que su remate es</t>
  </si>
  <si>
    <t>Josef Tagle y Velarde</t>
  </si>
  <si>
    <t>a escribanía que desempeña en dicha villa de Velez-Blañco D. Pablo Gómez Bafion. Por providencia de D. Josef Tagle y Velarde, juez comisionado regio en la ; diócesi de Sigtienza , se ha señalado el dia ió del presente para el remate de una casa-huerta fanegááde tierra, s i tasen los términos de la villa</t>
  </si>
  <si>
    <t>Josef Tejada y Ruiz</t>
  </si>
  <si>
    <t>... 180. D. J. A. C........................ .......... ............................. ...... .. 500. D. Josef Tejada y Ruiz, oficial 2.0 de la secretaría de Hacienda de Indias............ ................ ...................... 500. D. Apolinar de Iguaran, del comercio ..........i..500. D. Antonio Mart</t>
  </si>
  <si>
    <t>Josef Teodoro Santos</t>
  </si>
  <si>
    <t>. 10. Ignacio Fernandez, id.................................................................... 60. D. Josef Teodoro Santos, abogado, id.................................... IOCO. D. Antonio Hernández Medina , ayuda de furriera de S. M., id. 200. Juan Acero, tendero, id....... ...... ...................</t>
  </si>
  <si>
    <t>F. A. 40, í D.. Antonio y D, Josef Zayas 100. Doña María «Carrascal 8q. 1, ; Doña María García 30. D. Josef Teodoro Santos, # ;abóga-i Juan de Noy a 20, - do, 180,•••. si f ro.rf 'Xi Manuel López 24. D. Josef Lese roo. v¡ ;/• 'A Julián D.elgado 20. Doña M. de A. una caxa de plata D. Pedro Pérez Juana,</t>
  </si>
  <si>
    <t>Josef Tinéo</t>
  </si>
  <si>
    <t>erólo. gentío, que nfó sé separó de los viajantes hasta la casa del caballero procurador, del común D Josef Tinéo, señor de Noceda, que á fuerza de grandes instancias logró hospedar á tan digno personage. Continuó el pueblo, por i la noche eft la plazuela y calle alternañdó; sus vítores y mil</t>
  </si>
  <si>
    <t>Josef Tinoco</t>
  </si>
  <si>
    <t>paña y otros útiles para el servicio de sus tropas, avisa de Canfranc con fecha de 26 de este mes á D. Josef Tinoco, y este á nuestro general, que dispuso pasar á dicha -fábrica con 160 hombres y algunos vecinos de la villa, prácticos del terreno, y que en su marcha logró arruinar la venta de P</t>
  </si>
  <si>
    <t>Josef Toledo</t>
  </si>
  <si>
    <t>e honrar con el recuerdo mas expresivo, y de re-, comendará la, gratitud de la patria la memoria dé D. Josef Toledo, ttnien-; te del regimiento de infantería de Saboya, que ha muerto de un balazo de¿ cañón ; al artillero Josef García, y á otros paisanos, cuyos nombres no hemos podido adquirir.</t>
  </si>
  <si>
    <t>Josef Tomás de Tercilla</t>
  </si>
  <si>
    <t>. D. Gregorio Marín, id...................................................................... 1500. D. Josef Tomas de Tercilla, administrador jubilado de la casa arbitrio de la nieve, id............ ..................................................... 1000* D. Benito Mendez, secretario de la junta superi</t>
  </si>
  <si>
    <t>Josef Tornadla</t>
  </si>
  <si>
    <t>........ 32* Juan Rodríguez, 16 id. id.......;.......'.:..................................... . 32. D. Josef Tornadla, 60 id. por agosto.................................... ..r. 60. Miguel Fuster, 80 id. id~................................................................. . 80. Doña Isabel Merino</t>
  </si>
  <si>
    <t>Josef Tornes</t>
  </si>
  <si>
    <t>......... 300 2151 D.. Antonio González Viejo............................. Coruña....... ¿*300 2124 D. Josef Tornes......................................... . Zaragoza..... 500 1859 D. Julián de Fuentes, regidor.^.......i............ Zaragoza»..' 30CÜ 2099 D. Lorenzo Dastis Cádiz»!»».» 6ód 1012</t>
  </si>
  <si>
    <t>Josef Torrecilla</t>
  </si>
  <si>
    <t>Malpartida de Cáceres, en la diócesi de Coria, vacante por muerte dé 'Dón Pedro Sánchez Castela 9 á D. Josef Torrecilla.'7 ;. " ■v ’' ' í ^ • El Reí se ha servido nombrar á D. Ramón García para una ración pa■ • ' ’l íl ' V '1* v- --f. -• r • t vi C,á I &gt; ■ ^ I, - ,JJ / _ ■•1 'J ■r7 ' ■ ' i : ■ :___</t>
  </si>
  <si>
    <t>Josef Torres y Amat</t>
  </si>
  <si>
    <t>S. Ildefonso.~Por mandado de S.S. I. el arzobispo abad mi señor ,D. Josef Torres y Amat. Es de esperar que los buenos prelados que tiene España, á exemplo del digno arzobispo y abad de S. Ildefonso , se muestren en esta ocasión áffgeIos de paz para con los pueblos de</t>
  </si>
  <si>
    <t>Josef Travieso</t>
  </si>
  <si>
    <t>. ..................... .................. ¡ 40. D. Antonio Cadenas, mensualmente.¿........ ....... D. Josef Travieso , por una vez................... ......... ...................... 320. La comunidad de S. Cayetano a bandejas y, 4. candeleras de plata, con .peso de 187 onzas. Domingo Fernandez,</t>
  </si>
  <si>
    <t>Josef Tresen</t>
  </si>
  <si>
    <t>bandeja de plata. D. Antonio de Lerin, por una vez....................................... . 20000. D. Josef Tresen, por .una vez............................................ ............. 300. D. Agustín Esteve, pintor de cámara, por una vez................ . 320. / D. Miguel de Simancas, ofici</t>
  </si>
  <si>
    <t>Josef Ugena</t>
  </si>
  <si>
    <t>........... . 320. D. Ramón García Muñoz, 60 rs. id. id........................................ 60. D. Josef Ugena, 30 id. id..... ................................. ............. ........... 30. D. Tomas García Prieto, procurador de fos reales Consejos ,500 rs. por una vez, y 186 por agosto á</t>
  </si>
  <si>
    <t>Josef Urrutía</t>
  </si>
  <si>
    <t>omo desean , asi porque en Mallorca tal Vez sé les ofrecerán brillantes ocasiones (i) El Excmo. Sr. D, Josef Urrutía , año de 1795 , desde cuyo tierrípó file su dignísimo coronel -él Exélno. 'Sf. clhárqüés ! d’eL Pálácio, cápitári gcneral del exército yf&gt;rincipado 'dcdttjlfiñi. : \</t>
  </si>
  <si>
    <t>Josef Valdes</t>
  </si>
  <si>
    <t>dantes, graduados de capitán, D. Juan Casado y D. Juan de Vergara , y empleo de teniente al alférez D. Josef Valdes; y en el de cazadores de Olivencia ayudantía ai capitán D. Josef Barrera, teniente del mismo cuerpo. En América. El Reí se ha servido nombrar para la canongía magistral de la cate</t>
  </si>
  <si>
    <t>Josef Valdés</t>
  </si>
  <si>
    <t>. Gerardo Roberti; tenencia al subteniente D. Poíicarpo Algarra, y subtenencia de bandera al cadete D. Josef Valdés: en el de Valencia compañía al tememc de granaderos, graduado de capitán, D. Joaquín de Eguiarreta: en el de León compañía al caballero page de S. M. D. Hilaripn de Pazos: en el d</t>
  </si>
  <si>
    <t>Josef Valenzuela</t>
  </si>
  <si>
    <t>........ 20a. D. Josef Lesé, ídem, por una vez..........................................»..... 200. D. Josef Valenzuela, agregado ai ministerio de España en Hoi.&gt;ida, por una vez........................................................................ 160. D. Francisco Angles, oficial de ía secretar</t>
  </si>
  <si>
    <t>Josef Valera</t>
  </si>
  <si>
    <t>pueblo. Apésar de esto efectuó su desembarco, se apoderó de la batería del Registro, dexó en ella s D. Josef Valera, alférez de Fragata , comandante del falucho cañonero, que se le había reunido, tomó después la fortaleza de S. Antonio, y sabiendo que la compañía francesa de setenta hombres hui</t>
  </si>
  <si>
    <t>Josef Vasallo</t>
  </si>
  <si>
    <t>iembre de 1808. Excmo. Sr. D. Pedro Mendinueta. = Excmo. Sr. D. Antonio Luis del Real. = Excmo. Sr. D. Josef Vasallo. = Excmo. Sr. marques de Alcpcebar. = Sr? p. Josef Salazar. =Sr. D. Manuel Fernandez del Burgo. = Sr. D. Josef Antonio de Bor ja. =sSr.D. Vicente Aguí lar y Jurado.,=:Sr. D. Felip</t>
  </si>
  <si>
    <t>Josef Vázquez Cerbela</t>
  </si>
  <si>
    <t>de vitalicio , id................... ....... ............................................... 2129. D. Josef Vázquez Cerbela, id............................... ..................... 550. A. M., id....................................................................................... 60. D. Agustín de la</t>
  </si>
  <si>
    <t>Josef Vázquez Figueroa</t>
  </si>
  <si>
    <t>or una vez................................................. ............................. . • 2100* D. Josef Vázquez Figueroa, oficial de la secretaría dé Marina,&gt; . &gt; en intereses de vales reales de 1800, id..*........... .......1»:. -,53124 25. D. Benito de Villanueva, agente de negocios, id...........</t>
  </si>
  <si>
    <t>Josef Veguer</t>
  </si>
  <si>
    <t>baxo la base de los buenos cuerpos de tropa viva. El Coronel del regimiento de zapadores minadores D. Josef Veguer, ha dirigido á esta Suprema Junta la expo</t>
  </si>
  <si>
    <t>Josef Ventura Pastor</t>
  </si>
  <si>
    <t>las posiciones preternaturales en que se presentan las criaturas en el tiempo de su nacimiento, por D. Josef Ventura Pastor, cirujano del hospital general de la Pasión, y comadrón en esta corte: 2 tomos en 4.0 Se hallarán en casa del autor, calle de la Concepción, esquina á la de Barricnuevo, y en las</t>
  </si>
  <si>
    <t>Josef Vicedó</t>
  </si>
  <si>
    <t>r al Rei y álápatriaf Cartagena 5 de agosto def 1808.= Por acuerdo dé la junta, Josef Vicedó, secretario.” __ .r-rrít*ic •' 07r:*fJt t.v. o.uu.íí:i.•:.? 'V, ;;"v 1 r"’í ü": ‘Sevilld^-de ágóstól r i ,u ‘ ■ Él júévesí 4 del-corrienté se cümplió; en esta Iglesia cátedtab él-rélíglósó wt</t>
  </si>
  <si>
    <t>Josef Víctor</t>
  </si>
  <si>
    <t>. 700 238 6 D. Ignacio María Villa................... ....................... Zaragoza..... 300 416 D. Josef Víctor.0 Gallardo........................ . Santander.... y 00 f9 D, Juaq Buch................................... ..................... Barcelona...» 600 *934 D. Felipe Montes...........</t>
  </si>
  <si>
    <t>Josef Victoriano García Pelayo</t>
  </si>
  <si>
    <t>s de 1807 y 1808, y ico rs. en metálico................................ ..... .............. 3300 * D. Josef Victoriano García Pelayo, pintor, por agosto á 20 rS. mensuales.................................................. ............... ............... . 20. ~ D. Gregorio García López, administrador de los dep</t>
  </si>
  <si>
    <t>Josef Vidal</t>
  </si>
  <si>
    <t>sus herederos; D.. Francisco Puente, Josef Duran, maestro,sastre, los herederos de R. Jiiari Prada, D. Josef Vidal, Don Fermin Fernandez, y demas que tuviesen derecho ;á los bienes que quedaron por fallecimiento de Doña Isabel Tarroja, situados en la villa de Canillejas, para que en el preciso</t>
  </si>
  <si>
    <t>Josef Viilarroei</t>
  </si>
  <si>
    <t>del regimiente . Idem del Infante, Coronel D. Francisco Mariano; capitán D. Josef Alarcon; teniente D. Josef Viilarroei; cirujano D. Juan Arques, en Hamburgo: enfermos. Capitán D. Juan Duraillo, en id.: para asistir á dicho convite. Teniente coronel agregado ©. Agustín Duboix; Capitán D. Gabriel Ta</t>
  </si>
  <si>
    <t>Josef Vila y Carrera</t>
  </si>
  <si>
    <t>i B. Agustín Vilaé hijos, en Cádiz á los señores Llauge Roma y compañía, y en Barcelona al referido D. Josef Vila y Carrera.</t>
  </si>
  <si>
    <t>Josef Villasante</t>
  </si>
  <si>
    <t>r def parteyií^ :ftf.; 4 por una Vez y -ioo rs* mensuales. .;X..U4.4i.;4« &lt;. ..v -....... .11 oo. 4 D. Josef Villasante ,-propietario, pop agosto- á óo rs. mensvules.. ^ 60; D. Sancho dé Llamas ,-deí consejó detiacienda\ mensuáilmen^b.:^.¡0206. Xi D. Juan Menini, cirujano hernista, mensual mente...</t>
  </si>
  <si>
    <t>Josef Villodas Bilbao, Juan</t>
  </si>
  <si>
    <t>Juan Josef Villodas Bilbao</t>
  </si>
  <si>
    <t>iz........... 3°° 836 D. Fermín Carnerea Vela................. ..........¿». Madrid....... 500 1211 D. Juan Josef Villodas Bilbao....... ................ Bilbao»....... 300 1470 D. Manuel Carretero................. -.............. ....... &gt; Málaga........ IOOO 2429 D. Pedro Matamoros y Pacheco...... ........</t>
  </si>
  <si>
    <t>Josef Viñas</t>
  </si>
  <si>
    <t>tos de estado. Facundo Méndez 21. . . D. Fernando Cárnico 300. D. Josef Bonilla 160. r d: f. m. 75. D. Josef Viñas 20. . D. M. F. 30. D. Manuel de Roxas 80. ' D. Pedro Barbería 200. D. Juan Gil de Arana 60, . * D.; £.; B. 1$. I D ña Justa Rutina de la Puente 20¿ D. Manuel Olivares 100. Doña Ma</t>
  </si>
  <si>
    <t>Josef Virues</t>
  </si>
  <si>
    <t>ado. Cádiz 21 ée Octubre* El lunes 17 tomó posesión de! gobierno de esta plaza el mariscal de campo D. Josef Virues , que lo era de Sanlucar de Barraroeda, y el miércoles 19 salió de ella el Excmo. Sr. D. Tomas de Moría , con deftino á Aranjaez, para ocupar su plaza en la Junta general de Guerr</t>
  </si>
  <si>
    <t>21 de octubre. , ^ í El liarte* ‘ *7 tomó posesion del goBierfo de ésta plaza el mariscal de campo D. Josef Virues, que lo era^de Síuiiúcar de Barrameda,y elmiiér*</t>
  </si>
  <si>
    <t>Josef Vírues</t>
  </si>
  <si>
    <t>z entre Rusia y Suecia. ESPAÑA. Cádiz 8. de Diciembre. Ayer recibió órden nuestro gobernador el Sr. D. Josef Vírues, del Excmo. Sr. príncipe de Montarte, capitán general de Andalucía, en que le comunicaba la de la Junta suprema de Sevilla, con feqha del 6 , manifestándole ia necesidad absoluta</t>
  </si>
  <si>
    <t>Josef Vitoriano Gallardo</t>
  </si>
  <si>
    <t>ría general, y tesorero honorario de exército, 50 id. id........................................... D. Josef Vitoriano Gallardo, 100 id. id....;................................. 100. D. Manuel Cañamero, 60 id. id.............. ................................. .... 60. Josef García, botillero, anualmente..</t>
  </si>
  <si>
    <t>Josef Vlia y Carrera</t>
  </si>
  <si>
    <t>juez comisionado real en Toledo, por la escribanía que exerce D, Josef da Covos. • •' ■ avisos. ■ A D. Josef Vlia y Carrera, vecino de la ciudad de Barcelona, ce fe han extraviado los vales reales siguientes: 2 de 600 pesos, deja creación de i.°de mayo, núms. 406365 y 404386: 5 de goo, de la misma crea</t>
  </si>
  <si>
    <t>Josef Xavier de Goitia</t>
  </si>
  <si>
    <t>ib 5 8 celestísimo señor.=Como secretario de la junta y de su orden, D. Josef Xavier de Goitia.=: Excmo. Sr. D. Josef Palafox.” (Gazeta extraordinaria de Zaragoza núm. 7.) : ! . : Madrid 23 de agosto. Representación dirigida al supremo consejo de Castilla por el limo. Sr* o</t>
  </si>
  <si>
    <t>Josef Xavier de Lardizaba</t>
  </si>
  <si>
    <t>úmentadp con muchas notas y un discurso, por el segundo ayudante mayor de reales guardias Españolas D. Josef Xavier de Lardizaba 1: 2 tomos en 4.0 Esta obra es muí recomendable y útil á toda clase de personas, principalmente á los militares, por la solidez y estilo con que está escrita. Se hallará en la lib</t>
  </si>
  <si>
    <t>Josef Ximehez, Juan</t>
  </si>
  <si>
    <t>Juan Josef Ximehez</t>
  </si>
  <si>
    <t>...... 500. D. Andrés de Solaun, por una vez.................. .................. ¿&gt;...... . 1600.; D. Juan Josef Ximehez, agenté de negocios , á cuenta de 1 ico • rs., pór una vez.......... .................... .............. ................... ..... .55°. Doña María Teresa Soto y Cárdenas, por una</t>
  </si>
  <si>
    <t>Josef Ximenez</t>
  </si>
  <si>
    <t>a que había inmediata al arco triunfal otra en las galerías del palacio del Sr. obispo el limo. Sr. D. Josef Ximenez. „ ’ Este dignísimo prelado alojó en su palacio al Sr. Reding con el sargéh-&gt; to mayor y ayudantes; y ademas de haberles dado la mesa en los ¿os días que permanecieron aquí, en la</t>
  </si>
  <si>
    <t>Josef Ximeno</t>
  </si>
  <si>
    <t>flladon tenia en su mano el retrato de nuestro Rei. Las otras 4 , pintadas por el pintor y grabador Don Josef Ximeno, eran la primera un león, que dispertaba al ruido del vuelo de una águila, la que retrocedía de su dirección solo con mirarla aquel: la segunda aína matrona que figuraba la España</t>
  </si>
  <si>
    <t>Joséf Ximíenez de Ascárace, Estéban</t>
  </si>
  <si>
    <t>Estéban Joséf Ximíenez de Ascárace</t>
  </si>
  <si>
    <t>Los preterid ientes;idirigirán stis memoriales, con la razón dé méritos,-' á D; Estéban Joséf Ximíenez dé Ascárace, secretario de su ayuntamiento, dentro’ del‘ té^ráih'6 de un més^contadó desde esta publicación, y fenecido lo proveerá en' ei-rttié^idi^ífóítiíU qütí tupiere4 pOí conveniente. -r*&lt;Sfetftljil</t>
  </si>
  <si>
    <t>Josef Yagüe</t>
  </si>
  <si>
    <t>e D. Francisco de Toxar; en Valladoíid en ia de la viuda é hijos de Santanders en Zaragoza en la de D. Josef Yagüe: y en Santander en la de D. Josef Haro y Arriada. El precio de la subscripción por 4. meses, para fuera de Sevilla franca de portes, es 30. rls. vn. y para dentro de la ciudad por</t>
  </si>
  <si>
    <t>Josef Zacares</t>
  </si>
  <si>
    <t>, en Hamburgo: con licencia. Teniente D. Rafael Riesch, en id.: para él citado convite. Subteniente D. Josef Zacares: fue á llevar pliegos á los cuerpos del Jutland para que se uniesen á la división, y se recela ajue los daneses lo arrestaron á la vuelta en la Fionia. Regimiento de caballería de</t>
  </si>
  <si>
    <t>Josef Zanglada</t>
  </si>
  <si>
    <t>reinante, y en las demas señaladas D. Tomas de Veri. en las mismas leyes; y finalmente todo lo que D. Josef Zanglada de conduzca al bien y felicidad d» estos reinos, Togorel. y mejoría en sus costumbres, guardando sePor Murcia. creto en lo que fuere de guardar, apartando El citado Presidente in- de</t>
  </si>
  <si>
    <t>retario el Exorno..Sr. D. Antonio Corne!. En fin, la secciónde. marina, consta de ios Excmos. Sres.,D. Josef Zanglada de..</t>
  </si>
  <si>
    <t>Josef Zanglftvdaron</t>
  </si>
  <si>
    <t>as desde la salida de la : Veri. k „;; c'apilla hasta la escalera del real palacio, se trasjaE1 Sr. D. Josef Zanglftvdaron i una de las .salas principales de él, destinada da de Togores. por ahora para la celebración de las juntas. En la^ ■ Por-rAfüecu?i-‘\ todas clases -y condiciones El Sr. President</t>
  </si>
  <si>
    <t>Josef Zayas</t>
  </si>
  <si>
    <t>Casado 20. D. Francisco Ximenez Panlagua 40i D. Antonio Gay oso 10. D. M. F. A. 40, í D.. Antonio y D, Josef Zayas 100. Doña María «Carrascal 8q. 1, ; Doña María García 30. D. Josef Teodoro Santos, # ;abóga-i Juan de Noy a 20, - do, 180,•••. si f ro.rf 'Xi Manuel López 24. D. Josef Lese roo. v</t>
  </si>
  <si>
    <t>Josef Zerero</t>
  </si>
  <si>
    <t>expresado cuerpo de patriotas , con grado de subteniente, D. Juan Jo— sef Ferrer, D. Josef Beruti , D. Josef Zerero; á D. Francisco Osoro , Dop Juan Abundante Boqúi,&lt;D. Juan Bautista Ceiaya.-y D. Jósef María Coitia, ayudante mayo?, y tenientes del cuerpo de maestranza establecida en la fortalez</t>
  </si>
  <si>
    <t>Josef'Ángel de Recacochea</t>
  </si>
  <si>
    <t>Oíiciiz* • IOOO 773 D. Juan Antonio Sánchez Heredia.................. Madrid ............ 300 2140 D. Josef'Angel de Recacochea........................ Zaragoza*.... 500 2211 D. Salvador Ribera é hijos....»......................... Coruña........ 300 1016 D.. Sándalo. Mexía............................... .</t>
  </si>
  <si>
    <t>Josef, Juan</t>
  </si>
  <si>
    <t>Juan Josef</t>
  </si>
  <si>
    <t>teniente de gobernador auditor de guerra y asesor del gobierno é intendencia dé Mérida de Yucatán á D. Juan Josef . Flores Alatorre, asesor del tribunal de la acordada de México. i El día i .° de enero del presente año falleció en Zaragoza , á los 82 años cumplidos de su edad, el limo. Sr. D.</t>
  </si>
  <si>
    <t>rs., y 300 por agosto á joo rs. mensuales.................................................. 12300. D. Juan Josef rerez de la Fuente, 1500 rs. por una vez, y 120 por agosto................................................................. .......... 1620. D. Juan de Andujar, presbítero, por ag</t>
  </si>
  <si>
    <t>Josef, Miguel</t>
  </si>
  <si>
    <t>Miguel Josef</t>
  </si>
  <si>
    <t>.22 de mayo dek868.=s Al decano del consejo.” ; &gt; Conria propia fecha ha coimúnicado el Excmo. Sr. D. Miguel Josef der Azanza al limo. Sr. D. Arias Mon, decano del consejo y cámara, la real orckenque¿sigue: • ó- r &gt;r ■. ..'ó! , .r . •i; .j,Il&lt;tio¿ Sr;: Teniendo en consideración el Lugar-Teniente.</t>
  </si>
  <si>
    <t>Josefa Aguilar</t>
  </si>
  <si>
    <t>Sta. Isabel, núm. 8., inmediata al nuevo hospital. Lo que «e avisa al público para su inteligencia. Doña Josefa Aguilar hace bragueros de nueva invención, mas cómodos que los .de hierro, 9Ín que cause molestia alguna al paciente que Jo lleve puesto, y con Ól puedebacer qualquicra fuerza y movimient</t>
  </si>
  <si>
    <t>Josefa Aguírre y Yeldi, María</t>
  </si>
  <si>
    <t>María Josefa Aguírre y Yeldi</t>
  </si>
  <si>
    <t>de S. M. en el real de las Ordenes, én iriteréses de vales del año de 1800, por una vez... 5144 8* Doña María Josefa Aguírre y Yeldi, id..................................... 60. Los dependientes del real sitio y bosque de la casa del campo, id. 3860. Vicente Balaguer, id.........................................</t>
  </si>
  <si>
    <t>Josefa Almendros</t>
  </si>
  <si>
    <t>, — —j- — ~w zada de Calatrava, remitieron 6o varas de lienzo para camisas. Doña Josefa Almendros presentó varios vendajes, arreglados según arte para fracturas de las extremidades. Doña Victoria Tovar 3 libras de hilas y 24 vendas. Doña Susana Carrera 3 libras y media de hila</t>
  </si>
  <si>
    <t>Josefa Álvarez</t>
  </si>
  <si>
    <t>30 0 IS52 D» Antonio dé Bengoeehea....... . .. Bilbao......................... 600 I838 Excma. Sra. Doña Josefa Alvarez, ... Zaragoza ............. 300 2058 Di Josef dé la Herran................... ... Cádiz. ...................... 300 379 D. Juan Bautista de Echavarría.... .. Cádiz.......... IOOO</t>
  </si>
  <si>
    <t>Josefa Álvarez Santullano</t>
  </si>
  <si>
    <t>2°7 niárias se?ují su mérito.—— A Doña Josefa Alvarez Santullano, Doña María del Cálmen González. A rango, y Doña Joaquina Vi gil, se las ha gratificado con: media onza de oro.á cada una por haber hilado, torcido , tcxido , teñido y manufactura</t>
  </si>
  <si>
    <t>Josefa Badarán, María</t>
  </si>
  <si>
    <t>María Josefa Badarán</t>
  </si>
  <si>
    <t>........ Bilbao......... 500 759 D. Josef de Riquena..................... . Madrid....... IOOO 1019 Doña María Josefa Badarán........................ Madrid....... 500 599 sC.OjS^O* •* /t • * **« ».•*.*.***.*.•,*.**.*.**•.**•••***••*****••*•■*' Madrid..... . 300 1429 Miller. y compañía...................</t>
  </si>
  <si>
    <t>Josefa Batanero</t>
  </si>
  <si>
    <t>............ 62. D- Manuel de Zulueta, 4 id. por 2 meses...................................... 244. Doña Josefa Batanero, 2 id. por id................................................... 124. D. Gerónimo Martínez Mazabe, del comercio, por una vez..... loco. D. Pascual de Salinas, dependiente en la ad</t>
  </si>
  <si>
    <t>Josefa Caballero</t>
  </si>
  <si>
    <t>se 6 camisas, k; caminas. 1X o ‘ D. N. 2 libras déJiilás y uii-paño, tíoña M. J. G.‘ A camisas; f ; Doña Josefa Caballero una camisa. ? D.. Feiipe Ramirez 8,' tulá libfa de Doña Teresa Méndizabal una. ^ hilas y unos paños. : Se continuar</t>
  </si>
  <si>
    <t>Josefa Cebrian y Pizarro</t>
  </si>
  <si>
    <t>...... Zaragoza..... 300 1084 Doña Angela de Galarza y compañía............. Madrid....... 600 2088 Doña Josefa Cebrian y Pizarro............. .......... Cádiz...... . 300 1725 Lie. D. Josef María de Castro..................... Cádiz........... 3^o 531 D. Francisco de Baulini.................................</t>
  </si>
  <si>
    <t>Josefa Ceváíros</t>
  </si>
  <si>
    <t>icante. 300 832 D. Pedro Alvarez y compañía.......................... Madrid......... 500 184O Sra. Doña Josefa Ceváíros...............r........... Zaragoza..... 3 ©o 21 2 I Excma. Sra. Duquesa de fa Roca..... ............. Zaragoza....^ 300 X&gt;. Bernardo GuicKot...-.............................. Zar</t>
  </si>
  <si>
    <t>Josefa Daganzo</t>
  </si>
  <si>
    <t>........ 300 1970 D. Ramón La Rapa........................................... Zaragoza..... 500 635 Doña Josefa Daganzo......................................... Madrid....... 500 809 D. Josef Antonio de Ibarzola........ ................... Madrid....... 3 00 834 D. Juan Saenz de Santa María........</t>
  </si>
  <si>
    <t>Josefa de Arribas, María</t>
  </si>
  <si>
    <t>María Josefa de Arribas</t>
  </si>
  <si>
    <t>as. tíoñal’N^pija^y^üná UJfrá deshijas.:: Una señora viuda : " J D. Fausto Díaz y su parienta 2 ca- Doña María Josefa de Arribas 2. ' misas, 12 vendas, 24 paños y 3 li- Doñ^ Josefa del Rio una chaqueta y bras de hilas, úii pantalón. D. Prudencio Heínandez Sta. Grjsz 6 D. Josef Lese 6 camisas, k; caminas. 1X</t>
  </si>
  <si>
    <t>Josefa de Atristain</t>
  </si>
  <si>
    <t>..¿. Málaga...1.... 1000 569 D. Eusebio Perez Mozun..... ................... Madrid....... 600 2276 Doña Josefa de Atristain................. .............. Bilbao........ 3000*06.^ 393 D. Jo&gt;ef Hernández, oficial en rentas..... . Coruña........ 50o 2256 0. Fernando Urdiroz y Suarez.....................</t>
  </si>
  <si>
    <t>Josefa de Elosua y Leiva</t>
  </si>
  <si>
    <t>D. Miguel de Rivas 43 varas de paño pardo, 6 pares de calzones, 2 chaquetas y 2 pantalones pardos. Doña Josefa de Elosua y Leiva una camisa. Doña Ramona Tapies y Muya 2. £1 Excmo. Sr. marques de; Montealegre, conde de Oñate, 48. D. Manuel García Serralde 2. La condesa de S. Rafael 36. D. Josef Ortega y sus</t>
  </si>
  <si>
    <t>Josefa de Hormachea, María</t>
  </si>
  <si>
    <t>María Josefa de Hormachea</t>
  </si>
  <si>
    <t>ragoza..... 500 1616 D. Fermín María de Urribarri......................... Bilbao......... 600 1524 Doña María Josefa de Hormachea.................. Bilbao......... 300 60) Doña Alfonsa García y de la Higuera......... Madrid........ 500 1684 Miguel Vallejo, capitán de exércíto.,....... S. Sebastian. 380 2146</t>
  </si>
  <si>
    <t>Josefa de Iruegas, María</t>
  </si>
  <si>
    <t>María Josefa de Iruegas</t>
  </si>
  <si>
    <t>e su sueldo én boletas de Tesorería mayor, id...... .................................... . 8333 io# Doña María Josefa de Iruegas, id........................................ . 15000. D. Manuel Ortiz, id....................... .............. . 300. X). Manuel Gilabert, en vales reales, id.................. .</t>
  </si>
  <si>
    <t>Josefa de la Cueva y Velarda</t>
  </si>
  <si>
    <t>s de calcetas id. D. Antonio Villasante 6 camisas nuevas. D. Fermiñ María de Uria Nafarrondo 12 id. Doña Josefa de la Cueva y Velarda 24 id. D. Diego de la Bastida 2 id. Doña María Cruz de Villaté,^ viuda, y D. Agustín Ballesteros su hijo, 2 camisas y 2 vendas. D. T. M. 2 camisas. D. Fernando y D. Manuel García</t>
  </si>
  <si>
    <t>Josefa de Ladalid, María</t>
  </si>
  <si>
    <t>María Josefa de Ladalid</t>
  </si>
  <si>
    <t>0. Sres. Santibañez y Ximeno 20. Doña María del Pilar Martínez de Doña Saturnina Mexia 2. Murga 50. Doña María Josefa de Ladalid 2. D. Evaristo Perez de Castro 6 id. y D. Pedro Gutiérrez Barona 4. 6 pares de calcetas. La Excma. Sra. duquesa deHíjar 21. D. Ramón de Haro 12 camisas. Doña Isabel Aguilera ó. D.</t>
  </si>
  <si>
    <t>Josefa de Luna, María</t>
  </si>
  <si>
    <t>María Josefa de Luna</t>
  </si>
  <si>
    <t>su,. mnger, por una 320. Doña Tabel Miguel de García, su hija, por una vez**#•*■* V** *.#*•** . 200 Doña María Josefa de Luna., viuda de D. Pedro González Cal* 3 ■■</t>
  </si>
  <si>
    <t>Josefa de Olavarrieta</t>
  </si>
  <si>
    <t>niñas de Legaftes 6 libras de hilas, paños y verdas. D. Miguel Angel Sancho , D. Antonio Yarretu , Doña Josefa de Olavarrieta y su hijo D. Francúco, Doña Ana Zulueta, D. Francisco Iriarte, D. Pedro Zubiaga , herederos de D. Francisco Maria de Retes y Bustamante, D. Manuel Saenz del Prado y D. Ramón de Vasu</t>
  </si>
  <si>
    <t>Josefa de Soto y Olaso, María</t>
  </si>
  <si>
    <t>María Josefa de Soto y Olaso</t>
  </si>
  <si>
    <t>...,.,,. 300 2077 D. Juan Manuel de Peralta...,.... ...................... Cádiz,, i...... 300 1795 Doña María Josefa de Soto y Olaso.............. Cádiz.......... ooo2334 Sres. D. Gonzalo Martínez y Buergo............. Zaragoza...... 3,00 936 Juan Josef-de la Iglesia,.................... Madrid....... ioqo&gt; 107</t>
  </si>
  <si>
    <t>Josefa de Urbieta</t>
  </si>
  <si>
    <t>.... Bilbao....... .. .390 60 Doña Marí^ Joaquina de Castelíarnau........... Barcelona.... 3Ó0 1602 Doña Josefa de Urbieta.............,,........... . Bilbao......... 500 2260 Doña María Manuela de Acha y Mandojana... Bilbao........ ■ 500 52 D. Josef García y Ponsich.................... . Barcelona...</t>
  </si>
  <si>
    <t>Josefa de Úrpieta</t>
  </si>
  <si>
    <t>diz...... . Óoo 3o1 Pedro Guerrero y Sagredo............................... Málaga........ 0 0 1601 Doña Josefa de Úrpieta.......... ....... ................ Bilbao....... .. .390 60 Doña Marí^ Joaquina de Castelíarnau........... Barcelona.... 3Ó0 1602 Doña Josefa de Urbieta.............,,...........</t>
  </si>
  <si>
    <t>Josefa del Collado</t>
  </si>
  <si>
    <t>........ fóó 409 D. Juan Francisco Barric.................................... Coruña....... 300 9)9 Doña Josefa del Collado............... ............ . Madrid...... 300 1727 Antonio Masuco....... »»;»»:»»»......... Cádiz.......... 300 493 D. Juan de Énestrosa.............. Bilbao......»; 300 784 D. M</t>
  </si>
  <si>
    <t>Josefa del Rio</t>
  </si>
  <si>
    <t>La Sra. de Eguia 2. La condesa de Campo Giro 12. D. Manuel Matesanz 2. Doña María Vicenta Qnilez 3. Doña Josefa del Rio 4. Doña María Ignacia de Mogozuza 2. D. Manuel Baquero 2. , D. Joaquín Antonio Sóxo 6. D. Josef Maldonado 6. Doña A. y B. 2. D. Juan Gutiérrez 4. Doña Ana Rodríguez, sirvienta, 2.</t>
  </si>
  <si>
    <t>Josefa del Saz</t>
  </si>
  <si>
    <t>Juan Bautista y Doña Catalina Luisa Robinet paño negro diez y ocheno varas i8f. D. J. P. 8 camisas. Doña Josefa del Saz 8. D. F. A. Ll. 3 . La Sra. marquesa de Pesadilla, condesa de Canillas, 24. D. Mariano March 140^ varas de paño negro catorceno y diez y ocheno. Dia 23. Doña Josefa Roselló 2 cami</t>
  </si>
  <si>
    <t>Josefa Espina</t>
  </si>
  <si>
    <t>. D. Francisco del Campo, en nombre de su muger Doña Micaela Roseílon , 24 camisas y 6 sus criados. Doña Josefa Espina 4. María Josefa Díaz 4 pares de zapatos, y A. A. t camisa. D. Sebastian Illescas 2. D. M. S. 6. D. Jorge Palacios, intendente ,12. D. Juan Bautista y Doña Catalina Luisa Robinet p</t>
  </si>
  <si>
    <t>Josefa Espinosa, Maríá</t>
  </si>
  <si>
    <t>Maríá Josefa Espinosa</t>
  </si>
  <si>
    <t>. 30 o 1308 ... 'Valencia.;... 600 2382 D. Narcisco; Alvarez- y ■ compañía. Zaragoza..... 3 00 1996 Doña Maríá Josefa Espinosa ........ ... " Zaragoza.... 500 24! D. Manuel Antonio de Arana..... ... Burgos....... IOCO i©í4 D. Pedro Xavier de Vera....... . ... Madrid........ t;co * 1192 D. -Félix Lleo ....</t>
  </si>
  <si>
    <t>Josefa Fernández, María</t>
  </si>
  <si>
    <t>María Josefa Fernández</t>
  </si>
  <si>
    <t>........ Bilbao......»; 300 784 D. Manuel García de Pelayo.;».»»;.».;»»»»» Madrid....... 1500 23 53 Doña María Josefa Fernandez........................ Zaragoza..... 500 1172 Doña Francisca Monfort............................ Zaragoza..... 3 00 510 D. Vicente Manuel de Zumelzu......... Bilbao....... . 300</t>
  </si>
  <si>
    <t>Josefa Fierra</t>
  </si>
  <si>
    <t>un par de medias. D. Domingo Trota 2 camisas. D. F. M. 7. Doña Manuela Roca y Vasozabal 6. Dia 14. Doña Josefa Fierra 2 casacas , 2 chalecos , 2 pares de calzones de paño blanco, 2 corbatines, 2 camisas, 2 pares de botines, 2 sombreros, 2 pares de calcetas, 2 pares de zapatos y una venda. La cond</t>
  </si>
  <si>
    <t>Josefa Garrido y Güejnes</t>
  </si>
  <si>
    <t>..... ................... 60000. D. Vicente Gil Taboada, intendente honorario deExército, id. 6000. Doña Josefa Garrido y Güejnes, id........... ........................... .......... 300. Doña Manuela Pozuelo, sirviente de la anterior, id..................... 120. Benita Barranco, id........................</t>
  </si>
  <si>
    <t>Josefa González</t>
  </si>
  <si>
    <t>nto!mayor D.’Salvador Guerrero: fuerza' Í4©o. DeAlmería, coronel D. Juan Creagh, teniente co4 rdnet D. Josefa González, sargento mayor D. Matías García *, fuerza 2400. Total fuerza 7209 hombres.? 3 :.; &gt; Regimiento de Caballería húsares reales dé/ Granadas coronel marques de Gan$pbverde^4eniente c</t>
  </si>
  <si>
    <t>Josefa González y Alamos</t>
  </si>
  <si>
    <t>de Salazar y Alendelagua. ..*............................................. Bilbao......... 500 1722 Doña Josefa González y Alamos.¿.....¿1......... Cádiz.......... 300 1984 D. Antortio Palamar.................................. Zaragoza..... 500 2108 D. Ramón Larue....... .................. . Cádiz...........</t>
  </si>
  <si>
    <t>Josefa González y Baez</t>
  </si>
  <si>
    <t>.. Zaragoza...». 1500 1958 D. Juan Antonio Rodrigo....................... [Zaragoza.. ... 1500 1741 Doña Josefa González y Baez................* Cádiz ......... . 3 00 1796 D. Fernando Saenz de S. Vicente.......... Cádiz............. 600 1703 D. Francisco Luis de Lara y Noriga..... Cádiz............. 500 7</t>
  </si>
  <si>
    <t>Josefa González, María</t>
  </si>
  <si>
    <t>María Josefa González</t>
  </si>
  <si>
    <t>oficial jubilado de la tesorería general,por una vez....................................... ;■ 100. Doña María Josefa González, ,vinda, por una vez.................. 20. D. Francisco Pomaré, tesorero del duque de Frías, por una vez. 400. D. Francisco Antequera, oficial de utensilios de la corona de V Arag</t>
  </si>
  <si>
    <t>Josefa Gutiérrez</t>
  </si>
  <si>
    <t>des! Balboa ha ■qqsjdq.^d. vestidos completos de paño para infantería»;D. Pedro Lombardo 2 camisas. Doña Josefa Gutiérrez 12. La Sra. de E. y sus dos hijas 12. La Sra. L. S. 6. Doña -Josefa González 2;¡Doña María Teresa Piscátori y Mora 12. DilMáriabó Armendía 10 pares de zapatos. D. Tomas Ferez 100</t>
  </si>
  <si>
    <t>Josefá Hastron</t>
  </si>
  <si>
    <t>... 300 -578 D.-Pabíó S¡rera;...........;.¿..i¿.i...-»..i....v.v......... ; Madrid ¿...i.» 30° 1747 Doña Josefá Hastron» ».»»».»».».«í..v.».;.t.;»;. Cádiz....»..» 30Ó 292 Josef de .Oyayan........»».»¿.»...... ? Málaga..u*.vi ioóo '*3 r'í Dw Josef Luis de Torres.........¿..»‘;»»»»..il¿»» '* Bilbao».</t>
  </si>
  <si>
    <t>Josefa la Sala y Callen Teodora Salazar, María</t>
  </si>
  <si>
    <t>María Josefa la Sala y Callen Teodora Salazar</t>
  </si>
  <si>
    <t>1286 # • D. Felipe Hueber 2 camisas. Doña María Josefa la Sala y Callen Doña Teodora Salazar de Sepúlve- libra y media de hilas. da 6. Doña Evarísta Vizcaíno 4. La Sra. de ligarte 2. D. F. N. 2 Doña Francisca Antonia Matei 8 va­ D. Josef Antonio Perez Benito 2 caras de lienz</t>
  </si>
  <si>
    <t>Josefa Laffore, María</t>
  </si>
  <si>
    <t>María Josefa Laffore</t>
  </si>
  <si>
    <t>id........ 600 320 Antonio María Bazo y Berry............................ Málaga......... 1000 2019 Doña María Josefa Laffore................................ Cádiz........... 300 1810 D. Gabriel de Aristizabal y Reut............... . Zaragoza..... 5000 2369 D. Miguel Julián Vivanco.......................</t>
  </si>
  <si>
    <t>Josefa López</t>
  </si>
  <si>
    <t>. P., 160. D^ J. F. y'S. 3P0 rsíiófmrs; ! Di Manuel Ruiz González y su muD. Antonio García 200. ger Doña Josefa López 206 rs. 12 D. Francisco García* de Arias 12a. r nirs&gt; • -y D. Domingo Chavarri 400. D. Isidro Velazquez 1263 rs. 17 mrs. D. Domingo García 60. ‘ en efectos de estado. ; ; D; Pedro</t>
  </si>
  <si>
    <t>Josefa María de Llano</t>
  </si>
  <si>
    <t>paterna hechura de 20 uniformes de soldados. Las monjas Vaílecas 3 libras de hilas, paños y vendas. Doña Josefa María de Llano 20 libra* de hilas. Doña Vicenta Remero 3. La marquesa de Contramina 2. La marquesa de Valdecarzana 4. Doña Luisa Robinet una. Doña Tomasa de la Cueva 2 camisas. D. Antonio Gil, c</t>
  </si>
  <si>
    <t>Josefa Martínez</t>
  </si>
  <si>
    <t>Doña Ignacia Arto, id....................................................................... 2000. Doña Josefa Martínez, id.............................................................. 1000. La comunidad de religiosas agustinas calzadas de Sta. María Magdalena, id..................................</t>
  </si>
  <si>
    <t>Josefa Mendía</t>
  </si>
  <si>
    <t>. diarios......... ........................ .................................................. 744* Doña Josefa Mendía, del comercio de loza, por 3 meses á 2 rs. diarios............... .............................................•»»•.................... 184» D. Josef Sánchez de Castro , intervent</t>
  </si>
  <si>
    <t>Josefa Morena, María</t>
  </si>
  <si>
    <t>María Josefa Morena</t>
  </si>
  <si>
    <t>.................. ...... 548. D. Manuel Ubaldo de Aguirre, presbítero, por una vez........... 100. Doña María Josefa Morena, por una vez..................................... 3000. Doña María Azcarraga, por una vez ........................................ 200. D. Miguel de Sorron, presbítero, por una ve</t>
  </si>
  <si>
    <t>Josefa Moreno</t>
  </si>
  <si>
    <t>&gt; \y &lt;&amp;lis doncellas *.4 camisas. Doña M. S. 6 camisas de vivero. Doña María ¡Regoaerít 4 camisas..Doña Josefa Moreno 8. *■.: &lt; Dia 5. Doña Josefa Moreno Martínez 1 2 camisas. Doña María de la Presentación Garridocolegiala en el dé Legaiiés 9 6¿ •; -' Dia &lt;T.- Doña María Mendipuetá 6 camisas; D,</t>
  </si>
  <si>
    <t>Josefa Moreno Martínez</t>
  </si>
  <si>
    <t>oña M. S. 6 camisas de vivero. Doña María ¡Regoaerít 4 camisas..Doña Josefa Moreno 8. *■.: &lt; Dia 5. Doña Josefa Moreno Martínez 1 2 camisas. Doña María de la Presentación Garridocolegiala en el dé Legaiiés 9 6¿ •; -' Dia &lt;T.- Doña María Mendipuetá 6 camisas; D, Manuel González de Lobera y compañía5 42‘ var</t>
  </si>
  <si>
    <t>Josefa Moreno Romero, María</t>
  </si>
  <si>
    <t>María Josefa Moreno Romero</t>
  </si>
  <si>
    <t>....... 1000 1878 D. Francisco Quevedo....................................... Zaragoza..... 300 490 Doña María Josefa Moreno Romero............... Bilbao.......... 300 1110 D. Tomas Vallespin y Vallabriga............... Madrid....... 300 20 El Excmo. Sr. Marques de las Amarillas....... Zaragoza..... 60© 1326 D</t>
  </si>
  <si>
    <t>Josefa Muro</t>
  </si>
  <si>
    <t>calzones de ante usado. Doña María y Doñi Josefa Gutiérrez 2 camisas. María Martin de‘Eugenio úna. Doña Josefa Muro 8 varas de coruñá. El gremio de maestros sastres de esta corte ha hecho gratuitamente 390* casacas, 300 chalecos y 3 00 pares de calzones. -* ;Lá real júttta superior gubernativa</t>
  </si>
  <si>
    <t>Josefa Pérez Esíéban</t>
  </si>
  <si>
    <t>ña Manuela Sánchez, jornalera , 2 y 6 pares de calcetas. camisas. Doña N. una casaca, una chupa y 2 Doña Josefa Perez Esíéban 6. cinturones. Doña Ramona Perez Esteban 6. D. M. B. 4 camisas y unas hilas. D. Cayetano de la I ana y su criada D. Andrés de Tejada 6 camisas. Isabel García 6. D. Antonio García</t>
  </si>
  <si>
    <t>Josefa Roselló</t>
  </si>
  <si>
    <t>ndesa de Canillas, 24. D. Mariano March 140^ varas de paño negro catorceno y diez y ocheno. Dia 23. Doña Josefa Roselló 2 camisas de vivero nuevas, y su criada Vitoria Sánchez 1 de estopilla usada. Elíñarques de N. 50. Doña Paula Martínez 6 de crea. D. N. 3, D. Francisco Hernando Gómez 152I varas d</t>
  </si>
  <si>
    <t>Josefa Ruiz</t>
  </si>
  <si>
    <t>. Un padre benedictino 3 camisas y 3 pares de calcetas. Do« ña, Josefa,Moreno Martínez 12 camisas. Doña Josefa Ruiz 2. id. M. A. una. La Excmá. Sra. marquesa de Montea! y Santiago 12. La Sra. Doña Francisca Bernaldo vde Qu/rós ^2,-Doña'María T, 4; .Doña Francisca Mana de Paz y Carrasco., hija d</t>
  </si>
  <si>
    <t>Josefa Salazar, María</t>
  </si>
  <si>
    <t>María Josefa Salazar</t>
  </si>
  <si>
    <t>..... .................. 60. AngelGomez, maestro pasamanero, por una vez....................... 46. Doña María Josefa Salazar, viuda del Sr. Acevedo, consejero de Indias, por una vez....... .......... ............................................ iqoo. D. Bartolomé Piñera, médico de familia,'ademasde habe</t>
  </si>
  <si>
    <t>Josefa Sanz</t>
  </si>
  <si>
    <t>a 15 varas de lienzo. Doña Alfonsa Ceuleman 4. D. Manuel Lacarra 2 camisas. D. Andrés Caballero 27. Doña Josefa Sanz 6. D. Manuel de Velasco 2 camisas y 14 varas de lienzo. D. Manuel Francisco del Castillo 88 pares de calcetas. Dia 20. D. Raimundo de Alcántara 41 varas de lienzo. Doña Ana Martin</t>
  </si>
  <si>
    <t>Josefa Semolinos</t>
  </si>
  <si>
    <t>Doña BÍasa Ramiro 2. Doña Paula Fuentes 1. LaSra. de Carranza 2. Marquesa del Valle de la Paloma 1. Doña Josefa Semolinos 4. Doña Francisca Villa 2. Doña Juana Prieto 2. Monjas de Sta. Clara 2. Doña Francisca Laliga 1. Doña Nicolasa Montero 2. Doña María Rodríguez 1. El colegio de S. Antonio 3. Doña</t>
  </si>
  <si>
    <t>Josefa Soriano, María</t>
  </si>
  <si>
    <t>María Josefa Soriano</t>
  </si>
  <si>
    <t>ona.... 600 872 D» Francisco Rodríguez............«•«.—................... Madrid......... 300 2085 Doña María Josefa Soriano..................................... Cádiz......... . 50 o 2264 D...Diego Josef del Meíio................................ Biibao......... iyoo 2326 D..MarianoIFernandez Soler.....</t>
  </si>
  <si>
    <t>Josefa Squid y de Castellarnau</t>
  </si>
  <si>
    <t>agoza...., lOOO 1296 D. Vicente Gil de Arias................................... Valencia.... JOO 01 Doña Josefa Squid y de Castellarnau............. Barcelona.... 500 2105 D. Josef María Gadeyne.................................. . Cádiz.......... JOOO 1504 D. Mariano de Egea, tesorero general de rentas. Valencia..</t>
  </si>
  <si>
    <t>Josefa Susana Seropp</t>
  </si>
  <si>
    <t>ñía.... Madrid........ 300 148 D. Luis María Andriani, sargento mayor....... Valencia..... 600 1003 Doña Josefa Susana Seropp................................ Madrid....... 500 1953 D. Juan Casaus..................................................... Zaragoza..... v 500 489 D. Juan Antonio de Landesa......</t>
  </si>
  <si>
    <t>Josefa Vareia</t>
  </si>
  <si>
    <t>Tovar 3 libras de hilas y 24 vendas. Doña Susana Carrera 3 libras y media de hilas y una de paños. Doña Josefa Vareia una libra de hilas. Doña María Ayala y Corona 2 libras de id. Doña María Valentina Bueno 3 libras id. Doña Ignacia Bueno 2 libras id. Doña Petra Muñoz libra y media de hilas, una</t>
  </si>
  <si>
    <t>Josefa Vasquéz y Adorna, María</t>
  </si>
  <si>
    <t>María Josefa Vasquéz y Adorna</t>
  </si>
  <si>
    <t>..... . - 1 • S. Sebastian. 300 2017 D. Ramón y D. Manuel LafForé......... Oddiz*«« «•••*« 300 2059 Doña María Josefa Vasquéz y Adorna....... • • ■ Oíiciiz* • IOOO 773 D. Juan Antonio Sánchez Heredia.................. Madrid ............ 300 2140 D. Josef'Angel de Recacochea........................ Zaragoza*....</t>
  </si>
  <si>
    <t>Josefa Vivanco</t>
  </si>
  <si>
    <t>Málaga........ IOOO 2429 D. Pedro Matamoros y Pacheco...... ............. Cádiz........... 500 236) Doña Josefa Vivanco........................................ Zaragoza..... 000 50 D. Juan Manuel Ocerin..............».................... Bilbao......... 300 516 D. Antonio Cortés del Valle»,........</t>
  </si>
  <si>
    <t>Josefa y Monica de Monrea, María</t>
  </si>
  <si>
    <t>María Josefa y Monica de Monrea</t>
  </si>
  <si>
    <t>ima de Tortosa, y por día á su comunidad, á D. Juan Bautista, D. Ramón, D. Josef Antonio, D. Tomas, Doña María Josefa y Doña Monica de Monrea! y Abaría, sobrinos del difunto D. Bruno de Abaría, capitán agregado que fue á dicha plaza de Tortosa, para que en el término de 15 dias, que se asignó í los existentes en ejL rei</t>
  </si>
  <si>
    <t>Josefa y Mónica de Monreai y Abaría, María</t>
  </si>
  <si>
    <t>María Josefa y Mónica de Monreai y Abaría</t>
  </si>
  <si>
    <t>a de Tcrtosa, y por ella á su comunidad, á D. Juan Bautista, D. Ramón, D. Josef Antonio , D. Tomas, Doña María Josefa y Doña Mónica de Monreai y Abaría, sobrinos del difunto D. Bruno de Abaría , capitán agregado que fue á dicha plaza de Tortosa, para que en el término de 15 dias, que se asigna á los existentes en el reino, y de 3</t>
  </si>
  <si>
    <t>Josefa Yel</t>
  </si>
  <si>
    <t>. María de los Tre jos, id............... ............. ............... ...i................. 10. L Doña Josefa Yel, en intereses de vates reales, id..*...180 ry* D. G. A. L., en intereses de vales reales, id........................... . 2707 ry. Doña Isabel -Navarro , id......... .............</t>
  </si>
  <si>
    <t>Josefa, Maríá</t>
  </si>
  <si>
    <t>Maríá Josefa</t>
  </si>
  <si>
    <t>rgos 300 *5£9 Si es. BengOa, bermanos.......&lt;.....A.....A.^^.vsí.y/..^ &gt; Bilbao .;..../. •:30o 1792 Doña Maríá Josefa de, Aguilar....„s......»...«^..;7; Cádiz....;..,.. -500 5 55 D.-Cast¿r García.,,.....././... _ Madrid..*....; 300 2110 D. Juan Manuel de Peralta..,.,,..,.....,...'......;.,.. Cádiz..</t>
  </si>
  <si>
    <t>Josefa-del Saz</t>
  </si>
  <si>
    <t>......... . 320. D. J. M. D. C., en intereses de Vitalicio, id............................. 472 16. Doña Josefa-del Saz, viuda, en boletas'de casa real, id............ 270. D. J uan Fernandez de la Fuente, cobrador de la caxa de Consolidación, id.....................................................</t>
  </si>
  <si>
    <t>JosefAlmeia</t>
  </si>
  <si>
    <t>te al subteniente D. Víctor Troette: en el de Betschart á capitán segundo al teniente de granaderos D. JosefAlmeia ;á’ teniente de granhdéros al de fusileros D./Francisco Sírauch.; á tenientes de fusileros,’&gt;ios "subtenientes de granaderos I). Josef Wohlében v D. Juan Hellerbach , y. á subteni</t>
  </si>
  <si>
    <t>JosefBetegon</t>
  </si>
  <si>
    <t>gusta ceremonia para hacerla mas completa el ilustré ayuntamiento de esta ciudad, con su presidente D. JosefBetegon, gobernador, el cabildo eclesiástico y gefes militares y civiles, que con un gozo inexplicable aseguraron los milicianos defenderla de nuestros pérfidos enemigos, copió también, l</t>
  </si>
  <si>
    <t>Josefde Fuentes</t>
  </si>
  <si>
    <t>. Francisco Dugi; á este empleo al subteniente D. Francisco de Matos, y á esta subtenencia aLcadete D. Josefde Fuentes: en el regimiento suizo de Preux á subtenientes de granaderos á los de fusileros D, Francisco ICalbermaten y D. Josef de Preux; y en el de Reding, núm. 2.0, á igual empleo de gran</t>
  </si>
  <si>
    <t>Josefde Vilches, Gonzalo</t>
  </si>
  <si>
    <t>Gonzalo Josefde Vilches</t>
  </si>
  <si>
    <t>e 1808, el limo. Sr. D. Arias Antonio Mon, decano gobernador interino del consejo; los limos. Sres. D. Gonzalo Josefde Vilches, D. Antonio Villanueva, D. Antonio González Yebra , y los Sres. marques de Casa^García, D. Eugenio Manuel Alvarez Caballero, D. Sebastian de Torres, D. Domingo Fernandez Campomane</t>
  </si>
  <si>
    <t>Josefi Bons</t>
  </si>
  <si>
    <t>de capitán , D. Francisco Dieste: en el de suizos de Préux á teniente de granaderos al de fusilero# D. Josefi Bons, y á temientes.de fusileros á lo# subtenientes de granaderós* D. Agustín Bay y D. Juan Francisco Roh: en el de Kedipg. núm. y.° á Capitán segundo'aí teniente de -granaderos D. Jac</t>
  </si>
  <si>
    <t>Josefina, Princesa</t>
  </si>
  <si>
    <t>Princesa Josefina</t>
  </si>
  <si>
    <t>3° título de Princesa de Bolonia á su nieta la Princesa Josefina, hija del Príncipe virei. Por el tercero nombra Duque de Lodi al señor Melzi, canciller guarda-sellos del reino de Italia, en atención al talento é integridad deque ha dado prueba</t>
  </si>
  <si>
    <t>JosefMaría</t>
  </si>
  <si>
    <t>e de D. Nicolás Merino , á D: Ignacio Mariano de Aguílar; y para la mediarracion , que este dexa, á D. JosefMaría de larVega, cura en el obispado de Oaxaca. / i También se ha dignado S. M. nombrar para la alcaldía mayor de Es-, cuintla y Guazacapan, en el reino:de Guatemala, á D. Francisco Sebastia</t>
  </si>
  <si>
    <t>JoseFMaría de Lomas</t>
  </si>
  <si>
    <t>postura lo execuíará por la escribanía que desempeña Ó. Mariano de Zayas. . ; # Por providencia de D. JoseFMaría de Lomas, juez subdelegado en el departamento de Andujar, en vista de la superior aprobación dada por la comisión gubernativa de 19 de enero último al remate celebrado en i.° del mismo de</t>
  </si>
  <si>
    <t>JósefMaría Santelices</t>
  </si>
  <si>
    <t>e las expresadas milicias D. Gabriel de los Ríos , D. Gaspar Urdapiileta ,;JD. Juan Narcdo y Riega, D. JósefMaría Santelices , D. Josef Matías Costa, Don Juan Domingo Allende , D. Juan Francisco Diaz , D. Angel Hubach ; á los subtenientes del cuerpo de patriotas; D. Miguel Mugra, D. Vicente Bordas, D. J</t>
  </si>
  <si>
    <t>JosefSainz de Trápaga</t>
  </si>
  <si>
    <t>en un pueblo de Rtojallamado ei Villar de Alava ,se suplica á quien supiere su paradero que avise á D. JosefSainz de Trápaga , del comercio de esta corte.</t>
  </si>
  <si>
    <t>JóséfTsasi</t>
  </si>
  <si>
    <t>ilicias-disciplinadas de infántéría de Santa Marta se ha dignado el Reí nombrar ayudante veterano á D. JóséfTsasi , teniente agregado al .estado mayor de la plaza de Santa Fe. ^’ f. En. 26 de enero .próximo pasado falleció en Oporto, casi de repente , el Expido. S?. ,D. Francisco de Taranco y</t>
  </si>
  <si>
    <t>JosefUrquiaga</t>
  </si>
  <si>
    <t>i Málaga:....... 300 291 Antonio Francisco Córdoba......................... Málaga....... IOOO 2004 D. JosefUrquiaga..........................i........ Cádiz..................... *... 300 196 D. Pedro Casou............................Alicante................................. 300 926 D. Diego de</t>
  </si>
  <si>
    <t>Josel Sóstoa</t>
  </si>
  <si>
    <t>uig, los cadetes D. Juan Bóveda y Ignacio Mora, y les guardias D. Francisco Riaño * Josef Ggvantes, D. Josel Sóstoa, D. Manuel Zt rraquin y Don Felipe Luengo, serán eternamente nombres mui apreciables, que nos recordarán unos de los defensores mas seguros y valerosos de la patria y del treno. N</t>
  </si>
  <si>
    <t>Joser Doroteo Gómez de Navia</t>
  </si>
  <si>
    <t>en la diócesi de Avila &gt;• vacante por fallecimiento de dicho Don Miguel Celestino de la Madrid , á D. Joser Doroteo Gómez de Navia, con retención del beneficio simple de S. Pélayo de Gallegos, en la diócesi de Oviedo. - ‘ ' 0. { , S. M. se ha servido nombrar a D. Pedro Pena para una canongía presbiteral de la</t>
  </si>
  <si>
    <t>Joser Hgrrera</t>
  </si>
  <si>
    <t>.. ...... ..................... 20. D,rM^nuel Martínez,'présbitero, por úna vez...... ...... ioo¿ 1 D. Joser Hgrrera ^ id..v........... 100. ^ D,í Juan de la Cruz Escudero, agénte de'negocios , id.*......,.U.. ‘ B. Francisco Xavier de JLandes, del‘ cómércí'or,'’YdV'3én'*Uñ'*yaíé‘ .real de 1 yo p</t>
  </si>
  <si>
    <t>Jóset Águilar</t>
  </si>
  <si>
    <t>an Ponce, de Leony Tc__ r , _ . i: . ¡ ^ qñiñ Fernandez Catada y Opilantes, Alonso Contador y Tena, D. Jóset Águilar y^deja Touraelle y Cabello:, D. Rafael Meígárejo Mo^d^^lps,'©. Josef. de Ror|-; res y Silva , D. Rafael del1 Pino y Vera ,¡ D. oAutonip r A&amp;XP&lt; :'y,:JJinci, D. Vicente Romero y: Cep</t>
  </si>
  <si>
    <t>Joset Álvarez de Lara</t>
  </si>
  <si>
    <t>voluntarios de España: en el de dragones del Rei compañías á los ayudantes , graduados de capitán, D. Joset Alvarez de Lara y D. Ignacio Palieja; tenencia al alférez D. Francisco Pons, y empleo de alférez al portaguión D. Antonio Jurado: en el de Numanciá compañía al ayudante D. Juan Lartigue; tenencia al</t>
  </si>
  <si>
    <t>JoseYGomez</t>
  </si>
  <si>
    <t>,........... .............................................. ................................... 20. D. JoseYGomez, id................... ............. ........................... ...... , loo. Doña Francisca María de Paz y Carrasco, 12 rs. diarios, por r 5 meses.................. ............</t>
  </si>
  <si>
    <t>Jostf Huet</t>
  </si>
  <si>
    <t>argantas de Des pe ña* perros y Sta. Elena. Para este efecto les acompañan el coronel de ingenieros D. Jostf Huet y D. Josef María Ibafíez , maestro tercero de matemáticas en este real colegio de S Telmo. Ya saliéron el 7. de esta maestranza todos los útiles y pertrechos para las fortificaciones,</t>
  </si>
  <si>
    <t>Jóstf Pul</t>
  </si>
  <si>
    <t>iga , se ha distinguido r extraordinariamt nte . como * t ambién el costóndance de guardias Walonas D. Jóstf Pul -y tbdos los individuos dél batallón de su mandó. D. IViaciás PoWer, primer teniente de Walones con el Sargento Man si ni y 15 soldados atacó y ahuyentó un esquádrOn de caballería</t>
  </si>
  <si>
    <t>Jouannin</t>
  </si>
  <si>
    <t>iriendo las de segiiñda clase ; £ Mrs. Gardanne, Rousseau y Lajard, secretarios de la legación , á, Mr. Jouannin primer dragomán-, ty á lósloficiales Lamí ¿ jBpntéms, Verdier, Biancbi d’Adda , Fabrieres y Rebóulh, que han venido con el ministro desde Francia. -'V":'1'- ■' V‘;;.; ' \ ‘ ” : M‘</t>
  </si>
  <si>
    <t>Jpsef de Latorre</t>
  </si>
  <si>
    <t>Números totes de las en acciones. Nombres de Tos Interesados. Comisionados. Rs. vn. 924 D. Jpsef de Latorre......... ........................... Madrid......... 5Ó0 2309 D., Jo?ef Antonio Ramirez...,....,...... 'Cádiz........ ..i ‘&lt;3°Q *38 P, Manuel Isidro de Mier, a» ■ ••• • Madrid....</t>
  </si>
  <si>
    <t>Jpsef de Montes</t>
  </si>
  <si>
    <t>.......... 2317 19. D. Juan Alvarez, por una vez........... ................................ . íóq. D. Jpsef de Montes, oficial del archivo general de rentas, por J una vez.......................................... ......... ........................... . 300. D. Sebastian Martínez, del comercio de</t>
  </si>
  <si>
    <t>Jpsef Gv</t>
  </si>
  <si>
    <t>io*.............. ——......*...................................... ................. ........ . 124. D. Jpsef Gv)m&gt;-z Gascón, oficial de la.contaduría general de Valores, un libramiento á cargo de la tesorería mayor á 2 rs. diarios. 48$. D. Gados Lalande, presbítero, por una vez 1® rs., y 62</t>
  </si>
  <si>
    <t>Jpséf Maestre</t>
  </si>
  <si>
    <t>ervido nombrar para una niédia-racion de la metropolitana de Sevilla , vacante por fallecimiento dé D. Jpséf Maestre, á D. Miguel MaTÍa del plmp y Herrera , exáminadÓf sinódal de aquel arzobispado; para la, dignidad dé chantre dé la catedral dé Orense ,; vacante por muerte d$ Don Francisco Solis</t>
  </si>
  <si>
    <t>Jpsef Manuel Gómez</t>
  </si>
  <si>
    <t>céano Pacíficp los ¡días i8 vio de octubre de 1805 el capitán y primer piloto de la fragata Víctor, D. Jpsef Manuel Gómez, descubrió una isla , cuya situación en latitud, deducida,por las observaciones al medio dia del 19, demorando la medianía de la isla al S¿ 38o O. de la aguja á distancia de 3 mil</t>
  </si>
  <si>
    <t>Jpsef Ramón Diez de Neira</t>
  </si>
  <si>
    <t>ios................. 400. ManuelvXimenez, peluquero, por unavez........;;;;. ......v-v....;vv. 2oü. D. Jpsef Ramón Diez de Neira , oficial de la contaduría general de valores y ppr una vezyy.-v.y?....'..«..'..«'.y.'; óe* Antonio Auge, maestro de obra prima, por una vez.;:..;,......... 3©o¿ Doña Isabel de No</t>
  </si>
  <si>
    <t>Jsabey-</t>
  </si>
  <si>
    <t>en medio, pliego de marca,.que .repr^sérita el retrato dé Napoleón 1 de medio cuerpo, dibnxadó, por Mr. Jsabey- enPáris, y grabado por D. Miguel Gamborinó, dedicado ál Exorno. Sr. E): Francisco Beauharnois, epibaxador de Francia. Se hallará en la librería de Escribano, cálle de bis Carretas,</t>
  </si>
  <si>
    <t>Jtian Marimon</t>
  </si>
  <si>
    <t>as del señor conde de A ltamira , pór una vez * •'•••*•• • • •••*»•«*.«.••••* ••■*••••« ....... 4QO.D. Jtian Marimon, fabricante de fideos, por una vez.............. 30©. D. Juan Antonio Martínez, corredor de lonja ,• por ahora, ade- / T mas de ceder los 3460 rs. "anuales alquileres de una casa</t>
  </si>
  <si>
    <t>JtíFsrson</t>
  </si>
  <si>
    <t>decretos» y. la violencia con que Bonaparte hace obedecer los suyos. Es de creer que el crédito de Mr. JtíFsrson no tendrá mucha influencia en las próximas elecciones. Una carta de Halifax, fecha en 21 de Septiembre» refiere que varios transportes» que había en aqncl puerto», han tomado á bo</t>
  </si>
  <si>
    <t>Ju, Francisco</t>
  </si>
  <si>
    <t>Francisco Ju</t>
  </si>
  <si>
    <t>el Gáfpió. y Gadizí..;i j 3°° 1001 Doña Juana MorazáU.......................Madrid....;;. '300 2372 D. Francisco Ju lian Nieto.. .. . .............. . .... .y Zatagozáy!... 500 J997 D. Juan'Peáro Cantón..».»»»»..;:.i».,.»;;.;:./..».»!; 'Zapágóza..;;.! 600 254 D. Diego Antonio Cabezón, prior y c</t>
  </si>
  <si>
    <t>Juaíi Blot</t>
  </si>
  <si>
    <t>..................... BurgoSi 500 2063 D. Pedro Cásamayor. .................. Cádiz.. i :3'00 *32 9 D. Juaíi Blot.................................... Valencia...., ••'•«i •300 2362 D: Joaquín Escudero. ........................... Zaragoza. ... * i :3°° i9I4 D. Francisco Rousílle.■.....•......</t>
  </si>
  <si>
    <t>Juaix Manuel de Peralta</t>
  </si>
  <si>
    <t>. . Bilbao...... . 300 2013 IX Josef María Esteban y García............. . Cádiz.......... 600 1706 D. Juaix Manuel de Peralta.,.......*...;........... Cádiz.......... . 300 1573 D. Rufino de Aranguren y D. Manuel Silvestre de Echevarría...................... ...................... Bilbao.......... 600 24</t>
  </si>
  <si>
    <t>Juan Antonio</t>
  </si>
  <si>
    <t>r la audiencia del Sr. D. Diego Gil Fernandez,alcalde de casa y corte, y escribanía de provincia de D. Juan Antonio E&gt;iaz Noiíeen «¡90© á pagar en vales reajes, se publica por vi 5 dias mas, y vuelve,á señalar el último para su remate, que es el viernes 18 deí corriente. El señor intendente de es</t>
  </si>
  <si>
    <t>........ Cádiz............. 300 190 Excmo. Sr. D. Joaquin de Cañaveral.... Alicante...... 300' 1800 D. Juan Antonio de. Yardiola y Garay. . Cádiz.......... ». IOOOí 2401 D. Manuel Miguel de Retes................. Zaragoza...... 300 187? D. Gerónimo Bueno............ Zaragoza...». 1500 1958 D. Juan</t>
  </si>
  <si>
    <t>Juan Bautista</t>
  </si>
  <si>
    <t>igiosa en el convento de la Concepción Victoria ó Qerónima de Tcrtosa, y por ella á su comunidad, á D. Juan Bautista, D. Ramón, D. Josef Antonio , D. Tomas, Doña María Josefa y Doña Mónica de Monreai y Abaría, sobrinos del difunto D. Bruno de Abaría , capitán agregado que fue á dicha plaza de To</t>
  </si>
  <si>
    <t>rvienta, lico y po rs. 8 J mrs. en efectos de 128.. r estado» í : . .....r,' :■ D. Josef Ruiz 206.. D. Juan Bautista deCiaran 300* j D. Antonio Fuentes Lopéz 60. D.í Pedro Nalda 240/ : ,.. D. Mariano Sancho, 100., Doña Manuela Moron 160. ' £ : D. Custodio Alcalde.y su hijo Don D. Antonio Ramón Gome</t>
  </si>
  <si>
    <t>y Simó, religiosa en el convento de la Concepción Gerónima de Tortosa, y por día á su comunidad, á D. Juan Bautista, D. Ramón, D. Josef Antonio, D. Tomas, Doña María Josefa y Doña Monica de Monrea! y Abaría, sobrinos del difunto D. Bruno de Abaría, capitán agregado que fue á dicha plaza de Tort</t>
  </si>
  <si>
    <t>Juan Benito</t>
  </si>
  <si>
    <t>s señores Lobera y compañía, por un año a 6 rs. diarios...........•.••••... .........•••••••• 219°* D. Juan Benito í^e^a'gá^ id. j por un año á 4'rs: fd............./..^. ^ 1460. D. ABbuso de íbarraVoiicial dé la secretaría de Hacienda ,‘ííbó * ; rsi. por una vez, y 6 rs. diarios..............</t>
  </si>
  <si>
    <t>n créditos, id............................................ 2415 9. Doña C. M., id 7643984620672 3P* D. Juan Benito, id............................... .......................... . 1003. Francisco España Lorca, en intereses de vales reales, y- pico en efectivo, ia......... .......... ...........</t>
  </si>
  <si>
    <t>Juan Fernando</t>
  </si>
  <si>
    <t>ii, manifestando la ternura con D. Pedro Franco. que asistían á este agradable y solemne acto, bien D. Juan Fernando de contrario al que se celebró el 24 de julio dé este Aguirre. año , en fuerza de las violentas sugestiones del inD. Francisco Rodríguez truso gobierno francés, y llenándose de glori</t>
  </si>
  <si>
    <t>Juan Francisco Lorenzo</t>
  </si>
  <si>
    <t>......................... 62. La Sra. condesa de Cifuentes, por agosto á 1® rs. mensuales.... 1000. D. Juan Francisco Lorenzo, sacristán del monte de Piedad, mensualmente........................................ 40. D. Tomas Saez de Parayuelo, del consejo .de Hacienda , m«nsualmente.......................</t>
  </si>
  <si>
    <t>Juan Jorge</t>
  </si>
  <si>
    <t>laneta, D. Pedro Nicolás Ximenez , D. Ventura Carbonell , D. Félix Victoriano Gómez, D. Juan Godoi, D. Juan Jorge, D. Juan Vicente Vandeli, Don Andrés Alvarez de Toledo, D. Manuel Gestal y Castro, D. Matías Cámara: á los tenientes del cuerpo de patriotas de la Union D. Antonio Santiago 'Ulano</t>
  </si>
  <si>
    <t>capitanes urbanos: D. Juan de la Vianca, D. Basilio Viola, D. Juan Viola, D. Pedro Nolasco Ximenez, D. Juan Jorge, D. Matías Cámara, tenientes urbanos; y D. Manuel de los Ríos, subteniente también de urbanos, que van comprehendidos en sus respectivas ciases para obtener las inmediatas graduac</t>
  </si>
  <si>
    <t>Juan Julián</t>
  </si>
  <si>
    <t>234 para la mas perfecta inteligencia de las reflexiones que hace el autor, por el Dr. Don Juan Julián .Caparros, capa obra completa con los i 2 tomos de los meses del año y los ó de dominicas se vende en las librerías de Ranz y de* Villares!. ' Catón civil , destinado para las esc</t>
  </si>
  <si>
    <t>Juan Manuel</t>
  </si>
  <si>
    <t>goza..... 1500 423 D. Josef Enderica García.............. .................. Santander.... 300 1621 D. Juan Manuel, D. Josef y D. Rafael de Michilená....... ............. ........................... ......... Santander.... SCO 980 D. Pedro y D. Luis Cano.... ........................... Madrid.</t>
  </si>
  <si>
    <t>maniego...................... ................... Coruña....... 50a 2442 Sres. D. Pablo Fernando, y D. Juan Manuel : de Peralta, hermanos........... ....-.i.;..¿............ Cádiz..»’..»» 600 427 D. Bernardo Ortega............»..»»»....... .....¿..... Santander...; 300 1597 Sres. Olabazzia Sta</t>
  </si>
  <si>
    <t>zcprte................................... Bilbao................ 500 2436 Sre?. Ó. Pablo Fernando y D. Juan Manuel ; ,..d,?.,P!érMÍt^...,,.^v...............r.....«..... .......... frtd'i’Zii........ 3OO P, Josef Salomón..... .................. ....................... Cádiz............. 300 668</t>
  </si>
  <si>
    <t>alénciá.../ ico D.. Josefi Victorino. Gallardo voii f Cádiz/......;/ 60a Sres. 3&gt;J Pablo, Femando y D. Juan Manuel • r.~: (i •de Perita.....................................r..«* Cádi*.«.„.oc 300</t>
  </si>
  <si>
    <t>................ . Barcelona.... 300 2003 D. Santiago Cabarrouy.......... Cádiz....*....., JO® 1711 D. Juan Manuel de_PeraIta...................... Cádiz......... . 300 219 D. Antonio María Bajaguer........... ........... Alicante....... 3Q° 363 D. Santiago de Abarratfcgui.,......................</t>
  </si>
  <si>
    <t>Juan Martín</t>
  </si>
  <si>
    <t>Álgarbe empleo de alférez al portaestandarte D; Ignaeio Toxa-; y esta resalta al: sargento primero D. Juan Martin; También se ha dignado el Reí conferir compañía en el-regimiento de drago¡nes de Viüaviciosá ai ayudante.,'graduado de teniente coronel* D. Antonio ^ | / * % •• £ « * ' • / 4 I t?</t>
  </si>
  <si>
    <t>........................ 3 23. D. Eduardo de Fuentes, presbítero, 30 id. por 2 meses.......... 60. D. Juan Martin, guarnicionero, 40 id. id........ 1......................... 80. D. Rafael Alvarez, tesorero de la real casa de Moneda, 150 id. por agosto.........................................</t>
  </si>
  <si>
    <t>Juan Nepómuceno</t>
  </si>
  <si>
    <t>.......................... . D. Juan Josef Saldias, á cuenta de 8 rs. diarios por agosto..... 1*28. D. Juan Nepómuceno d¿ Aranda, por una vez.......................... JOO. D. Andrés de Tejada, tesorero de exército honorario, por un añoanticipado... ...V........... 720. D. Francisco Bacarini, por</t>
  </si>
  <si>
    <t>Juan Pedro</t>
  </si>
  <si>
    <t>z.,,...... * l oo 1854 D.. Josef Ventura García. Herrero..'....... ........ : Zaragoza., ;(3P® 1999 D. Juan Pedro. .Cantón■%M*.*,* **•• •*•* * ‘ Zaragoza.,.:. :■íP9® 2262 Dona Francisca ds••*•••*•»•♦• ¡ S ilbao o 5po 603 D. Mateo Agüero Marcos........... . hladrid....... 300 1455 D. Manuel Ca</t>
  </si>
  <si>
    <t>Juan Xavier</t>
  </si>
  <si>
    <t>..... . ... Madrid....... 606 1981 Sres. D. Josef Francisco Mornau....... ... Zaragoza..... 500 H02 D. Juan Xavier de ¿aplaza y *Xazarraga........ Madrid.1...:.. • 500 2456 D. Josef Luis de Sorondo;..... .................. .... ... S. Sebastian. 300 2156 D. Manuel Francisco de Soto...............</t>
  </si>
  <si>
    <t>Juan' Bautista Lar</t>
  </si>
  <si>
    <t>.......... ........... . Cádiz;»:!..¿1; 1000 *Ol8 D, Juan dé Mata Zúñiga. ; Cádiz....I...-. 300 3*7 D. Juan' Bautista Lar ragoy ti»»»..»................ Coruña. '..4. ióoo 9OI D. Francisco López Nuñez................; Madrid300 2417 D. Rafael de Lucas y Arcayne.».»................ Zaragoza;.... 300 1</t>
  </si>
  <si>
    <t>Juan'Peáro Cantón</t>
  </si>
  <si>
    <t>....;;. '300 2372 D. Francisco Ju lian Nieto.. .. . .............. . .... .y Zatagozáy!... 500 J997 D. Juan'Peáro Cantón..».»»»»..;:.i».,.»;;.;:./..».»!; 'Zapágóza..;;.! 600 254 D. Diego Antonio Cabezón, prior y canónigo. BtíVgós.u .;.. 5 00 565 D. Jóséf Nieto...................»....'....:..;. Madri</t>
  </si>
  <si>
    <t>Juan, Archiduque</t>
  </si>
  <si>
    <t>Archiduque Juan</t>
  </si>
  <si>
    <t>de_honor, destinadas para S. M, el Emperador de Austria, para SS. AA .RR. el Archiduque Cirios y el Archiduque Juan, para los condes de Stadionyoe Wrbna, y para el general Meerfeld. , , El Emperador ha expedido un decreto en que manda hacer el censo de la población-del ducado de Salzburgo y del</t>
  </si>
  <si>
    <t>costas meridionales de Italia, señaladamente á las que miran al Mediterráneo* Vtena 19. de Mayo, El Archiduque Juan, después de haber visitado las fortalezas de Hungría, y tomado las medidas convenientes para mantener la caballería en aquel reyno, se ha restituido á esta capital. Este Príncipe,</t>
  </si>
  <si>
    <t>Juan- Ravasa</t>
  </si>
  <si>
    <t>................... 90. 8f. D. Pedro Gutiérrez Harona , un real diario, por 4 meses........... 122. D. Juan- Ravasa , empleado en la rema del Tabaco en la ciudad d$ Burgos , por una vez............................ .......... . 2000. D. Celedonio Rosado, id.......................................</t>
  </si>
  <si>
    <t>Juana</t>
  </si>
  <si>
    <t>IOOO 206 D. Adrián Riser..... ............ '......... ..................... Alicante...... 300 369 Doña Juana. Gutiérrez y Cevallos.................. Cádiz........4 300 488 D. Juan Antonio de Aguirre............ ............... Bilbao.;.... 300 1747 D. Josef Molla.........................</t>
  </si>
  <si>
    <t>no por el derecho de transmisión y herencia que les pertenecía solo por la descendencia de la Reyna Doña Juana hija de los Reyes católicos D. Fernando y Doña Isabel. Por eso prevaleció el derecho de Felipe y, su nieto y biznieto, contra las renuncias y disposiciones testamentarias de los R</t>
  </si>
  <si>
    <t>.......i.*.»».......... ^oo. D. Pahtaleonr AznarV intprésor, por Una vez.-.......,;........ . r6o.. Dona Juana rjeto, lid.«**•«*•«...«•«««««.200. D. Martin Mendía y id D. Miguel de Náxera, ageqte de los del número de Indias, en librámi^ntbs de intereses de vales reales de 807, id..........</t>
  </si>
  <si>
    <t>Juana de Abarrategui y Sagúes</t>
  </si>
  <si>
    <t>tonia Millano D* Pedro Yepes, vecinos de Arganda , 3 camisas cada uno. Doña María Í osefa Corral 6. Doña Juana de Abarrategui y Sagúes 6. Dia ir. Doña M. P. C. y una hermana 3 camisas. Dia 12. Doña Manuela González de Sena 6 camisas. Doña Joaquina Tobar y Yepes 5* AVISOS. Por providencia del tribunal del consulad</t>
  </si>
  <si>
    <t>Juana de Osoi-ío</t>
  </si>
  <si>
    <t>.-. &lt;•;•, .. • ’ /• . Doña fiaría Eugenia Volvienso, por una vez.............................. 20. Doña Juana de Osoi-ío, id...................................................... ........ 120. D. Ainbrosio de&gt;^iídiafekr, archivero d¿ tí contaduría mayor ¿ id. 500. D. Manuel r Doña&gt; Antonia y Doña Ma</t>
  </si>
  <si>
    <t>Juana Fremiot de Masdevall y de Gomis</t>
  </si>
  <si>
    <t>..... Cádiz........... 500 1212 D. Ildefonso María de Castejon, de Durangó. Bilbao........ . 300 68 Doña Juana Fremiot de Masdevall y de Gomis. Barcelona..., 300 572 D. Lorenzo de Navas............ ............................ Madrid...... . 500 777 Doña Teresa Ceferina. Remonel.................... . Madrid....... loco 1</t>
  </si>
  <si>
    <t>Juana Hurtado de Mendoza, María</t>
  </si>
  <si>
    <t>María Juana Hurtado de Mendoza</t>
  </si>
  <si>
    <t>IL DE 1808. Números Lotes de las en acciones. Nombres de los interesados. Comisionados. Rs. vn. 899 Doña María Juana Hurtado de Mendoza... Madrid........ 500 628 D. Teodoro Cía............................................ Madrid....... ? 00 2122 D. Pedro Hoürquet..................................... Zaragoza..... 3</t>
  </si>
  <si>
    <t>Juana JLahasa de Soler</t>
  </si>
  <si>
    <t>rreche , del comercio , un vale de 2 5 o pesos de enero por una vez 9401235 ►.«. 2317 2*. La señora Doña Juana JLahasa de Soler , por una vez........ ......... 2.QOGU</t>
  </si>
  <si>
    <t>Juana Lacroix</t>
  </si>
  <si>
    <t>a. Doña María G. 2 finas, y 2 pares de calcetas. Doña M. T. y C. 2 d$ coruña y 2 pares de calcetas. Doña Juana Lacroix 6 camisas. Las señoritas Cerdañes 4. Doña Manuela Ámedigo una de coruña y un par de medias. Octubre i.° María y Tomasa, criadas de servir, una camisa y un pac de, calcetas.,Doña V</t>
  </si>
  <si>
    <t>Juana María del Val</t>
  </si>
  <si>
    <t>L. S. una. Doña María Damor 2. D. Josef Ortiz 1 f varas de lienzo. D. Francisco de Moya y Cortés 6. Doña Juana María del Val 2 camisas* Doña María Damiana de Otaolá 6 Doña Francisca Arroteta, su criada. Doña Nicolasa Perez de Castro 2, una. D. Vicente Diratigo 3. D. Francisco Torres 4. D. Benito García</t>
  </si>
  <si>
    <t>Juana Meco</t>
  </si>
  <si>
    <t>camisas y 6 pares de calcetas. Doña Teresa de la Cueva 2 camisas nuevas. D. Pedro Perez Plano 3 id* Doña Juana Meco, residente en Castilla la vieja, 2 id. Doña María Fernandez Casariego 3 id. La Sra. Doña María Blasa Nieto de Paz y Centurión 12 camisas nueras y 7 quarterones de hilas. Doña Marí</t>
  </si>
  <si>
    <t>Juana MorazáU</t>
  </si>
  <si>
    <t>.^..-..Bílbáb...l.:!y 300 171$ DoñaSaívad'orade Aguilar Tablada del Gáfpió. y Gadizí..;i j 3°° 1001 Doña Juana MorazáU.......................Madrid....;;. '300 2372 D. Francisco Ju lian Nieto.. .. . .............. . .... .y Zatagozáy!... 500 J997 D. Juan'Peáro Cantón..».»»»»..;:.i».,.»;;.;:./..».»</t>
  </si>
  <si>
    <t>Juana Peñalba</t>
  </si>
  <si>
    <t>.... Zaragoza...*. 600 1869 Doña Antonia García y Mancho:..:...»............ Zaragoza...^ % 00 1976 Doña Juana Peñalba ..................... ............ Zaragoza..».. 5 ©o 82 D. Gabriel de Zavala................. .................. Tortosa...... 300 189* D. Joaquin de Astiz.......................</t>
  </si>
  <si>
    <t>Juana Planté de Portillo, María</t>
  </si>
  <si>
    <t>María Juana Planté de Portillo</t>
  </si>
  <si>
    <t>eros, 2 pares de calcetas, 2 pares de zapatos y una venda. La condesa viuda de Viamanuel 6 camisas. Doña María Juana Planté de Portillo y sus dos hijos 6. Dia 15. D. Miguel de Rivas 43 varas de paño pardo, 6 pares de calzones, 2 chaquetas y 2 pantalones pardos. Doña Josefa de Elosua y Leiva una camisa. Doña Ramona T</t>
  </si>
  <si>
    <t>Juana Prieto</t>
  </si>
  <si>
    <t>de Carranza 2. Marquesa del Valle de la Paloma 1. Doña Josefa Semolinos 4. Doña Francisca Villa 2. Doña Juana Prieto 2. Monjas de Sta. Clara 2. Doña Francisca Laliga 1. Doña Nicolasa Montero 2. Doña María Rodríguez 1. El colegio de S. Antonio 3. Doña Faustina Bustarviejo 3. Doña Catalina Villa 3</t>
  </si>
  <si>
    <t>Juana Teresa de Latorre</t>
  </si>
  <si>
    <t>. 1000 504 D. Josef de Ezguiaga........................................... Bilbao.......... 300 916 Doña Juana Teresa de Latorre y compañía.... Madrid........ 300 148 D. Luis María Andriani, sargento mayor....... Valencia..... 600 1003 Doña Josefa Susana Seropp................................ Madrid....... 50</t>
  </si>
  <si>
    <t>JuanjGundino</t>
  </si>
  <si>
    <t>la calle de Fuencarral. P. Benito.'Martínez por la comunidad de agonizantes de la calle de Atocha. D. JuanjGundino, diputado eclesiástico de las Descalzas reales. D. Juan Antonio Irusta, teniente mayor de S. SebastLn. D. Antonio Llórente , abad de Monserr-at. Fr. Josef Rubín , prior de Atocha.</t>
  </si>
  <si>
    <t>JUanMahuel</t>
  </si>
  <si>
    <t>, y. por sueScVfbáníáVháyór'ifi fcdrgó'dfcD.ÍMárco^dé Cifuéntés liidálgb, á todos los acreedorestde D. JUanMahuel^ Di Vicente"RfébfdV^ herñian6sf/yeciiidá^y dél comérejp" que fueron de agüella ciudad , cuyo concurso sé halla péhtílente, páta queenel^érmino preciso de i mesésyúltltnoy perentor</t>
  </si>
  <si>
    <t>JuanMoscoso</t>
  </si>
  <si>
    <t>ersona el Excmo. Sr. general en gefe, teniendo por primeros ayudantes generales al teniente coronel D. JuanMoscoso, capitán del real cuerpo de artillería, y D. Ramón Calvet, sargento mayor del real cuerpo de ingenieros, con 2 ayudantes seguhdos subalternos dedos ¡mismos cuerpos. Mayor general</t>
  </si>
  <si>
    <t>JuanPlanella</t>
  </si>
  <si>
    <t>Vigile: para el beneficio segundo de Stá. Anastasia de la misma catedral, vacante por promoción de D. JuanPlanella á la canongía penitenciaria de la misma) á D. Carlos.Torre, cura párroco de aquella diócesi; yá D. Matías de Sola y Béltran para uná canongía penitenciaria de ia catedral de Ibiza</t>
  </si>
  <si>
    <t>JuaoBascourt</t>
  </si>
  <si>
    <t>do el: caminó dérl llano, que pormi Frente ib*¿áaqaelpueblo: dispuse en consecuencia que el coronel D. JuaoBascourt con-10&amp; hombres-del. batallón de catalanes de1 su mando -saliesen "af</t>
  </si>
  <si>
    <t>Juaq Buch</t>
  </si>
  <si>
    <t>.. Zaragoza..... 300 416 D. Josef Víctor.0 Gallardo........................ . Santander.... y 00 f9 D, Juaq Buch................................... ..................... Barcelona...» 600 *934 D. Felipe Montes........................... ....... ...... .......... Zaragoza..... ..... 300 1701</t>
  </si>
  <si>
    <t>Juari Antonio Descarga</t>
  </si>
  <si>
    <t>;: ...vAA,...- Aíadrid....... - 500 867 Do.na María E.iirióma..-...»...r., • Madrid.;..:;. IOOO 112 D. Juari Antonio Descarga1, a'badi;!.1;....':.1...!.. Tiidela.. 5 3'oñ 1572 D. Domingo dé Sópardá..::.AA..AAA Bilbao......... 500 24-7 D. Josef Autolín de Náxera........ Burgos........ 300 968 D: Ramón Par</t>
  </si>
  <si>
    <t>Juari António Sánchez</t>
  </si>
  <si>
    <t>...........; Madrid300 2417 D. Rafael de Lucas y Arcayne.».»................ Zaragoza;.... 300 1847 D. Juari António Sánchez................ .... w .».*;... Za rágoza...» 1500 591 D. Josef Moreno Martínez................... !........... Madrid.....» 1500 471 D. Vicente Crespoí...»»;;»»»»»...»..... •....</t>
  </si>
  <si>
    <t>Juau García de Neira</t>
  </si>
  <si>
    <t>. =r Señor, rr Joaquín Léandro de Solís.s:Joaquín de Goyeueta.= Diego del Campo.—Marti □ Saravia. = D. Juau García dé Neira, escribana de cabildo.</t>
  </si>
  <si>
    <t>Juaua Belloc</t>
  </si>
  <si>
    <t>. Biibao.......... 6c 0 i87 D. Josef Aullon y compañía...................... Alicante..... 3co 1000 Doña Juaua Belloc......... ................. Madrid...... . 600 2270 Doña Antón f na Cándida,de, Laraudo.....,,, 1 •' r4 Bübao. í ...... 300 1536 D. Agustin .de Olana • «t*«4 «&gt;M I • • • • » *4 •*•</t>
  </si>
  <si>
    <t>Juchof</t>
  </si>
  <si>
    <t>mán y Baades , el refrendatario Feurbach, célebre jurisconsulto1; Mr. Jacobi , profundo hellenista* Mr. Juchof, literato;Mr.Schelling, filósofo célebre; Mr.Schilchtegroll,se-, cretario de la academia de las ciencias; Mr. Schrank, escritor de economía política; Mr. Sommering, anatómico; Mr.</t>
  </si>
  <si>
    <t>Judas Josef Romo</t>
  </si>
  <si>
    <t>Alonso, frente á las gradas de S. Felipe. Ensayo sobre una oda al entusiasmo de la gran nación, por D. Judas Josef Romo: versos sueltos. Sie hallará en las, librerías de'Castillo, frenteá Jas _gradastje San Felipe, y de Sancjia, caí le; del Xpbd^. , ■ ,¡ i -fr, --j • • 1. Historia de Bruce y Emilb</t>
  </si>
  <si>
    <t>Judn Bet-íitu</t>
  </si>
  <si>
    <t>1 lós íathós dé hiíadolsy texidófc, y él zfeib d mteifgeücíá cotí que dirige dicha real caía él Sr/ D. Judn Bet-íitu&lt;ié¿¿ inquisidor ftbribrario áe próvltíriá, é individuo numerario dé la misma ciclad. Tambienfüerbn premiado?* los discípulos de la cátedra' dé ecoríomíá política ebá sdgürtbé éVén</t>
  </si>
  <si>
    <t>Jugla Cádiz, Diego</t>
  </si>
  <si>
    <t>Diego Jugla Cádiz</t>
  </si>
  <si>
    <t>... ibob 340 D. Tomas.de Urrutia....................... .............. .. Cádiz;.....'... "‘foo 367 D. Diego Jugla Cádiz, ......... 500 2040 D, Miguel Perez Prieto. Cádiz*/.7..U. ,;foo</t>
  </si>
  <si>
    <t>Juj</t>
  </si>
  <si>
    <t>nte él Sr. D. León de Sagasta, teniente corregidor de esta villa, y por la escribanía del número de D. Juj^ln González Saez. NOTICIAS PECULIARES DE MADRID, S. Ignacio de Loyola fundador. _ Quarenta horas en la iglesia de S. Ignacio• AVISOS. El que quisiere aprender en breve tiempo la l</t>
  </si>
  <si>
    <t>Jul</t>
  </si>
  <si>
    <t>...... .......... : Madrid.... 300 8-11 D. Alexandro de Silva y Ayanz....;.... Madrid.... .300 1732 D Jul ian Negrete..................... ............. Cádiz...... 300 20^7 D. Juan Francisco Pezron..................... Cádiz...... 300 2266 D. Zacarías de Bolívar............... . Bilb</t>
  </si>
  <si>
    <t>Julio de Voss</t>
  </si>
  <si>
    <t>uministrado al catálogo 290 artículos. Muchos, y entre otros los de Mr, de Villers y.del inagotable Mr. Julio de Voss, tienen por objeto la reunión de las iglesias, y otros el gran sanhe— drin. El número de otros libros se ha acrecentado; la pluma del infatigable Fessler ha dado prueba sobre todo</t>
  </si>
  <si>
    <t>Julio O-Neill</t>
  </si>
  <si>
    <t>n de Llano, capitán de dragones de Numancia; D. Francisco Xavier Riera, id. de húsares Españoles; y D. Julio O-Neill, id. de milicias de Puerto-Rico, ayudantes de campo del general en gefe. D. Estanislao Salvador, capitán del regimiento de la Princesa; y,D. Nicanor Ricaud, id. del de Algarbe, se</t>
  </si>
  <si>
    <t>Jumes Saumarez</t>
  </si>
  <si>
    <t>obierno quiere aumentar la escuadra del Báltico hasta 24 navios de línea , y que la mandará en gefe Sir Jumes Saumarez, llevando baxo sus órdenes á los contra-almirantes Hood y Keats. El primero de estos ha salido ya de las Dunas para aquel mar á bordo del navio Centauro. El almirante Russel volve</t>
  </si>
  <si>
    <t>Junco, Manuel María</t>
  </si>
  <si>
    <t>Manuel María Junco</t>
  </si>
  <si>
    <t>Reynaite la de los barrios de la puerta de Scgovia y Sacramento. Quartel del Barquillo. El alcalde D. Manuel María Junco hará la de los barrios de S. Pascual, Mercenarias y~€apuctrinos deia^PffereAc!»?1*^ \ b i ■' ». -i ,d A JL í *-M</t>
  </si>
  <si>
    <t>er prestado el juramento prevenido por la real provisión-del i.° de dicho ipes, el alcalde de corte Don Manuel María Junco, que por hallarse ausente no lo había, prestado el dia que lo hizo la Sala. La junta de armamento y defensa de la provincia de Soria hace presente con igual fecha, que luego; que</t>
  </si>
  <si>
    <t>Jung</t>
  </si>
  <si>
    <t>ii dél monumento en algún destino caritativo. En Suabia se ha formado una hueva secta, cuyo gefe es Mr. Jung, conocido en él mundo literario por el nombre de Stilling, con el quaá ha publicado varios .libros llenos de sermones y relaciones de pretendidos milá-J gros qué le han sucedido.</t>
  </si>
  <si>
    <t>Junot de Portugal, General</t>
  </si>
  <si>
    <t>General Junot de Portugal</t>
  </si>
  <si>
    <t>sta Ciudad , se dice que el Duque de Berg se halla enfermo, y que ha pedido tropas á Napoleón, y al General Junot de Portugal, sin que uno ni otro se encuentren en disposición de podérselas mandar. Et descontento de las tropas enemigas parece general, y corría muy valida la voa de que en Bayona había una</t>
  </si>
  <si>
    <t>Junot, General</t>
  </si>
  <si>
    <t>General Junot</t>
  </si>
  <si>
    <t>, que casí Xa* dos ios franceses se han puesto en marcha hacia diferente» puntos, y el resto con su General Junot se está fortificando en el castillo de S. Jorge, con acopio de víveres y municktfies. Han pasado á las fortalezas quanto habia en los arsenales,* y algunos añaden que pretenden ca</t>
  </si>
  <si>
    <t>tacamento de dragones, se dirigieron á Galicia, acción que ha sido muy sensible á los franceses. El General Junot, recelándose que los demas imiten esta conducta ha tomado el partido de desarmarlos , y no tardará en hacer lo mismo con el destacamento de ..Setubal, ántes que sigan este exemplo</t>
  </si>
  <si>
    <t>Junqueras, Juan</t>
  </si>
  <si>
    <t>Juan Junqueras</t>
  </si>
  <si>
    <t>ata, á cuen,v ¿tarde Ó4Q .rs,* .por, una. vez...í... •w.,«.»fá¡ ¿«.». »»»».................... 3x0. D. Juan Junqueras, del comercio &gt; Jo* uña vez..*...................... 100. D. Luis Franco.,.almacenista de,carbón^ por una vez............... 4.00. D. Alexo Axus,. por.una&gt; ..... .................</t>
  </si>
  <si>
    <t>Jurado de Lainez, Juan</t>
  </si>
  <si>
    <t>Juan Jurado de Lainez</t>
  </si>
  <si>
    <t>ez, á b; Santiago Fernandez y á D. Blas de Gortabarruu Ultimamente, se ha servido el Reí conceder á D. Juan Jurado de Lainez, auditor de guerra, y asesor del gobierno y capitanía general de Caracas, honores deoidordeaqueilaaudiencia.. ' De resultas de los exámenes generales- dé los caballeros cadetes de</t>
  </si>
  <si>
    <t>Jurado, Antonio</t>
  </si>
  <si>
    <t>Antonio Jurado</t>
  </si>
  <si>
    <t>Lara y D. Ignacio Palieja; tenencia al alférez D. Francisco Pons, y empleo de alférez al portaguión D. Antonio Jurado: en el de Numanciá compañía al ayudante D. Juan Lartigue; tenencia al alférez D. Nicolás Martínez empleo de Portaguión al sargento primero D. Lázaro Lahoz en el de Lusitania compa</t>
  </si>
  <si>
    <t>JuSn Francisco Xeres</t>
  </si>
  <si>
    <t>... Madrid....... 300 1608 Sres. D. Nicolás de Sarachaga y compañía...... Bilbao......;.. 3000 2072 D. JuSn Francisco Xeres..... i..... Cádi¿**....U 606 1023 B.’ Manuel Lloi ente.Madrid.....»'* 500 1922 D. Santiago García de la Cámara.......... Zaragoza..».. 500 19Ó1 D. J uan Narciso de Torres.........</t>
  </si>
  <si>
    <t>JusnDuarez</t>
  </si>
  <si>
    <t>ón de S. Gines. D. Diego Crespo, diputado de Santa Cruz. D. Andrés Ortiz id. D. Feliciano Gómez id. D. JusnDuarez, secretario. Fr. Fíánéisco dé S. Josef, prior del Carmen descalzo. Fr. Celedonio Urrutia , rector de Doña María dé Aragón. D. Rafael Chartea, diputado de Santa Isabel. D. Rafael P</t>
  </si>
  <si>
    <t>Just, Antonio</t>
  </si>
  <si>
    <t>Antonio Just</t>
  </si>
  <si>
    <t>.... . Málaga....... ., 600 1705 D. Francisco Luis de Lara y Noríga............... Cádiz.. 500 1309 D. Antonio Just........ . Valencia..... 300 3024 D. Antonio Blanc y Valdeiiou................... Madrid.. 300 3467 D. Juan López del Rincón.............................. Málaga....... 300 841 D.</t>
  </si>
  <si>
    <t>Justiniani, Pedro María</t>
  </si>
  <si>
    <t>Pedro María Justiniani</t>
  </si>
  <si>
    <t>iben,y las acciones, señales y palabras con que se conocen; impúgnase con ía pastoral del limo. Sr. Don Pedro María Justiniani, obispó de Vintimilla: traducido del italiano ai castellano por Fr. Jpsef Torrubia. Se hallarán en la librería de Cerro, portal de Manguiteros. - £1 conservador de la dentadura y</t>
  </si>
  <si>
    <t>Justo Agudo del Rio</t>
  </si>
  <si>
    <t>..... 1418. D. Josef López Cándano, id...................... .................................. 20. D. Justo Agudo del Rio, agente de negocios, en vales reales, id........ .............................................. ...................................... . 2230 19. D. Pedro Ruiz, id................</t>
  </si>
  <si>
    <t>Justo Pastor</t>
  </si>
  <si>
    <t>........ . 200. Frutos Orejas, peluquero, por una vez......................................... 240. D. Justo Pastor, médico, por una vez......................................... 300. Bartolomé Diego Ferrado, tabernero, por uña vez................... 200. D. Josef Collada, portero de cámara de S</t>
  </si>
  <si>
    <t>Justo Pastor Pérez</t>
  </si>
  <si>
    <t>Antonio Perez del Castillo, presbítero; D. Martin Galarza y D. Claudio Blanco, alféreces retirados; D. Justo Pastor Perez, administrador del real Noveno; D. Juan Antonio Leonardo, D. Tomas de ia Torre, D_ Felipe Garai, D. Cecilio Saez Gordoa, D. Manuel López Tufiño y D. Pedro de Ribera; y estando asi</t>
  </si>
  <si>
    <t>Justo Pereda</t>
  </si>
  <si>
    <t>á poder del expresado D. Indalecio, quien supiere de su paradero, se servirá avisar en esta corte á D. Justo Pereda, del comercio de la calle de Postas, y en Zaragoza al citado D, Juan Casaus, A primeros de enero de este año se extravió en esta corte un vale real de 300 pesos de la creación de</t>
  </si>
  <si>
    <t>Justo, Matías</t>
  </si>
  <si>
    <t>Matías Justo</t>
  </si>
  <si>
    <t>demas 732 rs. por 2 meses á 12 rs. diarios..................... .......................... . 7308. -D. Matías Justo, mozo de furriera, por una vez........................ 200. D. Josef Irene Rodríguez, id..................... ................................... 600. Francisco de Paula Kramer, m</t>
  </si>
  <si>
    <t>Kai, António</t>
  </si>
  <si>
    <t>António Kai</t>
  </si>
  <si>
    <t>promover en el regimiento .suizo de Reding número 3.0 á sargento mayor al capitán primero del mismo D. António Kai</t>
  </si>
  <si>
    <t>Karry Burrard</t>
  </si>
  <si>
    <t>rompimiento de estos con la Francia, que según hemos dicho &gt; insiste eu que se le ceda la Polonia. Sir Karry Burrard llegó el domingo á Pcrstaiouth , y temó ei mando de la expedición de Moaré. Se ha asegurado que saldrá el 27 por la noche* Tiene á $n bordo las mejores tropas. Ademas de estas y d</t>
  </si>
  <si>
    <t>Keller, Juan Matías</t>
  </si>
  <si>
    <t>Juan Matías Keller</t>
  </si>
  <si>
    <t>ben v D. Juan Hellerbach , y. á subtenientes de granaderos á los de fusileros D. Maiñrado Kn.eher y D. Juan Matías Keller. En el primer batallón de voluntarios de Barcelona se ha servido S. M. promover á capitán segundo al segundo ayudanta D. Josef de Boixó; á segundo ayudante al teniente D. Francisc</t>
  </si>
  <si>
    <t>Kellerman</t>
  </si>
  <si>
    <t>ánico al teniente coronel Murrai, quartelmaestre general, y de la del general en gefe del francés á Mr. Kellerman , general de división ; á quienes han dado la facultad necesaria para negociar y concluir un convenio al efecto , sujeto sin embargo á su ratificación respectiva, y á la del almir</t>
  </si>
  <si>
    <t>Klaproth</t>
  </si>
  <si>
    <t>a florecen cada dia mas. La última feria de Kiov ha sido mu* brillante. Se han recibido noticias de Mr. Klaproth, miembro de nuestra academia de las ciencias; marchó de Teflis , capital de_ la Georgia* y debe hallarse actualmente en Teherán, en Persia. Este viagero se propone pasar muchos añ</t>
  </si>
  <si>
    <t>Klingsporg, Feld Mariscal</t>
  </si>
  <si>
    <t>Feld Mariscal Klingsporg</t>
  </si>
  <si>
    <t>ue siguen: ,,Los últimos avisos de la Finlandia anunciaban que el comandante cíeí exército sueco el Feld Mariscal Klingsporg habia pedido un armisticio al general en ge fe del exército ruso el conde de Buxhowden. Ignorando este que el enemigo había sido rechazado del puesto inexpugnable de Taivola, y qu</t>
  </si>
  <si>
    <t>Koehler</t>
  </si>
  <si>
    <t>ningún capítulo de oficio sino el de Madrid. RUSIA. - ^ Petersburgo f de mayo. ~ -■ ‘ El cónsejerb Mr. Koehler continúa con muchos tesón .sus tareas numismáticas. Diariamente recibe remesas de medallas que le envían desde Crimea; y se espera que piíblique pronto una colección de mas de 6co</t>
  </si>
  <si>
    <t>Kostr, Francisco Basilio</t>
  </si>
  <si>
    <t>Francisco Basilio Kostr</t>
  </si>
  <si>
    <t>e dé granaderos aí de fusileros 0. Félix Moflo: en el de Traxler á subteniénfe de bandera al cadete D. Francisco Basilio Kostr en el de Rédíng num. 2.a á teniente aF subteniente de granaderos D. Nicolás Buman; y en el de WimpfFen á subteniente de bandera al cadete D. Jorge Hirth» , S..M» sé ha servido conce</t>
  </si>
  <si>
    <t>Krasinski</t>
  </si>
  <si>
    <t>ellos , dará mayor movimienélry energía a su industria, y acelerará los progresos de su felicidad. Mr. Krasinski, coronel del regimiento de caballos ligeros al servicio del Emperador de los franceses, al presentar al Rey los oficiales de su cuerpo, Je dirigid $ste discurso: v ; : ,r y&gt; Señor</t>
  </si>
  <si>
    <t>Krauer</t>
  </si>
  <si>
    <t>scarga de 19 cañonazos, y después pasó á cumplimentarle una diputación del. gobierno presidida vpor Mr. Krauer. A otro dia volvió el embaxador la, visita, y al dia siguiente salió para restituirse á Berna ¿ después de haber entregado al. nuevo Landaman una carta del Emperador de los france</t>
  </si>
  <si>
    <t>Kreac, Juan</t>
  </si>
  <si>
    <t>Juan Kreac</t>
  </si>
  <si>
    <t>mer batallón del regimiento de Almería, tercero.de Granada, con 1200 plazas, al mando de su coronel D. Juan Kreac ; y ayer el segundo batallón dei mismo de igual número. El entusiasmo de este pueblo crece cada dia mas en r’ alojamiento y obsequios con que recibe estas tropas, á quienes mira p</t>
  </si>
  <si>
    <t>mo igualmente lo habia executado en la del 31 del pasado con el regimiento de Almería y su coronel D. Juan Kreac 1 Todas estas demostraciones no han sido mas que un índice dé los esfuerzos que deben á la lealtad murciana las tropas que defienden á nuestro déseado Fernando vii, y una pequeña</t>
  </si>
  <si>
    <t>Kreaccon, Juan</t>
  </si>
  <si>
    <t>Juan Kreaccon</t>
  </si>
  <si>
    <t>ques de Campo-verde, y 65 8 plazas et 28. El primer batallón del regimiento de Almería y su coronel D. Juan Kreaccon 1200 plazas él 30. El segundo batallón del mismo con igual, número el 31. Y el. dia 2 dfe este mes ólprimer batallón de suizos de Reding con 1®plazas, su coronel eí brigadier D. N</t>
  </si>
  <si>
    <t>Ksteüer, Juan Bautista</t>
  </si>
  <si>
    <t>Juan Bautista Ksteüer</t>
  </si>
  <si>
    <t>inminente peligro. Sevilla 30. do Mayo de i8o8.=:Por disposición de la Suprema Junta de Gobierno. — D. Juan Bautista Ksteüer, Secretario i.°s D. Juan Pardo, Secretario a.0 CON SUPERIOR PERMISO. EN LA IMPRENTA HE LA VIUDA DE HIDALGO Y SOBRINO.</t>
  </si>
  <si>
    <t>Kurafcin, Príncipe</t>
  </si>
  <si>
    <t>Príncipe Kurafcin</t>
  </si>
  <si>
    <t>s de los metalizados por el hierro.. Escriben- de Viena que un correo extraordinario habia traidoal Príncipe Kurafcin, embaxador-de Rusiapliegos mui; importantes , relativos á los negocios de Turquía.. Algunas horas después de haberlos recibido &gt; el Príncipe Kurakim estuvo, según se diceá ver al</t>
  </si>
  <si>
    <t>Kurakim, Príncipe</t>
  </si>
  <si>
    <t>Príncipe Kurakim</t>
  </si>
  <si>
    <t>importantes , relativos á los negocios de Turquía.. Algunas horas después de haberlos recibido &gt; el Príncipe Kurakim estuvo, según se diceá ver al conde de Stadion y al embaxador de.Francia.. El. mismo-correo- llevaba.pliegos para Paris, adonde continuó su viáge.. Desde que el general austríaco^ba</t>
  </si>
  <si>
    <t>Kurakin, Príncipe</t>
  </si>
  <si>
    <t>Príncipe Kurakin</t>
  </si>
  <si>
    <t>rran-, do ei acompañamiento desde el palacio en que vivía ia difunta hasta el puente de AnískoC* El Príncipe Kurakin, hermano de nuestro embajador en Viena, ha sido llamado á la‘corte, y se cree entrará en el ministerio; El famoso conde Gregorio Orloff, el mismo que en el reinado de Cata— , lina</t>
  </si>
  <si>
    <t>que nuestro ministro de negocios extrangeros conde de Stadion tiene frecuentes conferencias con el Príncipe Kurakin, embajador de Rusia , y con el general Andreosi, embaxador de Francia* Aunque nada.se trasluce del objeto dé estas conferencias, se cree generalmente que son relativas á las relac</t>
  </si>
  <si>
    <t>la Oiancia, María</t>
  </si>
  <si>
    <t>María la Oiancia</t>
  </si>
  <si>
    <t>. Cosme de Miguel García 6 cá* D. Franciscos Blanco112. misas. La diputación del barrio de las Des- Doña María la Oiancia 8 varas de calzas Reates ^53;. — T „ lienzo. ■ Doña María Corta^aTífla^i- ■ t La diputación del barri&lt;y de las Salé* Doña María lgnácia Tejada yLabu- sas 3 camisas. 5 ría 12. * ?í</t>
  </si>
  <si>
    <t>La Rapa, Ramón</t>
  </si>
  <si>
    <t>Ramón La Rapa</t>
  </si>
  <si>
    <t>a..,.. 1000 1007 D. Josef Martin Herrera................................... Madrid........ 300 1970 D. Ramón La Rapa........................................... Zaragoza..... 500 635 Doña Josefa Daganzo......................................... Madrid....... 500 809 D. Josef Antonio de Ibarzola...</t>
  </si>
  <si>
    <t>la Rúa, Francisco</t>
  </si>
  <si>
    <t>Francisco la Rúa</t>
  </si>
  <si>
    <t>epción francisca d*e la* ciudad de Guadalaxara i3. El Excmo. Sr. conde de Miranda 27, y su contador Don Francisco la Rúa a*</t>
  </si>
  <si>
    <t>La-Peña, Manuel</t>
  </si>
  <si>
    <t>Manuel La-Peña</t>
  </si>
  <si>
    <t>entró en esta corte el cuerpo de reserva del exército de Andalucía con .su comandante el Excmo. Sr. D. Manuel La-Peña y lo^ mariscales de campo D. Narciso Depedro, marques de Gelo y D. Josef Augusto Laporta, y á su frente ei capitán general y xefe de aquel exército el Excmo. Sr. D. Francisco Xavier</t>
  </si>
  <si>
    <t>Labagghi, Nicolás</t>
  </si>
  <si>
    <t>Nicolás Labagghi</t>
  </si>
  <si>
    <t>d....... 500 2178 D. Francisco Osearte.......:.............. ................ Coruña....... 600 398 D. Nicolás Labagghi, tesorero deexército.... Coruña......... 500 1927 D. Josef Henriquez de Otero.......................... Zaragoza..... 30 o 736 D. Antonio de Goycoechea............................</t>
  </si>
  <si>
    <t>Labairu, Antonio</t>
  </si>
  <si>
    <t>Antonio Labairu</t>
  </si>
  <si>
    <t>, todos del regimiento de guardias Valonas. v , El capitán del regimiento de infantería de la Reina D. Antonio Labairu fue muérto en la acción del 16 ; y herido.en la dei día 19 el teniente coronel del mismo cuerpo D. Miguel de los Ríos. ‘ En:el regimiento de la Corona fué herido igualmente el 16</t>
  </si>
  <si>
    <t>Labastida, Pedro</t>
  </si>
  <si>
    <t>Pedro Labastida</t>
  </si>
  <si>
    <t>118 nes del de AméricítD. Pedro AMmer, del de Cantabria D. Cirios Montero, del de Africa D. Pedro Labastida, del mismo de Toledo D. Nicolás Darctmrt, del expresado de Mallorca D. Antonio Hernando, del propio de Irlanda D. Patricio Kearney, del inmemorial del Rei D. Carlos de los Ríos ,</t>
  </si>
  <si>
    <t>Labat, Francisco</t>
  </si>
  <si>
    <t>Francisco Labat</t>
  </si>
  <si>
    <t>Zámorano, 2© rs. D. N. Villanueva, 100 rs, D. N, Seguí , 10 rs. D. Josef Kossi, por una vez 800 rs. D. Francisco Labat, por agosto á 60 rs. mensuales, 60. D. Juan Andureo 160 rs. por una vez y 20, mensuales, 180. D. Fernando del campo, oficial de la contaduría del consejo de Guerra, por agosto 20</t>
  </si>
  <si>
    <t>Labenski</t>
  </si>
  <si>
    <t>ado á la Estbonia 30$ fanegas de harina para* remediar la carestía procedida de .la falta de trigo. Mr. Labenski ha sido nombrado cónsul general de Rusia en París. , CÍUDpB 'ANSEÁTICAS. • • 1 HambnrgoS dt abril. Estt mlñana ha. salido de esta ciudad para la de Colonia el primer transporte dé</t>
  </si>
  <si>
    <t>Laborda, Francisco</t>
  </si>
  <si>
    <t>Francisco Laborda</t>
  </si>
  <si>
    <t>ro de real hacienda-, en Londres. &gt; D. Manuel Vitaoarros, contador principal y comisario de guerra. D. Francisco Laborda, comisario de guerra. D. Josef Martínez, D. Josef Bringas, D. Josef Balhin y D. Isidoro Aza— güirre, oficiales de contaduría. . D. Agustín Peiaez, cirujano consultor. . D. Narciso</t>
  </si>
  <si>
    <t>Lacarra, Manuel</t>
  </si>
  <si>
    <t>Manuel Lacarra</t>
  </si>
  <si>
    <t>tiles al mismo. Setiembre 19. D. Pedro Menendez García 15 varas de lienzo. Doña Alfonsa Ceuleman 4. D. Manuel Lacarra 2 camisas. D. Andrés Caballero 27. Doña Josefa Sanz 6. D. Manuel de Velasco 2 camisas y 14 varas de lienzo. D. Manuel Francisco del Castillo 88 pares de calcetas. Dia 20. D. Raimu</t>
  </si>
  <si>
    <t>Lacepede</t>
  </si>
  <si>
    <t>maestro de ceremonias, y presentó S. A. S. el principé vice-gran elector. .&gt; El senado por boca de Mr. Lacepede, su presidente:, ofreció á los pies del solió la respuesta al mensage de S. M.; concebida eñ dos términos que siguen:. • .* „Seííor : El senado viene á presentar á V. M. ei tribut</t>
  </si>
  <si>
    <t>Lacoma, Francisco</t>
  </si>
  <si>
    <t>Francisco Lacoma</t>
  </si>
  <si>
    <t>o .en la forma siguiente : Primera clase• Premios Rimeros. Medallas ,de. oro de g onzas. Pintura: á D. Francisco Lacoma, natural de Barcelona, de edad de 24 años. Escultura: á D. Ramón Belart, de Montblanc, arzobispado de Tarragona, de 3 2 /años. Arquitectura: á D, Tiburcio Perez Cuervo, de Oviedo,</t>
  </si>
  <si>
    <t>Lacordela, Juan Bautista</t>
  </si>
  <si>
    <t>Juan Bautista Lacordela</t>
  </si>
  <si>
    <t>ón Lletget... Madrid....... 300 2031 D. Juan Miguel de Lostra.............. ...... . Cádiz 600 1435 D. Juan Bautista Lacordela............................ . Málaga....... ., 600 1705 D. Francisco Luis de Lara y Noríga............... Cádiz.. 500 1309 D. Antonio Just........ . Valencia..... 300 3024 D. Anto</t>
  </si>
  <si>
    <t>Ladebese y Alzaibar, Ángel</t>
  </si>
  <si>
    <t>Ángel Ladebese y Alzaibar</t>
  </si>
  <si>
    <t>...................... oeo 2419 Doña María de Dolores Amil y de Oro....... OclCilZaiiM #••• 390 507 D. Angel Ladebese y Alzaibar........................ Bilbao......... 300 D. Timoteo Imaz............................................. Barcelona.... 500 396? D. Martin de Enseña............. Zaragoza..... 309</t>
  </si>
  <si>
    <t>Ladebesee y Alzaibar, Ángel</t>
  </si>
  <si>
    <t>Ángel Ladebesee y Alzaibar</t>
  </si>
  <si>
    <t>. S. Sebastian. 300 103 5 D. Francisco Pascual de los Cobos................. Madrid.......; 300 508 D. Angel Ladebesee y Alzaibar...................... Bilbao.......... 300 843 D. Domingo Bañares......... ............................... . Madrid....... . 3 00 2384 D. Martin de Barrencochea...................</t>
  </si>
  <si>
    <t>Ladoux, Joseph María</t>
  </si>
  <si>
    <t>Joseph María Ladoux</t>
  </si>
  <si>
    <t>rra tenencia al subteniente de granaderos Don Ignacio Gueróla , y subtenencias de bandera at cadete D. Joseph María Ladoux, y al sargento primero D. Ramón Alisoga. . " En el regimiento de infantería de Soria se ha servido S. M. conferir com</t>
  </si>
  <si>
    <t>Laencuentra, Martín</t>
  </si>
  <si>
    <t>Martín Laencuentra</t>
  </si>
  <si>
    <t>para una ración de coro y altar de Ja catedral de Ibiza, vacante por muerte de D. Juan Calvet; y á D, Martin Laencuentra para una ración de la parroquial, de la villa de Capelíá, diócesi de Lérida. El Reí se ha servido conferir en el regimiento de infantería de Cantabria compañía al teniente de gran</t>
  </si>
  <si>
    <t>Laf'sse</t>
  </si>
  <si>
    <t>ó ramo de que tratan. Curso de Jiípiátrica, ó tratado completo de la medicina de los caballos, por Mr. Laf'sse, céiebre hipiatra, traducido del francés al castellano por D. Juan G-alisteo 7 Xiorro, profesor de medicina. El nombre solo del autor hace el elogio de esta obra, la qual ha merec</t>
  </si>
  <si>
    <t>Laffore, Pedro</t>
  </si>
  <si>
    <t>Pedro Laffore</t>
  </si>
  <si>
    <t>506 2092 D. Pedro Pons.................................................... Cádiz.......... 500 2021 D. Pedro Laffore................................................ Cádiz.......... 300 2259 D. Joaquin Luis de Arechaga......................... Bilbao......... 300 465 D. Meliton de Cafranga.......</t>
  </si>
  <si>
    <t>Lagarde</t>
  </si>
  <si>
    <t>sidencia del príncipe archicanci11er del imperio. Se ignora el asunto de sus deliberaciones. . ; .¡ Mr. Lagarde, director general que fue de policía en el estado veneciano , pasa á Portugal con el mismo destino. La plaza de secretario general de este ramo se ha conferido á Mr, Vilíiers, el</t>
  </si>
  <si>
    <t>Lagneau</t>
  </si>
  <si>
    <t>ivo antísifiiítico, actualmente adoptado en el hospital de enfermedades venéreas de Payis: su autor Mr. Lagneau, Este excelente tratado, que se acaba de publicar en Francia , reúne en pocas páginas todos los conocimientos útiles que se hallan en las voluminosas obras de Astruc y de Svediaur</t>
  </si>
  <si>
    <t>Laguna de Várgas, María</t>
  </si>
  <si>
    <t>María Laguna de Várgas</t>
  </si>
  <si>
    <t>id:.:.ó 60. D. Agtístin Endara, por id. á 120 id..... ................ .................... . i*u. Doña María Laguna dé Várgas, id........;............ 120. D. Manuel Carrácero¿ empleado en Correos, por id. á 20 id.... 20. D. Matías Zapater-, del comercio,* por 2 meses á ‘4o id.......¿.... '80. D. Mariano</t>
  </si>
  <si>
    <t>Laguna, Gregorio</t>
  </si>
  <si>
    <t>Gregorio Laguna</t>
  </si>
  <si>
    <t>odos los generales ingleses, llevando en medio ai mariscal de campo de este exército de Extremadura D. Gregorio Laguna , y gefe del estado mayor, á quien seguían también sus ayudantes y comitiva. El general en gefe ingles dió en medio de la plaza ai referido general español Laguna su espada,y este</t>
  </si>
  <si>
    <t>debia pasar i este exército inmediatamente; pero los generales ingleses han acordado con el nuestro D. Gregorio Laguna, que suspendan su marcha por rezelo de que puedan encontrar lós prisioneros franceses que se retiran de los fuertes para ser embarcados én Lisboa con i a-demas canalla de esta nac</t>
  </si>
  <si>
    <t>de granaderos provinciales dé. ambas Castillas y otros piquetes: su general es el mariscal de campo D. Gregorio Laguna. ' 1 * *- 4" 1 Madrid i.° de noviembre. Continuación dedos donativos para vestir el exircito y otrosUsos útiles di i Octubre 17. . Un padre benedictino 3 camisas y 3 pares de calc</t>
  </si>
  <si>
    <t>Laguna, Joaquín</t>
  </si>
  <si>
    <t>Joaquín Laguna</t>
  </si>
  <si>
    <t>l en gefe, en Londres. El conde de Prado Castellano, coronel de milicias, agregado al estado mayor. D. Joaquín Laguna, vicario general. D. Josef González Dávila, teniente coronel del real cuerpo de ingenieros; y D. Pedro Hermosilla, subteniente de dicho cuerpo. Ministerio de real hacienda. , D. L</t>
  </si>
  <si>
    <t>Lahoz, Francisco</t>
  </si>
  <si>
    <t>Francisco Lahoz</t>
  </si>
  <si>
    <t>Reí conceder «Lempleo de capitau-segundo. al. teniente í). Bartolomé Justis;tenencia al subteniente D. Francisco Lahoz, y la subtenencia de bandera al cadete Don Lucas de Velasco. JEn América. El Reí se ha servido conferir la tenencia coronela del regimiento dé infantería de la Havana al coronel D</t>
  </si>
  <si>
    <t>Laífore, Martín</t>
  </si>
  <si>
    <t>Martín Laífore</t>
  </si>
  <si>
    <t>ruña........ 300 •55 D. Josef Ignacio Sagrista y Soler........... ........ Barcelona.... ' 300 2roi D. Martin Laífore.................... ......................... Cádiz......... 500 295- Fernando de Osorno.......... ............................ Málaga....... . 500 1735 D. Juan Antonio Caraso....</t>
  </si>
  <si>
    <t>Lainez, Joaquín</t>
  </si>
  <si>
    <t>Joaquín Lainez</t>
  </si>
  <si>
    <t>agunto á los ayudantes D. Francisco Sepúlveaa y D. Antonio Cardos : empleo de alférez al portaguión D. Joaquín Lainez; y el de portaguión al cadete D. Antonio Geilles; y en el de cazadores de Olivencia al ayudante y teniente, graduados de capitán, D. Miguel de Cárdenas y D. Juan de Estrada. y*S.</t>
  </si>
  <si>
    <t>Lalande, Martín</t>
  </si>
  <si>
    <t>Martín Lalande</t>
  </si>
  <si>
    <t>rs. por una vez, y 733 rs. 10 mrs. poma .tercio .¿..6 ¿s. diarios mientras dure la guerra. 1233 10. D. Martin Lalande, presbítero, 1® rs. por una vez, y 93 por agosto á 3.rs. diarios................................... ................................ 1093. D. Miguel Ballonest, por 3 meses.á 4 rs.</t>
  </si>
  <si>
    <t>Lamas, Manuel</t>
  </si>
  <si>
    <t>Manuel Lamas</t>
  </si>
  <si>
    <t>0 23.V 35211 8. En metálico........................................................... .' 8989 19.3 D. Manuel Lamas, ensayador mayor de los rey nos, por una vez. 500. D. Manuel Espinosa, por una.vez............................ .................. . 100. D. Ramón de Nuñez, administrador del canal</t>
  </si>
  <si>
    <t>Lamiel y Benages, Nicolás</t>
  </si>
  <si>
    <t>Nicolás Lamiel y Benages</t>
  </si>
  <si>
    <t>oza..í., 600 1428 Domingo Padura.............. .......................... ... Málaga....... 300 853 D. Nicolás Lamiel y Benages................. . ... Madrid....... 300 333 D. Diego Moreno y Delgado...................... ... Cádiz........ . 1000 2289 D. Antonio García del Rio............................. C</t>
  </si>
  <si>
    <t>Lamiel y Venegas, Nicolás</t>
  </si>
  <si>
    <t>Nicolás Lamiel y Venegas</t>
  </si>
  <si>
    <t>Guilleímo Dale, inD. Márcos González 6," ' gles , 12. \ Doña Ines Martínez una. D. Antonio Nuñez 2. D. Nicolás Lamiel y Venegas 4. ' Doña Mariana Obregon 3 libras de D. Manuel de Ureta 4. hilas y6;pánit0s. ; Doña B. A. una-. D. Diego Lamón, ingles, 2 camisas. Doña María Guerra 2 camisas. Se continuará.</t>
  </si>
  <si>
    <t>Lamiel, Nicolás</t>
  </si>
  <si>
    <t>Nicolás Lamiel</t>
  </si>
  <si>
    <t>y*v**4•*••• **•• ’ 40* ' La archicofradía sacramental de S‘. MaírtiÁ/y^riuna^ve?;.^^..'.... 6ooo. X D. Nicolás Lamiel"V^enageí, abogado rdel"colegio , por uña : v ir; VeZ.....*.^...«¿^.lP.^. . . ..V.'t . ¿ T*. t O. 4 i Domingo dé^Heírérá j sü 'Cfcóf^ 50. . Y Francisco Serena, por una yez.........</t>
  </si>
  <si>
    <t>Lamón, Diego</t>
  </si>
  <si>
    <t>Diego Lamón</t>
  </si>
  <si>
    <t>as 4. ' Doña Mariana Obregon 3 libras de D. Manuel de Ureta 4. hilas y6;pánit0s. ; Doña B. A. una-. D. Diego Lamón, ingles, 2 camisas. Doña María Guerra 2 camisas. Se continuará.</t>
  </si>
  <si>
    <t>Lance, Juan</t>
  </si>
  <si>
    <t>Juan Lance</t>
  </si>
  <si>
    <t>pañía al tenieñtéde granaderos , graduado de capitán , D. Juan Lance : ayudantía al capitán- D. Josef Montenegro, teniente del mismo cuerpo: tenencias á ios subtenientes de granaderos D. Vicente Amat y D. Juan Dalmansa ; y subtenencias de bandera a</t>
  </si>
  <si>
    <t>Lanciego, Julián</t>
  </si>
  <si>
    <t>Julián Lanciego</t>
  </si>
  <si>
    <t>, tasada «171,7 23 rs. Quién; quisiere hacer postura, lo executará por la escribanía que ‘desempeña D. Julián Lanciego en la ciudad de Logroño, en la qual lik, de celebrarse el,citado remate. Por providencia de Q. Pedro J^icobo Pizarro, juez subdelegado en el departamento de Belaicázar, diócesi de*</t>
  </si>
  <si>
    <t>Landeras y Mas, Vicente</t>
  </si>
  <si>
    <t>Vicente Landeras y Mas</t>
  </si>
  <si>
    <t>... . Cádiz........ 500 1720 D. Francisco Arrafan y Valdés de Bexer...... Cádiz.......... 1500 2387 D. Vicente Landeras y Mas,........*................ Zaragoza..... 3 00 1860 D. Víctores Abad de Aparicio........... ............ Zaragoza..... óoo “300 *5*7 D. Josef Maltrana...............................</t>
  </si>
  <si>
    <t>Landestoi, Bernardo</t>
  </si>
  <si>
    <t>Bernardo Landestoi</t>
  </si>
  <si>
    <t>0, 2491, 3471, £«87, 4327, 5611 y 11586, todos endosados en la referida ciudad de Tarifa á favor de D. Bernardo Landestoi, á quien se enviaban para la renovación. Quien supiere de su paradero, se servirá avisar en Madrid á D. Ignacio Marcos de Arroyo, calle del Mesón de Paredes, núm. 6, frente á la b</t>
  </si>
  <si>
    <t>Langlés</t>
  </si>
  <si>
    <t>64* responsal á Mr. Langlés, conservador de loí manuscritos de las lenguas oríeaiateetf RUSIA. Vetersburgo 14 de mayo de 1808, El 9 del corriente se ha celebrado en esta capital la toma de Sveaborg9 con la q</t>
  </si>
  <si>
    <t>Langles</t>
  </si>
  <si>
    <t>osini.=Tito Mane» , secretario del consejo de Estado.” • IMPERIO « FRANCES. ,• "S París G de julio. Mr. Langles, miembro del instituto, y conservador de los manuscritos déla biblioteca imperial, ha sido nombrado miembr.o de ia academia real de Gottinga. o:v ■ El conde de Metternich# or'-air</t>
  </si>
  <si>
    <t>Laño, Pedro</t>
  </si>
  <si>
    <t>Pedro Laño</t>
  </si>
  <si>
    <t>30a 1836 D. Esteban Die..................................................... Zaragoza..... 500 2134 D. Pedro Laño...................................................... Zaragoza..... 3°o 1874 D. Fernando Polo y Monge.............................. Zaragoza..... 300 1757 Doña María Martina de He</t>
  </si>
  <si>
    <t>Lanuza, Francisco</t>
  </si>
  <si>
    <t>Francisco Lanuza</t>
  </si>
  <si>
    <t>BarCeío , ayudante priitiefó del expresado cuerpo, grado de teniente de milicias disciplinadas : á D. Francisco Lanuza, ayudante segundo!, y;á los habilitados de ayudantes D. Julián de IaCendeja, D. Domingo-Burgués Agrado de subteniente de-milicias disciplinadas.. ; Af los capitanes dé poior ■ de</t>
  </si>
  <si>
    <t>Lanzarote, Pedro</t>
  </si>
  <si>
    <t>Pedro Lanzarote</t>
  </si>
  <si>
    <t>uperiores^ que pasaron por aquel vado quando me puse en retirada; del mismo modo qué su subteniente D. Pedro Lanzarote, oficial que en reconocimientos á vista dé los enemigos me había manifestado su buena disposición. Todos los demas oficiales de mi regimiento han cumplido exactamente con las órde</t>
  </si>
  <si>
    <t>Laplace</t>
  </si>
  <si>
    <t>rís 2 7 de marzo. Acaba de publicarse la tercera edición de la exposición del sistema del mundo por Mr. Laplace , del instituto de Francia &gt; y canciller del senado conservador, en que el autor ha hecho adiciones y mejoras¡considerables* £1 4 de este mes, á las 5 y 20 minuto^ dé i la tarde,</t>
  </si>
  <si>
    <t>Laplana, Pedro</t>
  </si>
  <si>
    <t>Pedro Laplana</t>
  </si>
  <si>
    <t>...................... . 100. Una comunidad de religiosos de esta cor te, id..... ........... iooó. D. Pedro Laplana, cirujano de Ja real familia...... ......................... 320. D. V. A. , un relox de péndola. Alfonso Ortega, artesano, por una vez....... ........................... . 60. D.</t>
  </si>
  <si>
    <t>Laporta, Juan</t>
  </si>
  <si>
    <t>Juan Laporta</t>
  </si>
  <si>
    <t>la-Vega;...........' Madrid./.i..;' 300987: Sres. Zorrilla hermanos.......Madrid...;...; 1500 1434 D. Juan Laporta*.íí*^...-..Málaga.;/../.' 300 2028 D. Bernardo Nueve-Iglesias...... ....................... Cádiz......... * 500 3216 D. Miguel dé Lapiaza...................................... Bi</t>
  </si>
  <si>
    <t>Larramendi, Santiago</t>
  </si>
  <si>
    <t>Santiago Larramendi</t>
  </si>
  <si>
    <t>.................... ...... 1500. D. Francisco Criado, corredor de lonja............ ...... . 1000. D. Santiago Larramendi........................................ . " 500. D. Francisco Xavier Martínez Remon....................... . 500. D. J. A. P..................... .................................</t>
  </si>
  <si>
    <t>Larri, Pedro</t>
  </si>
  <si>
    <t>Pedro Larri</t>
  </si>
  <si>
    <t>orre Muzquiz. = El marques de las Hormazas. = Fernando Calixto Nuñez. = Clemente Antonio Pisador. = D. Pedro Larri va Torres. = Antonio Saviñon. = Josef María Tineo. = Juan Mauri. ,,Publicado todo en el consejo pleno, con presencia de lo mandado en otras 2 reales órdenes de 21 y 22 del corrien</t>
  </si>
  <si>
    <t>Larsen</t>
  </si>
  <si>
    <t>e enteramente derrotado. El edecán Lejanhielm es del número de los prisioneros. ’■ ': . i :: .. ” / Mr. Larsen, que en el combate de 2 de abril de 1801 defendió tan honoríficamente Ja - batería .de Pro vestí er^.tiene manda. ahora .en. Ja -Noruega. Este reino está suficientemente provisto</t>
  </si>
  <si>
    <t>Lartiga, Manuel</t>
  </si>
  <si>
    <t>Manuel Lartiga</t>
  </si>
  <si>
    <t>...¿........ D. Francisco del Campo, contador de los Sres. Infantes.......... ........ 2 x cabezón. D. Manuel Lartiga , abogado......... D. Antonio Poriier......... ....... ......... i carro y d. m. p. c. ................ s D. Manuel Aguirre é hijos............. II { arreo. •' D. Salvador Paiomeq</t>
  </si>
  <si>
    <t>Lartigue, Juan</t>
  </si>
  <si>
    <t>Juan Lartigue</t>
  </si>
  <si>
    <t>o Pons, y empleo de alférez al portaguión D. Antonio Jurado: en el de Numanciá compañía al ayudante D. Juan Lartigue; tenencia al alférez D. Nicolás Martínez empleo de Portaguión al sargento primero D. Lázaro Lahoz en el de Lusitania compañías á los ayudantes D. Gregorio de Cáceres y 0. Juan Nuñ</t>
  </si>
  <si>
    <t>Larue, Ramón</t>
  </si>
  <si>
    <t>Ramón Larue</t>
  </si>
  <si>
    <t>diz.......... 300 1984 D. Antortio Palamar.................................. Zaragoza..... 500 2108 D. Ramón Larue....... .................. . Cádiz........... 500 2142 D. Nicolás de Arujo y Losada................... . Coruña........ 1000 2320 D. Fermín Ramón Barrera...........................</t>
  </si>
  <si>
    <t>Lasa, Juan Bautista</t>
  </si>
  <si>
    <t>Juan Bautista Lasa</t>
  </si>
  <si>
    <t>. D. Blas de Torres Errazque, diputado de Jesús Nazareno. D. Josef Hilario Fernandez, eclesiástico. D. Juan Bautista Lasa. D. Pedro Trigoen, secretario de las Trinitarias. Fr. Andrés de S. Juan Bautista, prior de Recoletos. D. Juan de - Mata, alcalde de S. Nicolás. D. Juan Antonio Perez, diputado del</t>
  </si>
  <si>
    <t>Lasauca, Andrés</t>
  </si>
  <si>
    <t>Andrés Lasauca</t>
  </si>
  <si>
    <t>zalo Josef de Vilches, D. Antonio Villanueva, D. Antonio González Yebra, el marques de Casa García, D. Andrés Lasauca, D. Antonio Alvares Contreras, D, Miguel Alfonso Vilagómez, del propio conseje*</t>
  </si>
  <si>
    <t>Lasauca, Andres</t>
  </si>
  <si>
    <t>Andres Lasauca</t>
  </si>
  <si>
    <t>rcía, D. Eugenio Manuel Alvarez Caballero, D. Sebastian de Torres, D. Domingo Fernandez Campomanes, D. Andres Lasauca, D. Antonio Alvarez de Contreras, y Don Miguel Alfonso Villagomez, ministros del consejo Real, nombrados por S. M. para sentenciar la causa formada contra los que se hallan presos</t>
  </si>
  <si>
    <t>Eugenio Manuel Alvarez Caballero.=E&gt;. Sebastian de Torres. = ¡D/:Domingo Fernandez de Campomanes. = D. Andrés Lasauca.=D. Antonio Alvarez de Contrerás.=D. Miguel Alfonso Villagomez.,,</t>
  </si>
  <si>
    <t>á su original. Dada en Madrid á n de agosto de i8oS.='D. Arias Mon.= D. Juan Antonio de Inguanzo. = D. Andrés Lasauca. = D. Viceate Duque de Estrada. = D. .Benito Arias.” El real y supremo consejo de Indias ha expedido la circular siguiente: ,, La divina Providencia, que en tan repetidas ocasione</t>
  </si>
  <si>
    <t>en esta gazeta algunas noticias interesantes, se darán mañana en un suplemento. AVISOS. Por el Sr. D. Andrés Lasauca, del consejo de S. M. en el real y supremo de Castilla, juez cojnisionado en virtud de reales órdenes para la formación de la causa y embargo de' bienes de D. Manuel Sixto Espinos</t>
  </si>
  <si>
    <t>Lascano, Juan</t>
  </si>
  <si>
    <t>Juan Lascano</t>
  </si>
  <si>
    <t>egimiento de Jaén, de línea, D. Antonio Moya,-y su ayudante D. Carlos Sevilla; y heridos el capitán D. Juan Lascano, los subtenientes D. Bernardo Tortosa y D. Santiago Escario, como asimismo el cadete D. Josef María Ortiz. En la acción de dicho día 19-fueron heridos el c-apitan D. Gaspar Garth,</t>
  </si>
  <si>
    <t>Laserra, Antonio</t>
  </si>
  <si>
    <t>Antonio Laserra</t>
  </si>
  <si>
    <t>Macazaga,... ^ &lt;•••# 000 Valencia..... 500 139 D. Pascual Mora............. Málaga........ $QQ 1457 D. Antonio Laserra......... Se continuará*</t>
  </si>
  <si>
    <t>Laso de la Vega, Manuel</t>
  </si>
  <si>
    <t>Manuel Laso de la Vega</t>
  </si>
  <si>
    <t>por una vez.»»»»...»»&gt;». 40. Francisco Rubio, tendero, á cuenta de 365 rs., por una vez.». 182 17. D. Manuel Laso de la Vega, por una vez................................... 200. D. Manuel de Itúrralde, mayordomo del marques de Iturbieta, por ¿na vez.»»»...................................................</t>
  </si>
  <si>
    <t>Latino Banet</t>
  </si>
  <si>
    <t>o del Campo..• Zaragoza...... 1500 410 D. Nicolás Hernández..................... . Coruñá 3° o 1186 D. Latino Banet............... .......................................... Barcelona.... 600 872 D» Francisco Rodríguez............«•«.—................... Madrid......... 300 2085 Doña María Jose</t>
  </si>
  <si>
    <t>Lator, Juan María</t>
  </si>
  <si>
    <t>Juan María Lator</t>
  </si>
  <si>
    <t>e capitán; ayudantía al teniente de granaderos D. Josef María Morales; tenencias á los subtenientes D. Juan María Lator y D. Josef Moreno, y subtenencia de bandera al cadete D. Esteban López Vidal: en el de Cantabria compañía al ayudante , graduado de capitán, D. Pedro Angulo; tenencia al subteniente d</t>
  </si>
  <si>
    <t>Lavaggi, Nicolás</t>
  </si>
  <si>
    <t>Nicolás Lavaggi</t>
  </si>
  <si>
    <t>Valencia..... IOOO 620 D. Francisco de Irusta.............................. Madrid........ 5000 397 D. Nicolás Lavaggi, tesorero de exércíto....... Coruña........ 500 346 Junta de gobierno de la real compañía de la Havana.......... ........................................ ......... Cádiz........*</t>
  </si>
  <si>
    <t>Lavedan, Antonio</t>
  </si>
  <si>
    <t>Antonio Lavedan</t>
  </si>
  <si>
    <t>dades., quáles son sus ' causas, y el modo de precaverlas y curarlas', traducido del'frances por ei Dr. Don Antonio Lavedan,,profesor de medicina y cirugía, cirujano de cámara de S. M. C. Se hallará en IsTibr.ería de Gómez,,calle de las Carretas. 1 ■V GRABADQ, Colección,de 336 escampas:que.representan</t>
  </si>
  <si>
    <t>Laví y Zavala, Juan</t>
  </si>
  <si>
    <t>Juan Laví y Zavala</t>
  </si>
  <si>
    <t>cio, por una vez 6© rs. D. Angel Gerónimo Alvarez, por id. 5 00 rs. D. Félix de Larena, id. 500 rs. D. Juan Laví y Zavala, id. 1100 rs.. D. Josef López de la Iglesia, id. 40 rs. D. Miguel Castellanos, id. 640 rs. D. Matías. Robles, arcediano de Toledo, por sí y su familia por agosto á 10 rs. diarios,</t>
  </si>
  <si>
    <t>Layal, Cipriano</t>
  </si>
  <si>
    <t>Cipriano Layal</t>
  </si>
  <si>
    <t>............ 1294. IX Ramón Prieto y Ortega, por una.vez.............. ....................... 300. D. Cipriano Layal, portero de la secretaría de Gracia y Justicia, por una vez........ ............. .................. ................................. ... 300. D. Pedro de Cifuentes, oficial mayo</t>
  </si>
  <si>
    <t>Lázaro Antonio Mendaz</t>
  </si>
  <si>
    <t>a, de.saoi i'v'-c Isidro, en intereses de vales reales.y, en efectivo, idi.J.......... ^ -3 asó. C. D. Lázaro Antonio Mendaz $,-qn intereses;de acciones, id.«.....í. .! •' acó. XI Leandro Miguel, id....................... ...................... ........... ....................... i óo. D. Ramón del Orbe</t>
  </si>
  <si>
    <t>Lázaro de Heras</t>
  </si>
  <si>
    <t>o á su bordo á los Exentos. Sres. Mr. Frere, enviado de S. M. B., al marques de la Romana, y al Sr. D. Lázaro de Heras, Ministro de Hacienda que ha sido en el exército del Norte: trae también 20 millones de reales para España y otros efectos. Es mui pobre la elocuencia para ponderar el grado de en</t>
  </si>
  <si>
    <t>Lázaro de Soto</t>
  </si>
  <si>
    <t>........................... 30. Juan Bautista de la Barga, maestro sastre, 10 id. por agosto... 19. D. Lázaro de Soto, procurador de los reales Consejos , 160 por agosto, y 30 por setiembre á cuenta de igual cantidad mensual hasta fin de año.................................. .....................</t>
  </si>
  <si>
    <t>Lázaro del Ortal, Francisco</t>
  </si>
  <si>
    <t>Francisco Lázaro del Ortal</t>
  </si>
  <si>
    <t>ado. D. Juan Antonio Ruiz, cura de S. Mi Han. Fr.Juan Josef Capilla, presidente de S. Francisco. P. D. Francisco Lázaro del Ortal, prepósito dei Salvador. Fr. Ignacio de Cantapino, guardián de Capuchinos del Prado. D. Josef Hidalgo, diputado de los Angeles. D. Manuel Lozano, de id. D.-Josef Fernandez Garrida</t>
  </si>
  <si>
    <t>Lázaro Gallego Maeso</t>
  </si>
  <si>
    <t>. ............... 10. B. Josef Alvarez, oficial de Correos, 120 id. id........................ 120. D. Lázaro Gallego Maeso, catedrático de los caballeros pages de. S. M., .30 id. id................................... ................................... 30. D. Antonio de Armenio y Qüiroga, oficial de l</t>
  </si>
  <si>
    <t>Lázaro Lahoz</t>
  </si>
  <si>
    <t>D. Juan Lartigue; tenencia al alférez D. Nicolás Martínez empleo de Portaguión al sargento primero D. Lázaro Lahoz en el de Lusitania compañías á los ayudantes D. Gregorio de Cáceres y 0. Juan Nuñez, el primero graduado de capitán ; tenencias á los alféreces D. Cristóbal Ximenez , T D.; Miguel R</t>
  </si>
  <si>
    <t>Lázaro, Juan</t>
  </si>
  <si>
    <t>Juan Lázaro</t>
  </si>
  <si>
    <t>adrid......... IOCO 497 D. Mariano Ordoñez de Barraiqua.................. Bilbao.......... 3c°o 978 D. Juan Lázaro................................... .............. Madrid......... 3°° 986 Sres. Zorrilla hermanos......... ............................ Madrid......... 3CO 2169 D. Alonso Dionisio</t>
  </si>
  <si>
    <t>Leandro Castillejo</t>
  </si>
  <si>
    <t>D. Leandro Castillejo, por una vez.............. .............................. 100. Juan Ilermógenes Fagoaga y Juan Arévalo, maestros sastres, en , intereses de vales reales, id.......................</t>
  </si>
  <si>
    <t>Leandro de Garavilla</t>
  </si>
  <si>
    <t>...........i.. 2414 11. Doña D. R., un vale de 150 pesos y efectivo, id................... 2414 n?. D. Leandro de Garavilla, id........................... .................................... 500. D. Juan Mapuel Pedrosa, id.......................................................... 400. D. Josef de Isla</t>
  </si>
  <si>
    <t>Leandro de Solis, Joaquín</t>
  </si>
  <si>
    <t>Joaquín Leandro de Solis</t>
  </si>
  <si>
    <t>endente de exército y provincia D. Antonio Cabrera , y este al Sr.^ Asistente actual de esta Ciudad D. Joaquín Leandro de Solis , quien le ha dado cumplimiento en un edicto , mandando que los Administradores presenten ante Su Señoría , en el término, de ocho dias , U relación de las fincas que. administran</t>
  </si>
  <si>
    <t>Leandro Escalona</t>
  </si>
  <si>
    <t>probacipn y demas dííigencias relativas á la partición de bienes de Doña Florentina Orfiz, viuda de D. Leandro Escalona, y tía del D. Pablo Ortiz; y 110 habiéndose tenido todavía aviso alguno, se previene que el dia 5 de abril próximo está señalado para la repartición de dichos bienes de Doña Flore</t>
  </si>
  <si>
    <t>Leandro Geinos</t>
  </si>
  <si>
    <t>................... igcoo. D. Josef Caballero, 4 vales de 150 pesos, y efectivo, id......... 10000. D. Leandro Geinos, abogado del colegio, id............................... 200. D. Estanislao de Lugo, director de los reales Estudios, en vales reales, id.......... ................................</t>
  </si>
  <si>
    <t>Leandro González de Lafuente</t>
  </si>
  <si>
    <t>ntander.... 500 738 D. Manuel Coleta......... .................. ........... Madrid........ 500 481 D. Leandro González de Lafuente............ Bilbao......... 500 759 D. Josef de Riquena..................... . Madrid....... IOOO 1019 Doña María Josefa Badarán........................ Madrid....... 500 599 sC.O</t>
  </si>
  <si>
    <t>Leandro López</t>
  </si>
  <si>
    <t>20 B». Mrs. D. Leandro López, por tina vez....*................................. roo. D. Raimundo Gómez, oficial de tirador de oro, por una vez.. 300. D. Juan Balboa, cirujano, por upa vez,...,.»........ ....</t>
  </si>
  <si>
    <t>Leandro Poblaciones</t>
  </si>
  <si>
    <t>1488 NUEVA ESPAÑA. Campeche $o de julio. El Sr. D. Leandro Poblaciones, gobernador teniente rei dé esta ciudad, lia hecho publicar hoi la siguiente, proclama: Clamor de la naturaleza, de la justicia , del honor, del amor d la patria , y de ' lc¿ fide</t>
  </si>
  <si>
    <t>Leandro PooL Jones</t>
  </si>
  <si>
    <t>spañoles, para vengar la perfidia del enunigo de ia paz. El gobernador, teniente de rey de Campeche D. Leandro PooL Jones, publicó el 30. de Juliouna proclama, en que excita á la provincia de Yucatán al socorro de los patriotas españoles. „ Yo no puedo, dice, persuadiros ,, mas que los papeles públic</t>
  </si>
  <si>
    <t>Leandro Sandoval</t>
  </si>
  <si>
    <t>a. v:r;-' '/ .Doña María Anselma de Vacas uñar. Doña Ñ. úna.1 f: - f D. Isidro Gaspar de Aranzazuj. D. Leandro Sandoval y su escribienDoñá María Nicolasa .Montero 2. v te D. Ramón Ciaran 5. 4 Doñ$.Míc.aéU, Rapftqn’á‘'Nicolási2.y im D. Domingo Ibarrolá 6. r • par 'de- calcetas'. _ ‘ ‘ y ''/ * j- * D.</t>
  </si>
  <si>
    <t>Leandro Valladares</t>
  </si>
  <si>
    <t>yares, encara gada de su percibo y custodia. ?■ ■ ; o; ,-*/r D. Francisco de las Barreras j 00. rs. D. Leandro Valladares ^714 rs. a 5 Doña Vicenta Viña 200. .mrs. en efectos de estado. • D. Antonjo Dáyila-toáw • , D, Alfonso;Ibarra 500. 1r^ D. Baitasar Marcó i !• L D. ■ JoseííRiberabi.66;. í • ;p t</t>
  </si>
  <si>
    <t>Lecamus de Neville</t>
  </si>
  <si>
    <t>ntez. Ha habido durante eL día diferentes salvas de artillería, y por la noche iluminación general. Mr. Lecamus de Neville ha sido nombrado por S. M. para la presidencia de la comisión establecida en Bayona, y encargada de entender en los asuntos de indemnización á los negociantes franceses é italiano</t>
  </si>
  <si>
    <t>Leclair, Luis</t>
  </si>
  <si>
    <t>Luis Leclair</t>
  </si>
  <si>
    <t>.......... ....... ........ . 3°. D. Francisco Morales Ramírez, por agosto á60 rs. mensuales;.. ©O. D. Luis Leclair, presbítero, por id. á 40 rs.................. i............. 40. Isidro Perez, muñidor de la congregación de S. Nicolás, por 3 meses á 12. rs. mensuales....;,^............ D. Man</t>
  </si>
  <si>
    <t>Ledesma y Nieto, Francisco Antonio</t>
  </si>
  <si>
    <t>Francisco Antonio Ledesma y Nieto</t>
  </si>
  <si>
    <t>la villa de Aldeadávila de la Ribera, diócesi de Salamanca, vacante por muerte de D. Juan Ibañez, á D. Francisco Antonio Ledesma y Nieto; y para el beneficio servidero de la parroquia de Santa María del Mercado de la villa de Alburquerque , en la diócesi de Badajoz, vacante por fallecimiento de D. Pedro Vivas, á D.</t>
  </si>
  <si>
    <t>Lefcbre</t>
  </si>
  <si>
    <t>continua en la fírme determinación de no acceder á las inlquas proposiciones del gobierno francés. Mr. Lefcbre, encargado de negocios de Francia cerca de la Santa Sede después da la partida del embaxador Alquier, ha marchado a París con iodos los papeles y ei archivo de Ja legacic*. Carta</t>
  </si>
  <si>
    <t>Lefebvrc</t>
  </si>
  <si>
    <t>ontinúa en I3 firme determinación de no acceder á las iniquas proposiciones del gobierno francés. - Mr. Lefebvrc, encargado de negocios de Francia cerca de la santa Sede después de la partida del embaxador Áiquier, ha marchado á París con todos los papeles y el archivo de la legación. 'Carta</t>
  </si>
  <si>
    <t>Legouvé</t>
  </si>
  <si>
    <t>Auger ; y se ha hecho mención honrosa de otros dos discursos. Mr. Fontanes leyó el elogio premiado: Mr. Legouvé leyó una noticia y algunos trozos del discurso de Mr. Auger y de los otros dos que han merecido la mención honrosa dei cuerpo. Todo fue oido con mucho gusto y aplausos. Mr. Fran^o</t>
  </si>
  <si>
    <t>Leída, Juan</t>
  </si>
  <si>
    <t>Juan Leída</t>
  </si>
  <si>
    <t>M., id................... ........... ........................................ ............... 326. D. Juan Leída, id............................................................................... 320. D. Joaquín Sánchez, en recibos de réditos de 1800 y pico en metálico , id..................</t>
  </si>
  <si>
    <t>Leitt, Santiago</t>
  </si>
  <si>
    <t>Santiago Leitt</t>
  </si>
  <si>
    <t>io inilion de duros. (Gazeta de Sevilla núm, 32.) r Zaragoza i6~ de setiembre. Garfa del Excmo, Sr. D. Santiago Leitt &gt; teniente general al servicio de S. M. británica, al, Excmo. Sr, D. Jóse/. Palafox y Melzi, capitán general del exército de Aragón, su fecha en Oviedo 5 de setiembre de J 808. ,,</t>
  </si>
  <si>
    <t>a de ser con la mas alta consideración de V. E. su mas fiel y seguro servidor = Santiago Leitt, teniente general y comisario civil y militar. = Excmo. Sr.,D. Josef Palafox, general del exército y reino de Ara* gon.” {Gazeta extraordinaria de Zaragoza núm. 2.) Coruña 17 de setiembre.</t>
  </si>
  <si>
    <t>Lemaux, Manuel</t>
  </si>
  <si>
    <t>Manuel Lemaux</t>
  </si>
  <si>
    <t>herriador comandante de la plaza de Rosas y el castillo de la Trinidad*, y el coronel dé ingenieros D Manuel Lemaux. » * . * -t 4 Peticiones. Respuestas. X i.° La plaza de Rosas .y el fuer­ La guarnición de la plaza de Rote de' la Trinidad se entregarán á las sas y' la dei castillo de la Trinid</t>
  </si>
  <si>
    <t>Lenoir</t>
  </si>
  <si>
    <t>arde en verano, y hasta las 3 en iríviérnoy para el extrangero está abierto todos Jos dias del año. Mr. Lenoir , administrador de este museo , ha formado una descripción histórica y cronológica dé las producciones artísticas que se ven en él; libro extremadamente útil para el curioso que q</t>
  </si>
  <si>
    <t>ue representa á la Virgen con el niño Jesús en los brazos: su antigüe-r dad, según mi parecer, pues Mr. Lenoir no la señala, podrá fixarse ai siglo xiv. Juan Casimiro v, Reí de Polonia , muerto en Neven tu 1692 , tenia esta pintura en su gabinete, é hizo tionacion de ella ¿ la abadía de S,</t>
  </si>
  <si>
    <t>n; una punta del vestido colgando de su brazo izquierdo, y con el derecho en acción de descubrirse: Mr. Lenoir cree que en esta figura se quiso representar á la diosa Venus: en fin, en el baxo relieve de la izquierda se ven las figuras de Baco y de Mercurio. Hablaré á vmd. de los demas alt</t>
  </si>
  <si>
    <t>Este monumento, cuyo mérito artístico no es despreciable^, fue traído dé la Bélgica; y Mr. Lenoir es de opinión de que es uno de los que se encontrarona la orilla del mar cerca de Dombourg: en 5 de enero de 1647 parece que un viento violentísimo que soplaba hacia el lado de la Z</t>
  </si>
  <si>
    <t>che contra el barco, contando con apoderarse de él; pero fqs artilleros guarda-costas, mandados por Mr. Lenoir, su teniente, y auxi-: liados por los dependientes de las aduanas, obligaron al peniche á virar de bordo: ■■ ■' 'iA'y --'I '' S. M. el Emperador Napoleón ha hecho entregar últimam</t>
  </si>
  <si>
    <t>Lentzmeyer</t>
  </si>
  <si>
    <t>en pequeñas embarcaciones de su nación, llamadas cajacks, cuya suma ligereza es bastante conocida. Mr. Lentzmeyer, capitán . groen íánáio, está'ensayando en el manejo del remo á algunos 'marineros. El chambelán Mr. de Rosenkrantz, destinado á la embaxada de Prusja, saldrá; mui pronto paraPari</t>
  </si>
  <si>
    <t>León</t>
  </si>
  <si>
    <t>señalado el término de 30 dias para la puja del quarto. Quien quisiere hacerla, acuda ante, el Sr. D. León de .Saasta , teniente .corregidor de esta villa , por la escribanía numeraria de 0, Juan ftaya f dentro de dicho término contado desde el 15. del corriente,;. ,7 * EN LA JMBRENTA bMÍ</t>
  </si>
  <si>
    <t>Leon</t>
  </si>
  <si>
    <t>ntas en patio y corral, apreciado todo en79846 rs-. Quien quisiere hacer postura, acuda ante el.Sr. D. Leon.de Sagasta, teniente corregidor de ésta villa, por la escribanía del número de D. Miguel Gonzalo. ■ ' Avisos. Se halla vacante la plaza de maestro de primeras letras de la villa,</t>
  </si>
  <si>
    <t>León Aillon</t>
  </si>
  <si>
    <t>que la pretendan, dirigirán sus memoriales y los documentos, que acrediten sus méritos, per mano de D. León Aillon, escribano.del número y ayuntamiento de dicha villa, en el término de dos meses contados desde el día 30 de enero. ,' 7 II BROS. ; ¡Guia ó estado general de la Real Hacienda dé Es</t>
  </si>
  <si>
    <t>León Arauz</t>
  </si>
  <si>
    <t>tamentos de Checa y Setiles en el señorío de Molina, diócesi de Siguenza, se hurí rematado por ante D León Arauz, escribano de dicha subdelegacion, 533 medidas de labor, sitas en término del lugar de Terraga, en el mismo señorío , tasadas en 58ó5p rs., y rematadas en igual cantidad á vales.</t>
  </si>
  <si>
    <t>León Benavides, Fernando</t>
  </si>
  <si>
    <t>Fernando León Benavides</t>
  </si>
  <si>
    <t>. . 1000 i6l3 D. Santiago de Unda.......................................... Bilbao........ 500 2i6i D. Fernando León Benavides........................ . Coruña........ 500 Cfio Doña María Espinosa.......................................... Madrid....... 300 984 Sres. Zorrilla hermanos............... ......</t>
  </si>
  <si>
    <t>León Ce Sas</t>
  </si>
  <si>
    <t>tas a o a en 70,49 c, se ¡n señalado el di &gt;■ 9 del corrLn'n en las puertas de 1.a auc; ¡encía del D. León Ce Sas »ía , teniente correeidor de esta ulla, no;- ame el escribano de! número D. Claudio ?a nz. Por providencia de 3 Don Juan López de. V invicta, subdelegado en el departamento de ia</t>
  </si>
  <si>
    <t>León de Aitolaguirre</t>
  </si>
  <si>
    <t>................. jco. Doña Micaela Luengo........................ ........... ............... 100. D. León de Aitolaguirre.......... ........................................ 500. D. Jüan Antonio de Goftabarría.................................... 500. D. Antonio de Arméstó y Quiroga, agente de la conso</t>
  </si>
  <si>
    <t>León de Altoiaguirre</t>
  </si>
  <si>
    <t>..... 5500. . D. Francisco Antonio de. Allende ,.id..... ................................... . 300. D. León de Altoiaguirre, aumenta.ásus donativos anteriores ,-id. 2000• Doña Joaquina Gómez una bandeja de plata con. peso de' 96 y media onzas y dos cubos id. con 78 y media. D. Luis Gabaídon y López, ab</t>
  </si>
  <si>
    <t>León de Altolaguirre</t>
  </si>
  <si>
    <t>stín dé Olavarrieta, contador general de la de Buenos¡Aires ; para cujro empleo ha nombrado S. M. á D. León de Altolaguirre. - El ayuntamiento; de la ciudad de Toro y su Junta de beneficencia han «Contribuido mutuamente al vestuario de las 33 plazas de su contingente para aquel regimiento provincial; y</t>
  </si>
  <si>
    <t>erosos, por 3 meses á 2 rs. diarios........................................................... 184. D. León de Altolaguirre, maestrante de la real de Ronda, 2500 rs. por una vez, y neo por medio año á 6 rs. diarios......... 3600. D. Francisco: Román Gal indo, rectorde la iglesia de S. Lorenzo, por 2 me</t>
  </si>
  <si>
    <t>León de Galarza</t>
  </si>
  <si>
    <t>... Cádiz........... 600 382 D. Andrés Ribera, canónigo de Santiago...... Coruña.......... 300 1892 D. León de Galarza.......................................... Zaragoza.... 300 1682 D. Manuel de Éraña...... ................. ........ . S. Sebastian. 600 1184 P« Juan de Zavala.....................</t>
  </si>
  <si>
    <t>León de Sagasta</t>
  </si>
  <si>
    <t>Gorrera;' •': rIf-Xíi;' íiMi ------- \ Se ha señalado el día ^2,delpre^ente, en la a^ienc^a del Sr. D. León de Sagasta, teniente corregidor de esta villa, para el remátele uqa casa .sita en la calle de Ita de está corté, rrúm,'12, íiwnz. 3/4, tasada en 8Ó$í&amp; rs. ; din por ella p6®, á pagar los 90$</t>
  </si>
  <si>
    <t>ique por 8 d'as mas, contados desde 23 del corriente. Quien quisiere hacer mejora acuda ante el Sr. D. León de Sagasta, teniente corregidor de esta villa,por la escribanía del número de D. Diego Benigno González; en inteligencia que no presentándose otro conipíador, sin mas aviso se llevará á efec</t>
  </si>
  <si>
    <t>Canosa; previniéndose que cada una de ellas se ha de rematar separadamente. Por providencia del Sr. D. León de Sagasta, teniente corregidor de esta villa, se subasta el solar de una casa que estuvo edificada en la calle de Santiago , núm. 25, manz. 417, tasado en 18,154^ rs. Quien quisiere comprar</t>
  </si>
  <si>
    <t>e Jesús y María , núm. rq, manz.49, retasada últimamente; en 297,464 r$v está, señalado por el Sr.f D. León de Sagasta, teniente corregidor de está villael día i 5 del; preseáte Q'uiéh quisiere hacer ^os^ tura , acuda ante su señoría y escribanía de’D. Tomas de Sapcha y Prado; ’ 1/ Por providencia</t>
  </si>
  <si>
    <t>León de Sagásta</t>
  </si>
  <si>
    <t>■! '■ '.regímiénto -de • - ■ ‘ - * ( ■ . '•'Fiiéntidueiías;.. 1804 loco..21 Por providencia del Sr. D. León de Sagásta', teniente corregidor ce esta villa, y juez de lá testamentaría de D. Juan dé Acédó^Braro, se ha señalado país junta de sus acreedores el dia 28 &lt;|el corriente,.’ á las1 fo dé su m</t>
  </si>
  <si>
    <t>intendente, ha señalado 30 dias para la puja del quarto. Quien quisiere hacerla, acuda ante el Sr. D. León de Sagasta, teniente corregidor de esta villa, por la escribanía numeraria de D. Juan Raya, dentro de dicho término contado desde el 15 de febrero próximo pasado. En. virtud de providencia d</t>
  </si>
  <si>
    <t>e este año á la junta que se ha pedido y decretado, que se ha de celebrar en la casa posada del Sr, D, León de Sagasta, teniente corregidor de esta villa, á Jas 9 de Ja mañana, ante D. Diego Benigno González, escribano del número; advertidos que á los que no asistan les parará el perjuicio que hay</t>
  </si>
  <si>
    <t>término de 30 dias, que cumplirán en 10 dé abril próximo. Quien quisiere hacerla, acuda ante el Sr. D. León de Sagasta, teniente corregidor de esta villa, por la escribanía del número de E&gt;. Claudio Sanz. EN LA IMPRENTA REAL.</t>
  </si>
  <si>
    <t>Leon de Sagasta</t>
  </si>
  <si>
    <t>*’ V’ I T VENTA' JUDICIAL - ................. ‘ • , Por providencia del Sr. D.= Leon de Sagasta, teniente corregidor de esta villa, M* ha. señalado ej día 7 descorriente para el rematé de una tierra de pan llevar, si&amp; en termino de Vallecas, al camino de Vicálvaro ■ ydel Humilladero,</t>
  </si>
  <si>
    <t>lguna, acuda ante dicho subder legado, por la insinuada escribanía. . , ... Por providencia del Sr. D. León de Sagasta, teniente corregidor de esta, villa, se ha maridado sacar á publica subasta, por término de 15 días contados desde el 7 del presente, una viña que corresponde á la testamentaria d</t>
  </si>
  <si>
    <t>imprenta real , y en Cádiz en casa de D. Manuel Navarro. VENTAS JUDICIALES. Por providencia del Sr. D. León de Sagasta, teniente corregidor de esta villa, le há señalado el dia 10 de mayo próximo para eliemáte de Una viña existente en término de la real casa deGozqúez; jurisdicción de la villa de</t>
  </si>
  <si>
    <t>as en 93 50 en vales’ Quien quisiere hacer1 mejora, lo exeCutará ante el' señor teniente corregidor D. León de Sagasta, y escribanía de D. Juan López Fando. :' • AVTSOS. En la eludid de Corella, reino' de Navarra, se halla vacante el magisterio de gramática latida, cuya provisión pertenece privati</t>
  </si>
  <si>
    <t>nde se les pondrá de manifiesto el resultado de dicha rifa. VENTA JUDICIAL. Por providencia del $r. D. León de Sagasta, teniente corregidor de esta villa, y escribanía del ñú'nveró de D. Juan López Fando, se ha señalado el dia 22 del corriente para el remate de usa tierra de pan llevar, sita en té</t>
  </si>
  <si>
    <t>terminó de 30 dias, que finalizarán en 5:de julio próximo. ^ ; • ' AVISOS. 'Por providencia del Sr- D. León d.e Sagasta, teniente corregidor de esta villa, J»e cita, llama y emplaza á D. Josef Pastor, D. Miguel Giró ó sus herederos, Don Manuel Ezquerra , D,. Vicente García ó su heredera, Julián Gon</t>
  </si>
  <si>
    <t>as contados desde esta fecha para la mejora del quarto. Quien quisiere hacerla, acuda ante el señor D. León de Sagasta, teniente corregidos de esta Villa, por la escribanía de número de D. Juan Villa y Olier. NOTICIAS PECULIARES DE MADRID. S. Casto y S. Sectmdino mártir*4 —Quarenta horas en el ora</t>
  </si>
  <si>
    <t>db fas IHerttés yíí. 2 , qúar- ? to principal. ■.{ 'lO'.t AtlSO. ' En virtud de pro^ídé^dá del Sr* D. León de Sagasta, del consejo de s f*‘M. f■ídri.fent'ei^cb^gPdbr de ésta* yi'lfaV ss pita (Jladia y eútplaza á fas ingresadas én la adjudiéácjfon tfé las ptebénddá; fundadas ‘por 0bqa. te Cfaneros</t>
  </si>
  <si>
    <t>la admisión de la puja del quarto. Quien quisiere hacerla acuda dentro de dicho término ante él Sr. D. León de Sagasta, teniente corregidor de esta villa, y por la escribanía del número de D. Juj^ln González Saez. NOTICIAS PECULIARES DE MADRID, S. Ignacio de Loyola fundador. _ Quarenta horas en la</t>
  </si>
  <si>
    <t>en 23800 rs., y dan por ella 24© deducidas cargas. Quien quisiere hacer mejora , acuda ante el Sr. D. León de Sagasta , teniente corregidor de esta villa ? por la escribanía del número de D. Casimiro Antonio Gómez; adviniéndose se ha señalado el 17 del presente para su remate. Se vende una escope</t>
  </si>
  <si>
    <t>1020 cer dicha puja, acuda ante el Sr. D. León de Sagasta, teniente corregidor de esta trilla, por la escribanía del número de D. Juan Antonio de Urraza. AVISO. Se halla vacante el magisterio de primeras letras de la villa de Mansilla de</t>
  </si>
  <si>
    <t>lle de San Miguel, en Granada. VENTA. A pedimento de sus dueños, y en virtud de providencia del Sr. D. León de Sagasta, teniente corregidor de esta villa, se ha mandado sacar á pública subasta, por término de 30 dias contados desde el g del corriente, una casa sita en la calle de las Infantas, núm</t>
  </si>
  <si>
    <t>Jesús y María, número 6, manz. 256, se ha señalado el dia 22 del presente en la audiencia del señor D. León de Sagasta, teniente corregidor de esta villa, por ante el escribano de su número D. Ramón García Ximenez. libros. Exposición de los hechos y maquinaciones que han preparado la usurpación de</t>
  </si>
  <si>
    <t>es. Elias y Romero, del comercio de aquella ciudad, calle de Juan de Andas. Por providencia del Sr. D. León de Sagasta, teniente corregidor de esta villa, sé cita, llama y emplaza á todas las personas que se consideren con derecho á los bienes que han quedado por fallecimiento de D. Cosme Miel de</t>
  </si>
  <si>
    <t>León Manuéb de la Torre</t>
  </si>
  <si>
    <t>cio, 244 rs. por los me«es de agosto y setiembre á 4-durios, y 1® id......... ............... 1244» D. León Manuéb de la Torre,-en intereses de vales .reales de •i 808, y efectivo idv&gt;........................................~..... ............ ....... 1200* Di Manuel*García, dependiente de Rentas , id....</t>
  </si>
  <si>
    <t>Leon Pablo Blanco</t>
  </si>
  <si>
    <t>Hacienda, por r 'X agosto y setiembre á 12 rs. diarios......................................... . , D. Leon Pablo Blanco ,. platero,, por 6 meses a 2 rs.- diarios..... 368, D. Antonio Celma ,. agente de negocios , por agosto á reai diario* 31.; D. Ignacio Sainz de Rozas , oficial des archivo general</t>
  </si>
  <si>
    <t>León Perate</t>
  </si>
  <si>
    <t>1509 Muías. Cabal!. Sillas. ’ Bridas/* Otros efecto* _ r La condesa duquesa de Benavente..... 13 D. León Perate........... ......................... 1 D. Juan Robledo............................... 1 1 x El conde de Cantillana.............. . 2 La condesa de Gliemes........ ........ . 2 El</t>
  </si>
  <si>
    <t>León Vázquez, Andrés</t>
  </si>
  <si>
    <t>Andrés León Vázquez</t>
  </si>
  <si>
    <t>.................. . 2318 28. D. Domingo Usauro y Ruiz, presbítero , por una yez...uf......... 000. D. Andrés León Vázquez, á cuenta de 720 rs. por una vez...... i8ó. D. Casiano de Yanguas, corredor de número de la real aduana, 3® rs. por una vez, y 368 rs. por 3 meses á 4 rs. diarios..... 33 68. D. L</t>
  </si>
  <si>
    <t>León y Pizarro</t>
  </si>
  <si>
    <t>r. marques Caballero. El Excmo. Sr. D. Francisco Gil. El Sr. D. Josef García de.León y Pizarro, secretario del consejo. Los Excmos. Sres. ministros, el Excmo. Sr. duque de Frías, y otros, como los gefes de la casa real, habían prestado de antemano su juramento. Para el que han hecho ho</t>
  </si>
  <si>
    <t>León, Rafael</t>
  </si>
  <si>
    <t>Rafael León</t>
  </si>
  <si>
    <t>gento mayor D. Ramón Gómez, capitán D. Luis Aifaráz, tenientes D. Gerónimo Ríos , D. Marcos Arnaiz, D. Rafael León, subteniea</t>
  </si>
  <si>
    <t>Leonard, Juan</t>
  </si>
  <si>
    <t>Juan Leonard</t>
  </si>
  <si>
    <t>previene á los portadores de letras de cambio tiradas en Eeverley porD. Isfael Thorndike á cargo de D. Juan Leonard, cónsul de los Estados-Unidos en Barcelona, que en el caso que dichas letras no sean aceptadas por dicho señor en debida forma , se servirán presentarlas á D. Andrés Thorndike, re</t>
  </si>
  <si>
    <t>Leonardo Bonet</t>
  </si>
  <si>
    <t>bteniente de granaderos D.-Estanislao Sarralde; y en el de Ñapóles subtenencia de bandera al cadete D. Leonardo Bonet. En el regimiento de infantería de Cantabria se ha servido el Reí conceder tenencia al subteniente de granaderos D. Bernardo Mancebo. En la extracción de ia real lotería, executad</t>
  </si>
  <si>
    <t>Leonardo Gahez</t>
  </si>
  <si>
    <t>los juguetes de ferias (t).... 60. En la lista de donativos dé la gazeta núm. 127, pág. ij, se puso Don Leonardo Gahez, léase GallL -■■i--'(1) Sin embargo de observarse en la publicación de los donativos el orden riguroso d¿ fechas, ha parecido.conveniente publicar este anticipadamente. &gt;. (Se con</t>
  </si>
  <si>
    <t>Leonardo Galvez</t>
  </si>
  <si>
    <t>por tuqa vez.................. ................................. .......... .................. 500. D. Leonardo Galvez &gt; ciru jano de cámara de S, M., por una vez. 3000. D. Manuel Salvador,,capellán, del tea! colegio, de Santa Isabel, par uoa 1200. D. Antonio EstevanezdeiCe^los* contador de fragat</t>
  </si>
  <si>
    <t>Leonardo Neale</t>
  </si>
  <si>
    <t>e después un sínodo, en que se resolvió pedir al Papa un coadjutor para Mr. Carrol, proponiéndole á Mr. Leonardo Neale, jesuíta; y habiendo sido confirmado por el Papa, fue consagrado con el título de obispo de Gor* tina. El arribo de muchos eclesiásticos franceses facilitó el que se pudiesen enpr</t>
  </si>
  <si>
    <t>Leonardo Santander y VHláviceñdio</t>
  </si>
  <si>
    <t>S: Salvador de la diudad de Sevilla, para la primera áD. Santiago Re i y Muñoz, y para la segunda á D. Leonardo Santander y VHláviceñdio: se haliábah vacantes por muértéde D. Fraiit?sCcí Covelo y-'DvDiégp Blázquez. *'■-iv '*-■'/ "■■■■ : fi:i ■ ' ' En la-extracción de. la real -loteríacelebrada el lunes 2 f del corr</t>
  </si>
  <si>
    <t>Leonardo, Juan</t>
  </si>
  <si>
    <t>Juan Leonardo</t>
  </si>
  <si>
    <t>os. R$. vo. n D. M ateo Abelo.,................................. .......... Zaragoza...... óoo 1769 D. Juan Leonardo..................... .................. Cádiz...... . Óoo 3o1 Pedro Guerrero y Sagredo............................... Málaga........ 0 0 1601 Doña Josefa de Úrpieta.......... ....</t>
  </si>
  <si>
    <t>Leonardo, Juan Antonio</t>
  </si>
  <si>
    <t>Juan Antonio Leonardo</t>
  </si>
  <si>
    <t>rza y D. Claudio Blanco, alféreces retirados; D. Justo Pastor Perez, administrador del real Noveno; D. Juan Antonio Leonardo, D. Tomas de ia Torre, D_ Felipe Garai, D. Cecilio Saez Gordoa, D. Manuel López Tufiño y D. Pedro de Ribera; y estando asi congregados se volvió á ver y leer á la letra el citado</t>
  </si>
  <si>
    <t>Leoncio Carralon</t>
  </si>
  <si>
    <t>... 20. D. Juan de Madrid Dávila, id......................................................... icoo. D. Leoncio Carralon, dependiente del real oficio de furriera, id. 40. D. Manuel Romeral, director de niños, id....................... ........... 240. D. Nicolás Albelo, dependiente de la Lotería, id</t>
  </si>
  <si>
    <t>Leoncio Carrasco</t>
  </si>
  <si>
    <t>la tropa , cuyo patriotismo habían conocido, trayéndose.-un;estandarte y á la cabeza del; escuadrón Don Leoncio Carrasco, segundo ayudante de dicho real cuerpo/La marcha se frigio por Toledo &gt; y sabiendo la ruta que llevaba la partida deAzíor, la</t>
  </si>
  <si>
    <t>Leonés, Martín</t>
  </si>
  <si>
    <t>Martín Leonés</t>
  </si>
  <si>
    <t>es que por el orden de su antigüedad constan va. al márgen, con inclusión del señor fiscal jubilado D. Martin Leonés. D. Juan Melendez Valdés, se dixo por mí el infras-* D. Alfonso Angel de crito escribano de cámara mas antiguo y de goNoreña. bierno de la Sala: ,, ¿ Juráis á Dios y á sus santos</t>
  </si>
  <si>
    <t>Leonhardt</t>
  </si>
  <si>
    <t>ciudadanos, deben cumplir las obligaciones de.tales, y por cqnsiguiente la del servicio militar. * Mr. Leonhardt, profesor de las escuelas elementales de esta ciudad, ha remitido á la academia de ciencias de Baviera los nuevos descubrimientos que acaba de hacer sobre la quadratura del círcul</t>
  </si>
  <si>
    <t>Leoocio Carrasco</t>
  </si>
  <si>
    <t>la tropa , cuyo patriotismo habían conocido, trayéndose un estandarte, y á la cabeza del esquadron D. Leoocio Carrasco, 2. 0 ayu lante de dicho real cuerpo. La marcha se dirigió por TóUdO, y sabiendo la ruta que llevaba la partida de Azlor, la siguieron hasta reunirse con ella en Retnerta el 16 ,</t>
  </si>
  <si>
    <t>Leopoldo de San Vicente y Godoy</t>
  </si>
  <si>
    <t>rtíñe'z'de 'Viergol. Madrid,..;... 6bo 39 2 D. Josef de Irriberri y oidor; Coruña;...... : 300 2145 D. Leopoldo de San Vicente y Godoy.» • • • iMI* Coruña...;.: foo 1964 D. Martin de Enseña............................i Zaragoza.;;., i 300 '2029 D. Bernardo Nueve 'l^Íesias.;...v.V.,.V.&gt;..-.1..;.-¡. V Cádiz,.! &gt; _</t>
  </si>
  <si>
    <t>Lepir de Sagasta</t>
  </si>
  <si>
    <t>ya no ios hubiesen presentado.' &gt; ■ ^ &gt;?.-■" ,, VENTA JUDICIAL. En yirtud de providencias, del $r. D, Lepir de Sagasta, teniente) corregidor de ésta villa','y escribanía numeraria dé'D. Jacobo Manuel Manrique, se ha mandado sacar á jklblica' sufeasíá, por término de 30 diás cóhtádos desae éí i dei</t>
  </si>
  <si>
    <t>Lerin, Antonio</t>
  </si>
  <si>
    <t>Antonio Lerin</t>
  </si>
  <si>
    <t>enere, valor de... La de los Sres. G.‘é hijo............. .................................... 500. D. Antonio Lerin.................. .......... ................ . 640. D. Tomas Ortiz de Lanzagorta..... ................ ........... . 500. D. Jaime Ferrer..... ...................................</t>
  </si>
  <si>
    <t>Leseusne, Pedro</t>
  </si>
  <si>
    <t>Pedro Leseusne</t>
  </si>
  <si>
    <t>......... 1 jco 1907 D. Félix Alvarez de Alvarez............................ Zaragoza..... 300 1050 D. Pedro Leseusne.............................................. Madrid....... . 300 1956 D. Rafael Irazabal....................................... Zaragoza..... 600 1037 P» Agustín González de Trev</t>
  </si>
  <si>
    <t>Lesseps</t>
  </si>
  <si>
    <t>O DE ITALIA. Milán 20 de abril. El tribunal de comercio de Liorna ha publicado el aviso siguiente: „Mr. Lesseps, comisario y cónsul general de Francia, ha dado parte al tribunal de comercio de una orden de $. A. I. el príncipe virei, para que los productos coloniales embargados en Liorna po</t>
  </si>
  <si>
    <t>el viageá Finlandia. S. M. pasará parte del verano en Czarsko-Zelo. r El cónsul general de Francia Mr. Lesseps ha salido de aqui para Riga á recibir su familia, que ha venido de Francia, y traerla á Petersburgo. Se han establecido en Kiev casas de comercio para expedir las mercancías por t</t>
  </si>
  <si>
    <t>Lesus y Pou, Francisco</t>
  </si>
  <si>
    <t>Francisco Lesus y Pou</t>
  </si>
  <si>
    <t>Urgel en representación del corregi- miento de Puigeerdá; D. Jacinto Pallarés, diputado de Talarn;^ D. Francisco Lesus y Pou, diputado de Mataró; D. Manuel Torrens, diputado.de Manresa; D. Baltasar de.OUinellas , diputado de Igualada en representación</t>
  </si>
  <si>
    <t>Levesque</t>
  </si>
  <si>
    <t>o la honra de ser presentada al Emperador en el consejo de estado. Después de un breve discurso que Mr. Levesque, presidente de la clase, pronunció $1 presentar la diputación, Mr. Dacier* su secretario perpetuo, leyó el resumen del informe sobre el estado y progresos de los ramos de literatu</t>
  </si>
  <si>
    <t>Levettharris</t>
  </si>
  <si>
    <t>da corte. . c La carta que Mr. de Romanzov, ministro de negocios extrangeros de Rusia, ha..escrko á Mr. Levettharris , cónsul general de los Estados-Unidos, es del tenor siguiente: ,, Para impedir toda posibilidad de comunicación entre la Inglaterra y la Rusia, S. M. I. ha mandado que no se admi</t>
  </si>
  <si>
    <t>Leveux</t>
  </si>
  <si>
    <t>Barbazan, comandante de la ciudad, Mr. Guis, comisario de marina, Mr. Sagot, comandante del puerto, Mr. Leveux, cónsul de los Estados-Unidos en Calais, y otros muchos empleados y personages principales. Como la casa en que se ha celebrado la fiesta está situada á la orilla del mar, des bri</t>
  </si>
  <si>
    <t>Levis</t>
  </si>
  <si>
    <t>venido aquí solamente á negocios de comercio, y que Mr. Levis es el qué trae los pliegos del general A rmstrong para Mr. Pinkney, los quales,se asegura, que son de la mayor importancia. Escriben de Riga que el gobierno ruso pone grandes dificu</t>
  </si>
  <si>
    <t>Leza, Antonio</t>
  </si>
  <si>
    <t>Antonio Leza</t>
  </si>
  <si>
    <t>1231 Rs. MrsL D. Ramón de Angulo, del comercio........ ............. . 3000. D. Antonio Leza y compañía, id., en un vale r¿al de 300 pesos de mayo , valor de.................................. 4589... 22. D. Santiago de Aramburu , id............................. ...... 1500.</t>
  </si>
  <si>
    <t>Lezaica, Antonio</t>
  </si>
  <si>
    <t>Antonio Lezaica</t>
  </si>
  <si>
    <t>de Henares, 240 pares de calcetas. Dia ro. D. Casimiro Navarro, en nombre de sus hijas, 13 camisas. D. Antonio Lezaica, maestro de sombrerero, 200 sombreros redondos armados. D. Miguel Quesada 20 pares de zapatos. Doña Antonia Millano D* Pedro Yepes, vecinos de Arganda , 3 camisas cada uno. Doña M</t>
  </si>
  <si>
    <t>Lezcano, Pedro</t>
  </si>
  <si>
    <t>Pedro Lezcano</t>
  </si>
  <si>
    <t>.. .......... 320* D. B. M. F;, por una vez................................................... 434* D. Pedro Lezcano, empleado en la delinacioa de las obras del real palacio, por una vez............................... ........ . 200, / Antonio-Pintó, cobrador dé teatros, por una vez.............</t>
  </si>
  <si>
    <t>Lezier</t>
  </si>
  <si>
    <t>a las carrozas. Quando llegaron á la explanada Mr. Dubos, subprefecto del quarteí de S. Dionisio, y Mr. Lezier, maire del éómün de la Villette , éalieron á recibir al ministro de lo Interibr. Mr. Dubos, como interpreté y órgano de los sentimientos que animan á todos lós habitantes.dél dist</t>
  </si>
  <si>
    <t>Lhuitte</t>
  </si>
  <si>
    <t>consejero de gobierno, por lo que hace al ramo del interior, y el señor Acevedo para el de rentas. Mr. Lhuitte queda nombrado secretario de estado para los departamentos de guerra y marina. El señor conde de S. Payo, consejero de gobierno para el ramo de la guerra y marina. El señor Princi</t>
  </si>
  <si>
    <t>Liberato Martínez</t>
  </si>
  <si>
    <t>........ 000 476 D. Nicolás de Ochazan...................... ...........*.» Bilbao......... 30© 216 D. Liberato Martínez.....*.................Alicante...... 300 21 I D. Juan Rusheu.^.Alicante...... 300 365 D. Bernardo de Nueve-Iglesias Cádiz......... . 300 3*4 Teodoro Reding...... Málaga.......»1 3</t>
  </si>
  <si>
    <t>Librada Pardo de Borbon y Abadía</t>
  </si>
  <si>
    <t>...... ... Málaga....... 300 1584 Doña María TJrzola de Loredo....... . ... Bilbao........ 300 1899 Doña Librada Pardo de Borbon y Abadía...... Zaragoza..í., 600 1428 Domingo Padura.............. .......................... ... Málaga....... 300 853 D. Nicolás Lamiel y Benages................. . ... Madrid....... 300</t>
  </si>
  <si>
    <t>Librada Romero</t>
  </si>
  <si>
    <t>.....;.. 12. . Vícente Aocunsoi, 30 td.-id..'«,••••'*•••****•**••*•*■■********•••■••••*•■••«# ^ó. ^ Doña Librada Romero, loid. id• •vw*v**v**v*v* **v»* * *•••*-* •••••!••••••••••• X O# D. Juan Sánchez, 60 id. por'2 meses*........................................... 120. D. Pedro de la Viaña , 60 id.</t>
  </si>
  <si>
    <t>Librero y Falcon, Agustín</t>
  </si>
  <si>
    <t>Agustín Librero y Falcon</t>
  </si>
  <si>
    <t>3 17. D. Ramón López , id..........................................................,........... 60. D. Agustín Librero y Falcon, capellán de honor de S. M., 1® rs. anuales............................... ......................... ........................ 550. D. Domingo Requejo , 320 id. en intereses de val</t>
  </si>
  <si>
    <t>Liiíi Marcelino Pereira</t>
  </si>
  <si>
    <t>Bayona; y D. Josef Colon y D. nuel de Larciizabal, asistiendo con ellos el alcalde de casa y corte D. Liiíi Marcelino Pereira, que está igualmente en aquella ciudad; y los demas loi que elijan á pluralidad de votos los mencionados consejos. 16. Que per lo tocante á la marina concurran el bailío D. Antoni</t>
  </si>
  <si>
    <t>Lilis de Gáttiaraypor</t>
  </si>
  <si>
    <t>inúan los donativos y ofertas voluntarias que constan en el banco nacional de S. Carlos. Rf. r'Mrt, D. Lilis de Gáttiaraypor una vez............................. ........................ roo. Diego Mendezy sirviente, por ahora.¿...-....... '."««4**..... .................... 6®. La real congregación de p</t>
  </si>
  <si>
    <t>Llaguno, Juan</t>
  </si>
  <si>
    <t>Juan Llaguno</t>
  </si>
  <si>
    <t>calle de Juanelo, núm. 16, quarto principal, junta general de acreedores á la quiebra ó concursó de D. Juan Llaguno, y mandado anunciarlo por los papeles públicos; se da este aviso en su cumplimiento para que les conste á dichos acreedores, y concurran por sí ó personas que diputen con las corr</t>
  </si>
  <si>
    <t>- - - - - - - - —— ■y AVISOS. v Habiéndose admitido en.junta general de acreedores á la quiebra de D. Juan Llaguno, celebrada en 25 de setiembre próximo, por mayor numero de interesados y cantidades la proposición hecha por D. Manuel Pando, obligándose solamente á pagar á los acreedores en val</t>
  </si>
  <si>
    <t>Lletget, Ramón</t>
  </si>
  <si>
    <t>Ramón Lletget</t>
  </si>
  <si>
    <t>l de Unzaga.......... Ciddiz. i,*.**.. ■ &gt; 300 503 D. Juan Aiexo de la Llana Bilbao..,.,... 300 893 D. Ramón Lletget... Madrid....... 300 2031 D. Juan Miguel de Lostra.............. ...... . Cádiz 600 1435 D. Juan Bautista Lacordela............................ . Málaga....... ., 600 1705 D. Fran</t>
  </si>
  <si>
    <t>Llobregat, Salvador</t>
  </si>
  <si>
    <t>Salvador Llobregat</t>
  </si>
  <si>
    <t>teniente de granaderos, graduado de capitan, D. Josef Muñoz; tenencia al subteniente de granaderos D. Salvador Llobregat, y subtenencia de bandera al cadete D. Antonio Alonso Gaseo: en el de Extremadura compañía al teniente de granaderos , graduado de capitán, D. Domingo de Sierra ; tenencia ál subt</t>
  </si>
  <si>
    <t>Llórente y Ferraz, Benito</t>
  </si>
  <si>
    <t>Benito Llórente y Ferraz</t>
  </si>
  <si>
    <t>e y D. Antonio Almunia , y subtenencias de bandera al sargento' primero O. Manuel Ruiz, y al cadete D. Benito Llórente y Ferraz: en el de Murcia compañía al teniente de granaderos, graduado de capitan, D. Josef Muñoz; tenencia al subteniente de granaderos D. Salvador Llobregat, y subtenencia de bandera al</t>
  </si>
  <si>
    <t>Llórente, Antonio</t>
  </si>
  <si>
    <t>Antonio Llórente</t>
  </si>
  <si>
    <t>putado eclesiástico de las Descalzas reales. D. Juan Antonio Irusta, teniente mayor de S. SebastLn. D. Antonio Llórente , abad de Monserr-at. Fr. Josef Rubín , prior de Atocha. Fr. Antolin Merino, por ausencia, del prior de S. Felipe el Real. Fr. Miguel Antonio del Rincón , prior del Carmen calzado</t>
  </si>
  <si>
    <t>Llórente, Juan Antonio</t>
  </si>
  <si>
    <t>Juan Antonio Llórente</t>
  </si>
  <si>
    <t>Antonio Ranz Romanillos, á Don Estanislao de Lugo, á D. Pablo de Arribas, á D. Francisco Angulo, á D. Juan Antonio Llórente, y á D. Antonio de la Cuesta y Torre^Mi ministro secretario de Estado queda encargado de la execucion del presente decreto, y de dar los avisos correspondientes. En palacio á 25 d</t>
  </si>
  <si>
    <t>Lnis Carrera</t>
  </si>
  <si>
    <t>z........ 500 950 D. Josef de Bustamente............. ..................... Madrid....... IODO c 59 D. Lnis Carrera..............v............................... Barcelona.... 500 : 946 P. Eugenio de S. Pelayo.................. .............. Madrid....... éoo 184 ,P. Bernabé de Elizalde.......</t>
  </si>
  <si>
    <t>Lo, Gaspar</t>
  </si>
  <si>
    <t>Gaspar Lo</t>
  </si>
  <si>
    <t>es dirigirán sus memoriales al ayuntamiento de la misma villa, por mano de D.Xomas de Fueátenebro y D. Gaspar Lo- .</t>
  </si>
  <si>
    <t>Lobo y Arjona, Tomás</t>
  </si>
  <si>
    <t>Tomás Lobo y Arjona</t>
  </si>
  <si>
    <t>dé á V. S. muchos años. Aranjuez 5 de octubre de 1808.=: El patriarca electo, gran canciller. = Sr. D. Tomas Lobo y Arjona.” En su cumplimiento, habiéndome puesto de acuerdo con el Excmo. Sr. marques de Ariza, caballero vocal gran cruz mas antiguo de la suprema asamblea, convoqué á la posada de S. E.</t>
  </si>
  <si>
    <t>Lobo, Rafael</t>
  </si>
  <si>
    <t>Rafael Lobo</t>
  </si>
  <si>
    <t>e la Romana y unos' 63. hombres de las tropasde su mando, á cuya operación ay udó mucho el oficial! D. Rafael Lobo, que llegó en el Edgar,- combionado paraJ est«v fia por los: diputados • á* Londres por esta ¿úpremíi'1</t>
  </si>
  <si>
    <t>nto, que le ha remitido !a junta suprema de Sevilla. ,,Sermo. Sr.: Acabamos de recibir un oficio de D. Rafael Lobo, que dice lo siguiente: ,,Excmos. Sres.: No obstante que dentro de dos dias esero salir en derechura para esa, aprovecho una fragata que pasa á GothenE urgo para decir á V. EE. qu</t>
  </si>
  <si>
    <t>ularmente al .Ferrol/* (*) Esta fue la coy-tinrura en que llegó §1 navio Edgir el teniente de navio D. Rafael Lobo., comisionado por los Sres. diputado? de la suprema Junta de Sevilla jpara esta gloriosa expedición. CON SUPERIOR PERMISO. ■' ,■ ■ ■■■ —a»*—^ . EN LA IMPRENTA DE LA VIUDA DE HIDAL</t>
  </si>
  <si>
    <t>Lobo, Tomás</t>
  </si>
  <si>
    <t>Tomás Lobo</t>
  </si>
  <si>
    <t>. cada mes..... ............... 10D. Pedro María Cilo, abogado del colegio, 40 rs. mensuales... 40. D. Tomas Lobo, secretario de la orden de Cárlos III, 360 rs. cada mes • •••*.«• ** « % 4444 4 4 « -HI 444*444 4-4 4 4 4.4 4 4 4 .# f * 44 «-• * ** 4 *-4 4-444 444 4 44 4 4 444*444 9 44444*4 4 3</t>
  </si>
  <si>
    <t>, marques de Fuerte Híjar, D. Antonio de Aranda, D. Luis Gacel, D. Ignacio Abadía, y el secretario D. Tomas Lobo ; no habiéndolo podido hacer los señores D. Josef García de León y Pizarro y D. Luis de, Onis y González por hallarse en ese real sitio. Todo lo qual traslado á V. E. de acuerdo d</t>
  </si>
  <si>
    <t>Lócré</t>
  </si>
  <si>
    <t>omo basa principal de esta enseñanza la obra intitulada Espíritu del código Napoleónt compuesta por Mr. Lócré, consejero de Estado, y secretario general del consejo de Estado del Emperador de los franceses, por haber parecido á S. A. E. el comentario mas clásico de quantos se han publicad</t>
  </si>
  <si>
    <t>Lolli, Juan</t>
  </si>
  <si>
    <t>Juan Lolli</t>
  </si>
  <si>
    <t>tino Carrasco., por agosto á 60 id.......... * OO., D. .Francisco .García., por agosto á 4 id 4- &gt;; D. Juan Lolli, por id. á 40 id................................................ 40. o Genaro Nieto, por id, á 8 rs. id.......... ................................. 8. D~ Francisco Te mas B^nitez</t>
  </si>
  <si>
    <t>Loltus, Juan de Dios</t>
  </si>
  <si>
    <t>Juan de Dios Loltus</t>
  </si>
  <si>
    <t>te, que antes de la apertura del colegio llevaba dos anos de enseñanza por el mismo mmstro director D. Juan de Dios Loltus; y satisfecho el publico Je lo$ adelantamientos de estas desgraciadas cri.Uuius, aplaudió su aplicación, y el Lxctno. Sr. director dio gracias en nombre de la sociedad á todos los</t>
  </si>
  <si>
    <t>Lombardo, Pedro</t>
  </si>
  <si>
    <t>Pedro Lombardo</t>
  </si>
  <si>
    <t>. prepósito de Portaceli ;4:o.‘ &gt; ■ D. Santiago, de^Aramburu . i El hermanó Antonio. Péribañez* dé .D. Pedro Lombardo- i00; . . .j id. 4Ó..C ñ bt ^ r ;D. Manuel Guerra 221; rs. áópmrs. D¿Josef Joaquín Ramosuy su mu- en metálícoLy 2978 rs. 8 mrs. en ger 367 rs. 5 mrs. en efectos,: dé-* &lt; efectos dé</t>
  </si>
  <si>
    <t>de algo&amp;9&gt;,P.-. .Pedi;o Hiendes! Balboa ha ■qqsjdq.^d. vestidos completos de paño para infantería»;D. Pedro Lombardo 2 camisas. Doña Josefa Gutiérrez 12. La Sra. de E. y sus dos hijas 12. La Sra. L. S. 6. Doña -Josefa González 2;¡Doña María Teresa Piscátori y Mora 12. DilMáriabó Armendía 10 pare</t>
  </si>
  <si>
    <t>Longarela, Pedro</t>
  </si>
  <si>
    <t>Pedro Longarela</t>
  </si>
  <si>
    <t>... 200. D. Antonio Pantaleon, id................................................... ......... JOO. D. Pedro Longarela, id................... ............. ......... ...................... 500. (5V continuard.) EN LA IMPRENTA REAL.</t>
  </si>
  <si>
    <t>Longman</t>
  </si>
  <si>
    <t>rtando en ella algunos pasages dedos autores mas célebres de los persas, con su traducción inglesa. Mr. Longman y compañía están imprimiendo dicho catálogo en un volumen en 4.0 de 300 páginas. ^ Mr. Guillermo Spencer há^publicado una obra con este título: La gran Bretaña i 1 dependiente del c</t>
  </si>
  <si>
    <t>Lop</t>
  </si>
  <si>
    <t>nció María de Berástegui..-..Vi......... Zaragoza..... 600 1521 Edificio de Astunduaga, .propio, de D. Lop»e Mazarredói............................................... ....... Bilbao......... 300 779 D. Pablo Ibáñez...................................... .......... Madrid....... 600 2357</t>
  </si>
  <si>
    <t>Lop, Miguel</t>
  </si>
  <si>
    <t>Miguel Lop</t>
  </si>
  <si>
    <t>................................... 306. D. Ramón Fernandez, uno id. por2 id..¿................ 61. D. Miguel Lop?z del Postigo, del comercio, 3 id. por agosto.. 93. Josef TeriJe , plumista, 2 id. id....................................................... 62. D. Pedro Perez de la Castellana, a</t>
  </si>
  <si>
    <t>Lope M'azazudo</t>
  </si>
  <si>
    <t>ínez Viergol........................i.’... Madrid........ 300 530 Edificio de Astunduaga, propio de D. Lope M'azazudo................... Bilbao• %••• • • • ' 3&lt;*&gt; 2118 D. Alberto Santias y Cortaciñ........ Zaragoza..... ? 300 ‘461 D. Juan Antonio Aguirre y D. Josef Agus­ ' 'i, . /. * ; tín de Bui</t>
  </si>
  <si>
    <t>Lope, Mañüel</t>
  </si>
  <si>
    <t>Mañüel Lope</t>
  </si>
  <si>
    <t>señalado el lunes 28 del corriente á las ir en punto de la mañana c'n la escribanía de provincia de D. Mañüel Lope* de Rivas para el remate de 3 lotes de algodón de Fernamhuco de 50 sacas cada uno, tasado á 10 rs. libra; y está hecha postura en las dos terceras partes de sir tasación eri moned</t>
  </si>
  <si>
    <t>Lope, Tadeo</t>
  </si>
  <si>
    <t>Tadeo Lope</t>
  </si>
  <si>
    <t>io Cavaniües. Dos tomos á 84 rs. en rústica , y á 7 5 en papel cada tomo. Curso de matemáticas, por D. Tadeo Lope, 3 tomos en 4.0: el i.° contiene la aritmética universal: en papel á 20 rs,, y en pasta á 27.—-El tomo 2,0 trata de la geometría plana y sólida* de la trigonometría plana y esféri</t>
  </si>
  <si>
    <t>LopejMaría Romillo</t>
  </si>
  <si>
    <t>............. 3o® 1832 D. Francisco de. Toledo. 300 2166 D. Josef Antonio de Ap.eri.bayt t dP® 1853 D. LopejMaría Romillo,..............., Zaragoza...f. ; 3°P 2187 D. Juan Antonio Várela, Corufía. QOO .... v 1948 D. Tomas Casanova, alcalde de casa y cor te- Zaragoza..... IOOO 810 Doña María Juliana d</t>
  </si>
  <si>
    <t>López Arias, Manuel</t>
  </si>
  <si>
    <t>Manuel López Arias</t>
  </si>
  <si>
    <t>.............. 320. 13. Juan López ^^nas,. mensualmente........................................ 30. D. Manuel López Arias, mensualmente................. ........... ............ IO. D. Mateó de la Quintana, por 4 meses á 250 rs. mensuales...... IQOO. D. Josef de Gárate, oficial de la fábrica de los c</t>
  </si>
  <si>
    <t>López Barajas, Manuel</t>
  </si>
  <si>
    <t>Manuel López Barajas</t>
  </si>
  <si>
    <t>án de ingenieros cosmógrafos, 500 rs. por una vez, y 186 por agosto á 6 rs. diarios............ 68&amp; D. Manuel López Barajas, diputado de los reinos, poruña vez. 3 0004 Josef Domenech, maestro de obra prima, id....................... ......... 3.00. Juan Dommgo-Till, id;............. ...................</t>
  </si>
  <si>
    <t>López Carilla, Blas</t>
  </si>
  <si>
    <t>Blas López Carilla</t>
  </si>
  <si>
    <t>o nombrar para la dignidad de arcediano de Sobrarve de la catedral de Huesca, vacante por muerte de D. Blas López Carilla, á D. Manuel Rubio y Vallejo, director de la real casa de pages, con retención de este destino: para la canongía de la metropolitana de Zaragoza, vacante por fallecimiento de D. J</t>
  </si>
  <si>
    <t>López Carretero, Agustín</t>
  </si>
  <si>
    <t>Agustín López Carretero</t>
  </si>
  <si>
    <t>... 122.- ¿ D. Josef de-Gáceres, 2&lt;id. id.....v........................¿..*.¿..,....1...... :« 122. D. Agustín López Carretero, abogado del colegio, á cuenta dé • mayor cantidad, por una vez........... ......... .................. ............. . 200.. María de los Tre jos, id............... .............</t>
  </si>
  <si>
    <t>López Castellanos, Juan Julián</t>
  </si>
  <si>
    <t>Juan Julián López Castellanos</t>
  </si>
  <si>
    <t>sus ,r. u -¡¿a padres., por una vez..... .................. ............................... 2000V ! D. Juan Julián López Castellanos , presbírero , id..... .......... 6qq*_ El coronel de infantería D. Pedro Ignacio .de Elguea , en vales ¿ reales....... .................................................. • ♦ ■ •</t>
  </si>
  <si>
    <t>López Conche, Pedro</t>
  </si>
  <si>
    <t>Pedro López Conche</t>
  </si>
  <si>
    <t>no Goicochea, secretario del barrio del Hospicio. D. Mauro López, diputado id. D. Manuel Benaya id. D. Pedro López Conche, de id. D. Blas de Torres Errazque, diputado de Jesús Nazareno. D. Josef Hilario Fernandez, eclesiástico. D. Juan Bautista Lasa. D. Pedro Trigoen, secretario de las Trinitarias. F</t>
  </si>
  <si>
    <t>López de Alcaraz, Francisco</t>
  </si>
  <si>
    <t>Francisco López de Alcaraz</t>
  </si>
  <si>
    <t>tó en la gazeta de 16 de este mes, se omitió por un descuido involuntario al recretario de gobierno D. Francisco López de Alcaraz, que mas de 2 meses hace salió con licencia para restablecer su quebrantada salud. En la gazeta de esta corte del martes 26 de julio, al referir haberse hecho la proclamación del</t>
  </si>
  <si>
    <t>V* 3. muchos años, Madrid 4 de octubre de iS6B.=Jo4 sef Perez Caballero. =?Sr. D. Martin de Garai. D. Francisco López de Alcaraz, del Consejo de S. M., caballero de la real y distinguida orden de Cárlos m, secretario de S. M. con exercicio de decretos, y del supremo consejo de Hacienda: Certifico que public</t>
  </si>
  <si>
    <t>López de Castro, Benito</t>
  </si>
  <si>
    <t>Benito López de Castro</t>
  </si>
  <si>
    <t>a de Juros, ua vale de 300 pesos de setiembre, id.,...... .............................. . 4525 22. D. Benito López de Castro, 2 libramientos de á 630 rs. del Fondo vitalicio, y uno Id. de intereses de vales de ^807, id. 1350 8. D. Juan Manuel de Náxera, del comercio, en 2 vales de 300 pesos de setiembre</t>
  </si>
  <si>
    <t>López de las Herrerías, Francisco</t>
  </si>
  <si>
    <t>Francisco López de las Herrerías</t>
  </si>
  <si>
    <t>... 400. ~ Doña cMa ría. Micaela .Victoria., id...M&lt;&gt;...................... ••••••••••**•♦•••* |oo. D. Francisco López de las Herrerías, rs. mensuaknente , por_ 2 meses....................... ............ ..... ............... .......................... . 30. r&gt;. Vicente de Mendizaba!, 40 id. por 5 meses..........</t>
  </si>
  <si>
    <t>López de Remacha, Miguel</t>
  </si>
  <si>
    <t>Miguel López de Remacha</t>
  </si>
  <si>
    <t>120 rs. mensuales, por agosto...................................... ........................ . 120. D. Miguel López de Remacha, presbítero, músico de la real capilla, 80 rs. mensuales..................... ............ .......... ....... 80. D. Josef de la Torre, oficial de la secretaría de Nueva España* p</t>
  </si>
  <si>
    <t>López de Ribas, Manuel</t>
  </si>
  <si>
    <t>Manuel López de Ribas</t>
  </si>
  <si>
    <t>a ante el Sr. Don Benito Arias de Prada, alcalde de casa y corte, por la escribanía de provincia de Don Manuel López de Ribas. En virtud de providencia de D. Félix Benitez, alcalde mayor de la villa de Leganes, juez comisionado por la sala de señores alcaldes de casa y corte, se han mandado sacar á públi</t>
  </si>
  <si>
    <t>s y D.-MígueTAlfonso Villagomez, del supremo consejo de Castilla, por la escribanía dé provincia de Don Manuel López de Ribas, comisionados al efecto, á deducir las acciones que les competan; prevenidos que pasado, no lo haciendo, les parará el perjuicio que haya lugar, y se pasará inmediatamente ~á su v</t>
  </si>
  <si>
    <t>de Otra cusa*, si és que la hubiere dentro de Jas sacas- 3.a La subasta se hará en la escribanía de D. Manuel López de Ribas á voz de pregón y remate de candela. 4.a Distribuiráse la venta en lotes dé 50 en 50 sacas, cuyos números y marcas se expresarán para la mayor facilidad, y que pueda ser mayor e}</t>
  </si>
  <si>
    <t>que quieran de la tasa, y precio de cada lote, pódra'n acudir al oficio de provincia del escribano D. Manuel López de Ribas, que lo es de esta comisión. Y para que llegue á noticia de todos se ha mandado por los señores ministros del consejo D. Domingo Fernandez de Csmporaánes y D. Miguel Alfonso Villa</t>
  </si>
  <si>
    <t>López de Rívas, Manuel</t>
  </si>
  <si>
    <t>Manuel López de Rívas</t>
  </si>
  <si>
    <t>el dia g de noviembre .próximo, ¿ las 10 en punto de la mañana, en :1a escribanía dei prbvincia.de D. Manuel López de Rívas j para los 4 remates siguientes: ¿ k: ¡ - • .*’* -,i \ i.° Una porción de ropa blanca, de color, ly otras prendas de vestuario,con diferentes efectos pertenecientes á franceses, q</t>
  </si>
  <si>
    <t>López de Rivas, Manuel</t>
  </si>
  <si>
    <t>Manuel López de Rivas</t>
  </si>
  <si>
    <t>se señala el 21 del corriente mes de noviembre, á las 11 de su mañana, y escribanía de provincia de D. Manuel López de Rivas, para que acudan los postores y demas que quieran hacer las mejoras que tengan por conveniente. ‘ AVISOS. A D. Ambrosio Muñoz, vecino de la ciudad de Tarifa, se le han extraviado</t>
  </si>
  <si>
    <t>no mayor de la congregación del Espíritu Santo. Fr. Gabriel Rubio, prior y presidente de S. Martin. D. Manuel López de Rivas , diputado del barrio del Humilladero. D. Ramón Guerra Ximenez, secretario. 35. Juan del Rio y Otero, diputado id. D, Manuel de Robles y González,' diputado de idy D. Josef María</t>
  </si>
  <si>
    <t>López de Robredo, Juan</t>
  </si>
  <si>
    <t>Juan López de Robredo</t>
  </si>
  <si>
    <t>ador de Madrid, en vales reales, id....................................................... 2333 18. D. Juan López de Robredo, en una boleta de casa real, por una vez..... ....... ................................ ..............•.................................... 1250. D. Francisco Antonio de la Cárcel,</t>
  </si>
  <si>
    <t>López de Sagrado, Fernando María</t>
  </si>
  <si>
    <t>Fernando María López de Sagrado</t>
  </si>
  <si>
    <t>alcalde mayor de la villa de S. Vicente, territorio de la óraen de Alcántara, de segunda clase; y á D. Fernando María López de Sagrado para la de la villa de Benicarió, territorio de la orden de Montesa, de primera clase ó entrada, y de nueva creación.</t>
  </si>
  <si>
    <t>López de Salazar, Antonio</t>
  </si>
  <si>
    <t>Antonio López de Salazar</t>
  </si>
  <si>
    <t>cuda dentro, de 30 dias cortados desde el 29 de marzo próximo pasado, á la escribanía del número de Don Antonio López dé Salazar, en donde se enterará de su cabida, valor y demas noticias que se pidan. &lt; "*• avisos» Habiéndose aprobado por eí real consejo de las Ordenes el remate celebrado en ésta corte de</t>
  </si>
  <si>
    <t>uisiere hacer apostura* á todas;ó á qualqiiiéra dé dichas finca», acuda áda escribanía de número de D. Antonio López de Salazar. AVISO;, En la villa dé ^íavalmoral de Pusa, partido de Toledo, se halla vacante la plaza de Cirujano de estuche- y barba: su población es de 350 vecinos:„su dotación7$ rs., casa</t>
  </si>
  <si>
    <t>López de Vinuesa, Juan</t>
  </si>
  <si>
    <t>Juan López de Vinuesa</t>
  </si>
  <si>
    <t>de la'imprenta real, y en Cádiz en casa de D. Manuel Navarro. VENTAS JUDICIALES. Por providencia de D. Juan López de Vinuesa, juez comisionado regio en la diócesi de Coria,' se ha señalado el dia 28,del presente para el remate de la quarta parte de la dehesa intitulada Suertes del Cano, sita en términos</t>
  </si>
  <si>
    <t>López de Vínuesa, Juan</t>
  </si>
  <si>
    <t>Juan López de Vínuesa</t>
  </si>
  <si>
    <t>execu.7 tara por la escribanía que desempeña D. Miguel María de Anguita Ortega. Por providencia de D. Juan López de Vínuesa, juez comisionado regio en 1* diócesi de Coria, se ha señalado el día 28 del presente para el remate de una partida de yerba en la dehesa nombrada Pedraza de Becerra, siía en térm</t>
  </si>
  <si>
    <t>tura lo executará por la escribanía que desempeña José!’Nicolás Antonio Marzuló. Por providencia de D. Juan López de Vinuesa, juez comisionado regio én la diócesi de Coria, se ha señalado el dia t del próximo mes de febrero para el' reñíate de una. partida de yerba en, la dehesa Casacarchada, sita en ca</t>
  </si>
  <si>
    <t>mejora, lo practicará por la escribanía que desempeña Francisco García Ramírez. Por providencia de D. Juan López de Vinuesa, subdelegado en el departamento de Ciceres en la diócesi de Coria , se ha señalado él dia 15 de este mes para el remate de una partida dé yerba en la dehesa nombrada Casa-corchada</t>
  </si>
  <si>
    <t>ase de arma debe influir en la suerte, de’ la guerra. . VENTAS JUDICIALES. . . , Por providencia.de D. Juan López de Vinuesa, subdelegado en el departamento de Cáceres en la diócesi de Coria, se ha señalado el día 17 del presente para el remate de una partida de yerba en la dehesa de Casacorchada, sita</t>
  </si>
  <si>
    <t>López del Rincón, Juan</t>
  </si>
  <si>
    <t>Juan López del Rincón</t>
  </si>
  <si>
    <t>........ . Valencia..... 300 3024 D. Antonio Blanc y Valdeiiou................... Madrid.. 300 3467 D. Juan López del Rincón.............................. Málaga....... 300 841 D. Tomas de Ansu ....... ............................... . Madrid...,.,,. 300 2077 D. Juan Manuel de Peralta...,.... ..........</t>
  </si>
  <si>
    <t>López Fando, Juan</t>
  </si>
  <si>
    <t>Juan López Fando</t>
  </si>
  <si>
    <t>providencia del Sr* D.Torquáto Antonio Collado, teniente corregidor de esta villa, y escribanía de D. Juan López Fando, se ha mandado sacar á pública subasta, por término de 30 dias contados desde 24 de diciembre último, una casa sita en esta corte, calle de Tudescos, núm. 28 , manz. 447 , tasada</t>
  </si>
  <si>
    <t>rovidencia del Sn D. León de Sagasta, teniente corregidor de esta villa, y escribanía del número de D. Juan López Fando, se sacaron al pregón en 13 de febrero, por término de 30 dias contados desde esta fecha, unas tierras sitas en el término de Vallecas, cuyos linderos se han hecho presentes, de c</t>
  </si>
  <si>
    <t>el año 1806. Quien supiere de él, y si ha fallecido, de sus herederos ó de alguno de ellos, acuda á D. Juan López Fando, escribano del numero de esta villa, quien tiene que comunicarles una noticia que les interesa. LIBROS. Fr.dPetri Mariae Gazzaniga, ord. praed. praelectiones theologicae, tom. 1.</t>
  </si>
  <si>
    <t>te es para el pago de acreedores. Quien quisiere hacer Hpstura,*acuda a la escribanía del número de D. Juan López Fando. ■'~í% /i',! • - ‘■■■ ■ '' AVISO. i • En virtud de ¡providencia del Sr. D. Juan Fernando de Aguirre, oidor de la *cal- audiencia de¡ Sevilla ,, por ante el escribano público de el</t>
  </si>
  <si>
    <t>hacer1 mejora, lo exeCutará ante el' señor teniente corregidor D. León de Sagasta, y escribanía de D. Juan López Fando. :' • AVTSOS. En la eludid de Corella, reino' de Navarra, se halla vacante el magisterio de gramática latida, cuya provisión pertenece privativamente al regimiento de la misnú ciu</t>
  </si>
  <si>
    <t>idencia del $r. D. León de Sagasta, teniente corregidor de esta villa, y escribanía del ñú'nveró de D. Juan López Fando, se ha señalado el dia 22 del corriente para el remate de usa tierra de pan llevar, sita en término de Vallecas, al camino de Vicáivaro y el del Humilladero, de caber 5 fanegas, 5</t>
  </si>
  <si>
    <t>López Fando, Juan Manuel</t>
  </si>
  <si>
    <t>Juan Manuel López Fando</t>
  </si>
  <si>
    <t>o, sino á los juristas, porque hallan recopiladas las especies;pará;los casos-que les acurran: por.'D. Juan Manuel López Fando , escribano del número de la villa.de:Madrid: 2 .temos en 8 °, á 16 rs. en pergamino y 20 en pastat¿l_Demostracion práctica del ¡modo de hacer las.liqutdáciones para redimir censo</t>
  </si>
  <si>
    <t>López Hermoso, Pedro</t>
  </si>
  <si>
    <t>Pedro López Hermoso</t>
  </si>
  <si>
    <t>n del de España aí sargento mayor del mismo de voluntarios de Estado, graduado de teniente coronel, D. Pedro López Hermoso ; y* Ja del de la Princesa al sargento mayor del de: Ordenes militares D. Josef de Zayas;y las sargentías mayores del inmemorial del Reí -al rcapotan del de Navarra, graduado de t</t>
  </si>
  <si>
    <t>López Labraña, Pedro</t>
  </si>
  <si>
    <t>Pedro López Labraña</t>
  </si>
  <si>
    <t>...... 140. D. Miguel de Aza, por uña vez....... ............................................. 160. D. Pedro López Labraña, confitero , por una vez....................... 2CO* D. Miguel Ignacio Villacastin, oficial de la contaduría de Cruzada, 2 recibos de intereses dé vales de los años de 1807 y 1808</t>
  </si>
  <si>
    <t>López Lago, Rafael</t>
  </si>
  <si>
    <t>Rafael López Lago</t>
  </si>
  <si>
    <t>ero de la’mísma iglesia: para la. ración de la metropolitana de Santiago, vacante por promoción de ,D. Rafael López Lago á canqngfa de fy.propia.iglesia-},. ,á:D|¿;Fertiando.. Mesías y Estevanez r cura pá-‘ troco de Sta. María de Mtiürente. en acjueí’ arzobispado: para una canongía ' (1) Las cartas</t>
  </si>
  <si>
    <t>López Lorca, Gabriel</t>
  </si>
  <si>
    <t>Gabriel López Lorca</t>
  </si>
  <si>
    <t>autista Farras: para la dignidad de tesorero de la catedral de Guadix, vacante por fallecimiento de D. Gabriel López Lorca, á D. Miguel Raigón y Díaz, canónigo de la colegiata del Salvador de Granada: para el beneficio simple del lugar de Montuenga en la diócesi de Sigiienza, vacante por promoción de</t>
  </si>
  <si>
    <t>López Menchero, Victoriano</t>
  </si>
  <si>
    <t>Victoriano López Menchero</t>
  </si>
  <si>
    <t>giosas franciscas de Alcalá de Henares, en vales reales, id................ ............... 4596 5. D. Victoriano López Menchero, en un libramiento del Fondo vitalicio, id.................................................................................. 551 8. D. N. P., id...................................</t>
  </si>
  <si>
    <t>López MoaaStdrio, Pedro</t>
  </si>
  <si>
    <t>Pedro López MoaaStdrio</t>
  </si>
  <si>
    <t>y Jus«... ticia, .por una vez........................ ............................ ......... 1000* D. Pedro López MoaaStdrio &gt; e n un recibo del fondo vitalicio,</t>
  </si>
  <si>
    <t>López Moya, Francisco</t>
  </si>
  <si>
    <t>Francisco López Moya</t>
  </si>
  <si>
    <t>Bilbao......... 500 321 Francisca Manuela Bazo ,y Berri..................... Málaga....... 300 805 D. Francisco López Moya y compañía.......... Madrid....... fOO Doña María Cruz de Talles............................. Madrid..... .. 500 D. Diego Izquierdo, canónigo....................... Zaragoza..... .</t>
  </si>
  <si>
    <t>López Núñez, Francisco</t>
  </si>
  <si>
    <t>Francisco López Núñez</t>
  </si>
  <si>
    <t>Números lotes de las en acciones. Nombres de los interesados. Comisionados. -Rs. vn. 960 D. Francisco López Nuñez.............................. Madrid........ 300 826 D. Juan Manuel Ruiz de Salazar.................... .Madrid....... 300 49) D- Antonio Mames de Epalza é Iruegas......... Bilbao</t>
  </si>
  <si>
    <t>de Villanueva............................................„...... ,......... Barcelona.... ,50® 962 D. Francisco López Nuñez...................... ....... Madrid....... óoo 1038 D. Francisco Fernandez de Velasco. y Pantoja................................................................... Madrid..!....</t>
  </si>
  <si>
    <t>Cádiz....I...-. 300 3*7 D. Juan' Bautista Lar ragoy ti»»»..»................ Coruña. '..4. ióoo 9OI D. Francisco López Nuñez................; Madrid300 2417 D. Rafael de Lucas y Arcayne.».»................ Zaragoza;.... 300 1847 D. Juari António Sánchez................ .... w .».*;... Za rágoza...» 1500</t>
  </si>
  <si>
    <t>. .... 60. Josef García, botillero, anualmente........................... .................... 400. D. Francisco López Nuñez , 5 rs. diarios , por agosto................. *55D. Andrés-de Senra, artífice platero, uno id. , por 5 meses....... D. Luis? Ximenez, 2 id., por 2 meses.......;................. .</t>
  </si>
  <si>
    <t>López Olivares, Sebastián</t>
  </si>
  <si>
    <t>Sebastián López Olivares</t>
  </si>
  <si>
    <t>.................... 1 ao. D. Luis Carbonero, por agosto á 15 rs. mensuales......,............. 15. D. Sebastian López Olivares, mensualmente................................ 20. D. Francisco Ramos, mensualmente.............................................. 20. Pedro de Uria, peluquero, mensualmente........</t>
  </si>
  <si>
    <t>López Pelegrin, Francisco</t>
  </si>
  <si>
    <t>Francisco López Pelegrin</t>
  </si>
  <si>
    <t>er postura, lo cxecutará .por la escribanía que desempeña Don Claudio Constnnzo. Por providencia de D. Francisco López Pelegrin, juez subdelegado en los departamentos de Checa y Seti'es, en el señorío de Molina, diócesi de Sigó’enza, so í¡a señalado ei día 28 del corriente para el remate de 530 medidas 1%</t>
  </si>
  <si>
    <t>uien quisiere hacer postura, lo executará por la escribanía que desempeña D. Claudio Consranzo. Por D. Francisco López Pelegrin, juez subdelegado de Los departamentos de Checa y Setiles en el señorío de Molina, diócesi de Siguenza, se hurí rematado por ante D León Arauz, escribano de dicha subdelegacion, 5</t>
  </si>
  <si>
    <t>López Pilas, Bartolomé</t>
  </si>
  <si>
    <t>Bartolomé López Pilas</t>
  </si>
  <si>
    <t>.................oí;: E^l conde da N &gt;blej.¿^.... ...... . D. FnjTGÍ$cc Ituruiendi................. D. Bartolomé López Pilas, vvteino de Fresnedo................................</t>
  </si>
  <si>
    <t>López Sanguino, Francisco</t>
  </si>
  <si>
    <t>Francisco López Sanguino</t>
  </si>
  <si>
    <t>s. Dia ir. Doña María Sebastiana Gil una camisa., Varios vecinos de Torrejon de Ardoz lo siguiente: D. Francisco López Sanguino, alcalde, 2 camisas. Leandro Salazar, alcalde, 2. Ines Esteban López 4. Doña Marcela Caballero 3. La viuda de Sologuren, vecina de Alcalá, 2. Basiíia Aguado, viuda, una. Marta del</t>
  </si>
  <si>
    <t>López Sosoaga, Ignacio</t>
  </si>
  <si>
    <t>Ignacio López Sosoaga</t>
  </si>
  <si>
    <t>............................ iodo. D. Antonio de Laiseca, en vale.sjreales, id.........i.. 2324 28I D. Ignacio López Sosoaga, dependiente del almacén de curtidos de la real fábrica, de Ara vaca, id.......................................... 500. D. Manuel de Miguel Bravo, agente de negocios, á cuenta de</t>
  </si>
  <si>
    <t>López Tanjo, Juan</t>
  </si>
  <si>
    <t>Juan López Tanjo</t>
  </si>
  <si>
    <t>preciso y perentorio término de 9 días comparezcan ante su señoría por la escriba lía del número de D. Juan López Tanjo, por medio de procurador, con suficiente poder., á usar de las acciones que les .competan; en inteligencia que se les •guardará justicia, y apercibidos que pasado sin haberlo hech</t>
  </si>
  <si>
    <t>López Tufiño, Manuel</t>
  </si>
  <si>
    <t>Manuel López Tufiño</t>
  </si>
  <si>
    <t>al Noveno; D. Juan Antonio Leonardo, D. Tomas de ia Torre, D_ Felipe Garai, D. Cecilio Saez Gordoa, D. Manuel López Tufiño y D. Pedro de Ribera; y estando asi congregados se volvió á ver y leer á la letra el citado exemplar de la real provisión del Consejo, y en cumplimiento de las órdenes que inserta, de</t>
  </si>
  <si>
    <t>López Vega, Francisco</t>
  </si>
  <si>
    <t>Francisco López Vega</t>
  </si>
  <si>
    <t>.. .pptjr una. vez^ y 240 rs. á '*?fdiánps..:..^.....;-"jB. Celedonio de líaedó, deí cdnie&gt;cio,"por D, Francisco López Vega, teniente visitador del cáscó de Madrid , á cuenta¡ de 1.20 .rs.............. ....................... ...... ..................... 20. D,rM^nuel Martínez,'présbitero, por úna vez.</t>
  </si>
  <si>
    <t>López Vidal, Esteban</t>
  </si>
  <si>
    <t>Esteban López Vidal</t>
  </si>
  <si>
    <t>encias á los subtenientes D. Juan María Lator y D. Josef Moreno, y subtenencia de bandera al cadete D. Esteban López Vidal: en el de Cantabria compañía al ayudante , graduado de capitán, D. Pedro Angulo; tenencia al subteniente de granaderos D. Francisco Perez, y subtenencia de bandera al' cadete D. A</t>
  </si>
  <si>
    <t>López y Blanco, Pedro</t>
  </si>
  <si>
    <t>Pedro López y Blanco</t>
  </si>
  <si>
    <t>ían los donativos y ofertas voluntarias que constan en el banco úacioital.de S. Carlos. ' jts* MfSr D. Pedro López y Blanco, escribano real, por agosto á 3 rs. ................................ 93D. Felipe Arroyo , por una vez....i........................................... 1000,? D. Juan Antonio García</t>
  </si>
  <si>
    <t>López y Glavería, Juan Antonio</t>
  </si>
  <si>
    <t>Juan Antonio López y Glavería</t>
  </si>
  <si>
    <t>..... . 30® 861 Doña Ramona Castelis.... 1................................ Madrid ....... IOO® 2128 D. Juan Antonio López y Glavería...... ......... Zaragoza..... 300</t>
  </si>
  <si>
    <t>López y Marichavar, Manuel</t>
  </si>
  <si>
    <t>Manuel López y Marichavar</t>
  </si>
  <si>
    <t>............. 40. D. Antonio Mendez, 20 id. por agosto........................................ 2 O. D. Manuel López y Marichavar, presbítero, 60 id. id.............. 60. D. Frutos Tenaquero, zapatero de cámara de S. M., 600 rs. . por una vez, y 100 rs. mensuales desde i.° de octubre......... 600. D. Francis</t>
  </si>
  <si>
    <t>López Zerna, Julián</t>
  </si>
  <si>
    <t>Julián López Zerna</t>
  </si>
  <si>
    <t>...... 1 I ' X D. Juan Josef Perez, vecino de Fuente el Saz...................................... x D. Julián López Zerna, vecino de Velez-rubio...................... 1 X D. Dámaso Mexía, vecino de Seseña.. 1 El marques de Santiago y de Monreal. 1 x i cabezid* ! ' ; ■ i D. Julián de León Martínez, ve</t>
  </si>
  <si>
    <t>López, Agustín</t>
  </si>
  <si>
    <t>Agustín López</t>
  </si>
  <si>
    <t>o. D. Miguel de Olivan, vicario castrense. D. Miguel Perez, secretario de la diputación de S. Luis. D. Agustín López, diputado eclesiástico de id. D. Fernando Galán, diputado del barrio de Seo. Tomas. D. Francisco Moreno, diputado id. D. Eugenio Diaz, diputado interino id. D. Andrés Perez « dipu</t>
  </si>
  <si>
    <t>López, Bartolomé</t>
  </si>
  <si>
    <t>Bartolomé López</t>
  </si>
  <si>
    <t>d. 200. Juan Acero, tendero, id....... ...... .................................... ........... 520. D. Bartolomé López, id................................................ ............... 60. D. Francisco Acosta, vidriero de S. M., id................................ IOCO. Doña María Manuela Navarre</t>
  </si>
  <si>
    <t>López, Gerónimo</t>
  </si>
  <si>
    <t>Gerónimo López</t>
  </si>
  <si>
    <t>a.. 4,. 600 2169 D. Juan Manuel de Peralta.............................. Cádiz........ . 300 rjy-62 D. Gerónimo López.......................................... Cádiz.......... 300 27Ó D. Bernardo Orodea.......... .............................. Burgos........ 200 18 50 D. Juan Francisco Rodrigo...</t>
  </si>
  <si>
    <t>..... . Madrid »»»l 300 359 D.. Josef Ventura. de Lema......¿.^.....u. »..uu. Cádiz».»»»:. Jdo 2763 D. Gerónimo López................. . &gt; Cádiz.....»^i 'j6oo 3” D.° López................................. ............ Málaga........ 300 418 D. Josef Martin Herrera............................ . Sa</t>
  </si>
  <si>
    <t>López, Gregorio</t>
  </si>
  <si>
    <t>Gregorio López</t>
  </si>
  <si>
    <t>. .; •&gt; .7 -.r,. . ;.ü' r,. , ¡¡-i,, Apoca'ipsi de S. Juan* explicado, por él ^.Gregorio López, natural -de* Madrid íiiuojctomo en 8.° mayor ¡ con ¡;i y estampas finas que representan las figuras alegórncas de esta divina profecía, y un epítome de la vida de este venerable con el re</t>
  </si>
  <si>
    <t>López, Jorge</t>
  </si>
  <si>
    <t>Jorge López</t>
  </si>
  <si>
    <t>a Corche- D. Manuel de Salazar 2. ro 4. - D. V. M. 8 varas de lienzo. D. Antonio Sánchez Trapero 2. D. Jorge López 6camisas y 8 vendas. D. Vicente Romero 6. D. Gerónimo Gambon 2 camisas. D. Benito Uit de Miiins 3. Doña María Ximenez de Traporcr, Doña Nicolasa García una y 2 pares vecina de Mér</t>
  </si>
  <si>
    <t>López, Juan</t>
  </si>
  <si>
    <t>Juan López</t>
  </si>
  <si>
    <t>.93 teranos del departamento de Cananas al soldado distinguido de la misma brigada D. Juan López. S. M. se ha servido conceder tenencia en el regimiento de dragones de la Reina i D. Xavier González ; y en el de Almansa empleo de portaguión al cadete D. Antonio Baeza. El dia i</t>
  </si>
  <si>
    <t>te correeidor de esta ulla, no;- ame el escribano de! número D. Claudio ?a nz. Por providencia de 3 Don Juan López de. V invicta, subdelegado en el departamento de ia villa de Cuceres del juez comisionado regio en la diócesi de Corla, se lia señalado el día 27 del presente par;-, el remate de Ja.</t>
  </si>
  <si>
    <t>-£.3 &lt; * , ?r..ZZ r Mapa nuevo de la Escociaén medió pliego dé* marca* mayor. Publícale el geógrafo D, Juan López para que sirvA dif «óntihUáciob á tos de Inglaferrá é Irlanda, construidos por D. Juan de iaCruz.Sehállar&amp;fi-estos j níapas enla plazuela del Angel, num. 19 , quarto principal , C</t>
  </si>
  <si>
    <t>, por una vez.. 300. D. Juan Balboa, cirujano, por upa vez,...,.»........ .................. . 120. D. Juan López, geógrafo de S. M., á cuenta dé 300 rs., por una vez.............................. .................................................. ........ 60.^ D. Manuel de Revilla, director</t>
  </si>
  <si>
    <t>¿G Rs. Mrr. D. Juan López y su hijo D. Pablo, en recibos de intereses de vales, id.................................... ................................................ 320. Doña F. N., viuda, id........... .</t>
  </si>
  <si>
    <t>............ .90.2 17. La Sra. Doña María de Cuenca, en acciones,rid........................ 20000. D. Juan López, portero de la secretaria de Hacienda» en intereses de acciones del real Empréstito, id........................ ............ iooo. Julián Martínez Leganes, en intereses de vales r</t>
  </si>
  <si>
    <t>e Valdés 2. cetas. D. Plácido Martin Sanz una. D. J. J. B. R. 12 camisas. D. Martin 4e Olazabal 4.. D. Juan López y sú muger 6. D. Juan Lumbreras uñá/' • D. Gregorio Martínez de MollineD. Santiago .Gandedó Pelaez .4. do 24. Doña María Poazoti y Pía 4. D. Francisco Asui 12. D. Juan de Madrid 6.</t>
  </si>
  <si>
    <t>López, Juan Antonio</t>
  </si>
  <si>
    <t>Juan Antonio López</t>
  </si>
  <si>
    <t>capitán, D. Carlos W eimar; y en el de voluntarios de Estado tenencia al subteniente de granaderos D. Juan Antonio López. En atención al mérito y servicios de D. Josef García Infante, asesor de gtaerra del exército del campo de Gibraltar, alcalde mayor de Algeciras, y alcalde honorario del crimen de</t>
  </si>
  <si>
    <t>López, Lucas</t>
  </si>
  <si>
    <t>Lucas López</t>
  </si>
  <si>
    <t>ares de hebillas de oro. y un par de charreteras de lo mismo* . • ' ■ ■■■•■},,:■ . ^-..V........ .. D. Lucas López, criado del Reí nuestro Señor, por una vez..... 1000. D. Josef Fernandez, id...... ......... ............. ................. .................... 30. D. Casimiro Gómez Ortega, en</t>
  </si>
  <si>
    <t>López, Luis</t>
  </si>
  <si>
    <t>Luis López</t>
  </si>
  <si>
    <t>D. Bernardo Crespo de Iizauspea................... Valencia..... 6oo 1338 D. Silvestre Jordán para D. Luis López........ Valencia..,.. 30® 2332 D. Pedro Bringas Marroquin........ .................. Zaragoza..... 300 1739 D. Francisco Arrafan y Valdés...................... Cádiz...,...... 500</t>
  </si>
  <si>
    <t>. 17 mrs. en efectos Doña Eulalia Mónforte 200. : • ¿ ( . de estado. DoñajMarian¿)Obrégon 306.-. .; D. Luis López i®. D. Josef MaríaGutierrez de Teran D. Juam Aran 2083 rs. i x mrs. en h -Jj *::■ efectos dé estado. . D. Rodrigo Rodríguez 40. D. Fermín Celayeta 2&lt;¡ 5 o en id. Ifcr Lorenzo Cisn</t>
  </si>
  <si>
    <t>López, Manuel Santiago</t>
  </si>
  <si>
    <t>Manuel Santiago López</t>
  </si>
  <si>
    <t>tamiento; D. Domingo del Rio-Murga y D. Agustín Ortiz, prebendados de dicha santa primada iglesia ; D. Manuel Santiago López, capellán de la expresada de señores Reyes.nuevos; Fr. Marcos Ramírez, prior del convento de dominicos de S. redro Mártir; Fr. Blas de Villarrubia, guardián del de capuchinos; Fr.</t>
  </si>
  <si>
    <t>López, María</t>
  </si>
  <si>
    <t>María López</t>
  </si>
  <si>
    <t>rienta Doña de hilas. Manuela Labarta 3. D. Antonio Freile 6 camisas. Df Martin de la Puerta 6, , ( Doña María López libra y media de Marquesa del Castillo de S. Felipé 24. , hilas? ~ D. Bedrpdel Rió ¿ó. ,, , ; D: F;T£-Gd C; -M. L.acamisas. tíoñal’N^pija^y^üná UJfrá deshijas.:: Una señora viuda</t>
  </si>
  <si>
    <t>López, Miguel</t>
  </si>
  <si>
    <t>Miguel López</t>
  </si>
  <si>
    <t>, del cómercid d¿ esta‘-corte, remitió el 3 de junía próximo pasado,.endosados á favor de Iqs Sres. D. Miguel López y compañía, de Cádiz, 6 vales reales renovados de 600 pesos, creación de i.° de mayo, números 292I37, 394810, 403224, 404845 ,'405450 y 410515, igualmente que su resguardo de intere</t>
  </si>
  <si>
    <t>López, Nicolás</t>
  </si>
  <si>
    <t>Nicolás López</t>
  </si>
  <si>
    <t>la Inquisición............................................................ . Zaragoza..... 300 2206 D. Nicolás López............................................... Coruña........ 300 2252 D. Cándido Ramón de Meave.................. . Bilbao........ . 500 1373 D. Juan Roca y Juan, de Orihuela....</t>
  </si>
  <si>
    <t>López, Pedro</t>
  </si>
  <si>
    <t>Pedro López</t>
  </si>
  <si>
    <t>. Félix Alvarez, alcalde del barrio de la Comadre. D. Benito Trigo, alcalde del barrio de San Juan. D. Pedro López, alcalde del barrio de Pinto. Fr. Gerónimo de Santa Cruz , presidente del convento de S. Bernardino. D. Josef Perez Vázquez* diputado eclesiástico dei barrió de S. Juan. D. Columb</t>
  </si>
  <si>
    <t>López, Rafael</t>
  </si>
  <si>
    <t>Rafael López</t>
  </si>
  <si>
    <t>Joséf* Bal actos íMádVidH»^ -jcio *015 DvFtíUiciscb de Bouligni........... Madrid '»».** 15 do 2117 D. Rafael López, y CortUlasiV;.q.Utt^.'¿.«rdii¿vif; Zaragoza...;.*542 Di -Manuel de Erezuma y D. Francisco Anto­ 7 f .11 » ,. Y .- « nio de Dúo</t>
  </si>
  <si>
    <t>..................... . 100. D.. lorenzo Martin de la Fuente , id............. ............... 2PQ. D. Rafael López, id........................ ............................. —.........? 80La comunidad de réligiososde la Vitoria de esta corte, á cuen­ f ta de 2200 rs. anuales....................</t>
  </si>
  <si>
    <t>López, Ramón</t>
  </si>
  <si>
    <t>Ramón López</t>
  </si>
  <si>
    <t>1229 quina Zurita 2. D. Ramón López, ropero, 94 corbatines. Antonio y Pedro Olías y -zapateros, 24 pares de zapatos, D. Florencio Lozano 84 pares de calcetas. Doña María Teresa Escoiz y Trigo 6 camisas, 6 pares de c</t>
  </si>
  <si>
    <t>tereses de vales reales id............. ..................................................... 6859* D. Ramón López, notario público y de la visita eclesiástica, en intereses de vales reales de 1800 id.............................. ......... . 631, D. Ramón Ramos y Pereda, agente de Indias, id.</t>
  </si>
  <si>
    <t>legio, en intereses de acciones del real Empréstito, id........ .................... ...... 553 17. D. Ramón López , id..........................................................,........... 60. D. Agustín Librero y Falcon, capellán de honor de S. M., 1® rs. anuales.............................</t>
  </si>
  <si>
    <t>López, Tomás</t>
  </si>
  <si>
    <t>Tomás López</t>
  </si>
  <si>
    <t>l lugar de HerVás en la diócesi' de Plasencia , Vacante por muerte de D. Bernardo Sánchez Zúñiga, á D. Tomas López. En el batallón de voluntarios de Catnpomayor se ha servido el Re i conferir el empleo de capitán primero a'l ’cápifaú segundo. Di1 Mariüel.Tóbralba; esta resalta al segundó ayuda</t>
  </si>
  <si>
    <t>López, Ventura</t>
  </si>
  <si>
    <t>Ventura López</t>
  </si>
  <si>
    <t>de Zalles-2. D¿ Benito Ruiz Gamez 4. La Sra. de Siles una. Doña Felipa Estuaila y Doña Rita Vada 3. D. Ventura López 2. Don Rodrigo Rocas 6 camisas, hilas y paños. D. Antonio Chevarria 18 vendas. El alcalde del barrio de las descalzas Reales 8 camisas finas. Doña Felipa Pascual una libra de hila</t>
  </si>
  <si>
    <t>López- N-uñez, Francisco</t>
  </si>
  <si>
    <t>Francisco López- N-uñez</t>
  </si>
  <si>
    <t>Cádiz;.......... ; 3.00 459. D. J'osef Antonio y D. Césares de Leguerica.. Bilbao...,..... 500? 963 D. Francisco López- N-uñez..... Madrid.....á, 300 873 D. Josef Joaquín López..................... ...... Madrid:.... . 300* 5*84 D; Diego Larrea........... ................ ................... Madrid.......</t>
  </si>
  <si>
    <t>Lorente, Francisco</t>
  </si>
  <si>
    <t>Francisco Lorente</t>
  </si>
  <si>
    <t>o de cámara de S. M., 600 rs. . por una vez, y 100 rs. mensuales desde i.° de octubre......... 600. D. Francisco Lorente, oficial de la caxa de la tesorería de Cor. reos, tso id. por 6 meses.......................................................... 60O. Salvador López, 4 id., por 5 id...............</t>
  </si>
  <si>
    <t>Lorenza</t>
  </si>
  <si>
    <t>benefiáiál de aquel arzobispado;, con* parte de los productos del que disfrutó en la propia iglesia D. Lorenza. Melgarejo , y-vacó-por su muerte.v, á Dv Jósef Martinéz dé los Reyes, con h obligación de residencia personal, 'y de alzar das &gt; demas cargas que pordicho.plan-se le imponed. ';V</t>
  </si>
  <si>
    <t>Lorenza Pérez Bulliez</t>
  </si>
  <si>
    <t>de.repartir, una paila y 2 calderetas, todo de cobre, 2 pailas, 3 sartenes y una cuchara de hierro. Doña Lorenza Perez Bulliez 12 camisas. ; .■&gt;■■■_ .. Las cien camisas anunciadas en la gazeta de jo de setiembre de D- Pedro Marcelino Blanco, pueden ser útiles para soldados. ; : D. Joaquín de la Paliza jha</t>
  </si>
  <si>
    <t>Lorenzana, Jacinto</t>
  </si>
  <si>
    <t>Jacinto Lorenzana</t>
  </si>
  <si>
    <t>ca subísta. Con motivo de Ja entrada de los franceses en la ciudad de León se han extraviado al Sr. D. Jacinto Lorenzana, caballero de la real y distinguida orden de Carlos m, comisario ordenador de los reales exércitos, y regidor perpetuo de ella, 9 acciones del banco nacional de S. Carlos, nums.91</t>
  </si>
  <si>
    <t>Lorino Pitzgerald</t>
  </si>
  <si>
    <t>gobernador el Sr. IJ, Pedro O Daíy, con fecha del ,i.6;. del que corre,, ha • recibido un parte- de D. Lorino Pitzgerald, que lo es del : castillo de lo Trinidad,, en* que le manifiesta,, que como d ccsa&gt; de las 8. de la mañaqa ,dél día antecedente,.te? habían ^presentado los-enemigos encima del mon</t>
  </si>
  <si>
    <t>Loscertales, Pedro</t>
  </si>
  <si>
    <t>Pedro Loscertales</t>
  </si>
  <si>
    <t>atacó á los enemigos con la mayór valentía. La guerrilla del mismo cuerpo , mandada por el teniente D. Pedro Loscertales, corrió al auxílio de la gran guardia, sosteniendo con ventaja ambos oficiales y tropa este tan desigual combate ; pero avisado de él el mariscal de campo D. Pedro Grimarest , que</t>
  </si>
  <si>
    <t>quien acometió á los franceses con la mayor intrepidez, sin pararse en la superioridad del número. D. Pedro Loscertales con su guerrilla corrió al auxilio de esta gran guardia, y reunidas sus fuerzas sostuvieron el combate con mucho honor; hasta que D. Pedro Grimarest, que mandaba las fuerzas de Lo</t>
  </si>
  <si>
    <t>os con la otra mitad , y 26 caballos del regimiento caballería de Borbon , mandados por el teniente D. Pedro Loscertales, el que se hallaba á las órdenes de ' Mourgeon; y asi que me vió situado, y libre de enemigos mi frente, se incorporó conmigo en aquel parage. Los enemigos estrechaban á viva fuer</t>
  </si>
  <si>
    <t>serenidad , dando por su pane todas las disposiciones que exigían pronta determinación: al teniente D. Pedro Loscertales , que supo con fuerzas tan inferiores obedecer mis órdenes, sin dudar en la execucion, y despreciar el riesgo que le amenazaba: el capitán D. Josef Gavilanes , tanto á mi vista ,</t>
  </si>
  <si>
    <t>luntarios catalanes, y 30 caballos del regimiento de Borbon, al mando del teniente del mismo cuerpo D. Pedro Loscertales, que sostenido por el batallón de tiradores de España, y 30 caballos del regimiento del mismo nombre, al mando estos del teniente coronel D. Josef Gavilanes, capitán del regimient</t>
  </si>
  <si>
    <t>antería y la compañía de voluntarios catalanes, y 4 caballos de lá guerrilla de Borbon, que le dexó D. Pedro Loscertales en el oportuno momento de su retirada, á ruegos del dicho D. Juan de la Cruz, para comunicar avisos; momento feliz que pudo haber aprovechado para ponerse en salvo con el todo de su</t>
  </si>
  <si>
    <t>Lóüstalét, Juan</t>
  </si>
  <si>
    <t>Juan Lóüstalét</t>
  </si>
  <si>
    <t>..;...Ai -!3oo 2342 D. Joaquin, de Górvea.A........ i.:............:....; Zaragoza..;.! ' 5 00 2095 D. Juan Lóüstalét......................................... . ■ Cádiz. AA. Ai 0300</t>
  </si>
  <si>
    <t>Lozano, Agustin</t>
  </si>
  <si>
    <t>Agustin Lozano</t>
  </si>
  <si>
    <t>.... 300 818 X&gt;. Manuel Albuerne.......................................... Madrid.......... 500 243 D. Agustin Lozano.............................. ............... Búfgos........... 600 1606 D. Francisco Arnainz yBringas............ ........ Bilbao.......... 6co 1615 D. Fermín María de Uribarri..</t>
  </si>
  <si>
    <t>Lozano, Agustín</t>
  </si>
  <si>
    <t>Agustín Lozano</t>
  </si>
  <si>
    <t>Cádiz...... 3 00 3567’ D. Josef Mánuel de Uriarte............................. Bilbao..... 300 242 D. Agustín Lozano........... .................................. Burgos.... 3°o 2027 D. Juan Manuel García................ ................... Cádiz...... 3°o 551 D. Pedro de Torres......... .......</t>
  </si>
  <si>
    <t>Lozano, Bartolomé</t>
  </si>
  <si>
    <t>Bartolomé Lozano</t>
  </si>
  <si>
    <t>re Collar." Continúan los donativos hechos en esta corte para el exército de Castilla ¿a vieja, . . D. Bartolomé Lozano 2 caballos. D. Tadeo Bravo de Ribero un caballo y 12 camisas nuevas. D. Ramón :Blas Ramírez 2 camisas id Doña Xa viera Garai 6 id. D. Ignacio Antonio Martifiez 6 id. Los Sres. San</t>
  </si>
  <si>
    <t>plica á quien sepa su paradero se sirva entregarlo en dicha ciudad al referido Marco, ó en Madrid á D. Bartolomé Lozano, depositario general de penas de cámara del real fisco de la Guerra. Por providencia del Sr. D. Juan de Pina y Ruiz, caballero profeso del orden de Santiago, regidor perpetuo de l</t>
  </si>
  <si>
    <t>Lozano, Francisco</t>
  </si>
  <si>
    <t>Francisco Lozano</t>
  </si>
  <si>
    <t>ombre de los individuos de la administración, id.............................................. 300, D. Francisco Lozano, fiel segundo de la Renta del tabaco, id. 40. Doña Manuela Carrasco, sirviente, id......................................... 100. Doña Francisca Yarto, sirviente, id...............</t>
  </si>
  <si>
    <t>Lozano, Manuel</t>
  </si>
  <si>
    <t>Manuel Lozano</t>
  </si>
  <si>
    <t>Ignacio de Cantapino, guardián de Capuchinos del Prado. D. Josef Hidalgo, diputado de los Angeles. D. Manuel Lozano, de id. D.-Josef Fernandez Garrida, diputado de id. D. Tadeo Font, diputado id. D. Tomas Tordesiilas, secretario. El señor conde de Ibangrande, hermano mayor de la congregación de</t>
  </si>
  <si>
    <t>Lozqno, Vicente</t>
  </si>
  <si>
    <t>Vicente Lozqno</t>
  </si>
  <si>
    <t>iqi^i.les, de Portace- que sé rifen. . * ‘ I¡ , 40. . T ;• /í D. Manuel de Albuerñé 2 263 t&amp;J i 9J D. Vicente Lozqno 60. mrsi en vales ‘reales. 1 D. Domingo Fernandez de Palacios El brigadier D. Antonio de Castilla 300 4585 rs. 22 mrs. en id. D. Juan de Mata Duque 1800 en D. Pedro Marcelino Blan</t>
  </si>
  <si>
    <t>Lprenzo</t>
  </si>
  <si>
    <t>como sigue: Iimo.rSr.-t Juan de Yuste , alcalde ordinario de la villa que ha sido deL Venturada, y D. Lprenzo del-Esta|- jBjsdígsté.rqs , pá roco de la misma, por&lt; spy á nombre de , todos sus vecinos, y -feligreses.,¡ á V. I. dicen con el respeto debido: Que él dia 2"del corriente porla mañan</t>
  </si>
  <si>
    <t>Lu, Manuel</t>
  </si>
  <si>
    <t>Manuel Lu</t>
  </si>
  <si>
    <t>camisas.. Doña, Manuela .Gilman,y:ergafa.„6. , El confesor, de las. Monjas GeronLD. Mateo Matute y D. Manuel Lu- mas 2. ,r t' que 24v¿ Í y- ... -■ . *&gt;&gt;,/•,.- ,0 ’ ,, i'-. Una poíore sirvienta una. D. Agustín de Landa 6 id. y 2 libras D. Josef García Cater, su muger y de hilas. hermano 6. D.</t>
  </si>
  <si>
    <t>Lucía de Herrea y Cuellar</t>
  </si>
  <si>
    <t>z........ ..100000 3468 D. Juan Manuel de Soldevilla........................— Málaga...... 300 1758 Doña Lucía de Herrea y Cuellar..... ............. Cádiz.......... 500 3760 D. Juan Esteban de Herrea y Ripa Cádiz......... 300 1627 D. Ramón de Sta. Cruz y Gil.................... Santander. .. 300</t>
  </si>
  <si>
    <t>Lucía Orrea</t>
  </si>
  <si>
    <t>d............................ 320. D. Manuel Gaspar González Montaos, diputado del Común, id. 6000. Doña Lucía Orrea, id................................ .................................. 120. Jacinto Majolero, maestro peluquero, á cuenta de 300 rs., id. 200. D. N. N. en cartas de pago contra Te</t>
  </si>
  <si>
    <t>Lucía Sánchez, María</t>
  </si>
  <si>
    <t>María Lucía Sánchez</t>
  </si>
  <si>
    <t>. r ■ -Bilbao;....... 500 •Mi I068 Sres. Gil'y, Beñisia.........a.;.A,AAA. Madrid....!.. ■ 300 1443 Doña María Lucía Sánchez.',.’......... A....A..AA t «•«*• 30o *7 99 D: Juan Antonio'de‘Yafdióla y Garay:..;;;;.. ;jiádíz.. Cádiz;; A.;... 000 2050 D. Fra ncLsco XáVler' Ca í taños. ;.. a..C / j,.AA f $ 00</t>
  </si>
  <si>
    <t>Luciano Aguilar y Nadal</t>
  </si>
  <si>
    <t>es prescritas pórk comisión gubernativa, de que se enterará1 á. los compradores. Por providencia de D. Luciano Aguilar y Nadal, subdelegado en el departa-' mentó de Solsona del juez comisionado regio en la diócesi de Vich y Solsona, se lia señalado el día 26 del presente para'el remate de la casa manso y</t>
  </si>
  <si>
    <t>Lúeas Cordobés</t>
  </si>
  <si>
    <t>el Banco nacional, : ? 1 por id. á 20 rs: id.........i. ..................•...................20* . D. Lúeas Cordobés, id. de id * por id. á 24 id............................. 24. Gregorio Gutiérrez, mozo del Banco, por id. a30 rs,.id.......... 130» * D. "Ramón Fernandez, por id. a 2 rs. diarios.</t>
  </si>
  <si>
    <t>Lúeas Escolar</t>
  </si>
  <si>
    <t>stico. D. Estéban Felipe Mórnn, secretario. Don Félix Abrarez dei Villar, diputado dé S. Francisco. D. Lúeas Escolar, secretario. D. Pedro Roque Cobo, diputado $le S- Justo. D. Domingo del Valle, secretario de dich;í. D Juan Bautista Nieto, diputado de id. Dan Lázaro Sanz, alcalde. D. Francisco</t>
  </si>
  <si>
    <t>Lúeas Herrero</t>
  </si>
  <si>
    <t>....... 100. D. Eusebio Sainz Manteca, id................. ............ .................... . 200. D. Lúeas Herrero, id................................ .■................................... 480. Doña Antonia Fernandez, id........................................... ............. 4. D. F. O. B.,</t>
  </si>
  <si>
    <t>Lúeas Navas</t>
  </si>
  <si>
    <t>........... ico. Un labrador, 30 id. por 2 meses................................................60. D. Lúeas Navas, cirujano, 10 id. id........................ ......... ....... . 20. D. Lorenzo de Mollinedo, ballestero principal dé S. M,, en una boleta correspondiente al mes de abril de su su</t>
  </si>
  <si>
    <t>Luengo, Felipe</t>
  </si>
  <si>
    <t>Felipe Luengo</t>
  </si>
  <si>
    <t>o Mora, y les guardias D. Francisco Riaño * Josef Ggvantes, D. Josel Sóstoa, D. Manuel Zt rraquin y Don Felipe Luengo, serán eternamente nombres mui apreciables, que nos recordarán unos de los defensores mas seguros y valerosos de la patria y del treno. Nos,imponemos el deber de recordar al públi</t>
  </si>
  <si>
    <t>Luis Bernardo</t>
  </si>
  <si>
    <t>......... 200. Doña Joaquina Escudero, en vales reales, id.............................. . 23 ¿5 2. D. Luis Bernardo vPerez, id. id........................................................ . 400.</t>
  </si>
  <si>
    <t>Luis- Melgarejo</t>
  </si>
  <si>
    <t>lez Bermejo una camisa. D. C. G. B. 4 car» misas finas. , ¡ .r.■ ., • r;, .. ’ ^ .7 Dia 2 jw El Sr. D. Luis- Melgarejo, decano del consejo real de Ordenes , 12 camisas, 6 ponchos , 2 sillas con bridas J bocado a todo nuevo. ;</t>
  </si>
  <si>
    <t>Luis- Ortiz de Zárate, Juan</t>
  </si>
  <si>
    <t>Juan Luis- Ortiz de Zárate</t>
  </si>
  <si>
    <t>......................... 320. D. Francisco Fernandez.Suarez, oficial del banco, por ahora.... IOO. D. Juan Luis- Ortiz de Zárate, cura* del real colegio de Santa Rabel, á* cuenta- de. 480. rs...................................... .................... 40. La viuda de ...... ..................................</t>
  </si>
  <si>
    <t>Luisa Arroquia, María</t>
  </si>
  <si>
    <t>María Luisa Arroquia</t>
  </si>
  <si>
    <t>D. Antonio Porlier , oficial de la se- cretaría de Estado............................ x ( Atalages Doña María Luisa Arroquia, viuda... &lt;de muías Ide coche. El conde de Salvatierra....................... 3 D. Josef Murga.................................... 1 La duquesa de Rivas............. 1 El conde de</t>
  </si>
  <si>
    <t>Luisa Benito</t>
  </si>
  <si>
    <t>. Pablo Muñoz de la (Vega 122 rsi El conde de N. 270 rs. y 25 § mrs. y 7 mrs. en efectos de estado. Doña Luisa Benito'80. D. Angel de Aragón y Alvarez 20o D. Manuel Galan 20. . ¿ en cédulas. , D. Francisco Fernandez Bellido 60; D. Manuel de Escudero ico. Josef Saavedra 30. * :• ¡ ‘ Doña María Gert</t>
  </si>
  <si>
    <t>Luisa Cortijo</t>
  </si>
  <si>
    <t>pa y calzones, y una chaqueta y pantalón de estopa. Dia 1$. D. Joaquín Saez López 70 varas de crea. Doña Luisa Cortijo 12 de lienzo. D. Domingo Ábriel un caxorí con iiJ Sombreros paral sargento, armados con galón de seda, presilla ^y escarapela , y 60 para sóldados, armados con hiladiilo. Doña Man</t>
  </si>
  <si>
    <t>Luisa Latovre de Peñalver</t>
  </si>
  <si>
    <t>lbao..-.. 6co 2116 D. Felipe Ramirez..................................... Zaragoza • •••• 600 244 5 Doña Luisa Latovre de Peñalver............ . Zaragoza . 500 1880 Sr. Marques de Zafra...... ............................. Zaragoza 500 480 Doña Ventura de Urizar................................... Bilbao.... 10</t>
  </si>
  <si>
    <t>Luisa Martínez</t>
  </si>
  <si>
    <t>...... . IOOO 2258 D. Pablo Antonio de Espalza............................ Bilbao.......... 500 644 Doña Luisa Martínez.......................................... Madrid........ 600 320 Antonio María Bazo y Berry............................ Málaga......... 1000 2019 Doña María Josefa Laffore........</t>
  </si>
  <si>
    <t>Luisa Peral</t>
  </si>
  <si>
    <t>udévilla una ca-Doña Nicolasa del R^ÍU9^-C?.i)^í?as,...* ipisa. • ^ unaSpocas dé.liilás "y panos. \ Doña Luisa Peral una. La Exca&amp;a. Sr^Piarquesk dé Gasté- D.- J*.-Y.-J.'D. S. 32 varas1 y medía lar 12 camisas. ^ ' - ' ; •'; ; ' de lienzo. • f : : D. Josef María de Egüren i. ' D. Cosme de Miguel</t>
  </si>
  <si>
    <t>Luisa Pérez Delgado</t>
  </si>
  <si>
    <t>Zaragoza.,/!. i,yoo 2J;88 .B*.,JofMcndjQí,d? .ago.&lt;íy*s.,,........,...... Coruña,,..//!. . 300 2297 Doña Luisa Perez Delgado,,................id....^,.. 1 Gádiz.&lt;¡:..jCL ^300 , 5$7 JP- JuaníAntonio..Soiis y. Mena........ o/,,i.,y Madridí...!/;. ¿ 600 4,6po ExgJtpq^Sfi D,..Vicente Joaqmn.O&amp;orio;de?. íií</t>
  </si>
  <si>
    <t>Luisa Robinet</t>
  </si>
  <si>
    <t>libra* de hilas. Doña Vicenta Remero 3. La marquesa de Contramina 2. La marquesa de Valdecarzana 4. Doña Luisa Robinet una. Doña Tomasa de la Cueva 2 camisas. D. Antonio Gil, conde de Berverana, seis camisas, hilas, paños y vendas. En el dia 19 de mayo último falleció, á los 71 años de edad, en la</t>
  </si>
  <si>
    <t>Luisa, María</t>
  </si>
  <si>
    <t>María Luisa</t>
  </si>
  <si>
    <t>3° 0 458 D. Santiago Smith........................................ ...... Bilbao......... JOO 1.082 Doña María Luisa de.Córdoba..................... Madrid....... 3 00 1285 D. Félix y D. Antonio de Lapayese............. Valenciá..... 300 2022 D. Josef Bernardo Muñoz............. ...................</t>
  </si>
  <si>
    <t>Luisa, Princesa</t>
  </si>
  <si>
    <t>Princesa Luisa</t>
  </si>
  <si>
    <t>RTEMBERG. Stuttgardt 2 &lt;T de junio. SS. MM, presidieron anteayer la toma de pqsesion de S. A. R. la Princesa Luisa, su sobrina, como abadesa de Oberstenfeld. Casi toda la corte asistió á la ceremonia, y por la tarde se trasladó el concurso á Luisburgo, donde hubo grandes funciones y m,ucho reg</t>
  </si>
  <si>
    <t>Luisde</t>
  </si>
  <si>
    <t>y otros 2 de cxtrcicios espíritu»* Ics para d clcro, con im^caita pastoral del Emo. y friona. bit. D. Luisde fibf</t>
  </si>
  <si>
    <t>Lumbreras, Juan</t>
  </si>
  <si>
    <t>Juan Lumbreras</t>
  </si>
  <si>
    <t>o Martin Sanz una. D. J. J. B. R. 12 camisas. D. Martin 4e Olazabal 4.. D. Juan López y sú muger 6. D. Juan Lumbreras uñá/' • D. Gregorio Martínez de MollineD. Santiago .Gandedó Pelaez .4. do 24. Doña María Poazoti y Pía 4. D. Francisco Asui 12. D. Juan de Madrid 6. .D, Antonio Sanz Ruiz 2. Doña</t>
  </si>
  <si>
    <t>Luque, Juan</t>
  </si>
  <si>
    <t>Juan Luque</t>
  </si>
  <si>
    <t>Doña María Felipa Falcon y Rutiman 4. Cristina Bueno una. Dia 29. Doña JCaviera Escudero 4 camisas. D. Juan Luque 6. Un religioso 42 varas de coruña. Doña Joaquina Bradi 18 camisas. D. Josef Rfoja 6 de coruña. Las monjas de la Concepción francisca d*e la* ciudad de Guadalaxara i3. El Excmo. S</t>
  </si>
  <si>
    <t>Luquet, Manuel</t>
  </si>
  <si>
    <t>Manuel Luquet</t>
  </si>
  <si>
    <t>e Barric.. Coruña..... . 3OO 189 Excmo. Sr. D. Joaquin de Cañaveral..*..., Alicante,....) IOOO 2333 D. Manuel Luquet...... ................... . Zaragoza...... 3°° 815 P. Luis Velasco................. .......................... Madrid......... 500 1206 D. Fermín de Idoquiliz.....................</t>
  </si>
  <si>
    <t>Lurbe, Juan</t>
  </si>
  <si>
    <t>Juan Lurbe</t>
  </si>
  <si>
    <t>Alicante...... 600 499 D. Juan Francisco de Abrisquieta................... Bilbao........ 300 1988 D. Juan Lurbe...,............. ................................ Zaragoza..... 1500 231 D. Juan González de Latorre.......................... Burgos........ 600 166 D. Francisco Izquierdo Moneda</t>
  </si>
  <si>
    <t>Lushíngton</t>
  </si>
  <si>
    <t>ó la propuesta de Mr. Grei relativa á los papeles que pedia. CAMARA BAXA. Sesión del 12 de febrero. Mr. Lushíngton pide una explicación sobre las órdenes dadas por el conséjo en 11 de noviembre concernientes al comercio de los neutrales. Dice que le ha causado gran sorpresa el oír que el conse</t>
  </si>
  <si>
    <t>Lushington</t>
  </si>
  <si>
    <t>e van destinados á los puertos amigos. En virtud de esta explicación quedó aprobada la propuesta de Mr. Lushington. CAMARA1 DE LOS PARES. Sesión del 1$ de febrero. En este dia la cámara exáminó las órdenes del consejo relativas á la navegación de los neutrales. Lord Auckland dixo que estas órd</t>
  </si>
  <si>
    <t>Luxan, Francisco</t>
  </si>
  <si>
    <t>Francisco Luxan</t>
  </si>
  <si>
    <t>se verifique vacante de número en la propia audiencia. También en atención al mérito y servicios de D. Francisco Luxan, asesor del real sitio de S. Lorenzo , ha venido el Reí en concederle honores de alcalde del crimen de la chaneíllería de Valladolid. El dia 29 de diciembre último celebró la real</t>
  </si>
  <si>
    <t>Luz, Felipe</t>
  </si>
  <si>
    <t>Felipe Luz</t>
  </si>
  <si>
    <t>2320 D. Fermín Ramón Barrera................................ Cádiz.-fvitaff-1 5000 . leía dej 1543 D. Felipe Luz, comerciante...................... ;....; Bilbao....... . 3°° 95 4 D. Benito dé la-Mata* Linares.......................... Madrid....... 3°° 1082 Excma. Sra. Condesa de la Puebla.</t>
  </si>
  <si>
    <t>Luzan, Juan Miguel</t>
  </si>
  <si>
    <t>Juan Miguel Luzan</t>
  </si>
  <si>
    <t>iz ...... . 500 66 D. Pedro Normande..................................... . Barcelona.... IOOO 2403 D. Juan Miguel Luzan.......... ................. . . Zaragoza..... 300 325 Juan Rein........................................... *........... . Málaga......... 300 p 27 marques de Amarillas............</t>
  </si>
  <si>
    <t>LV Juan BobcrCON SUPERIOR PERMISO</t>
  </si>
  <si>
    <t>la «vara de teniente tercero de asistente aicnlde mayor de la misma, vacante por fallecimiento del Dr. LV Juan BobcrCON SUPERIOR PERMISO. SÑ' LA IMPRENTA BE LA VIUDA WÉ:;HIDALGO Y. SOBRINO.</t>
  </si>
  <si>
    <t>M-íría Flora</t>
  </si>
  <si>
    <t>, id.............. ................................................................. ...... 8.87 8. Doña M-íría Flora-, sirvienteid 40. í Doña María N., id. id............... 6</t>
  </si>
  <si>
    <t>MA DEL SABADO</t>
  </si>
  <si>
    <t>Núm. 157. Et3gg333aag£SSSS3&amp;g? GAZETA D MA DEL SABADO 17 DE DICIEMBRE- DE 1808. AUSTRIA. Viena 20 de noviembre. Se lian hecho rogativas públicas en la capilla de la corte por el restablecimiento de la Emperatriz. Son mui lisonjeras l</t>
  </si>
  <si>
    <t>Machado, Francisco</t>
  </si>
  <si>
    <t>Francisco Machado</t>
  </si>
  <si>
    <t>no habiéndolo podido hacer por enfermos los Sres. D. Pedro Muñoz dé ía Torré , D: Bernardo Iriarte, D. Francisco Machado y el marqués del' Surcoí Y jp&amp;rú quh consté- ’dol fá presente que firmo- con lós señores concurrentes en Madrid á 28 de setiembre de 1808. = El marques de Bajamar: í^ Ef ¿Onde de'Pozó</t>
  </si>
  <si>
    <t>Machado, Juan</t>
  </si>
  <si>
    <t>Juan Machado</t>
  </si>
  <si>
    <t>tas. Concluyó el acto , satisfaciendo a las preguntas que se le hicieron de aritmética y geografía, D. Juan Machado, colegial agregado no contribuyente, que antes de la apertura del colegio llevaba dos anos de enseñanza por el mismo mmstro director D. Juan de Dios Loltus; y satisfecho el public</t>
  </si>
  <si>
    <t>Macharen, Juan Pedro</t>
  </si>
  <si>
    <t>Juan Pedro Macharen</t>
  </si>
  <si>
    <t>cuerpo de patriotas; D. Miguel Mugra, D. Vicente Bordas, D. Juan Bautista Viton, D. Julián Corbera, D. Juan Pedro Macharen! , D. Roque Laurel, D. Ramón Urien , D. Angel Ubac; á los cadetes del expresado cuerpo de patriotas , con grado de subteniente, D. Juan Jo— sef Ferrer, D. Josef Beruti , D. Josef</t>
  </si>
  <si>
    <t>Macía de Lleopart, Ramón</t>
  </si>
  <si>
    <t>Ramón Macía de Lleopart</t>
  </si>
  <si>
    <t>ohel D. Gato ¡Diez Madróñero, teniente de Rei de la plaza de Peñíscola. J ‘ 11 El Reí ha nombrado á D. Ramón Macía de Lleopart pafa lavara de a Ir calde mayor mas moderna de la ciudad de Valencia; para la de Ecijá-, que este dexa, á D. Antonio Urizar de Aldaca: para el corregimiento de 1er tras de la vill</t>
  </si>
  <si>
    <t>Macrina Velasco</t>
  </si>
  <si>
    <t>os de Vitalicio, id.......................................................................... 9400. Doña Macrina Velasco, id.................................. ........................... 300. Mariano Sentoncha, peluquero, en.intereses de vales reales,Ai. . 631 2f, Roque Asenjo . id............. ....</t>
  </si>
  <si>
    <t>Maddison</t>
  </si>
  <si>
    <t>: * E$tos dias-pasados se ha impreso la correspondencia que ha habido entre el secretario de estado Mr. Maddison y el ministro ingles Mr. Rose , coya publicación excita la atención del público. Es preciso traer á Ja memoria el atentado cometido el año último por el navio ingles el Leopardo contr</t>
  </si>
  <si>
    <t>omisión que está á su cargo; examina las diferentes cuestiones, así como los puntos de hecho de que Mr. Maddison habla en su carta \ inculcando siempre los sentimientos de justicia y de moderacion de su gobierno, asi como la intención en que persiste S. M. británica de componerse con los Est</t>
  </si>
  <si>
    <t>Madison</t>
  </si>
  <si>
    <t>s ocurrió se«nejante idea. Filaielfia 2f de Junio» El general Turreau tiene largas conferencias con Mr. Madison , las quales duran algunas veces tres horas. Parece* que algún negocio de la mayor importancia ocupa ahora al gobierno francas y al nuestro.. Este ha recibido despachos voluminoso</t>
  </si>
  <si>
    <t>azeta de Sevilla núm. 29.) Filadelfia 21 de junio. El general Turreau tiene largas conferencias con Mr. Madison, las quales duran algunas Veces tres horas. Parece que algún negocio de la mayor importancia ocupa ahora al gobierno francés y al nuestro. Este ha recibido despachos voluminosos d</t>
  </si>
  <si>
    <t>hromcle. Según cartas de les Estados-Unidos es segura la victoria para el partido de Mr. JeíTcrson. Mr. Madison, que indicó este para suceáerle, tiene á su favor el mayor número en los estados de Jersei y de Pensilvania, que tanta infidencia exercen en el particular. El partido democrático,</t>
  </si>
  <si>
    <t>Madisson</t>
  </si>
  <si>
    <t>aras del congreso se juntaron á deliberar. sobre la próxima elección del presidente de los Estados. Mr. Madisson tuvo 83 votos para la presidencia: Mr. Monroe tuvo 3 , y otros tantos Mr. Clinton. Este último fue elegido unánimemente para la vice-presidencia» El enviado ingles Mr. Rose ha pro</t>
  </si>
  <si>
    <t>Madlison</t>
  </si>
  <si>
    <t>reliminar convenido para la reparación del insulto hecho al pabellón americano. —Mr. Rose replica á Mr. Madlison en oficio de 17 de marzo, en que explica nuevamente los principios que han dictado la conducta del gobierno británico, y los motivos de la que mismo debe tener en la comisión que es</t>
  </si>
  <si>
    <t>Madrid, Pedro</t>
  </si>
  <si>
    <t>Pedro Madrid</t>
  </si>
  <si>
    <t>za, oficial' de la secretaría de Hacienda, por una vez 1100 rs. D. Ramón de Adurriaga, por id. 200. D. Pedro Madrid, por agosto á 2 rs. diarios ,62. i</t>
  </si>
  <si>
    <t>Maeda, Antonio</t>
  </si>
  <si>
    <t>Antonio Maeda</t>
  </si>
  <si>
    <t>........ Madrid....... 300 315 Miguel Crook y Timoteo Macnamara............. Málaga........ 300 991 D. Antonio Maeda.............................................. Madrid....... . 6co 1793 D. Pedro Pablo Perez de Arrieta..................... Cádiz...... 1000 1540 D. Pascual Josef de Ardanaz......</t>
  </si>
  <si>
    <t>Maeso, Cayetano Luis</t>
  </si>
  <si>
    <t>Cayetano Luis Maeso</t>
  </si>
  <si>
    <t>..... . Madrid...... 500 923 D. Bonifacio Saenz de Tejada y compañía..... Madrid'.'....O '3 00 2132 D. Cayetano Luis Maeso y compañía....... ».v Zaragoza....: 3°o 879 D. Miguel de Iñigo Vallejo...»................... . Madrid......: 300 1104 Doña Tomasa Zaldo........................................... M</t>
  </si>
  <si>
    <t>Maestre, Juan María</t>
  </si>
  <si>
    <t>Juan María Maestre</t>
  </si>
  <si>
    <t>nfantería, de los quales son Coroneles los Sres. D. Joaquín CJarebout, D. Josef Medina y Cabailías, D. Juan María Maestre, Caballeros maestrantes de la Real de Caballería de esta Ciudad , D. Gonzalo Ramírez Delor , Comisario Ordenador , y D, Pedro Pedresa, Marques de Dos-hermanas. Todos están bien pr</t>
  </si>
  <si>
    <t>MaftuePFranco</t>
  </si>
  <si>
    <t>ledo D. Julián Murillo: la del de ía Corona al capitán del de Murcia, graduado dé teniente coronel, Don MaftuePFranco : la del de Sevilla al capitan1 dél propio inmemorial del Reí üL Pedro Gaztelu: lá dél de Irlanda al cápitañ de granaderos dél deHibernía , graduado de teniente coronel, D. Miguel</t>
  </si>
  <si>
    <t>Magan, Francisco</t>
  </si>
  <si>
    <t>Francisco Magan</t>
  </si>
  <si>
    <t>60o. 1^. ■, An tomo. .Aguas,- por ■ una vez........ ,•#................. .v,....««...#*. ,_« ■ 320. D. Francisco Magan 500.rs. por una vez, y 186 .por agosjto á ó / rs. diarios.......... «}«».».•&gt;}««£,*^1 D. Lorenzo Iruegas, del comercio de paños, por Una Vez*.....#., 20000. D. Mauricio Boinot, pr</t>
  </si>
  <si>
    <t>Magdalena de Utida</t>
  </si>
  <si>
    <t>v-'} D. Francisco Antonio -de Rivacotyi y D. Mariano Quefol y Gabaneé. «' Gorveau-2. &gt;1‘üs ■ . ? !• Doña Magdalena dé Utida;2. • ; l Doña Manuelft^RámirO’d.'--y • 5 Doña N. 6. -c . - v íva’r-.u'it D. G. A. y U. 2¿• : -l • ' D. JoíHf&amp;lSafr^'tí. 1' Sk. tf ry D. Esteban Guérrérob6.t \ .1 ¡ -■ D. J* A. 4.</t>
  </si>
  <si>
    <t>Magdalena Sánchez, María</t>
  </si>
  <si>
    <t>María Magdalena Sánchez</t>
  </si>
  <si>
    <t>adrid........ 2CO 771 D. Casimiro Antón Monten.............................. Madrid..... . 3°° 2015 Doña María Magdalena Sánchez.................... Cádiz........... 300 2071 D. Juan de Aguiiar............................................. Cádiz......... . 500 2143 D. Nicolás de Arujo y Losada...............</t>
  </si>
  <si>
    <t>Magdalena Ulloa, María</t>
  </si>
  <si>
    <t>María Magdalena Ulloa</t>
  </si>
  <si>
    <t>.. Madrid....í.‘. 300 2338 D. Juan Bautista Gaudo y Sobrinos................ Zaragoza..... 300 2325 Doña María Magdalena Ulloa....................... .... Cádiz.......... 300 210 D. Juan Rusheu.......*......................................... Alicante...... 500 298 Andrés Mor'at...........................</t>
  </si>
  <si>
    <t>Magendie</t>
  </si>
  <si>
    <t>ociante ; y los senadores Antonio Tomas de Silva Leito, y Joaquín Alberto Jorge. i • í :■■&gt;,} ' * ! Mr. Magendie, capitán de navio, y comandante de la marina de S. M*I. y R. en Lisboa, dió áyer: una espléndida función al general en gefe Junot á bordo del navio Vasco de Gama, de 74 cañones. E</t>
  </si>
  <si>
    <t>Magens, Joaquín</t>
  </si>
  <si>
    <t>Joaquín Magens</t>
  </si>
  <si>
    <t>nrf. ; D. F. J. S. C. 200. •' D. Ramón Jaulin 80. &gt; D. J. I. J. D. S. $1?o. . Pedro de Aquino 20* t D. Joaquín Magens 30. Mateo Agudo 20/ Se continuará.</t>
  </si>
  <si>
    <t>Magín Gomá</t>
  </si>
  <si>
    <t>ía, de Villanueva. Quien supiere su paradero . avisará en Baycelóna á D. Pedro Mayol, y en Madrjd á D. Magín Gomá. • En la villa de Arañda de Duero , provincia de Burgos, se halla vacante la plaza ” dé maestro de priirierás letras, dotada con 300 ducados anuales, que se pagan mensualmente por</t>
  </si>
  <si>
    <t>Magín Goma</t>
  </si>
  <si>
    <t>Matías del Arco, contador de Sisas, por agosto á 40 rs. mensuales durante la guerra, 40. - ~...... D. Magín Goma, por id. á ioo rs. id. id., 100.</t>
  </si>
  <si>
    <t>Magin Gonia</t>
  </si>
  <si>
    <t>2 casacas y 2 paresde cithsnes, DoááAgustina Picos 2 camisas. D. Francisco Manuel de Bedoya r2^id. D. Magin Gonia 5. -Dia évoManuel ¿Ferroc.4^ gorrosmgevos de'^uartel y fr bayotí€Ú*¿'&amp;Q~ ña¡ MamPatrdlCaroufl'par dé cal$whs.y 6í«(apüla¥ioV-La -rea! hermané dadcdj2 auxeatra&gt; Sra. de lariHspt*ra</t>
  </si>
  <si>
    <t>Magrat, Tomás</t>
  </si>
  <si>
    <t>Tomás Magrat</t>
  </si>
  <si>
    <t>e entre muertos y heridos; Por parte de Jos catalanes no hubo mas desgracias que la.de haber muerto D. Tomas Magrat, subteniente del regímiento de Ultonia, oficU de relevantes prendas; D. Francisco Vidal, capellán del mismo regimiento, un.artillero paisano déla villa de Bagur, y 3 á 4 heridosco</t>
  </si>
  <si>
    <t>Maguerola, Francisco Xavier</t>
  </si>
  <si>
    <t>Francisco Xavier Maguerola</t>
  </si>
  <si>
    <t>.... 3 00 1955 D. Rafael Irazabal............................................. Zaragoza..... 600 73 D. Francisco Xavier Maguerola....................... Barcelona.... 300 760 D. Tomas García Prieto y compañía............... Madrid....... 5 00 2036 D. Benito Picardo............................ ...............</t>
  </si>
  <si>
    <t>Mahi, Nicolás</t>
  </si>
  <si>
    <t>Nicolás Mahi</t>
  </si>
  <si>
    <t>horas, Jos traxe por Lezama á Jas alturas de Bilbao, cubriendo la retaguardia el mariscal de campo D. Nicolás Mahi; y esta mañana he dexado los mismos cuerpos en Bilbao 2 las órdenes de dicho mariscal de campo,1 y yo me ocupo en dar nueva disposición al exército mas adaptable á las circunstanc</t>
  </si>
  <si>
    <t>Mahuel Esteban de Eiordur</t>
  </si>
  <si>
    <t>ñipa ñ ras. en este último- cuerpo! ¡i los ayudantes,!‘gKáduadbs dé capítan’, D. Juan-.Montéagudo y D. Mahuel Esteban dé Eiordur. También se ha servicio S. M.. cónrérir el régini'ienfp efe dragones de Sagúnfio, al coronel D. Manuel Rizor téménte coronel* del dé Nurnancrayelde húsares Españoles: al coroneí</t>
  </si>
  <si>
    <t>Maiíuel Ballesteros</t>
  </si>
  <si>
    <t>fábrica de azúcar refinado, por agosto á 30 rs. mensuales.... ....... ........... ............. 30. D. Maiíuel Ballesteros, por agosto á 30 rs. mensuales................ 30; D. Raimundo Glarasco, por agosto...........*.... ......60. .o' D. Antonio Wiant, plumista de cámara, por 4 meses á 100 rs. en ca</t>
  </si>
  <si>
    <t>Mailfert, Pedro</t>
  </si>
  <si>
    <t>Pedro Mailfert</t>
  </si>
  <si>
    <t>nco, secretario y contador del marques de Villafranea, por 2 meses á 6 rs. diarios............ 366. D. Pedro Mailfert, conserge de la historia natural, por «agosto a 4 rs. alarios.......... ........... . • &amp;.•«.« *•••»»••» • #.# 14 #4 124. D. Manuel de Angulo , director de minas, por ahora una me</t>
  </si>
  <si>
    <t>Maiñrado Kn</t>
  </si>
  <si>
    <t>aderos I). Josef Wohlében v D. Juan Hellerbach , y. á subtenientes de granaderos á los de fusileros D. Maiñrado Kn.eher y D. Juan Matías Keller. En el primer batallón de voluntarios de Barcelona se ha servido S. M. promover á capitán segundo al segundo ayudanta D. Josef de Boixó; á segundo ayu</t>
  </si>
  <si>
    <t>Maispnbl</t>
  </si>
  <si>
    <t>s estaban llenos de gente, y á medida que esta salía , volvían á llegarse., v El capitán de fragata Mr. Maispnbl^che, comandante de; la corbeta de S. M. el Orestes, ha dado cuenta del combate que/sostuvo.en los mares de América centra dos buques ingleses. La; relación ha remitido dice asís;</t>
  </si>
  <si>
    <t>Maitinez de Haedo, Manuel</t>
  </si>
  <si>
    <t>Manuel Maitinez de Haedo</t>
  </si>
  <si>
    <t>............ 1052. D. Pedro Arnaiz, presbítero, por una vez................................... 260. D. Manuel Maitinez de Haedo, oficial de la contaduría ge\</t>
  </si>
  <si>
    <t>Malagon, Carlos</t>
  </si>
  <si>
    <t>Carlos Malagon</t>
  </si>
  <si>
    <t>. Dé Julián Rodríguez, por una vez 200 rs. D. Ignacio Solana , uxier de cámara, por una vez 640 rs. D. Cárlos Malagon, mozo de oficio de la real sausería, por una vezNy2o rs. D. Manuel Santibañez, abogado del colegio, por agosto á 40 rs. mensuales durante la guerra, 40. D. Josef Figueras, tesorer</t>
  </si>
  <si>
    <t>Maldonado, Francisco</t>
  </si>
  <si>
    <t>Francisco Maldonado</t>
  </si>
  <si>
    <t>1263 17* D. Bernardo .Barril, oficial de Tesorería m.-y^r, en vales rea-. les, id...... . 2327 28w D. Francisco Maldonado , portero de vara y número de la Sala,, en. intereses de vales reales y. pico .en efectivo, id................... 1100. D. Josef Alvaredo. ,.eura propio.de.Se villa la .nueva¿dv.</t>
  </si>
  <si>
    <t>Mallada, Diego</t>
  </si>
  <si>
    <t>Diego Mallada</t>
  </si>
  <si>
    <t>oficial de la -contaduría d^l*duque del' Infantado , por 2 meses á 2 rs.* diarios....i....... 12%\ D. Diego Mallada, archivero del du^ue de Híjar, por agosto á</t>
  </si>
  <si>
    <t>Mallo, Miguel</t>
  </si>
  <si>
    <t>Miguel Mallo</t>
  </si>
  <si>
    <t>.......... . 368. Francisco Marcos, tendero, por una vez.:............... .................... 120. D. Miguel Mallo , dependiente del marques de Valdeoimos, por una vez............................ ........................................«.......... 200. D. Juan Manuel de Palacios, mayordomo del</t>
  </si>
  <si>
    <t>Malo, Domingo</t>
  </si>
  <si>
    <t>Domingo Malo</t>
  </si>
  <si>
    <t>ros al teniente de granaderos D. Manuel González de Cosío; á teniente de granaderos al de fusileros D. Domingo Malo; á tenientes al subteniente de granaderos D. Manuel Muñíz y al de fusileros D. Josef María Tapia; á subteniente de granaderos al de fusileros D. Manuel Mayo Caamaño; á subteniente</t>
  </si>
  <si>
    <t>Malo, Francisco</t>
  </si>
  <si>
    <t>Francisco Malo</t>
  </si>
  <si>
    <t>......... 20000. D. Francisco Fernandez Balonga, id......................................... . 500. D. Francisco Malo, id................................................................... 20. D. Diego Alonso Martínez, notario mayor de la Vicaría ecie* si Atica, id................................</t>
  </si>
  <si>
    <t>Malo, Pedro</t>
  </si>
  <si>
    <t>Pedro Malo</t>
  </si>
  <si>
    <t>ontinúan los donativos y ofertas voluntarias que constan en el banco nacional de S. Carlos. Rl Wr*. D. Pedro Malo, boticario, por una ve*....,...... ......................... 500. D. E, de N., en un recibo del Fondo vitalicio, íd....„................ 524. D. J. de I., en un recibo del real Em</t>
  </si>
  <si>
    <t>Malo, Santiago</t>
  </si>
  <si>
    <t>Santiago Malo</t>
  </si>
  <si>
    <t>D. Andrés Hume, nación ingle*» 2 D. Francisco y D. Juan Piélagos 4. camisas y 42. varas de lienzo. D' Santiago Malo 2 sábanas. Peña Ana-Roxo • i a camisas* D. Manuel Gil Samibañez ico varas D. Angel Abril, tesorero honorario de lienzo» de exércitó, 6. D. Pedro de Prado 3 camisas. D. Juan Franci</t>
  </si>
  <si>
    <t>Malouet</t>
  </si>
  <si>
    <t>ido el comisariato general de Amberes en prefectura marítima, y conferido este destino importante á Mr. Malouet. Por otro decreto del 17 ha mandado S. M. embargar todos los buques argelinos que se hallaren en los puertos de Francia y del reino de Italia, como asimismo las mercancías y efect</t>
  </si>
  <si>
    <t>Mam</t>
  </si>
  <si>
    <t>Amandi, por medio año...... ............... 182. D. Donato Aríahz, por medio año............. 120. D. Mam/el Gómez de Roxas , anualmente.......... .............. .......... neo. Nicolás de la Osa, 20 rs. mensuales, por 6 meses........................ 120. D. Sebastian López O ivares,</t>
  </si>
  <si>
    <t>a María de Aragón. D. Francisco Villegas. D. Juan Francisco Molina* pretvbítero. D. Ignacio Guerra. D. Mam e) Ramos. D. Pedro Ezquerra, secretario de la diputación de S. Gines. D. Diego Crespo, diputado de Santa Cruz. D. Andrés Ortiz id. D. Feliciano Gómez id. D. JusnDuarez, secretario.</t>
  </si>
  <si>
    <t>Mames Paez</t>
  </si>
  <si>
    <t>ncia ál subteniente D. Ignacio Texero , y subtenencia de bandera ál sargento primero del de América D. Mames Paez: en el de voluntarios de Castilla compañía al ayudante , graduado de capitán, D. Joaquín María de Carvajal; y en el de voluntarios de Estado subtenencia de bandera al sargento pri</t>
  </si>
  <si>
    <t>Mamoela Beltran</t>
  </si>
  <si>
    <t>;, aco pares deeortesdebotas ¡ •• ■'&gt;{ ' para'uso ^de;Ia tropas ni ¿írni 5 »c 1¿I :b &lt;v-‘óií ss\:.L Doña Mamoela Beltran ¡yfSarrais 12 camisas. Los maestros rempleadOS en el ¿corte de vestuarios del real cuerpo de i guardias; de Corps Lp.; | Josef ,Ca-v noes y^ D.bDómíogo&gt; Alegffe se ,han ofrecido i</t>
  </si>
  <si>
    <t>Manael Luquet</t>
  </si>
  <si>
    <t>..v........A.......... :i2o. D. Mateó Matute, platero, por üñ tercio á 4 rs. diarios.......... 488. D. Manael Luquet , por el primer tercio adelantado aí respecto de' 4 rs. diarios..................... .................. . 488. D. Juan Manuel de Gandasegui, director de la reai compañía de Filipi</t>
  </si>
  <si>
    <t>Mancebo, Bernardo</t>
  </si>
  <si>
    <t>Bernardo Mancebo</t>
  </si>
  <si>
    <t>ento de infantería de Cantabria se ha servido el Reí conceder tenencia al subteniente de granaderos D. Bernardo Mancebo. En la extracción de ia real lotería, executada el lunes 25 del corriente, salieron los números 80,49, 82 , 59 y 81 ; y con ellos han ganado los jugadores 539,472 rs. VENTAS JUDIC</t>
  </si>
  <si>
    <t>Manconel, Melchor</t>
  </si>
  <si>
    <t>Melchor Manconel</t>
  </si>
  <si>
    <t>deros, Don Manuel Ezquerra , D,. Vicente García ó su heredera, Julián González, maestro espartero , D. Melchor Manconel, Josef Escólau ó sus herederos, D. Josef Borrull, D. Tomas Zalzo, D. Tomas Grabepvos ó sus herederos; D.. Francisco Puente, Josef Duran, maestro,sastre, los herederos de R. Jiiari</t>
  </si>
  <si>
    <t>Mandujo, Ventura</t>
  </si>
  <si>
    <t>Ventura Mandujo</t>
  </si>
  <si>
    <t>ue de Lara, diputado id. D Tomas Condé, eclesiástico, diputado de los Angeles. D. Mariano Ibargnen. D. Ventura Mandujo, eclesiástico, D. Francisco Escarlati, Don Angel Tadei, D. Ramón Sanjueso, secretario, diputación del barrio de Doña María de Aragón. D. Juan Soto, alcalde de id. D. Melchor Gómez</t>
  </si>
  <si>
    <t>Manrique de Lara, Juan</t>
  </si>
  <si>
    <t>Juan Manrique de Lara</t>
  </si>
  <si>
    <t>ido» D. Antonio Santa María, alcalde de dicho. D. Fe ipe Duró, presbítero , diputado de S. Basilio. D. Juan Manrique de Lara, diputado id. D Tomas Condé, eclesiástico, diputado de los Angeles. D. Mariano Ibargnen. D. Ventura Mandujo, eclesiástico, D. Francisco Escarlati, Don Angel Tadei, D. Ramón Sanjue</t>
  </si>
  <si>
    <t>Manrique, Joaquín</t>
  </si>
  <si>
    <t>Joaquín Manrique</t>
  </si>
  <si>
    <t>rio de la calle de Hortaleza, en el estanquillo de la plazuela de Anión Martin, y en la platería de D. Joaquín Manrique, calle de Toledo. VENTAS. Quien quisiere comprar una berlina á la inglesa, caxa amarilla, tableros guarnecidos de mo dura, vestida de rizo, con 4 vidrios, 4 persianas, cantoneras</t>
  </si>
  <si>
    <t>io1 Lombardo ti? Doña Casilda Mollinedoy Grijalba 2 D. N. 28 capotes de paño nuevos. y un pantalón. D. Joaquín Manrique 3 camisas. Doña N. N. una camisa. D. L. D. A. 3 , 2 pares de calcetas / Dos señoras hermanas viudas 2. ¡ un pantalón dé paño. - J D. Andrés'!Pcr¿zG¿rrt¡ca 4. D. Santiago Fernandez</t>
  </si>
  <si>
    <t>ManudefPjfar y Doña</t>
  </si>
  <si>
    <t>D.; F. R: una. ■ ' Dia 1$, Jp. jG.vE- íU.n capote pardo . usado/ Doña Joaquina González 4 camisas. Doña ManudefPjfar y Doña,Josefa Doz; y*Aguírre á*. topñajua-r na Reboles una. La Éxcpia. Sra.* marquesa, de Vilíanjanca 200 pares de .calcetas. ; : . /; - Dia 20. Un eclesiástico 2 camisas. La Excma. Sra.</t>
  </si>
  <si>
    <t>ManueI</t>
  </si>
  <si>
    <t>infante Don * Pedro, a cuenta de poo rs. (por una 'Vez.*...a.^»^.........^.a......&gt;VB(a9V ¡ x ^.o. D. ManueI,Francisco, de Goyri, por una vez..............w ...j500% D. Gabriel de Sampelayo, ¡lO.**«•»»»*.« • v» •'*fV* t• Tf; 2000. Calixto Gutiérrez, á cuenta de 3,6o;T^.por,-3iiia.&gt;vez.;.</t>
  </si>
  <si>
    <t>Manueia Sáenz de Tejada</t>
  </si>
  <si>
    <t>vn. — ■■ ;v —■ —tt —■ 72 D. Beltran Casaux, padre é hijos.......... ........ Barcelona.... 300 900 Doña Manueia Saenz de Tejada...................... Madrid........ 500 3° 4 Rafael.Medina y Lafita.......... ,..... .............. . Málaga........ 390 1623 D. Ramón de Sta. Cruz y Gil........ ...............</t>
  </si>
  <si>
    <t>Manuel Antonio</t>
  </si>
  <si>
    <t>adrid, presentó á su nombre , ai de su muger Doña María Cecilia deMéndilibar, al de ; , sus j hijos D. Manuel Antonio ¿y :P. Xino¡ de i * Campos4 y.al ¡del Sr, P. Manuel de;Estrada&gt;, juez r { - u -mayor, de Vizcaya;, aco pares deeortesdebotas ¡ •• ■'&gt;{ ' para'uso ^de;Ia tropas ni ¿írni 5 »c 1¿I :</t>
  </si>
  <si>
    <t>Manuel María</t>
  </si>
  <si>
    <t>13,424 tá. en venta,-y 4&amp;° tetd** Quien quisiere hacer , postura, lo executará por la escribanía d« D. Manuel María. Valyerde. Por providencia del barón del Solar de Espinosa, subdelegado en el departamento de Xerez de los Caballeros del juez comisionado regio en la diócesi de Badajoz, se ha se</t>
  </si>
  <si>
    <t>...........! GádiZii. 5 00 ?7.4 D. Josef Joaquin 'López.......... ...A....y/ Madrid....:.. ICOO 106 D. Manuel María dé‘ Qyáiiarté.^. A A AAi/.V.A. A''0Tudelá‘. 'I'5óo 153 Sres. Valero Andreu y MárzolA.A...AAA.4..... ' Valencia..... • 5 óo *°5 3 Doña Gertrudis dé Sálás' Calderón;; A, A. A; Ai A Mad</t>
  </si>
  <si>
    <t>Manuel Martín</t>
  </si>
  <si>
    <t>....... 60. Feliciano García , 20 id. por agosto................. ............................. 20. D. Manuel Martin, presbítero, 20 id; por 3 meses..................... 60. D„ Josef Manovel, 20 id. por 2 id............ .................................. 40. Antonio Gueimonde , sirviente, 15 id.</t>
  </si>
  <si>
    <t>Manuel Mateo</t>
  </si>
  <si>
    <t>engua vascongada, tener el título de S. Casiano, dirigir sus memoriales á manos de los comisionados D. Manuel Mateo de.Eguia y D. Francisco Antonio de Ibarreche para el dia 6 de febrero próximo, y presentarse para el 15 del mismo mes , en qué se dará principio al examen de. los opositores. En; la</t>
  </si>
  <si>
    <t>Manuel Salvador</t>
  </si>
  <si>
    <t>..... .................. 500. D. Leonardo Galvez &gt; ciru jano de cámara de S, M., por una vez. 3000. D. Manuel Salvador,,capellán, del tea! colegio, de Santa Isabel, par uoa 1200. D. Antonio EstevanezdeiCe^los* contador de fragata, á cuen,v ¿tarde Ó4Q .rs,* .por, una. vez...í... •w.,«.»fá¡ ¿«.». »»</t>
  </si>
  <si>
    <t>Manuel'Fernández</t>
  </si>
  <si>
    <t>zpeleta. Ganaron el premio extraordinario dé instrucción religiosa los caballeros seminarista mayor D. Manuel'Fernández^ géfé «Je sa^a O* Manuel de la Cámara , seminarista DU Manuel Entrambasaguás, géfe de sala D. Josef 'Ramón Fernandez , gefe de^ trozo DvBonifacid’ Olí^éneia , seminarista D. Frah1</t>
  </si>
  <si>
    <t>Manuel'Segundó'Martínez</t>
  </si>
  <si>
    <t>........... Má laga....... 3 00 : 548 D. Pedro Rodríguez d,e la BuHa,....... Madrid.....i. 360 3039 D. Manuel'Segundó'Martínez'. Madrid...-.^.. yoo 587 D. Felipe Martíñe'z'de 'Viergol. Madrid,..;... 6bo 39 2 D. Josef de Irriberri y oidor; Coruña;...... : 300 2145 D. Leopoldo de San Vicente y Godoy.» • • •</t>
  </si>
  <si>
    <t>Manuel-Entrambasaguas</t>
  </si>
  <si>
    <t>tería de Soriaf seminaristas D. Josef María Carrillo D - Eugénio Zuíoaga i D¿ t Félix Pa-¿ lacios &gt; D. Manuel-Entrambasaguas, D. Pedro Geridéja, D. Josef Manuel del Valle, D. Josef María Bassoco^ D. JoaquinDsés , D. Joaquín Galdiano, D. Josef María Baquedago, y D. Francisco Xavier de Ezpeleta. Ganaron e</t>
  </si>
  <si>
    <t>Manuel-Hidalgo</t>
  </si>
  <si>
    <t>de Cruzada., * 5 qo i ,f&gt; V q rs. por utia vez , y 732 rs.- por 4 meses a. 6-diarios...... 1232. ? D. Manuel-Hidalgo, oficial de la&lt; secretaría y contaduría del Monte pió de reales oficinas, por id- a 2 rs. id................. ...... Ó2» D. Josef Mendez Rodríguez, platero de oro, por id. á un: r</t>
  </si>
  <si>
    <t>Manuel-Vidal</t>
  </si>
  <si>
    <t>tonio Santiago 'Ulano, D. Juan: Pedro Zerpa'p D. Francisco Alvarez de Labraría, D. Juan Tornáguera, D. Manuel-Vidal; D. Bernardo Ansoategui, D. Antoni© Cruz; y á D. Manuel Ribera, comandante del cuerpo de maestranza establecida en la fortaleza, yD. Francisco Cottia , capitán de dicho cuerpo de</t>
  </si>
  <si>
    <t>Manuela</t>
  </si>
  <si>
    <t>¿• : -l • ' D. JoíHf&amp;lSafr^'tí. 1' Sk. tf ry D. Esteban Guérrérob6.t \ .1 ¡ -■ D. J* A. 4. *c ^ ! l Doña Manuela 4gúado -36 ^araa dé D, N. 2. .tienzo. v - • &gt; S&amp;eontirtúar&amp;</t>
  </si>
  <si>
    <t>Manuela Alonso</t>
  </si>
  <si>
    <t>as nuevas. Las damas de la Excma. Sra. duquesa de AÍ&gt;rañtes' 25 camisas nuevas y 9 libras de hilas. Doña Manuela Alonso 4 camisas nuevas, y. 2 algo ( .usadas^ * P. Cr'^robal de Guemes, agente de negocios de Inedias , 6 camisas nuevas. . ..... D. Pedro Mopfort y Viérgol 6 id, í D. An|onio Ruibambá 2</t>
  </si>
  <si>
    <t>Manuela Ámedigo</t>
  </si>
  <si>
    <t>T. y C. 2 d$ coruña y 2 pares de calcetas. Doña Juana Lacroix 6 camisas. Las señoritas Cerdañes 4. Doña Manuela Ámedigo una de coruña y un par de medias. Octubre i.° María y Tomasa, criadas de servir, una camisa y un pac de, calcetas.,Doña Vitoria Camarero una camisa. D. Pedro García de Lia-, nps 2</t>
  </si>
  <si>
    <t>Manuela Carrasco</t>
  </si>
  <si>
    <t>............................ 300, D. Francisco Lozano, fiel segundo de la Renta del tabaco, id. 40. Doña Manuela Carrasco, sirviente, id......................................... 100. Doña Francisca Yarto, sirviente, id............................................. 100. Doña Sinforiana Alvarez , sirvie</t>
  </si>
  <si>
    <t>Manuela Cevallos</t>
  </si>
  <si>
    <t>za..... 500 660 D. Francisco Antonio Abadía........................... Madrid....... icoo 1839 Sra, Doña Manuela Cevallos............................. Zaragoza..... 300 1084 Doña Angela de Galarza y compañía............. Madrid....... 600 2088 Doña Josefa Cebrian y Pizarro............. .......... Cád</t>
  </si>
  <si>
    <t>Manuela de Acha y Mandojana, María</t>
  </si>
  <si>
    <t>María Manuela de Acha y Mandojana</t>
  </si>
  <si>
    <t>Barcelona.... 3Ó0 1602 Doña Josefa de Urbieta.............,,........... . Bilbao......... 500 2260 Doña María Manuela de Acha y Mandojana... Bilbao........ ■ 500 52 D. Josef García y Ponsich.................... . Barcelona.... Óoo 2269 D. Domingo Fernando de Ibarra........ ............ Bilbao......... 300 1856 D. Jo</t>
  </si>
  <si>
    <t>Manuela de Corres</t>
  </si>
  <si>
    <t>Cuevas, id.......... 160. D. Josef Díaz, id......... ................................ ......... 20. Doña Manuela de Corres, en intereses de acciones, por una vez. ioooo. r Un religioso de la Merced calzada de esta corte, id..................... . 366. D. Mariano de la Presa Vivando, administrador dei</t>
  </si>
  <si>
    <t>Manuela de Cosío, María</t>
  </si>
  <si>
    <t>María Manuela de Cosío</t>
  </si>
  <si>
    <t>ra una camisa. Una niña de 10 años una. Doña María Tomasa Aíarcon 6. La Sra. marquesa de Perales 6. Doña María Manuela de Cosío una. Dia 3. Doña Mariana y Doña Florentina Fernandez del Campo 4 camisas La congregación de naturales y originarios de la provincia de Toledo 50 ponchos de paño pardo. Dia 4. D. J</t>
  </si>
  <si>
    <t>Manuela de Rueda y Haedo</t>
  </si>
  <si>
    <t>nto, armados con galón de seda, presilla ^y escarapela , y 60 para sóldados, armados con hiladiilo. Doña Manuela de Rueda y Haedo 594 docenas de botones de todas clases, 8 golas y 3 hebillas de cinturón. Dia itT. D. Bernardino Gómez 6 camisas de coruña. Un incógnito 6 de coruña fina. D. Lorenzo Cisneros 6 pa</t>
  </si>
  <si>
    <t>Manuela de Torres</t>
  </si>
  <si>
    <t>..... .......... . D. Francisco Eugenio Carrasco, por una vez................. ............... 2CO. Doña Manuela de Torres , id........ .......................... .......................... 66. D. Juan Miguel de Grijaíba, ayuda de cámara de S. M., en una boleta de casa real, id........................</t>
  </si>
  <si>
    <t>Manuela de Uiloa, María</t>
  </si>
  <si>
    <t>María Manuela de Uiloa</t>
  </si>
  <si>
    <t>diz.......... , 300 2203 Sres. Llam, Gay te y compañía...................... Coruña....... 300 1746 Doña María Manuela de Uiloa........................ Cádiz........ 500 950 D. Josef de Bustamente............. ..................... Madrid....... IODO c 59 D. Lnis Carrera..............v.....................</t>
  </si>
  <si>
    <t>Manuela Farinos</t>
  </si>
  <si>
    <t>Moreno 2. D. Josef Marchan, carpintero, un uniforme de paño blanco, 1 camisas y un par de calcetas. Doña Manuela Farinos 2 camisas. Dia ir. Doña María Sebastiana Gil una camisa., Varios vecinos de Torrejon de Ardoz lo siguiente: D. Francisco López Sanguino, alcalde, 2 camisas. Leandro Salazar, alcal</t>
  </si>
  <si>
    <t>Manuela Fernández de Avila, María</t>
  </si>
  <si>
    <t>María Manuela Fernández de Avila</t>
  </si>
  <si>
    <t>hilas. Doña Agustina Ramírez 2 libras id. Don A. G. 3 libras id. Doña Telesfora Mateo 3 libras id. Doña María Manuela Fernandez de Avila 2 iibras id. Doña María del Carmen de Velasco 2 libras de hilas, 2 de paños y 12 vendas con sus cabezales. Doña Cecilia de... 4 libras de hilas y 7 vendas. Las monjas Capuchinas d</t>
  </si>
  <si>
    <t>Manuela Gil, María</t>
  </si>
  <si>
    <t>María Manuela Gil</t>
  </si>
  <si>
    <t>f Una sirviente:;una¿ ; :f JD. JJdanuel Barrio 2. ,' * ■' \ i r (l Doña María Gertrudis.Támaró y $» Dona María Manuela Gil 4. criada María Bonilla A y 2 pares D. Josef Espinosa 6. - * de calcetas. Doña Tétesrora Mateo Perez 2‘ y 2 D. Baltasar Novales-2-camisas. \ * pares. 4e calcetas, y *' 1 ,r D; Júa</t>
  </si>
  <si>
    <t>Manuela González de Sena</t>
  </si>
  <si>
    <t>ral 6. Doña Juana de Abarrategui y Sagúes 6. Dia ir. Doña M. P. C. y una hermana 3 camisas. Dia 12. Doña Manuela González de Sena 6 camisas. Doña Joaquina Tobar y Yepes 5* AVISOS. Por providencia del tribunal del consulado de Cádiz, y escribanía de D. Melchor Nicolás Truxillo, se cita, llama y emplaza á qual</t>
  </si>
  <si>
    <t>Manuela Martín Pintado</t>
  </si>
  <si>
    <t>....... 6o. D. Francisco Calleja González, id............ ............. ...................... 200. Doña Manuela Martin Pintado, sirviente, en intereses de vales dei8oo,id......................... ........................ . .......................... 180 17. D. Domingo B ay le , id........... .............</t>
  </si>
  <si>
    <t>Manuela Martínez Carranza</t>
  </si>
  <si>
    <t>Francisca Ramirez una. una. libra de hilas. Doña Joaquina Blanco una. D. Mariano Blanco 6 camisas. Doña Manuela Martínez Carranza 6* D. Félix Manzaneda 6. Doña Isabel Ilarranza 2. D. Rosendo Saturío 2. D. J. B. 3. Doña Micaela Fourdiniez y sus dos D. Agustín Sanz 2. hijas 4. D. J. Q. 2. D. Josef de la Torre</t>
  </si>
  <si>
    <t>Manuela Miralles y Real</t>
  </si>
  <si>
    <t>a uno......... ........ 16. D. Francisco Fernandez, quinquillero, 20 rs. cada mes............ . 20. Doña Manuela Miralles y Real, 120 rs. mensuales...... ............... 120. D. Diego de Cañas, oficial de la contaduría de pósitos, 7 5 rs. mensuales.......................... ............... .................</t>
  </si>
  <si>
    <t>Manuela Moron</t>
  </si>
  <si>
    <t>ta deCiaran 300* j D. Antonio Fuentes Lopéz 60. D.í Pedro Nalda 240/ : ,.. D. Mariano Sancho, 100., Doña Manuela Moron 160. ' £ : D. Custodio Alcalde.y su hijo Don D. Antonio Ramón Gome? 60. Sebastian 4537 rs. 5 mrs. en vafói D. Ramón de Angulo 3©..... - , reales. D-1 Ramón de Basualdo 640a «• Dos</t>
  </si>
  <si>
    <t>Manuela Motiet</t>
  </si>
  <si>
    <t>OO 1730 D, Julián Negrete...................................i....... . Cádi*....... ...» 10000 2450 Doña Manuela Motiet,.y .Pipeda***.*.**/* w. v.wwy-' Zaragoza..*.. joop 544 Doña María del Pilar Lafuentey Lozano.,;.», Madrid....;*. í 39? 1714 D. Ignacio Esteves yMatutev*,'-.;..-;..,.:.,»^, C,adiz.</t>
  </si>
  <si>
    <t>Manuela Navarrete, María</t>
  </si>
  <si>
    <t>María Manuela Navarrete</t>
  </si>
  <si>
    <t>.............. 60. D. Francisco Acosta, vidriero de S. M., id................................ IOCO. Doña María Manuela Navarrete y D. Felipe de Baños, id........ 16000. D. luán Laguna Rodríguez, un vale real, id............................. 2322. J. Y., id.... ..................... ;............................</t>
  </si>
  <si>
    <t>Manuela Nieto del Campo</t>
  </si>
  <si>
    <t>. Manuel de Gandasegui, director de Filipinas, 12 finas. D. Ramón Mazorra 4 Huevas. Don C. V. 4 id. Doña Manuela Nieto del Campo 2 camisas y 6 pares de calcetas. Doña Teresa de la Cueva 2 camisas nuevas. D. Pedro Perez Plano 3 id* Doña Juana Meco, residente en Castilla la vieja, 2 id. Doña María Fernandez C</t>
  </si>
  <si>
    <t>Manuela Pozuelo</t>
  </si>
  <si>
    <t>id. 6000. Doña Josefa Garrido y Güejnes, id........... ........................... .......... 300. Doña Manuela Pozuelo, sirviente de la anterior, id..................... 120. Benita Barranco, id........................ 40. D. Josef Pizarro, secretario del consejo de Estado, en recibos de intereses</t>
  </si>
  <si>
    <t>Manuela Roca y Vasozabal</t>
  </si>
  <si>
    <t>ra capotes. Francisco Sánchez 2 camisas y un par de medias. D. Domingo Trota 2 camisas. D. F. M. 7. Doña Manuela Roca y Vasozabal 6. Dia 14. Doña Josefa Fierra 2 casacas , 2 chalecos , 2 pares de calzones de paño blanco, 2 corbatines, 2 camisas, 2 pares de botines, 2 sombreros, 2 pares de calcetas, 2 pares d</t>
  </si>
  <si>
    <t>Manuela Sánchez</t>
  </si>
  <si>
    <t>Dona Ana Ventura de Zubiaga 12 id. Doña Manuela Sánchez, jornalera , 2 y 6 pares de calcetas. camisas. Doña N. una casaca, una chupa y 2 Doña Josefa Perez Esíéban 6. cinturones. Doña Ramona Perez Esteban 6. D. M. B. 4 camisas y unas hi</t>
  </si>
  <si>
    <t>Manuela Serrano y Fuentenegro</t>
  </si>
  <si>
    <t>. 300* 5*84 D; Diego Larrea........... ................ ................... Madrid........ 600 5Í80 Doña Manuela Serrano y Fuentenegro.......... . Madrid..,...;.. 500^ 5 8 P. "\^ícente- i^.isel, *................ .. Madrid.... ...i.. 300 245 ^ ll. Fermín Funes*. •....... i........... ..i.,.. Zaragoza, 60 o22 5 7</t>
  </si>
  <si>
    <t>Manuela Vicenta de Mollinedo</t>
  </si>
  <si>
    <t>6 id. Los Sres. Sanche# y Légano 12 camisas en lugar de 24 anunciadas equivocadamente én el diario. Doña Manuela Vicenta de Mollinedo 12 nuevas. D. Silvestre de Abad y Apa</t>
  </si>
  <si>
    <t>Manuela Vidales</t>
  </si>
  <si>
    <t>taría del consejo de: Hacienda, por una vez......... ........................................ 6000. Doña Manuela Vidales , viuda; de Gastón, 'por sí , susfbijas y U dependiente...*................... ..................................... ................... 4000. D. Antonio Josef Mathé GH1, presbíte</t>
  </si>
  <si>
    <t>Manuela y Eugenia Ximenez y González</t>
  </si>
  <si>
    <t>.................. .................. . 269». Doña Juliana González, viuda, y sus hijas Doña María, Doña Manuela y Doña Eugenia Ximenez y González, id............. . 600. Miguel del Rei, botillero, id......................................................... . . f00. S. M., id................................................ .</t>
  </si>
  <si>
    <t>Manuela, María</t>
  </si>
  <si>
    <t>María Manuela</t>
  </si>
  <si>
    <t>...... . Bilbao, .i..... 600 Í92J 0. Antonio Noriega......... .................. . goza. • 300 1171 Doña María Manuela. Monfort y Berber,....... Zaragoza • •«•4 300 1182 0. Mariano Ribas........ ................ . . Barcelona.... 300 1868 D. Josef 0oz y Sahun........................... .....i..* Z</t>
  </si>
  <si>
    <t>Manueláe Qalaxsía</t>
  </si>
  <si>
    <t>... 3°® D*. 1VÍ at 1 a|¡t!Sb c!.. »*¡.t&gt; ». • • *A. • •• • •••a •: ¿ Al i ca htc,,« m*. $ ©o-, 1^94 D, Manueláe Qalaxsía..,...... .........309</t>
  </si>
  <si>
    <t>Manuelft</t>
  </si>
  <si>
    <t>acotyi y D. Mariano Quefol y Gabaneé. «' Gorveau-2. &gt;1‘üs ■ . ? !• Doña Magdalena dé Utida;2. • ; l Doña Manuelft^RámirO’d.'--y • 5 Doña N. 6. -c . - v íva’r-.u'it D. G. A. y U. 2¿• : -l • ' D. JoíHf&amp;lSafr^'tí. 1' Sk. tf ry D. Esteban Guérrérob6.t \ .1 ¡ -■ D. J* A. 4. *c ^ ! l Doña Manuela 4</t>
  </si>
  <si>
    <t>Manuel’Mii</t>
  </si>
  <si>
    <t>ntonio,Flqreüsá jf'Náda'! «*&lt;&gt; njercio , á 1 oo rs‘. mensuales por agestó:.... ............... IOO. D. Manuel’Mii^ndez, platero dé oró , póif '¿ígost6 á. 6 rs. mensuales... ..........................................i./..’............ . . 6 D. Vicente Ximenez 6p rs. por uña, vez, y 20 por agos</t>
  </si>
  <si>
    <t>Mánuetá</t>
  </si>
  <si>
    <t>~nué:l Gtltierrez, id ....•..... ~ ...•..•..•..••.. ,. .•... , .•.•••.•••••..•..•. ~........ 20~ •. Doña Mánuetá ~erreros de Tejada, id.:&lt;.•• ~ .•.... : .•,........... ~ ..•....•. ~· 1000. D. Antonio QrtÍz. de Zárate 4400 r~. 3.Q uales, y ~()OO id.. ~ ..•....• 1001).,,... p. Jo~qt;!in 'Ezque</t>
  </si>
  <si>
    <t>Manz de Moles, Manuel</t>
  </si>
  <si>
    <t>Manuel Manz de Moles</t>
  </si>
  <si>
    <t>. Manuel Sainz , id...;............ ........................... .....................i........ 500. D. Manuel Manz de Moles, en intereses de vales reales, íd...... 722. D. Josef Padrós , id.............................................. .......................... . 120. D. Nicolás Rodríguez, id.........</t>
  </si>
  <si>
    <t>Manzaneda, Félix</t>
  </si>
  <si>
    <t>Félix Manzaneda</t>
  </si>
  <si>
    <t>de hilas. Doña Joaquina Blanco una. D. Mariano Blanco 6 camisas. Doña Manuela Martínez Carranza 6* D. Félix Manzaneda 6. Doña Isabel Ilarranza 2. D. Rosendo Saturío 2. D. J. B. 3. Doña Micaela Fourdiniez y sus dos D. Agustín Sanz 2. hijas 4. D. J. Q. 2. D. Josef de la Torre 4. D. Pedro Arnaiz una</t>
  </si>
  <si>
    <t>Manzano, Manuel</t>
  </si>
  <si>
    <t>Manuel Manzano</t>
  </si>
  <si>
    <t>............. ..... . 10. D. Manuel Vicente Gaoua, en réditos de vales, id................... 180$. D. Manuel Manzano, id......................... ............................. ......... 40. D. Antonio Pomareda, tapicero de la casa Real, en una boleta y 1 fQ;rs. efectivos, id.....................</t>
  </si>
  <si>
    <t>Mapuel Pedrosa, Juan</t>
  </si>
  <si>
    <t>Juan Mapuel Pedrosa</t>
  </si>
  <si>
    <t>?. D. Leandro de Garavilla, id........................... .................................... 500. D. Juan Mapuel Pedrosa, id.......................................................... 400. D. Josef de Isla, en vales reales, id........... ..................................... 9300 io. Doña E. B.., id.</t>
  </si>
  <si>
    <t>Mar</t>
  </si>
  <si>
    <t>Números Loica en acciones. Nombres de los interesados. Comisionados. Rs. va. 1824 Doña Mar,ía Dolores Rodríguez Cabriada y Salinas.............................................................. Zaragoza..... 300 147 D. Josef Cámps y Serra, cornee.................. Valenc</t>
  </si>
  <si>
    <t>en vales reales , id.....................d......... b.......................&lt;dd.....id... 2265 *8. Doña Mar iaha Obregon , en .intereses, de vales de 18do y efectivo y »d.......................................................... ..................*.......... 300. D. F. N., id...........</t>
  </si>
  <si>
    <t>Marcela Caballero</t>
  </si>
  <si>
    <t>D. Francisco López Sanguino, alcalde, 2 camisas. Leandro Salazar, alcalde, 2. Ines Esteban López 4. Doña Marcela Caballero 3. La viuda de Sologuren, vecina de Alcalá, 2. Basiíia Aguado, viuda, una. Marta del Rincón, viuda , una camisa, un par de zapatos y un par de calcetas. D. Domingo de Calzada y Pa</t>
  </si>
  <si>
    <t>Marcelino Blanco, Pedro</t>
  </si>
  <si>
    <t>Pedro Marcelino Blanco</t>
  </si>
  <si>
    <t>6 pares de calcetas y 2 pares de zapatos. D. Miguel Antonio de Amandi 27 corbatines negros de seda. D. Pedro Marcelino Blanco 100 camisas de vivero para tambores. D. F. N. 2. Un capellán de un convento de monjas 2. Juan Hoy, zapatero , 5 pares de zapatos. Esteban Forcada, id. 8. D. F. N. 6 camisas. Don P</t>
  </si>
  <si>
    <t>acios El brigadier D. Antonio de Castilla 300 4585 rs. 22 mrs. en id. D. Juan de Mata Duque 1800 en D. Pedro Marcelino Blanco 45 2 j rs. efectos de, estado. .... 5/mrsi"enOíd. Doña María García Sánchez 40.' D. J. G. de Á. 1200 en cédulas. Doña Gila .Moreno 30. ; &lt;• D. Joaquín Solanas 90. . P, Pedro Rubio</t>
  </si>
  <si>
    <t>, también regidor, y D. Matías Bayo, diputado; D. Nicolás García Caballero, D. Juan Bautista Nieto, D. Pedro Marcelino Blanco , D. Miguel Martínez, D. Pedro Queipo de Llano, D. Juan Ruiz Dávila, D. Josef Bausá, D, Rafael Ricote, D. Josef Antonio CanosaD. Pablo Muñoz de la Vera y D. Miguel García Marín, d</t>
  </si>
  <si>
    <t>oquias de Madrid. D. Pedro Gorron de Cisneros, D. Esteban de la Torre, D. Nicolás García Caballero, D. Pedro Marcelino Blanco.</t>
  </si>
  <si>
    <t>Marcelino Calderón</t>
  </si>
  <si>
    <t>ra y D. Antonio los Cobos: en el de Málaga compañía al teniente de granaderos, graduado de capitán, D. Marcelino Calderón: en el de Ordenes Militares la tenencia coronela aL comandante del tercer batallón del de Soria D. Manuel Márquez: en el de voluntarios deCastilla la comandancia del tercer batall</t>
  </si>
  <si>
    <t>Marcelino Lom</t>
  </si>
  <si>
    <t>.Zaragoza...» I oeo 2130 Doña MSiríá Prado de Aparici.............'......... Zaragoza..... neo 2087 D. Marcelino Lom.........................../...... . Cádiz........... neo 3785 D. Pedro Bastarreche...;...... ............. Cádiz......... 600 3596 Sra. Viuda de Bengoa............. ..............</t>
  </si>
  <si>
    <t>Marcelino Pe, Luis</t>
  </si>
  <si>
    <t>Luis Marcelino Pe</t>
  </si>
  <si>
    <t>ió á éste solemne acto según la D. Mariano Alonso. fórmula contenida en dicha real provisión, ácuyó D. Luis Marcelino Pe- fin en la sala de acuerdo estaba preparado una efi— reira. gie de nuestro Señor Jesucristo con dos luces y ei D. Antonio Alcalá Ga-r libro de los santos evangelios, sobre el qual</t>
  </si>
  <si>
    <t>Marcelino Pereira, Luis</t>
  </si>
  <si>
    <t>Luis Marcelino Pereira</t>
  </si>
  <si>
    <t>s barrios del Amor de Dios, plazuela de S. Juan y Hospital general. Quartel de la Plaza. El alcaide D. Luis Marcelino Pereira hará las de los barrios de S. Gines, Santiago y Sto. Tomas. El regidor D. Julián Fuentes, S. Justo, Sta. Cruz y la Panadería. Quartel de S. Francisco. El alcalde D. Tomas Casanova</t>
  </si>
  <si>
    <t>Marcelino, Pedro</t>
  </si>
  <si>
    <t>Pedro Marcelino</t>
  </si>
  <si>
    <t>............. $00. D. Gregoriodeia Cruz ,&gt;por una vez D. Andrés Visur, por una vez 134994 •••, too. D. Pedro Marcelino* Blanco ^ corredor de cambios, por unayez. íóoco. D. Francisco del Busto, ayuda de la real furriera, por una vez. 300. * La marquesa de 'Palomares deDiieró én: vales reales.......</t>
  </si>
  <si>
    <t>Marcelo de Áyenza</t>
  </si>
  <si>
    <t>.... 1000 197 D. Pedro Cassou................................... ........ ... Alicante..... 300 5&amp;2 D. Marcelo de Áyenza...... . ... Madrid........ 300 3^1 D. Angel Ximenez de Diego................ i...... ... Cád iz......... . 300 2177 D. Pedro Hernández...................................... ... Co</t>
  </si>
  <si>
    <t>Marcelo de Ondarza</t>
  </si>
  <si>
    <t>as, por agosto á 20 rs. mensuales durante la guerra, 20. ' ; , D. Cárlos Mesmain, por id;, idv,&lt;2o. D. Marcelo de Ondarza, oficial' de la secretaría de Hacienda, por una vez 1100 rs. D. Ramón de Adurriaga, por id. 200. D. Pedro Madrid, por agosto á 2 rs. diarios ,62. i</t>
  </si>
  <si>
    <t>Marcelo de San Román</t>
  </si>
  <si>
    <t>...... 600 1844 D. Gerónimo Alvaro.......................................... Zaragoza..... 30a 190) D. Marcelo de San Román............ ................... Zaragoza..... 500 645 D. Josef Bartolomé Aguado.............................. Madrid....... 500 33 D. Jayme Nogues.................................</t>
  </si>
  <si>
    <t>Marcelo Naveiro y Ordoñez</t>
  </si>
  <si>
    <t>co de la Villa de Brea............. ................ 1 yegua torda de 6 años. D. N. N. por medio de D. Marcelo Naveiro y Ordoñez............ La Sra. condesa de Chinchón........ D. Josef Espinosa, gefe de escuadra.................................... ....... 2 La Justicia de Robledo Chávela, de una aprehensió</t>
  </si>
  <si>
    <t>Marcelo Qarcia</t>
  </si>
  <si>
    <t>Banco, por 6 meses desde agosto . . 500,rs. D. Mariano Ainza, agente de negocios, por id., 360 rs, D. Marcelo Qarcia , por agosto 120 rs. . D. Domingo Suarez, por id. , 20 rs. DvNicplas. Ggfcia r¡ por id. 30 rs., . D. Joaquín María de Zúrbano, oficial de la contaduría general de Propios y Arbitr</t>
  </si>
  <si>
    <t>Marcelo Tuasón, Juan</t>
  </si>
  <si>
    <t>Juan Marcelo Tuasón</t>
  </si>
  <si>
    <t>icial de h contaduría de cargo de Juros, por agosto á 30 rs. mensuales........... ............. 30. D. Juan Marcelo Tuasón, capitán de milicias en Manila» por id./ y i 60 rs. id................................... 60. D. Quintín Barands y Béjar, por id. á 40 rs. id................ . 40. Francisco Ferna</t>
  </si>
  <si>
    <t>Marcial Nazar</t>
  </si>
  <si>
    <t>nta en 1058 rs. en metálico, acuda á la escribanía de tabla y acuerdos del mbmo concejo, que exerce D. Marcial Nazar, én donde se les instruirá de las condiciones con que se ha de hacer el remate. Para el remate de una casa sita en la calle de Calatrava de esta corte, núm. 21,</t>
  </si>
  <si>
    <t>........... . 122. D. Pedro Sánchez Trapero, 8 id. por agosto...................... .......... 248. D. Marcial Nazar, escribano del honrado concejo de la Mesta, uno id. por 3 meses.................. .................... .............................. . Benito González Rio, uno id. por 2 meses...</t>
  </si>
  <si>
    <t>Marco y Carnicer, Manuel</t>
  </si>
  <si>
    <t>Manuel Marco y Carnicer</t>
  </si>
  <si>
    <t>0 pesos, creación de setiembre, con el núm. 44929, renovado á favor de D. Pablo Diez, en-? dosado á D. Manuel Marco y Carnicer, vecino de Borja; y habiéndose extraviado, se suplica á quien sepa su paradero se sirva entregarlo en dicha ciudad al referido Marco, ó en Madrid á D. Bartolomé Lozano, depositari</t>
  </si>
  <si>
    <t>Marechal, Pedro</t>
  </si>
  <si>
    <t>Pedro Marechal</t>
  </si>
  <si>
    <t>artífice de reloxería, para los que dan cuerda á los reloxes de Torre, y los hacen'de sqI; su autor D. Pedro Marechal, artífice reloxero en esta córte. Se 'hallará en"la* librería de la viuda de Ramos, carrera de S. Gerónimo,.de Cerro, portal de Man* guiteros, en el puesto del diario, plazuela de</t>
  </si>
  <si>
    <t>Mareen, Manuel</t>
  </si>
  <si>
    <t>Manuel Mareen</t>
  </si>
  <si>
    <t>l Centurión.............. JOZ^.S., 600 I751 D. Tomas Ruiz de Sorzano....... Cádiz • ••»i»- ^00 1883 D. Manuel Mareen.... . Zaragoza....* 500 1463 D. Josef Lizalde....................................... 3 00 2371 D. Mariano Osorio, capitán.......... . »•••••• . Zaragoza:,;...: 500: * ^ n D. Josef</t>
  </si>
  <si>
    <t>Maret</t>
  </si>
  <si>
    <t>á Burdeos el 10. - El príncipe de Neufchatel, Mr. Champagñi, ministro de negocios ex-v irangeros, y Mr. Maret, ministro secretario de estado, .han salido también en seguimiento.¡del Emperador. El mayordomo mayor, Duroc acompaña igualmente en estebviage á S. M. * No ha salido cierta! la no</t>
  </si>
  <si>
    <t>Margarita Cabrero</t>
  </si>
  <si>
    <t>an Gil de Arana 60, . * D.; £.; B. 1$. I D ña Justa Rutina de la Puente 20¿ D. Manuel Olivares 100. Doña Margarita Cabrero 10. . . .i D. Sebastian Casado 20. D. Francisco Ximenez Panlagua 40i D. Antonio Gay oso 10. D. M. F. A. 40, í D.. Antonio y D, Josef Zayas 100. Doña María «Carrascal 8q. 1, ; Doña</t>
  </si>
  <si>
    <t>Margarita Casanova</t>
  </si>
  <si>
    <t>D. Joaquín Solanas 90. . P, Pedro Rubio 2©. D. J. A. V. G. 960. D. Joaquín Ervias ioo.rs. en metá­ Doña Margarita Casanova, sirvienta, lico y po rs. 8 J mrs. en efectos de 128.. r estado» í : . .....r,' :■ D. Josef Ruiz 206.. D. Juan Bautista deCiaran 300* j D. Antonio Fuentes Lopéz 60. D.í Pedro Nald</t>
  </si>
  <si>
    <t>Margarita de Pereda</t>
  </si>
  <si>
    <t>ttlll Manuel Toirand , por una vez...................... ................... ............ jqo. / ’ 'Doña Margarita de Pereda , un vale de 150 pesos..................i... 2316 a. El cura párroco de.......... ............................. ..... ........ 400. D. Andrés Saenz Azofira, por-una vez*¿,...v....</t>
  </si>
  <si>
    <t>Marí</t>
  </si>
  <si>
    <t>....... 0 0 1601 Doña Josefa de Úrpieta.......... ....... ................ Bilbao....... .. .390 60 Doña Marí^ Joaquina de Castelíarnau........... Barcelona.... 3Ó0 1602 Doña Josefa de Urbieta.............,,........... . Bilbao......... 500 2260 Doña María Manuela de Acha y Mandojana... B</t>
  </si>
  <si>
    <t>Mari, Antonio</t>
  </si>
  <si>
    <t>Antonio Mari</t>
  </si>
  <si>
    <t>130. pesos de r. de Septiembre Núm. 400911. endosado por D. J$an Bertibin, de Madrid^ d favor .ide D, Antonio Mari a, Rodriguez \ vecino ¿dé ' 'Xerez de la Frontera : se suplica que ¡si llegase á mano'de alguno, lo entregue á ' Ó? Francisco Vigne jn calle Francos, CON SUPERIOR PERMISO. EÑ LA I</t>
  </si>
  <si>
    <t>María' Concepción del Valle</t>
  </si>
  <si>
    <t>.......... . Madrid....... IOOO 434 D. Josef Garay,.,. • ......... *...... Santander.... IOOO 205,4 Doña María' Concepción del Valle............... 300 1576 D. Benito y D. Josef de Murga , de Castrourdiales........................ Bilbao........ 3 00 2314 D. Isidoro de Angulo.................. ............. Cád</t>
  </si>
  <si>
    <t>María' Leama y Seco</t>
  </si>
  <si>
    <t>12. D. Juan de Madrid 6. .D, Antonio Sanz Ruiz 2. Doña Pascuala de la Plaza una. Doña :M. A. S. 12. Doña María' Leama y Seco;£&gt; s; A \ D* Ántonip Pereira 5. ,r ‘Doña Maríá) Nidolasa de; Arquero.s 4. D. Fernando Martínez de Viérgol 18. Doña Rosa Ruiz y Aguilar una. Doña Teresa Rodríguez 2. D. Josef del C</t>
  </si>
  <si>
    <t>María-fialvatori, Felipe</t>
  </si>
  <si>
    <t>Felipe María-fialvatori</t>
  </si>
  <si>
    <t>convento de las capuchinas de Santa Clara-de la ciúdad de Castelo , escrita en idioma italiano por D. Felipe María-fialvatori, presbítero, traducida al castellano. La heroicidad á que llegó esta sierva de Dios en la práctica de las virtudes, y su admirable resignación á la voluntad divina en los imponder</t>
  </si>
  <si>
    <t>María-la</t>
  </si>
  <si>
    <t>m y Eduardo vi su hijo: el restablecimiento de la fe católica en aquel reino en tiempo de la' Reina Doña María-la reversión al cisma de lá Reina Doña Isabel ,hija del mismo Hénrique vili ; y la prisión y muerte de María, Keina de Escocia, por mandado de Isabel: un tomo en 4.0-l»Poésc» sagrada</t>
  </si>
  <si>
    <t>María-Margarita Llprde</t>
  </si>
  <si>
    <t>dez una ¿ámrsa. D. Ramón'Prieto y Ortega 12. D. Jacebo Obispó, una. / Btyñi Fyancíica Márquez una i Doña María-Margarita Llprde 2l 4 D. Juan Antonio Gironda 2* D. Francisco .Antonio de Rivacobay D. Manuel «de íaHóz 2. Gdrvea una silla para caballo y i Dtejiiín «Matméi Lopéz-una. sables. r: D. Juan Colomer</t>
  </si>
  <si>
    <t>Mariana Obregon</t>
  </si>
  <si>
    <t>lez 6," ' gles , 12. \ Doña Ines Martínez una. D. Antonio Nuñez 2. D. Nicolás Lamiel y Venegas 4. ' Doña Mariana Obregon 3 libras de D. Manuel de Ureta 4. hilas y6;pánit0s. ; Doña B. A. una-. D. Diego Lamón, ingles, 2 camisas. Doña María Guerra 2 camisas. Se continuará.</t>
  </si>
  <si>
    <t>Mariana y Florentina Fernández del Campo</t>
  </si>
  <si>
    <t>Doña María Tomasa Aíarcon 6. La Sra. marquesa de Perales 6. Doña María Manuela de Cosío una. Dia 3. Doña Mariana y Doña Florentina Fernandez del Campo 4 camisas La congregación de naturales y originarios de la provincia de Toledo 50 ponchos de paño pardo. Dia 4. D. J. P. C. 2 camisas y 11 varas y quarta de barragan de Cuenca. La</t>
  </si>
  <si>
    <t>Mariano</t>
  </si>
  <si>
    <t>id 300 *3?7 D, Juan Blot............................ .......................... Valencia1 3°° j873- D. Mariano de.Lucas y Arcayne............ . Zaragoza1 . . 500 1954 D. Jacinto Uria y Nafarrondo......................... taragoza 300 2402 D. Pedro Melendez........................... .........</t>
  </si>
  <si>
    <t>elona...; 600 742 D. Josef Agustin de.Larramendi............... Madrid...................■ 500 *182 D. Mariano ¿Romea.y Bayona.....Alicante...... 500 901 D--Antonio de Palacio......... ........................ Madrid./..;. 300 1790 D. Domingo Ruíz Duran.,.•• ■ ■ • •• • •» Cádiz:.;......; o</t>
  </si>
  <si>
    <t>Los señores D. Mariano ^Luís de TJrquijo y D. $edro Cevallos fueron presentados á"S. M. en calidad de consejeros de Estado; y S. M. conferenció largo rato con ellos sobre los negocios de España. En segu</t>
  </si>
  <si>
    <t>rimera sesión, bjaxo la. presidencia 'del señor v IX Miguel de Azanza, ministro de Hacienda. El Sr. D. Mariano ‘ Luis de Urquijo, consejero de Estado, y D. Antonio Ranz Romanillos^ del consejo supremo de Hacienda, "han desempeñado las funciones de secretarios. La asamblea, después de haber</t>
  </si>
  <si>
    <t>Mariano A'lvi-rez</t>
  </si>
  <si>
    <t>el puerto. 13 de dicho. Por l is noticias que el b ig'idrer y comandante general d:e la- banguardia D. Mariano A'lvi-rez , ha comunicado1 con fecha de 1 1 del que corre a esta Junta suprema , se conocerá el buen éjíño de uretrasarmas , y Ia9 fundadas esperanzan que tañemos de destruir’ pronto al ene</t>
  </si>
  <si>
    <t>Mariano Aguirre</t>
  </si>
  <si>
    <t>......... 50. Vicente Diaz, 6 id. por agosto.................. ................................. 6. D. Mariano Aguirre, músico de las Descalzas reales, 20 id. id. 20. Datnaso González, 20 id. id.......................................................... 20. D. Cenon Alonso, del consejo de Indias, 1</t>
  </si>
  <si>
    <t>Mariano Ainza</t>
  </si>
  <si>
    <t>por una vez 20© rsi D. Pedro Pauca, caxero jubilado del Banco, por 6 meses desde agosto . . 500,rs. D. Mariano Ainza, agente de negocios, por id., 360 rs, D. Marcelo Qarcia , por agosto 120 rs. . D. Domingo Suarez, por id. , 20 rs. DvNicplas. Ggfcia r¡ por id. 30 rs., . D. Joaquín María de Zúrba</t>
  </si>
  <si>
    <t>Mariano Alonso</t>
  </si>
  <si>
    <t>la callé de las Platerías de esta corte, núm. 7, manz. 417, tasada en-66,588 rs., acuda ante el Sr D. Mariano Alonso, alcalde de casa y corte, por la escribanía de provincia de D. Miguel Josef García de la Madrid, en el término de 30 dias. : - • AVISOS. • ’ Noticia de los alcances que existen en</t>
  </si>
  <si>
    <t>tasada en 66588 rs., á la que se ha hecho postura en el todo de sU tasa en vales, acuda ante el Sr. D. Mariano Alonso ¿ alcalde de casa y corte, por la escribanía de provincia de D. Miguel Josef García de ia Madrid ; previniendo está señalado para su remate el dia 17 del presente. La casa sita en</t>
  </si>
  <si>
    <t>señalando 30 dias para la admisión de la puja del quarto. Quien quisiere hacerla, acuda ante el Sr. D. Mariano Alonso, alcalde de casa y corte, por la escribanía de provincia de D. Miguel Josef García de la Madrid, dentro del citado término contado desde el 7 del presente. Se ha mandado sacar á p</t>
  </si>
  <si>
    <t>Bernardo Diosdado, Carmen calzado , S. Luis y niñas de Xeganés. Quartel de S. Gerónimo. El alcalde D. Mariano Alonso hará la de los barrios de Buen-Suceso, Baronesas y Pinto. El regidor D. Nicolás de los Heros, barrios de la Cruz, Trinitarias y Jesús Nazareno. Quartel de Avapies. El alcalde D. M</t>
  </si>
  <si>
    <t>ento de todo quanto en ella se previene; y en dez. seguida se procedió á éste solemne acto según la D. Mariano Alonso. fórmula contenida en dicha real provisión, ácuyó D. Luis Marcelino Pe- fin en la sala de acuerdo estaba preparado una efi— reira. gie de nuestro Señor Jesucristo con dos luces y</t>
  </si>
  <si>
    <t>Mariano Altaoja</t>
  </si>
  <si>
    <t>Madrid 1500 1929 D. Tomas Arroyo............................................... Zaragoza. 300 1876 D. Mariano Altaoja............................................. Zaragoza. I jCO i68 Sr. Marques de Valdeolmos.............................. Valencia. IOOO 2173 Sr. Conde de Medina Contreras.........</t>
  </si>
  <si>
    <t>Mariano Blancas</t>
  </si>
  <si>
    <t>ia de los Sres. D. Pedro de Mora y Lomas', corregidor; D. Rafael de Reinalte, D. Juan de Castañedo, D. Mariano Blancas, D. Julián de Fuentes, regidores; Di Juan Josef Bringas, procurador general; D.Mateo Norzagarai, procurador personero; D. Juan Xaramillo, regidor; D. Diego del Rio, también regido</t>
  </si>
  <si>
    <t>Mariano Blanco</t>
  </si>
  <si>
    <t>..., 6co “&gt;■ 267 D. Jbsef María de Veladiéz...................... ........ Burgos....,*... 300 1866 D. Mariano Blanco........ ................................ . Zaragoza..... coo 239° D. Pedro Castillo, presbítero............................ Zaragoza..... 500 2179 D. Ramom Alsorre................</t>
  </si>
  <si>
    <t>Sánchez Badillo 2 id. y Doña Francisca Ramirez una. una. libra de hilas. Doña Joaquina Blanco una. D. Mariano Blanco 6 camisas. Doña Manuela Martínez Carranza 6* D. Félix Manzaneda 6. Doña Isabel Ilarranza 2. D. Rosendo Saturío 2. D. J. B. 3. Doña Micaela Fourdiniez y sus dos D. Agustín Sanz 2.</t>
  </si>
  <si>
    <t>Mariano Blas Garoz</t>
  </si>
  <si>
    <t>ños de su admirable ascensión, corroborada con bulas, decretos y privilegios, puesta en sonetos por D. Mariano Blas Garoz, al ver la devoción de Jos vecinos de Madrid.«.Camino de la vida pobre que va corriendo Napoleón, y huyendo los españoles para arruinarle, por el mismo autor.-«Descripción de los</t>
  </si>
  <si>
    <t>Mariano Buendica</t>
  </si>
  <si>
    <t>ii37 tes D. Vicente S. Pedro, D. Cosme Montanaro, D, Felipe Alvarez, y los cadetes D. Mariano Buendica, D. Tomas Monroi y D. Joaquín Clavijo, con la tropa, se reunieron, sin saber aquella determinación por haber estado algunos de ellos en la guardia, donde no era fácil separarse, y</t>
  </si>
  <si>
    <t>Mariano Cabañas</t>
  </si>
  <si>
    <t>Fregenal á D. Juan Antonio Delgado; y para el corregimiento de capa y espada de la ciudad de León á D. Mariano Cabañas. Habiendo cesado la comisión gubernativa de consolidación en sus funciones, deben en su consecuencia variarse las firmas con que se hallan autorizados los vá'tés reales, y salir e</t>
  </si>
  <si>
    <t>Mariano Clementeescribiente, Antonio</t>
  </si>
  <si>
    <t>Antonio Mariano Clementeescribiente</t>
  </si>
  <si>
    <t>.................... 366.. Manuel Perez, maestro, cerrajero , por agosto á 2 rs. diarios...... 62. D. Antonio Mariano Clementeescribiente pensionado de la secretaría de Gracia y Justicia, por medio año á real diario..... 183. D. Francisco Antonio Sainz,.por .una vez.............. ......... ,........... 5°°* D. Juan</t>
  </si>
  <si>
    <t>Mariano Cuesta</t>
  </si>
  <si>
    <t>ichos premios, y los obtuvieron , el primero por unanimidad de votos D. Ramón Escovar, y el‘segundo D. Mariano Cuesta.__ También se adjudicó á D. Manuel Nuñéz un exemplar del arte de la taquigrafía , eiiquadernado en tafilete, que dio el maestro de esta enseñanza D. Francisco de Paula Martí; y as</t>
  </si>
  <si>
    <t>Mariano de Auísa</t>
  </si>
  <si>
    <t>. : Doña María Teresa Briz; 203. ?; l D. Josef Fernandez 30,. D. Matías Gimo por sí y su muger 6&lt;&gt;. D. Mariano de Auísa 242. i). Josef García Alvarez 160, Doña Isabel Perez 90 rs. 8 mrs. y D. Manuel Martínez de Aedo 60* medio en efectos de estado. D. Pedro Hernaiz 60. Doña T. P., 160. D^ J. F. y'S.</t>
  </si>
  <si>
    <t>Mariano de Cerezo, Andrés</t>
  </si>
  <si>
    <t>Andrés Mariano de Cerezo</t>
  </si>
  <si>
    <t>...... . 1000 906 D. Josef de Urionagoena................................... Madrid....... loco 264 D. Andrés Mariano de Cerezo.............. ........... Burgos........ 500 597 Excmo. Sr. D. Vicente Joaquin de Osorio de Moscoso....... .................................................... . Madrid....... 5.0</t>
  </si>
  <si>
    <t>Mariano de Egea</t>
  </si>
  <si>
    <t>a.... 500 2105 D. Josef María Gadeyne.................................. . Cádiz.......... JOOO 1504 D. Mariano de Egea, tesorero general de rentas. Valencia..... 600 775 D. Juan Bautista Salazar......................... ......... Madrid....... 300 2305 R. P. Fr. Andrés Arguelles de S. Juan de Dios</t>
  </si>
  <si>
    <t>Números lote* de las en acciones. • Nombres de los Interesados. Comisionados. Rs. vn. 1305 D. Mariano de Egea, tesorero general de rentas.......... .................... ........................ ...i..................... .. Valencia........ 300 1317 D. Pedro Beveya, comte. y comisionado...</t>
  </si>
  <si>
    <t>Mariano de Ibarreta</t>
  </si>
  <si>
    <t>.. . Burgos • ¡ * * •*% 300 1015 D. Joaquín de Osma y Tricio............... . Madrid....... 300 498 D. Mariano de Ibarreta...... Bilbao • ••• »• 6oó .1772- Doña Isabel Bardalonga.............................. Cádiz.......... 300 1881 D. Antonio1 María Fernandpz ’de Herédi‘a , pres* .» b itero.........</t>
  </si>
  <si>
    <t>Mariano de la Presa Vivando</t>
  </si>
  <si>
    <t>r una vez. ioooo. r Un religioso de la Merced calzada de esta corte, id..................... . 366. D. Mariano de la Presa Vivando, administrador dei duque del Infantado en la villa de Barcience, id............................................ 1200, Un labrador de la provincia de Toledoen intereses de vales 1</t>
  </si>
  <si>
    <t>Mariano de Llanderal</t>
  </si>
  <si>
    <t>........................ I2t 22. D. Juan Manuel de Agreda, presbítero, uno id. ,por 2 meses.... 60. D. Mariano de Llanderal, tesorero del reino, 6 -id. por 6 meses. 1100. D- Juan.Pujalriu , del comercio, 3 id. por 2 meses................... 183. D. Josef de la Fuente , dependiente del anterior , 3 id.</t>
  </si>
  <si>
    <t>Mariano de Masguiarán, Juan</t>
  </si>
  <si>
    <t>Juan Mariano de Masguiarán</t>
  </si>
  <si>
    <t>rroco de S. Sebastian.. 300. I&gt;. Gregorio Mario, id. de S. Justo..... ...................... . 500. D, Juan Mariano de Masguiarán.................................... jco. Doña Micaela Luengo........................ ........... ............... 100. D. León de Aitolaguirre.......... ...........................</t>
  </si>
  <si>
    <t>Mariano de Santos, Benigno</t>
  </si>
  <si>
    <t>Benigno Mariano de Santos</t>
  </si>
  <si>
    <t>r- id. á 20 rs&lt; id........... 2QÍ , Doña María Narcisa Rodríguez, viuda, por id. á 30 rs, id....... D. Benigno Mariano de Santos, por id. á 60 rs. id........................ D. Francisco Dufoo, ministro honorario de la junta de Comercio y Moneda, por id. á 200 rs. id.................................... . •:</t>
  </si>
  <si>
    <t>Mariano de Zayas</t>
  </si>
  <si>
    <t>apreciado en 77,710 rs. Quien quisiere hacer postura, lo executará por la escribanía que desempeña D. Mariano de Zayas. Para pagó de acreedores del señor marques de Benavent , y en virtud de convenio celebrado con ellos, se vende una tasa sita en la ciudad de Barcelona, esquina á las calles de Esc</t>
  </si>
  <si>
    <t>Mariano Falco</t>
  </si>
  <si>
    <t>... .......... 24. D. Vicente González, 60 id. por agosto..................................... 6 o. D. Mariano Falco , 20 id. por 2 meses......................................... 40. D. Antonio Mendez, 20 id. por agosto........................................ 2 O. D. Manuel López y Marichavar, p</t>
  </si>
  <si>
    <t>Mariano Febrer</t>
  </si>
  <si>
    <t>son; á tenientes á los. subtenientes D. Juan de Gaíli Y'D. Ramón,Sanjurjo; á Subteniente, al cadete D. Mariano Febrer , y á; subteniente de bandera á: D. Josef Gumá, sargen—; to primero del primer batallón dé voluntarios dé Cataluña. En la gura dé Forasteros de este año, pág. 73, se equivocaron l</t>
  </si>
  <si>
    <t>Mariano Fontcuberta</t>
  </si>
  <si>
    <t>drid....... 1 foo 162 Sra. Condesa de Toreno................................ . Valencia..... 300 71 D. Mariano Fontcuberta........................ . Barcelona.... foo 1051 D. Vicente Gil y compañía................... .......... Madrid........ 6eo 138 D. Pascual Mora.............*......................</t>
  </si>
  <si>
    <t>Mariano García</t>
  </si>
  <si>
    <t>aestranza establecida en la fortaleza, grados,de teniente de milicias urbanas; A D. Carlos Baneti , Don Mariano García, D. Carlos Cheloni, subtenientes del nominado cuerpo de maestranza ; y á B. Isidro Castellano, abanderado de dicho cuerpo, grado de subteniente de milicias urbanas. ’:AD; Domingo'</t>
  </si>
  <si>
    <t>..................... ............................ ...................................... ;'2cu. ;r D. Mariano García, dependiente de la Lotería , por agostó á 26 rS. id..... ....................... ......................................................... i....... ......... 26. D. Salvador Socia</t>
  </si>
  <si>
    <t>Mariano García Cruz</t>
  </si>
  <si>
    <t>ía. D. Ignacio Ucelai, alcalde del barrio de id. D. Manuel Balanzategui, beneficiado de S. Lorenzo. D. Mariano García Cruz, alcalde del barrio de^la Huerta del Bayo. D. Juan Blesa, diputado eclesiástico de id. D. Mateo Qid , alcalde del barrio de Miralrio. D. Ramón de Victoria, del de S. Cayetano; D..</t>
  </si>
  <si>
    <t>Mariano García Zamora</t>
  </si>
  <si>
    <t>onen , nombró por comisarios para recibir y obsequiar estas tropas á los Sres: arcediano de Viilena D. Mariano García Zamora, DonJosef Angeler, capitán de navio de la real armada, D. Josef Hernández Ilenarejos, comisario de guerrá, y D* Francisco López dé Aguila^ regidor’</t>
  </si>
  <si>
    <t>Mariano Gariburu</t>
  </si>
  <si>
    <t>iente ^1..subteniente de granaderos D. Antonio Caire; á subteniente de granaderos, al de* fusileros D. Mariano Gariburu, y á subteniente de bandera al cadete 1L Rafael Camargo. En el regimiento provincial de dragones de Queretáro en Nueva-España se ha servido S. M. promover á coronel al capitán de</t>
  </si>
  <si>
    <t>Mariano González</t>
  </si>
  <si>
    <t>s, por id. á 20 id.... 20. D. Matías Zapater-, del comercio,* por 2 meses á ‘4o id.......¿.... '80. D. Mariano González ,*por agosto-á 20 rsi id‘..*.u..v..sí.)i.‘í..20. • D. Pedro Velasco., 20. Juan Manuel* Martinez , portero del archivo-de la Lotería, por agosto...... V..-..V...1.-.Í.1........ ...</t>
  </si>
  <si>
    <t>Mariano Ibargnen</t>
  </si>
  <si>
    <t>silio. D. Juan Manrique de Lara, diputado id. D Tomas Condé, eclesiástico, diputado de los Angeles. D. Mariano Ibargnen. D. Ventura Mandujo, eclesiástico, D. Francisco Escarlati, Don Angel Tadei, D. Ramón Sanjueso, secretario, diputación del barrio de Doña María de Aragón. D. Juan Soto, alcalde de</t>
  </si>
  <si>
    <t>Mariano Lagasca</t>
  </si>
  <si>
    <t>ncias auxiliares. ' *'•" ■ . ' ' .: ' : M'' ■ • Ultimamente , el profesor de materia médica vegetal D. Mariano Lagasca manifestará en un discurso la necesidad de los conocimientos botánicos para perfeccionar tan importante ramo del arte de curar, y las ventajas que resultarán de su estudio eñ un e</t>
  </si>
  <si>
    <t>Mariano Lendlnez</t>
  </si>
  <si>
    <t>l Penon de S. Lázaro; y para evitar ser cortado por la artillería enemigaa se retiró con el capitán D. Mariano Lendlnez, que</t>
  </si>
  <si>
    <t>Mariano López de Bustamante, Francisco</t>
  </si>
  <si>
    <t>Francisco Mariano López de Bustamante</t>
  </si>
  <si>
    <t>inúan los donativos y ofertax voluntarias que constan en el banco nacional de S. Carlos. Hí. ' Mrs. D. Francisco Mariano López de Bustamante,abogado del colegio, 62 rs. por agosto* á 2 rs. diarios....................................... 62. La Sra. condesa de Cifuentes, por agosto á 1® rs. mensuales.... 1000. D. Juan Fr</t>
  </si>
  <si>
    <t>Mariano Luis de IJrquíjo</t>
  </si>
  <si>
    <t>presidencia del Sr. D. Miguel Josef de Azanza, y desempeñando, las funciones de secretarios el Sr. D. Mariano Luis de IJrquíjo, consejero de Estado, y D. Antonio Ranz Romanillos, del supremo de Hacienda, se procedió á la verificación de los poderes de cada uno de sus miembros, y se leyó un decreto publica</t>
  </si>
  <si>
    <t>Mariano Luis de Urquijo</t>
  </si>
  <si>
    <t>Estado con la calidad de ministro refrende todos los actos: he venido en nombrar para este empleo i D. Mariano Luis de Urquijo, de mi consejo de Estado, en atención á $us buenos servicios, y demas calidades que concurren en su persona; 1q. que epmuuicQ á ese ministerio, previniéndole que</t>
  </si>
  <si>
    <t>17 del corriente, y firmadas por D. Josef Miguel de Azanza,Don Gonzalo O-Farrill, D. Manuel Romero, Don Mariano Luis de Urquijo, D. Pablo Arribas , y el conde de Cabarrus. Estos hombres ilusos, vendidos por ambición al enemigo, siguen en sus cartas el camino trillado ya de ponderar las ventajas que nos re</t>
  </si>
  <si>
    <t>Mariano Maella</t>
  </si>
  <si>
    <t>ete y veedores de viandas, los escuderos de la real casa, los ayudas de oratorio de ^S. MM. y A A , Don Mariano Maella, pintor de cámara , el director de la real fabrica de tapices y sus hijos, los porteros de damas, la real biblioteca.</t>
  </si>
  <si>
    <t>Mariano Malanco</t>
  </si>
  <si>
    <t>1500 1131 D. Manuel Palacin........ ....................................... Zaragoza..... 300 2425 D. Mariano Malanco............................................ Cádiz........... 600 2428 D. Pedro Matamoros y Pacheco....................... Cádiz........... 1500 222 D. Josef de Olaegui............</t>
  </si>
  <si>
    <t>Mariano March</t>
  </si>
  <si>
    <t>as. Doña Josefa del Saz 8. D. F. A. Ll. 3 . La Sra. marquesa de Pesadilla, condesa de Canillas, 24. D. Mariano March 140^ varas de paño negro catorceno y diez y ocheno. Dia 23. Doña Josefa Roselló 2 camisas de vivero nuevas, y su criada Vitoria Sánchez 1 de estopilla usada. Elíñarques de N. 50.</t>
  </si>
  <si>
    <t>Mariano Martí</t>
  </si>
  <si>
    <t>...................... 61. Josef Rigó , jardinero del duque del Infantado, 2 id. por 2 meses.* 122. D. Mariano Martí, abogado de los reales consejos, 500 rs. por</t>
  </si>
  <si>
    <t>Mariano Melgosa</t>
  </si>
  <si>
    <t>93° En Albacete,........ D. Mariano Melgosa. En Alicante.......... D. Juan Casou y compañía. En Avila............... D. Josef Piqueras Gómez. En Badajoz.......... D. Francisco Fernandez de la Peña y de San Miguel* En Barcel</t>
  </si>
  <si>
    <t>Mariano Niu</t>
  </si>
  <si>
    <t>ería de Jaén al sargento primero D. Melchor Mógrovejo; y en el dé voluntarios de Castilla ai cadete D. Mariano Niu.bó y Maura. En ei regimiento dé caballería del Infante se ha servido S. Mi conceder ; tenencia al alférez D. Andrés Miguel ; esta- resulta al portaestandarte D. Nicolás Coral; y e</t>
  </si>
  <si>
    <t>Mariano Ordoñez de Barraiqua</t>
  </si>
  <si>
    <t>id......... 3°° 545 D. Juan de Parada y Otazo............................. Madrid......... IOCO 497 D. Mariano Ordoñez de Barraiqua.................. Bilbao.......... 3c°o 978 D. Juan Lázaro................................... .............. Madrid......... 3°° 986 Sres. Zorrilla hermanos......... .............</t>
  </si>
  <si>
    <t>.. . 600 2068 D. Manuel Gallardo........................................... Cádiz.......... 300 496 D. Mariano Ordoñez de Barraiqua................. Bilbao......... 500 1980 D. Josef Francisco Mornau............................... Zaragoza..... 300 2011 Sr. Conde del Parque.....................................</t>
  </si>
  <si>
    <t>Mariano Osorio</t>
  </si>
  <si>
    <t>reen.... . Zaragoza....* 500 1463 D. Josef Lizalde....................................... 3 00 2371 D. Mariano Osorio, capitán.......... . »•••••• . Zaragoza:,;...: 500: * ^ n D. Josef Romero y Sequera... ., Cádiz. •••••■•, ICOO 3JJ 1841 Zaragoza...... 500 29 D. Josef Marugan............... .....</t>
  </si>
  <si>
    <t>Mariano Pinazo</t>
  </si>
  <si>
    <t>rtínez ^cirujatíó idittVii 12. Pascual Pasamontes, traginer&lt;xy por 2 meses á 60 rs; mensuales. 120. D. Mariano Pinazo, secret./rio■ del duque del Infantado, por agosto á 90*rs.* mensuales.k.y';ís;;v./....v.&gt;v.;.v.y.v.;;*.¿v.v..'..%;..‘..,á.v.;.;l' 99 .Antonio-de-Santos y ‘maestro- peluquéro^ id..</t>
  </si>
  <si>
    <t>Mariano Quefol y Gabaneé</t>
  </si>
  <si>
    <t>-átaelaRódriguez de VéíjtifDv D.JE D. 4. ■ ’! : - ra 2. • v-'} D. Francisco Antonio -de Rivacotyi y D. Mariano Quefol y Gabaneé. «' Gorveau-2. &gt;1‘üs ■ . ? !• Doña Magdalena dé Utida;2. • ; l Doña Manuelft^RámirO’d.'--y • 5 Doña N. 6. -c . - v íva’r-.u'it D. G. A. y U. 2¿• : -l • ' D. JoíHf&amp;lSafr^'tí. 1' Sk</t>
  </si>
  <si>
    <t>Mariano Rosell</t>
  </si>
  <si>
    <t>ga........ 500 1766 p. Domingo de Eras.................................... Cádiz.......... 500 1288 D. Mariano Rosell, corredor de cambios. Valencia..... 3 00 75.8 Francisco Martínez, de Hoz........................ Madrid........ 500 2025 D. Antonio Saenz.........................................</t>
  </si>
  <si>
    <t>Mariano Rufino González</t>
  </si>
  <si>
    <t>á bien restablecer en Tarifa la vara de alcalde mayor letrado, y se ha servido nombrar para ella á D. Mariano Rufino González. También ha nombrado S. M. para la vara de alcalde mayor de la villa de Fregenal á D. Juan Antonio Delgado; y para el corregimiento de capa y espada de la ciudad de León á D. Mari</t>
  </si>
  <si>
    <t>Mariano Ruiz</t>
  </si>
  <si>
    <t>acemos como hasta aqui á nuestros enemigos. Finalizado este acto, dispusieron el segundo comandante D. Mariano Ruiz, él sargento mayor D. Miguel de Laci, y demas oficiales del cuerpo, la bendición de una bandera , que por acuerdo de nuestro gefe el Excmo. Sr. Príncipe Pió (antes de su partida)</t>
  </si>
  <si>
    <t>Mariano San Juan</t>
  </si>
  <si>
    <t>-93 % El regidor D, Mariano San Juan, S. Antón , guardias Españolas y Salesas. Quartel de S. Martin. El alcalde D. Diego Gil Fernandez, barrio de los Angeles, plazuela de Moriana y Descalzas Reales. El regidor D. Ber</t>
  </si>
  <si>
    <t>Mariano Sancho</t>
  </si>
  <si>
    <t>Ruiz 206.. D. Juan Bautista deCiaran 300* j D. Antonio Fuentes Lopéz 60. D.í Pedro Nalda 240/ : ,.. D. Mariano Sancho, 100., Doña Manuela Moron 160. ' £ : D. Custodio Alcalde.y su hijo Don D. Antonio Ramón Gome? 60. Sebastian 4537 rs. 5 mrs. en vafói D. Ramón de Angulo 3©..... - , reales. D-1 Ram</t>
  </si>
  <si>
    <t>te, 48. D. Manuel García Serralde 2. La condesa de S. Rafael 36. D. Josef Ortega y sus dos hijas 2. D. Mariano Sancho, administrador de la fábrica de Valdemoro, 68 varas de paño pardo dieziocheno. La condesa de la Puebla, del Maestre 12 camisas. El Excmo. Sr. marques de Ariza 165 varas de paño ne</t>
  </si>
  <si>
    <t>Mariano Traggia, Domingo</t>
  </si>
  <si>
    <t>Domingo Mariano Traggia</t>
  </si>
  <si>
    <t>erto de Tarragona el convoi de tropas españolas que estaban en Mahon al mando del Excelentísimo Sr. D. Domingo Mariano Traggia, marques del Palacio, nombrado últimamente capitán general del principado. El regimiento de infantería de Reus, que venia también de Mahon, fue destacado desde alta mar el dia 21</t>
  </si>
  <si>
    <t>Mariano Zalles</t>
  </si>
  <si>
    <t>...... .............. 2 200. D. Nicolás de Zalles, conductor de caudales, por una vez...... 15 có. D. Mariano Zalles, por una vez................................................... 1500. D. Juan Daurris, del comercio de quincalla , por una vez........ IOCO. D. Juan Isidoro Perez, abogado del col</t>
  </si>
  <si>
    <t>Mariano, Rafael</t>
  </si>
  <si>
    <t>Rafael Mariano</t>
  </si>
  <si>
    <t>igadier D. Juan Josef Sarden, y 2 de Alcántara, al mando del teniente coronel, graduado de coronel, D. Rafael Mariano, y 6 piezas de artillería, baxo el mando del capitán D. Cayetano £ lengua. • i . SN LA IMPRENTA REAL.</t>
  </si>
  <si>
    <t>Marías Novella</t>
  </si>
  <si>
    <t>vez........... ............. 72°. D. Domingo Matías Saenz de Hermua, por uña vez........... . 400. D. Marías Novella , por una vez............ ............................... ........ 60. D. Miguel Cabrero, confitero, por.agosto á 20 rs. mensuales... 20. D. J uan Bautista de Goitia, interventor</t>
  </si>
  <si>
    <t>Maríi Aguilar, Manuel</t>
  </si>
  <si>
    <t>Manuel Maríi Aguilar</t>
  </si>
  <si>
    <t>Mro. Manuel Gil, vicepresidente de esta Junta Suprema, acompinido del secretario de la misma el Sr* D. Manuel Maríi Aguilar* Es tan conocida Ja amistad recíproca de esta Suprema Junta y de la nación británica, que no caos du da que su mediación ha influido podét osa mente en los generosos esfuerzos con</t>
  </si>
  <si>
    <t>Marín Valle, Jacinto</t>
  </si>
  <si>
    <t>Jacinto Marín Valle</t>
  </si>
  <si>
    <t>rs. id................ . 40. Francisco Fernandez, sirviente,, por 6 meses á 30 rs. mensuales. 180. D. Jacinto Marín Valle» casero general del Banco, por agosto á 4 rs. diarios.................... ............................i,.,....... 114. Dona Matea Cerrillo, por dos meses á un real diario - 61. D.</t>
  </si>
  <si>
    <t>Marín, Antonio</t>
  </si>
  <si>
    <t>Antonio Marín</t>
  </si>
  <si>
    <t>eferido comandante digno elogio de las tropas del regimiento de Granada y demas, y de los capitanes D. Antonio Marín y D. Juan Casanova, del teniente D. Francisco Cito, y del subteniente D. Juan de Arista, que rodeados por una partida de enemigos, se defendieron con solos 7</t>
  </si>
  <si>
    <t>Marín, Fernando</t>
  </si>
  <si>
    <t>Fernando Marín</t>
  </si>
  <si>
    <t>untos, sostenidos de la ventajosa posición que habian tomado en la altura de Samport. El comandante D. Fernando Marín ios rechazó vigorosamente hasta mui adentro de su propio territorio, sin pérdida alguna de nuestra parte. En esta facción dividió sus fuerzas en 3 colunas, de las quales 2 se diri</t>
  </si>
  <si>
    <t>tu hermano que te estima de corazón = Juan Antonio. Canfranc zG de octubre. Habiendo sabido el Sr. D. Fernando Marín que en la fandería y fábrica de hierro colado , que el enemigo tiene como á legua y media de nuestra frontera , se fabricaban ollas de campaña y otros útiles para el servicio de s</t>
  </si>
  <si>
    <t>Marín, Gregorio</t>
  </si>
  <si>
    <t>Gregorio Marín</t>
  </si>
  <si>
    <t>........ 153. Doña N., viuda, por una vez..................................... .............. 1000. D. Gregorio Marín, id...................................................................... 1500. D. Josef Tomas de Tercilla, administrador jubilado de la casa arbitrio de la nieve, id............</t>
  </si>
  <si>
    <t>e Santa Cruz. D Blas de Lera y Caño, cura de S. Pedro. D. Juan de Lera y Caño, cura de S. Salvador. D. Gregorio Marín, cura de S. Justo. D. Miguel de Olivan, vicario castrense. D. Miguel Perez, secretario de la diputación de S. Luis. D. Agustín López, diputado eclesiástico de id. D. Fernando Galá</t>
  </si>
  <si>
    <t>Marina, Antonio</t>
  </si>
  <si>
    <t>Antonio Marina</t>
  </si>
  <si>
    <t>4 4&gt;4 44 4 4;4 44-4 4 4 4 6a. D. Luis Antonio García, por 3 meses á 20 rs. mensuales........ „ 60. D. Antonio Marina, por 2 me§es á 8 rs. en cada uno......... ........ 16. D. Francisco Fernandez, quinquillero, 20 rs. cada mes............ . 20. Doña Manuela Miralles y Real, 120 rs. mensuales.....</t>
  </si>
  <si>
    <t>Maris</t>
  </si>
  <si>
    <t>aga..u*.vi ioóo '*3 r'í Dw Josef Luis de Torres.........¿..»‘;»»»»..il¿»» '* Bilbao».».... Joo 1029 Doña Maris? Amparo Gollig »„»;.n::¡;¿...... . Madrid.... »* • 600 ^55 D.- • Joséf* Bal actos íMádVidH»^ -jcio *015 DvFtíUiciscb de Bouligni........... Madrid '»».** 15 do 2117 D. Rafael Lópe</t>
  </si>
  <si>
    <t>Marliani, Carlos</t>
  </si>
  <si>
    <t>Carlos Marliani</t>
  </si>
  <si>
    <t>imero ai de -granaderos D. Josef Carrati y y' á --subtenientes á los cadetes -f). Francisco Meyer y D. Carlos Marliani: en el de Reding núm. 2.° á subteniente de granaderos ai de fusileros D. Gerónimo Netf: en el de WimpfFen á teniente al subteniente D. Víctor Troette: en el de Betschart á capitán</t>
  </si>
  <si>
    <t>Marqués y Espejo, Antonio</t>
  </si>
  <si>
    <t>Antonio Marqués y Espejo</t>
  </si>
  <si>
    <t>po político de la España, ó medicina preservativa de los males coi! que la contagia la Francia: por D. Antonio Marqués y Espejo, presbítero: un tomo en 1 2.0 Se hallará á § rs. en las librerías de Castillo y Quiroga ó Burguillos, y á 6 en Cádiz y Valencia en las de Pajares y de Mállen. GRABADO. Estampa nue</t>
  </si>
  <si>
    <t>Márquez, Manuel</t>
  </si>
  <si>
    <t>Manuel Márquez</t>
  </si>
  <si>
    <t>rón: en el de Ordenes Militares la tenencia coronela aL comandante del tercer batallón del de Soria D. Manuel Márquez: en el de voluntarios deCastilla la comandancia del tercer batallón al sargento mayor del de Mallorca, graduado de teniente coronel, ©/Angel Lana: en el de voluntarios de Estado c</t>
  </si>
  <si>
    <t>Marrqn</t>
  </si>
  <si>
    <t>ber sido por él, hubiera consumido la iglesia entera , y comunicádose á mas. de 30 casas contiguas. Mr. Marrqn , presidente del consistorio de París, miembro de la legión de Honor &amp;c., deseoso de ser el prjmero á( esparcir flores sobre el sepulcro de Mr. dé Bello] , acaba de;componer el ep</t>
  </si>
  <si>
    <t>Marrugat, Agustín</t>
  </si>
  <si>
    <t>Agustín Marrugat</t>
  </si>
  <si>
    <t>coronel, D.TDbmingo PiTe¿ : la de F enunciad o dé Voluntarios de Castilla al capitaíu del de Zamora D. Agustín Marrugat; y la del de Ñapóles al capitán del citado' inmemorial del Rei, graduado de teniente coronel , D. Joséf Nuñez de Haro. " É11 América. ' En el regimiento de infantería de Cartagena</t>
  </si>
  <si>
    <t>Marsclial, Francisco Xavier</t>
  </si>
  <si>
    <t>Francisco Xavier Marsclial</t>
  </si>
  <si>
    <t>aten y D. Josef de Preux; y en el de Reding, núm. 2.0, á igual empleo de granaderos al de fusileros D. Francisco Xavier Marsclial. ... ", VENTAS JÜDIdAIES. Por providencia del Lie. D. Jo-lef Flores Galan, subdelegado en el departa» mentó de Llerena en la diócesi de Badajoz, se ha señalado el dia 9 de mayo pr</t>
  </si>
  <si>
    <t>Marta de Echazarreta, Vicente</t>
  </si>
  <si>
    <t>Vicente Marta de Echazarreta</t>
  </si>
  <si>
    <t>l correo de 2 de mayo último remitió D.Francisco de Aranguren y Sobrado, residente en esta corte, á D. Vicente Marta de Echazarreta, en Bilbao, 13 vales de á 300 pesos y 2 de á 150, de la creácion de enero, nuins. 91375, 94259, 94767, 100513, 101696, 102010, 102034, 106851, 107347, 111775, 111891, 112850, 1245</t>
  </si>
  <si>
    <t>Marti, Juan</t>
  </si>
  <si>
    <t>Juan Marti</t>
  </si>
  <si>
    <t>cente Silvestre, médico consultor; D. SerapioSaviñac, pagador: se hallaban con destino en Hamburgo. D. Juan Marti, teniente coronel del regimiento de España; D. Josef Mar^ tin Echenique , comisario de guerra; D. Josef Suria, comisario de entradas de hospital: se hallaban con destino en Zeland</t>
  </si>
  <si>
    <t>Martí, Juan Ramón</t>
  </si>
  <si>
    <t>Juan Ramón Martí</t>
  </si>
  <si>
    <t>servido conferid la tenencia .coronela del regimiento de iníantéría de, España gt*tupiente coronel D. Juan Ramón Martí, comandante ¿el tercerffbatapon’dél de la Princesa':'y ‘en éf de Zaragoza compañía al ayudantes graduado de teniente coronel, D. Jos'efAntonio Cebollina ; ayudantía- al teniente d</t>
  </si>
  <si>
    <t>Martifiez, Ignacio Antonio</t>
  </si>
  <si>
    <t>Ignacio Antonio Martifiez</t>
  </si>
  <si>
    <t>ibero un caballo y 12 camisas nuevas. D. Ramón :Blas Ramírez 2 camisas id Doña Xa viera Garai 6 id. D. Ignacio Antonio Martifiez 6 id. Los Sres. Sanche# y Légano 12 camisas en lugar de 24 anunciadas equivocadamente én el diario. Doña Manuela Vicenta de Mollinedo 12 nuevas. D. Silvestre de Abad y Apa</t>
  </si>
  <si>
    <t>Martina Castro</t>
  </si>
  <si>
    <t>...... 7^ 1026 D. Plácido Ortiz de Eléialde.................. ‘Madrid..... . C .**N 637 Excma. Sra. Doña Martina Castro................... Madrid......... 300 1783 D. Josef González de Bernedo.............. Cádiz...... too 1900 D. Manuel González de Lobera.......... ....... ¿... Zaragoza..... 300</t>
  </si>
  <si>
    <t>Martina de Herrea y Ripa, María</t>
  </si>
  <si>
    <t>María Martina de Herrea y Ripa</t>
  </si>
  <si>
    <t>aragoza..... 3°o 1874 D. Fernando Polo y Monge.............................. Zaragoza..... 300 1757 Doña María Martina de Herrea y Ripa.......... Cádiz........... 300 1340 D. Juan Bautista Carrera................................... Valencia..... 1000 470 D. Miguel de Laca................................. .........</t>
  </si>
  <si>
    <t>Martina Gallego</t>
  </si>
  <si>
    <t>79: Rs. Mrs. Doña Martina Gallego, por una vez.............................. 40. D. J. M. G., id..............................................................3000. Doña-María González, viuda, id...................</t>
  </si>
  <si>
    <t>Martíñe'z'de, Felipe</t>
  </si>
  <si>
    <t>Felipe Martíñe'z'de</t>
  </si>
  <si>
    <t>guez d,e la BuHa,....... Madrid.....i. 360 3039 D. Manuel'Segundó'Martínez'. Madrid...-.^.. yoo 587 D. Felipe Martíñe'z'de 'Viergol. Madrid,..;... 6bo 39 2 D. Josef de Irriberri y oidor; Coruña;...... : 300 2145 D. Leopoldo de San Vicente y Godoy.» • • • iMI* Coruña...;.: foo 1964 D. Martin de Enseña.</t>
  </si>
  <si>
    <t>Martinengo, Rafael</t>
  </si>
  <si>
    <t>Rafael Martinengo</t>
  </si>
  <si>
    <t>. como- se verificó, la segunda- división del exército dé; Gaiíciái que^ manda el mariscal de campo D. Rafael Martinengo, compuesta; de los regimientos dé Navarra, de- línea, Na"po!ésv'Pontevedra, Segovia,; Betanzos, tercer vbatallon: ;de :Leon,3el dé ’ voluntarios. de la Victoria, el de tiradores,,</t>
  </si>
  <si>
    <t>Martínez Abad, Francisco</t>
  </si>
  <si>
    <t>Francisco Martínez Abad</t>
  </si>
  <si>
    <t>a, abad de Afligidos. P. D. Antonio Soto, abad de 5. Norberto. D. Josef Molina , diputado de Pinto. D. Francisco Martínez Abad, diputado eclesiástico de id. D. Juan Francisco Fernandez Haro , se** cretario. D. Saturnino Feal, diputado eclesiástico de S. Justo. Fr. Calixto Nuñez, abad de'S. Basilio. P. Jua</t>
  </si>
  <si>
    <t>Martínez Davina, Francisco</t>
  </si>
  <si>
    <t>Francisco Martínez Davina</t>
  </si>
  <si>
    <t>. ............... 200. Manuel Perez, oficial de confitéro, 5 id. por;2 id.................... . 10. D. Francisco Martínez Davina, 10 id. por f id............ ........... 50; Josef García-*, maestro-herrador, 30 id. por agosto,.,.,.............. 30. D. Pedro Antonio de la Ruá , 20 id. iá.............. .....</t>
  </si>
  <si>
    <t>Martínez de Aedo, Manuel</t>
  </si>
  <si>
    <t>Manuel Martínez de Aedo</t>
  </si>
  <si>
    <t>muger 6&lt;&gt;. D. Mariano de Auísa 242. i). Josef García Alvarez 160, Doña Isabel Perez 90 rs. 8 mrs. y D. Manuel Martínez de Aedo 60* medio en efectos de estado. D. Pedro Hernaiz 60. Doña T. P., 160. D^ J. F. y'S. 3P0 rsíiófmrs; ! Di Manuel Ruiz González y su muD. Antonio García 200. ger Doña Josefa López 20</t>
  </si>
  <si>
    <t>ijas 4. D. J. Q. 2. D. Josef de la Torre 4. D. Pedro Arnaiz una. Doña Isabel Andrea Huésterlíng 12. D. Manuel Martínez de Aedo y Do­ Doña Cándida Irueta, sirvienta, una. ña Bernarda Arnaiz una. Doña María Ramona deAguirre 100. Sres. Santibañez y Ximeno 20. Doña María del Pilar Martínez de Doña Saturnina Mexia</t>
  </si>
  <si>
    <t>Martinez de Aparicio, Luis</t>
  </si>
  <si>
    <t>Luis Martinez de Aparicio</t>
  </si>
  <si>
    <t>Sres. viuda de Ramiro y Mesa. En Sevilla......... /.... D. Josef María. Gómez. ■ En Soria......... D. Luis Martinez de Aparicio. En Toledo............... Sres. Chavarri y Pósadillo. ^ ■* En Vahnda......... Sres. D. Francisco Peirolon y compañía. En Valladolid.,.... D. Simón Durango.</t>
  </si>
  <si>
    <t>Martínez de Aparicio, Luis</t>
  </si>
  <si>
    <t>Luis Martínez de Aparicio</t>
  </si>
  <si>
    <t>. Srés. viuda de Ramiro y Mesa. En Sevilla.........[.... D. Josef María Gómez. En Soria.......... . D. Luis Martínez de Aparicio. En S. Ildefonso.... D. Vicente Fedeli. En Toledo.............. Sres. Chavarri y Posadillo. En Toro................ D. Josef Ligero. En Valencia.......... Sres. D. Francisco Peiro</t>
  </si>
  <si>
    <t>Martínez de Aparicio, Luís</t>
  </si>
  <si>
    <t>Luís Martínez de Aparicio</t>
  </si>
  <si>
    <t>via.,Sres., viuda de[Ramiro y Martin. £n Sevilla • ••••***• D. Josef María Gómez. ■u£n Soria....... D. Luís Martínez de Aparicio. _ £n Toledo..*..*........ Sres. Chavarri y Posadillo. £h Valencia............ Sres. D. Francisco Peirolon y compañía. n Valladolid...... ,D. Simón de Durango. Í fj^iaptora Du Jos</t>
  </si>
  <si>
    <t>Martínez de Ariza, Rafael</t>
  </si>
  <si>
    <t>Rafael Martínez de Ariza</t>
  </si>
  <si>
    <t>tos..... ...... ....................................................................... 500. E1 Sr. D. Rafael Martínez de Ariza, secretario del Rei nuestro Señor, en un libramiento de réditos de acciones del real empréstito, valor de 1000. D. Francisco de Irusta &gt; contador de rentas &lt;}e !a pro- ; vincia de</t>
  </si>
  <si>
    <t>Martínez de Haedo y Bernarda Arnaez, Manuel</t>
  </si>
  <si>
    <t>Manuel Martínez de Haedo y Bernarda Arnaez</t>
  </si>
  <si>
    <t>stopa. Doña María Bernarda Ortiz Guinea y Teran 4. Dia 24. D. Pedro Arnaez , presbítero, 2 camisas. D. Manuel Martínez de Haedo y Doña Bernarda Arnaez 2. D. Fernando Martínez de Viergol 18 de crea. Antonio Pascasio García, barrendero de las caballerizas de S. M., 6 de crea. Juan Romero, calle de la Paloma, 6. D. A. D. C. 3. Quat</t>
  </si>
  <si>
    <t>Martínez de Hermosiila, Juan</t>
  </si>
  <si>
    <t>Juan Martínez de Hermosiila</t>
  </si>
  <si>
    <t>eñanza de D. Juan Bautista Mas; uno por la señora baronesa de Antelia á esta última; 4 por el señor D. Juan Martínez de Hermosiila á las escuelas pias, y los restantes por la sociedad. Concluida lá repartición, el joven prdmiadi* D. Juan Ramírez recitó una letrilla dando graeias á nombre de todos süti compañe</t>
  </si>
  <si>
    <t>Martínez de MollineD, Gregorio</t>
  </si>
  <si>
    <t>Gregorio Martínez de MollineD</t>
  </si>
  <si>
    <t>. B. R. 12 camisas. D. Martin 4e Olazabal 4.. D. Juan López y sú muger 6. D. Juan Lumbreras uñá/' • D. Gregorio Martínez de MollineD. Santiago .Gandedó Pelaez .4. do 24. Doña María Poazoti y Pía 4. D. Francisco Asui 12. D. Juan de Madrid 6. .D, Antonio Sanz Ruiz 2. Doña Pascuala de la Plaza una. Doña :M. A. S.</t>
  </si>
  <si>
    <t>Martínez de Novales, Juan</t>
  </si>
  <si>
    <t>Juan Martínez de Novales</t>
  </si>
  <si>
    <t>comercio de joyería, por 5 meses hasta fin de diciembre á 6 rs. diarios durante la guerra, 918. ' ' D. Juan Martínez de Novales, contador del reino y secretario de sfi diputación, por una vez 3600. ' : &gt; &lt; /í D. Manuel Antonio Pereyra, por ahora 160 rs.K - " D. Matías del Arco, contador de Sisas, por agost</t>
  </si>
  <si>
    <t>Martínez de Torres, Julián</t>
  </si>
  <si>
    <t>Julián Martínez de Torres</t>
  </si>
  <si>
    <t>0 por 4 meses a 200 rs. cada uno............... ........................................... 1800. 5 D. Julián Martínez de Torres, contador de la Lotería, por agosto á 90 rs. mensuales..................... .................... ............................... 190. D. Manuel de Valenzuela, del consejo de Hacie</t>
  </si>
  <si>
    <t>Martínez de Vi, Ignacio</t>
  </si>
  <si>
    <t>Ignacio Martínez de Vi</t>
  </si>
  <si>
    <t>de Con- los ív y D. Fernando vii, los Serenísimos Setreras. ñores Infantas D. Cárlosy D. Antonio, y D. Ignacio Martínez de Vi- quanto se ha executado por el gobierno intru' Hela, so en estos reinos, así por la violencia con que D. Francisco Domenech. en todo se ha procedido, como por falta de D. Miguel Al</t>
  </si>
  <si>
    <t>Martínez de Viergol, Felipe</t>
  </si>
  <si>
    <t>Felipe Martínez de Viergol</t>
  </si>
  <si>
    <t>A Madrid.!..:/. 500 821 D. Manuel AlBüerne........’.7...............V..7. Madrid...'../. ' 300 589 D. Felipe Martínez de Viergol............... Madrid/.....'. 600 2279 Doña Gregoria de Larrari....A........ Bilbao..!.. ¿,. 500 7^3 D. Victoriano 'Matute ‘de Tejada,.:;: ...vAA,...- Aíadrid....... - 500 867 Do.</t>
  </si>
  <si>
    <t>........................................................................... Cádiz.......... 300 588 D. Felipe Martínez de Viergol........................ Madrid........ 000 1707 D. Juan Manuel de Peralta....,......................... Cádiz.......... 500 2150 D. Antonio González Viejo.........................</t>
  </si>
  <si>
    <t>Martínez de Viergol, Fernando</t>
  </si>
  <si>
    <t>Fernando Martínez de Viergol</t>
  </si>
  <si>
    <t>24. D. Pedro Arnaez , presbítero, 2 camisas. D. Manuel Martínez de Haedo y Doña Bernarda Arnaez 2. D. Fernando Martínez de Viergol 18 de crea. Antonio Pascasio García, barrendero de las caballerizas de S. M., 6 de crea. Juan Romero, calle de la Paloma, 6. D. A. D. C. 3. Quatro individuos de una comunidad de e</t>
  </si>
  <si>
    <t>...................... 20. D. Cenon Alonso, del consejo de Indias, 100 id. id................. ico. D. Fernando Martínez de Viergol, gefe de las casas de campo y jardines de S. M., 120 id. id................................................ 120, D. Luis Martinez de Viergol, oficial supernumerario de la secretar</t>
  </si>
  <si>
    <t>Martínez de Viérgol, Fernando</t>
  </si>
  <si>
    <t>Fernando Martínez de Viérgol</t>
  </si>
  <si>
    <t>Doña María' Leama y Seco;£&gt; s; A \ D* Ántonip Pereira 5. ,r ‘Doña Maríá) Nidolasa de; Arquero.s 4. D. Fernando Martínez de Viérgol 18. Doña Rosa Ruiz y Aguilar una. Doña Teresa Rodríguez 2. D. Josef del Corral 6. Doña Rosalía Santos ?.</t>
  </si>
  <si>
    <t>Martinez de Viergol, Luis</t>
  </si>
  <si>
    <t>Luis Martinez de Viergol</t>
  </si>
  <si>
    <t>casas de campo y jardines de S. M., 120 id. id................................................ 120, D. Luis Martinez de Viergol, oficial supernumerario de la secretaría de Estado-, 120 id. id......... ........ ............................ . 120. D. Manuel de Lope, oficial del Banco nacional, 20 id. por 5 m</t>
  </si>
  <si>
    <t>Martínez de VilleIa, Ignacio</t>
  </si>
  <si>
    <t>Ignacio Martínez de VilleIa</t>
  </si>
  <si>
    <t>drid á i.° de octubre de f8o8. = £l duque del Infantado. = D. Benito Arias. =s T). Tomas; Moyano.rs D, Ignacio Martínez de VilleIa. = D. Juan Antonio González Cárrilld.rr Yo D. Bartolomé Muñoz, secretario del Rei nuestro Señor, y sii éscribaño de cámara, la hice escribir por su mandado con acuerdo de los de.</t>
  </si>
  <si>
    <t>Martínez de Villéla, Ignacio</t>
  </si>
  <si>
    <t>Ignacio Martínez de Villéla</t>
  </si>
  <si>
    <t>fe «esta villa y por la escribanía del número de D. Ramón Garciá Ximenez. :-Por providencia dél S£. D. Ignacio Martínez de Villéla, del consejó de S. eh;eV real y supterno de'CastilIa, superintendente general de: policía de ésta villa, juez en virtud de real orden de la testamentaría de la Excma. Sra. duquesa</t>
  </si>
  <si>
    <t>Martínez de Villela, Ignacio</t>
  </si>
  <si>
    <t>Ignacio Martínez de Villela</t>
  </si>
  <si>
    <t>da de Medinaceli, que á instancia de los interesados se subastan por el juzgado de comisión del Sr. D. Ignacio Martínez de Villela, juez en virtud de real orden de dicha testamentaría, y son á saber: unas casas principales con su jardin, sitas en la calle de Alcalá, que hacen á la dél Turco, frente al convent</t>
  </si>
  <si>
    <t>Manuel de Lardizabal y Uribe, á D. Ramón de Posada y Soto , á D. Josef García de León y Pizarro, á D. Ignacio Martínez de Villela, á D. Manuel Romero, á D. Antonio Ranz Romanillos, á Don Estanislao de Lugo, á D. Pablo de Arribas, á D. Francisco Angulo, á D. Juan Antonio Llórente, y á D. Antonio de la Cuesta</t>
  </si>
  <si>
    <t>Martínez del Valle, Francisco</t>
  </si>
  <si>
    <t>Francisco Martínez del Valle</t>
  </si>
  <si>
    <t>... 300 155 D. Luis Gutiérrez de los Ríos................................... Valencia..... 500 1072 D. Francisco Martínez del Valle........ '............. Madrid........ 300 2434 Doña Gerónima Perez del Barrio.................... Cádiz.......... 600 2351 D. Eugenio Sanz Calvo...................................</t>
  </si>
  <si>
    <t>Martinez Gaiisoga, Francisco</t>
  </si>
  <si>
    <t>Francisco Martinez Gaiisoga</t>
  </si>
  <si>
    <t>.... 600 1386 D. Fernando Esteban.......................................... Burgos........ 500 2182 D. Francisco Martinez Gaiisoga..................... Coruña....... 500 478 D. Simón Antonio de Goycoechea................... Bilbao......... 500 246 D. Manuel Gutiérrez y Arroyo....................... Burgos....</t>
  </si>
  <si>
    <t>Martínez Leganes, Julián</t>
  </si>
  <si>
    <t>Julián Martínez Leganes</t>
  </si>
  <si>
    <t>...;/ J^OO' 5 28 D. Miguel de Laca..,«.w«iM.«*.......................... Bilbao/.;..,.;/ .5 00. 9°y D. Julián Martínez Leganes.......................... _ — ^ r Madrid....... • 1 1 50a 1008 D. Juan Quintano..........,.............................. Madrid 500 2tS D. Mateo Sfct. María............ ..........</t>
  </si>
  <si>
    <t>Martínez Marina, Francisco</t>
  </si>
  <si>
    <t>Francisco Martínez Marina</t>
  </si>
  <si>
    <t>ecialmente sobre el código de D. Alonso el Sabio, conocido con el nombre de las Siete Partidas, por D. Francisco Martínez Marina, canónigo de la real iglesia de S. Isidro, académico de número y bibliotecario de la real academia de la Historia. Después de dar en esta obra una completa noticia de la antigua l</t>
  </si>
  <si>
    <t>ecialmente sobre el código de D. Alonso el Sabio, conocido con el nombre de las Siete Partidas, por D. Francisco Martínez Marina, canónigo de la real iglesia de S. Isidro, académico de Húmero y bibliotecario de la real academia de la Historia. En esta obra, sumamente curiosa, instructiva y de la</t>
  </si>
  <si>
    <t>Martínez Mazabe, Gerónimo</t>
  </si>
  <si>
    <t>Gerónimo Martínez Mazabe</t>
  </si>
  <si>
    <t>... 244. Doña Josefa Batanero, 2 id. por id................................................... 124. D. Gerónimo Martínez Mazabe, del comercio, por una vez..... loco. D. Pascual de Salinas, dependiente en la administración de Rentas, 62 rs. por 2 meses, y 200 id.................. ...........................</t>
  </si>
  <si>
    <t>Martínez Mazpule, Gerónimo</t>
  </si>
  <si>
    <t>Gerónimo Martínez Mazpule</t>
  </si>
  <si>
    <t>ras laorantíás ;en término de dicha villa. La per^ sona á quién pueda acomodar, pasará áda lonja de D. Gerónimo Martínez Mazpule , puerta del Sol, que dará las razones convenientes, como el pre-. do de su valor. .; •&gt; .7 -.r,. . ;.ü' r,. , ¡¡-i,, Apoca'ipsi de S. Juan* explicado, por él ^.Gregorio López, na</t>
  </si>
  <si>
    <t>Martínez Remon, Francisco Xavier</t>
  </si>
  <si>
    <t>Francisco Xavier Martínez Remon</t>
  </si>
  <si>
    <t>camisas nuevas. D. Manuel García Montenegro, procurador de los rea* les consejos, 2 camisas nuevas. D. Francisco Xavier Martínez Remon 2 camisas id. Doña M. A. S 12 camisas id. Doña Eugenia Muñoz 3 camisas i&lt;l. Doña Irene Ramiro 2 camisas id.</t>
  </si>
  <si>
    <t>............ ...... . 1000. D. Santiago Larramendi........................................ . " 500. D. Francisco Xavier Martínez Remon....................... . 500. D. J. A. P..................... .................................... ............ 500. D. Josef de Hernando......... ................................</t>
  </si>
  <si>
    <t>Martínez SáTazar, Juan Antonio</t>
  </si>
  <si>
    <t>Juan Antonio Martínez SáTazar</t>
  </si>
  <si>
    <t>a González de Urrutiá....... . . ... ,‘Rilbao......... 500 5,02: I). Juan-, josef de- arraga*..•••• D. Juan Antonio Martínez SáTazar............... Cádiz.......... 600 i©8r D. Francisco del- Aruilo......•............. ................ Madrid....... 300 , Málaga....... -.- iocoo *447t IX. ^ lien r ique N-cuniíiu</t>
  </si>
  <si>
    <t>Martínez Sisniega, Francisco</t>
  </si>
  <si>
    <t>Francisco Martínez Sisniega</t>
  </si>
  <si>
    <t>....... Madrid....... 1000 167 Sr. Marques de Valdeolmos de la Torrecilla.. Valencia...... 300 2060 D. Francisco Martínez Sisniega.... ................ .. Cádiz........ 500 198 D. Miguel Sotelo....................................... Alicante...... 500 271 D. Manuel y D. Mateo Martínez, y D. Manuel de Villanue</t>
  </si>
  <si>
    <t>Martínez Valiejo, Ignacio</t>
  </si>
  <si>
    <t>Ignacio Martínez Valiejo</t>
  </si>
  <si>
    <t>a, general en gefe, en Londres. D. Josef Montes y Saiazar, brigadier del real cuerpo de artillería; D. Ignacio Martínez Valiejo, coronel de voluntarios de Castilla; y D. Miguel Rengel, coronel del real cuerpo de ingenieros, primeros ayudantes generales. D. Josef O-Donel!,. comandante del tercer batallón de</t>
  </si>
  <si>
    <t>Martínez Vallejo, Joaquín</t>
  </si>
  <si>
    <t>Joaquín Martínez Vallejo</t>
  </si>
  <si>
    <t>Málaga......... 3°o 860 D. Josef Maldonado................................ . Madrid..... . 500 144 D. Joaquín Martínez Vallejo......................- Valencia..... 300 i°59 ' D. Armando Laurrete, mariscal de campo... Madrid........ ■ 3°° I4j6 D. Tomas Brufau......... ......................................</t>
  </si>
  <si>
    <t>Martínez Verdugo, Andrés</t>
  </si>
  <si>
    <t>Andrés Martínez Verdugo</t>
  </si>
  <si>
    <t>....... 500 1729 Sres. Mansanecu hermanos............i. Cádiz.............................. 600 257 D. Andrés Martínez Verdugo............. ............ Burgos......... 3 00 76 D. Joaquín de Urrutia........................... ............ Barcelona.... 3 00 1577 D. Juan Francisco de la Quintana...........</t>
  </si>
  <si>
    <t>Martínez Viergol, Felipe</t>
  </si>
  <si>
    <t>Felipe Martínez Viergol</t>
  </si>
  <si>
    <t>.... 1 ©do 186 D. Vicente Abadía.....................................;...... Alicante...;.. fóo 593 D. Felipe Martínez Viergol........................i.’... Madrid........ 300 530 Edificio de Astunduaga, propio de D. Lope M'azazudo................... Bilbao• %••• • • • ' 3&lt;*&gt; 2118 D. Alberto Santias y Cor</t>
  </si>
  <si>
    <t>...... Burgos....... 30Ó &lt; SORTEO DEL DIA 6 DE ABRIL , EN EL QUALSE CONCLUYO LA RIFA. * 1 : - t 594 D. Felipe Martínez Viergol..................... ;....; Madrid/v....*-» 600¿ 226 D. Manuel Sebastian Gil.................. . Alicante..... . 500 795 D. Pedro García y PiniÜos................. . Madrid.......</t>
  </si>
  <si>
    <t>Martínez y Aguilar, Gabriel</t>
  </si>
  <si>
    <t>Gabriel Martínez y Aguilar</t>
  </si>
  <si>
    <t>a de D. Rafael Rodríguez : en Málaga en ¡a .de O. Francisco Martínez y AguiSar: en Granada en la de D. Gabriel Martínez y Aguilar : en Madrid en la de la viuda de Barco Jbopez: en Valencia en la de D. Salvador Prufy: en Badajoz en casa de D. Juan Patrón : en Salamanca en ia de D. Francisco de Toxar; en Valla</t>
  </si>
  <si>
    <t>Martínez y Buergo, Gonzalo</t>
  </si>
  <si>
    <t>Gonzalo Martínez y Buergo</t>
  </si>
  <si>
    <t>iz,, i...... 300 1795 Doña María Josefa de Soto y Olaso.............. Cádiz.......... ooo2334 Sres. D. Gonzalo Martínez y Buergo............. Zaragoza...... 3,00 936 Juan Josef-de la Iglesia,.................... Madrid....... ioqo&gt; 1071 D. Sebastian de Arquiano................... ............. S. Sebastian.</t>
  </si>
  <si>
    <t>Martínez'Rubio, Fernando</t>
  </si>
  <si>
    <t>Fernando Martínez'Rubio</t>
  </si>
  <si>
    <t>encia..... 300 2138 .D. Jban Vicente Tinao......... ............ ».»»».»; Zaragoza. .’■.» 3 00 199I D. Fernando Martínez'Rubio.......»»...»....... Zaragoza..... 500 -1438 D. .Antonio Santa Ana.......................... -........... Málaga.»»... 300 940 D. Juan Manuel Ruiz..........................•«»»»» M</t>
  </si>
  <si>
    <t>Martínez, Agustín</t>
  </si>
  <si>
    <t>Agustín Martínez</t>
  </si>
  <si>
    <t>o, id........ ............................ ............................................... 1092 25. D. Agustín Martínez, id.................. ......................................... . 1000. El comisario de guerra D. Pedro de Berindoaga y su hijo Don Francisco Xavier, regidor de Madrid, 1104 rs. p</t>
  </si>
  <si>
    <t>Martínez, Antonio</t>
  </si>
  <si>
    <t>Antonio Martínez</t>
  </si>
  <si>
    <t>ldo de coronel del real cuerpo de artillería en aquel departamento. Al capitán de dicho real cuerpo D. Antonio Martínez, grado de teniente coronel de infantería. : :_ .• s A los subtenientes del mismo D. Matías Cevadet , con grado de teniente, y D. Diego Solano, al primero grado de capitán dé infan</t>
  </si>
  <si>
    <t>DE iSoS. Números Lotes de 1 ¡s en acciones. Nombres de los interesados. Comisionados. Rs. vn. 193 2 D. Antonio Martínez.......................................... Zaragoza..... 3000 ii85 D. Pablo Carrer y Mas..................................... Barcelona.... 600 1042 D. Manuel de Goycoechea........</t>
  </si>
  <si>
    <t>ntana , del. comercio de lienzos , un vale real de 300 pesos de mayo por una vez, 4571 rs. y;5 mts. D. Antonio Martínez, oficial de la tesonería general, por una vez 4© rs. D. Teodoro Cía, oficial de la misma, por una vez 4© rtf. D. Josef Marcos Iglesias, por agosto á 20 rs. mensuales durante la gu</t>
  </si>
  <si>
    <t>................ ...................... 500. D. Apolinar de Iguaran, del comercio ..........i..500. D. Antonio Martínez..................................... .................... 1000. D. Teodoro Cia...... .......................................................... iooo. D. Santiago Tabajo....,......</t>
  </si>
  <si>
    <t>a, del consejo de S. M. i DiíPedrOrVelaund^ 2ó. : ;-■; 4©..r Di. Andrés de Andar* y i Sancho 23 2.3 D. Antonio Martínez. Alonso! y su -xisfeff&amp;i mrsiremvales reales. ; muger 128. D.Pedrode Prado 200^ v D. Josef de Tejada Ruiz 300. El marques deSales roo* . .r D. Ignacio Abadía, del consejo de D..¡F</t>
  </si>
  <si>
    <t>. ■ '■ . D. Joaquín Bernardo Cantero , abogado’ d el co l eg i o.... ........... ......... .1.... . D. Antonio Martínez, de Tesorería mayor....... ........ ....j....... ............ I...................oí;: E^l conde da N &gt;blej.¿^.... ...... . D. FnjTGÍ$cc Ituruiendi................. D. Bartolomé L</t>
  </si>
  <si>
    <t>Martínez, Benito</t>
  </si>
  <si>
    <t>Benito Martínez</t>
  </si>
  <si>
    <t>adete del regimiento de infantería de Buenos-Aires, graduado de subteniente, grado de teniente. : A D. Benito Martínez» subteniente del cuerpo)de ¡blandengues; de Sánt* ;Fe., grado de. teniente d£ caballería,- : b ¡r' t--&gt; rcv. '..A A E). Juan; Bautista Rondean * ayudante! mayor. de voluntarios de</t>
  </si>
  <si>
    <t>Martínez, Bernardo</t>
  </si>
  <si>
    <t>Bernardo Martínez</t>
  </si>
  <si>
    <t>aberla renunciado D. Francisco Ordqñez Castañon* á'quien S. M. tuvo á bien de nombrar; para ella, á D. Bernardo Martínez; y para la cannngía que esté dexa, á D. jacinto Nicolás Taboada: para la canongía doctoral dé la catedral de Canaria, vacante por la promoción de Jfr. Andrés de Arbélos á la digni</t>
  </si>
  <si>
    <t>ha servido nombrar paira la dignidad de chantre de la catedral de Orense , vacante por renu'ncía de D. Bernardo Martínez, canónigo de la propia iglesia , á quien S, M. tuvo á bien de nombrar á consulta de la cámara de, 2 5 .de noviembre del año próximo pasado, á D. Jacinto Nicolás. Taboada, racioner</t>
  </si>
  <si>
    <t>Martínez, Blas</t>
  </si>
  <si>
    <t>Blas Martínez</t>
  </si>
  <si>
    <t>rdo... Zaragoza..... 6co 1721 D. Francisco Arralan y Valdés, de Bexer. • « • Cádiz.......... 300 22 D. Blas Martínez..................... ...................... Zaragoza..... 0 0 IO87 D. Braulio González Peré............................ Madrid....... 300 732 D. Manuel Gonzalo Fernandez..........</t>
  </si>
  <si>
    <t>Martínez, Diego Alonso</t>
  </si>
  <si>
    <t>Diego Alonso Martínez</t>
  </si>
  <si>
    <t>. 500. D. Francisco Malo, id................................................................... 20. D. Diego Alonso Martínez, notario mayor de la Vicaría ecie* si Atica, id...................................... ........................................... IOOO. D. Mat ías Rodríguez, id...................</t>
  </si>
  <si>
    <t>Martínez, Francisco</t>
  </si>
  <si>
    <t>Francisco Martínez</t>
  </si>
  <si>
    <t>sabel. D. Antonio Ramón Fernandez, secretario de la Buená-dicha. D. Estéban Cormes, diputado de id. D. Francisco Martínez, diputado. D. Juan Antonio Aiicedo, alcalde.,D..Roque Antonio Lema, diputado de .Mosteases. D. Alfonso Luceño, diputado. D. Josef Lamano, alcalde de id. D. Gregorio Sánchez, diput</t>
  </si>
  <si>
    <t>Martínez, Francisco Antonio</t>
  </si>
  <si>
    <t>Francisco Antonio Martínez</t>
  </si>
  <si>
    <t>2©o rs. por una vez, y 120 por agosto y setiembre á 60 mensuales, 3 20. D. P. v., por agosto 20 rs. D. Francisco Antonio Martínez, por una vez 300 rs. D. Miguel Cáceres, ballestero principal honorario, por una vez foo rs. D. Francisco Vives, contador por S. M., por un tercio hasta fin de noviembre de 4400 rs</t>
  </si>
  <si>
    <t>Martínez, Ignacio</t>
  </si>
  <si>
    <t>Ignacio Martínez</t>
  </si>
  <si>
    <t>erecho de posesión, se ha acordado el remate para el día 15 de febrero próximo en la posada del Sr. D. Ignacio Martínez de. Villela, del supremo consejo de Castilla,de 12 a una de su mañana. Quien quisier re hacer postura.acuda á la escribanía de D. Casimiro Antonio Goinez. AVISOS. Para el segundo rem</t>
  </si>
  <si>
    <t>Martínez, Ignacio Antonio</t>
  </si>
  <si>
    <t>Ignacio Antonio Martínez</t>
  </si>
  <si>
    <t>tan plausible motivo repique general de campanas y salvas de artillería. Madrid 9 de julio de 1808.=D. Ignacio Antonio Martínez^ oí»-; El superintendente general de consolidación avisa al publico que todos los dias de la semana ¿ exceptuando los festivos , recibirá á las f de la tarde en la casa del mrsmo^</t>
  </si>
  <si>
    <t>del público por medio de este bando, acordando que de él se fixen copias impresas, autorizadas por D. Ignacio Antonio Martínez, escribano de cámara mas antiguo y de gobierno de la sala. Y lo señalaron en Madrid á 23 de julio de 1S08. = Está rubricado.^. economía política. Véase la gazeta núm. $4* Para con</t>
  </si>
  <si>
    <t>8. =s Excmo. Sr. = Adrián Marcos Martínez. = Excmo. Sr. Presidente de la Junta central del reinó. 1 D. Ignacio Antonio Martínez, escribano de cámara del Rei nuestro Se-; ñor, mas antiguo y de gobierno en: la Sala de señores alcaldes de su real ca&gt;* sa y corte. ; i Sala de corte. Certifico que publicada en</t>
  </si>
  <si>
    <t>​= Tomas Casario.y^'y'Rádárrr Martin Leonés 1= Don Alfonso Angel de Noreña. =Juan Melendez Valdés. = D. Ignacio Antonio Martínez. , ‘ 4 ,• ,r: tyadrid 18¿ie octubre* &gt; ~ : -.V-c'íí^ ‘Ei Consejo ha expedidó¡ la real provisión del teño? siguiérité: Don Fernando vii , por la gracia de Dios, Re? déCastilla, deL</t>
  </si>
  <si>
    <t>Martínez, Juan</t>
  </si>
  <si>
    <t>Juan Martínez</t>
  </si>
  <si>
    <t>gnaeio de Echavarrí;j táv.....¿i,..'.;í.... .... UD. -Pedro Fernandez-dé Estrada y corifitéro , 20. D. Juan Martínez ^cirujatíó idittVii 12. Pascual Pasamontes, traginer&lt;xy por 2 meses á 60 rs; mensuales. 120. D. Mariano Pinazo, secret./rio■ del duque del Infantado, por agosto á 90*rs.* mensuale</t>
  </si>
  <si>
    <t>Martínez, Juan Antonio</t>
  </si>
  <si>
    <t>Juan Antonio Martínez</t>
  </si>
  <si>
    <t>.••••* ••■*••••« ....... 4QO.D. Jtian Marimon, fabricante de fideos, por una vez.............. 30©. D. Juan Antonio Martínez, corredor de lonja ,• por ahora, ade- / T mas de ceder los 3460 rs. "anuales alquileres de una casa que tiene........... ........................................................ .</t>
  </si>
  <si>
    <t>........ ............... 520. Francisco López, mozo de compra, id................ ............ roo. D. Juan Antonio Martínez, médico de familia, id.......... ...i....... 200. Ocho religiosos de la comunidad de Doña María de Aragón, id. 700. Ramón de Subíza, maestro peluquero, id...... ..................</t>
  </si>
  <si>
    <t>Martínez, Juliana</t>
  </si>
  <si>
    <t>Juliana Martínez</t>
  </si>
  <si>
    <t>o Martínez y D. Manuel de Villanueva..................................... . Burgos......... 300 273 Doña Juliana Martínez........... ......................... . Burgos......... 3OO EN LA IMPRENTA REAL,</t>
  </si>
  <si>
    <t>Martínez, Manuel</t>
  </si>
  <si>
    <t>Manuel Martínez</t>
  </si>
  <si>
    <t>........... . : $00, .P. N.) .por ahora.........*»•.«« *••••• .......• ...........#&amp;«*««.,««,.... ( D. Manuel Martínez de. Novales , por .una vez &gt;*&gt;*4*f9*MM •&gt;,*.* • * • * • • • ;; - 6oo. D. Manuel Tiburcio Martínez de Novales, por una vez... 400, D. Manuel Cuen de, por una. vez D. Joaquín de £!izal</t>
  </si>
  <si>
    <t>arbón, id...............................*/ &lt; -.400. f B. Angel hiana de la lurre, id.....1 .tooi .* D. Manuel Martínez, id........... ..................../I.................... - jqo. D. S.S., por ahora................... . ....... i6oi : D. Antonio.de Sousa r tesorero del Monte pió militar ¿ por</t>
  </si>
  <si>
    <t>juez', y superna* merario del alumbrado de Madrid, id......................................... 300. D. Manuel Martínez, id........................................ .............................. 20. D. Fernando de Barcena, id........ ................ ................................... 100. D. Manu</t>
  </si>
  <si>
    <t>mbrosio García González, id............................................... 610. Manuel Martínez , cirujano, id.................................................... 4o* Domingo Santa Olalla , id................................. ........................... 30» Juan Feyto, id..............</t>
  </si>
  <si>
    <t>Martínez, Martín</t>
  </si>
  <si>
    <t>Martín Martínez</t>
  </si>
  <si>
    <t>á mi satisfacción íeFcapitán D. Nicolás de Santiago y Visóy edecán de V. E. ¿ y el teniente coronel D. Martin Martínez', capitán déíde Málaga,* el teniente del mismo regimiento D. Rafael Brucho y D. Manuel Osorio, teniente coronel del .provincial de Guadixy mis ayudantes de campo. ‘ vPor esta misma</t>
  </si>
  <si>
    <t>Martínez, Mateo</t>
  </si>
  <si>
    <t>Mateo Martínez</t>
  </si>
  <si>
    <t>.. 1500 . *r 7 / D. Juan Bautista Smith..»........ ......................... Bilbao...... . 300 l6l D. Mateo Martínez................»...................... . Burgos......... 500 2380 IX*.Pabló* Pdnt y compañía....... Zaragoza..... 300 -578 D.-Pabíó S¡rera;...........;.¿..i¿.i...-»..i....v.v.....</t>
  </si>
  <si>
    <t>de D. Pedro Mendez, y uno de 300 pesos de la misma creación, núm. 426962, sin otra firma-que la de D. Mateo Martínez; y no habiendo llegado estos á su destino, quien supiere su paradero se servirá avisar, ya sea en Madrid ó en Cádiz, á qualquiera de los dos interesados. 1IBROS. Inventario de los</t>
  </si>
  <si>
    <t>-id....................................... 10990; D. Ignacio Sánchez, id. D. Ignacio Ortega, id 60; D. Mateo Martínez, corredor de la real Aduanaid.......6000# Florencio Polo, id •••••••••***•«•••*••«••• • * *üV**í&gt; • *• SéV* *'••*# • •’**■*** • * S **’•• 9 ^ ^ * ' 40II</t>
  </si>
  <si>
    <t>Martínez, Miguel</t>
  </si>
  <si>
    <t>Miguel Martínez</t>
  </si>
  <si>
    <t>*...... ' Zaragoza..!/. róóo 232 Doña Ruperta Gonzalo del Rio.1..!£..■•».... Burgos. ..... 3:-° 892 D. Miguel Martínez y ‘Nudez............... Madrid.!..... 300 800 D. Tomas Cervantes -y- Famada.......... Madrid......; 300 Í427 Josef Garrido.................... Málaga....... 300 835 D. Felipe-de Urr</t>
  </si>
  <si>
    <t>Martinez, Miguel</t>
  </si>
  <si>
    <t>Miguel Martinez</t>
  </si>
  <si>
    <t>a de Indias, 300 iá. por agosto.......................................... ........ ...... •••« 300. D. Miguel Martinez, maestro manguitero, 20 id. por 5 meses.., 100. 2féta. En el suplemento á la eazeta del día 18 del corriente en la lístji de ios donativos, pág. 34* lín* *•» dice 20 rs. mensuales</t>
  </si>
  <si>
    <t>as Bayo, diputado; D. Nicolás García Caballero, D. Juan Bautista Nieto, D. Pedro Marcelino Blanco , D. Miguel Martínez, D. Pedro Queipo de Llano, D. Juan Ruiz Dávila, D. Josef Bausá, D, Rafael Ricote, D. Josef Antonio CanosaD. Pablo Muñoz de la Vera y D. Miguel García Marín, diputados de parroquia</t>
  </si>
  <si>
    <t>. Pedro Gorron de Cisneros. Apoderados de los gremios menores. D. Eugenio Diaz. Manuel de la Viuda. D. Miguel Martínez. Francisco Perez. Hoi al medio día una diputación de la villa de Madrid ha sido presentada á S. M. el Emperador y Rei por S. E. el duque de Fraoul, gran mariscal del palacio. Comp</t>
  </si>
  <si>
    <t>Martínez, Nicolás</t>
  </si>
  <si>
    <t>Nicolás Martínez</t>
  </si>
  <si>
    <t>ión D. Antonio Jurado: en el de Numanciá compañía al ayudante D. Juan Lartigue; tenencia al alférez D. Nicolás Martínez empleo de Portaguión al sargento primero D. Lázaro Lahoz en el de Lusitania compañías á los ayudantes D. Gregorio de Cáceres y 0. Juan Nuñez, el primero graduado de capitán ; tenenc</t>
  </si>
  <si>
    <t>o y .Luna , cirujano del Hospital general.* «en ir o[ t ; &gt; intereses de vafes y.efectivo, id.. f.l D. Nicolás Martínez, aparejador del Hospital general, en pagarés del comercio , id.......................................... ........ .......... . ► 2083 1 u Doña Isabel Calvo, id....................</t>
  </si>
  <si>
    <t>Martínez, Pedro</t>
  </si>
  <si>
    <t>Pedro Martínez</t>
  </si>
  <si>
    <t>barrola. Donativos de varias personas para el vestuario y otros usos útiles d las tropas de Madrid. Don Pedro Martínez -Retuerta 3 vestidos completos para soldados de infantería. D. Ramón de Aguilar y Noguera un vestido completo para soldado de ídem. D. Gregorio de; Arce 240 pares de calcetas. La</t>
  </si>
  <si>
    <t>Martínez, Sebastián</t>
  </si>
  <si>
    <t>Sebastián Martínez</t>
  </si>
  <si>
    <t>or J una vez.......................................... ......... ........................... . 300. D. Sebastian Martínez, del comercio de lienzos, por una vez... too. D. Gabriel Balez , cambiante, por una vez.............. ....... ............. 5000. D. Manuel Corralero, maestro cotillero, por una v</t>
  </si>
  <si>
    <t>Martínez, Tomás</t>
  </si>
  <si>
    <t>Tomás Martínez</t>
  </si>
  <si>
    <t>Antonio Acósta ; y empleósdé pdrtagntorf al i sargéñtb primero D. Ign ació Martínez y á los cadetes D. Tomas Martínez y D; Josef Magarola: y en él de Lusitania empleo de portaguión al sargento primero D. Antonio Quesada. -V 1 En América. S. Mb se ha servido nombrar para la dighidád de tesqrerO ide la</t>
  </si>
  <si>
    <t>..... 600 573 D. Manuel de Barajas......................................... Madrid....... 1000 1473 D. Tomas Martínez............................................ Málaga....... . 600 2068 D. Manuel Gallardo........................................... Cádiz.......... 300 496 D. Mariano Ordoñez de Ba</t>
  </si>
  <si>
    <t>Martínez, Vicente</t>
  </si>
  <si>
    <t>Vicente Martínez</t>
  </si>
  <si>
    <t>éi de voluntarios &lt;de Estado D¿ Francisco Cabrera: el de España al teniente coronel del de Mallorca D. Vicente Martínez :,el de. Irlanda al teniente coronel del propio cuerpo D¿ Juan Nahgten: el de Jaén, al teniente coronel del de Toledo Doa Antonio Moya; y el de Ñapóles al teniente coronel del de</t>
  </si>
  <si>
    <t>. ..... . Madrid....... 300 1311 D. Pedro Beyeya, comerciante y comisionado, ¡ Vajencia&gt;5 09 . 1931 D. Vicente Martínez, dignidad 4.e tesprsrp... Zaragoza,?...,óoo 1522 D. Pedro Josef de Manzanal............................. Bilbao.....-!... 300 2165 D. Narciso Forte................................</t>
  </si>
  <si>
    <t>. Zaragoza....! 300 440 D. Antonio del. Piélago y Castro.............. ..... Santander.... 300 1930 D. Vicente Martínez, dignidad de tesorero deOsma.................................................... . Zaragoza 500 2358 D. Estanislao de Hito........................................ Zaragoza..... 50</t>
  </si>
  <si>
    <t>Martini</t>
  </si>
  <si>
    <t>la librería de Castillo á 3 rs. * rv ' , ... j Método para templar el forte-piano , clave &amp;c., por Mr. Martini, trá* ducído del francés al castellano, en buen papel é impresión, con una lámina, en donde se hallan 47 exemplos dispuestos con la mayor claridad. Este método es tan nuevo en su</t>
  </si>
  <si>
    <t>Mártir Mir, Pedro</t>
  </si>
  <si>
    <t>Pedro Mártir Mir</t>
  </si>
  <si>
    <t>que conoce á la persona que á tal efecto se le ponga baxo su confianza. Darán razón en la tienda de D. Pedro Mártir Mir, al entrar en la calle de Hortaleza por la red de S. Luis. NODRIZA. Manuela Fernandez, de edad de 26 años, solicita una cria para su casa ó la de los padres: tiene leche de 6 mese</t>
  </si>
  <si>
    <t>Martirio, Juan Pedro</t>
  </si>
  <si>
    <t>Juan Pedro Martirio</t>
  </si>
  <si>
    <t>postura , ío executará por da! -escribanía que exéxee I&gt;. Glaúdid -Constanza, r Por providencia de D. Juan Pedro Martirio, juez.comisionado regio en la diócesi de Tortosa, se ha señalado el dia 12 de marzo próximo para «1 remate de una pieza de tierra, Amigo masía, con sus casas y pozo de noria para</t>
  </si>
  <si>
    <t>Martít de Arauna, Vicente</t>
  </si>
  <si>
    <t>Vicente Martít de Arauna</t>
  </si>
  <si>
    <t>arama, pertenecientes á los propios de Madrid , acuda á la secretaría de ayuntamiento, del cargo de D. Vicente Martít dé Arauna; y para su remate se ha señalado el jueves 14 del. corriente, á¡ las 12 de su mañana, en las casas consistoriales. El limo. Sr. D. Antonio de Víllanueva, del consejo y cámara de S</t>
  </si>
  <si>
    <t>Marton, Matías</t>
  </si>
  <si>
    <t>Matías Marton</t>
  </si>
  <si>
    <t>.... 300, 2301 D. Josef de los Reyes....................................... Cádiz........... 300 15 D. Matías Marton............................................... Zaragoza..... 300 1132 D. Juan Doz y Cornel...................................... Zaragoza..... 300 1813 Doña Antonia Zarate y Murgu</t>
  </si>
  <si>
    <t>Mas, Juan Bautista</t>
  </si>
  <si>
    <t>Juan Bautista Mas</t>
  </si>
  <si>
    <t>Valera., con destino á las casas dé S. Vicente , nuestra séñbr^ de la Misericordia, y enseñanza de D. Juan Bautista Mas; uno por la señora baronesa de Antelia á esta última; 4 por el señor D. Juan Martínez de Hermosiila á las escuelas pias, y los restantes por la sociedad. Concluida lá repartición,</t>
  </si>
  <si>
    <t>scuelas de las casas de huérfanos de S. Vicenteynuestra señora de la Misericordia, y fundaciones dé D. Juan Bautista Mas, de D. Francisco Xavier Navarro y Doña María Caudevila, baxo las mismas condiciones y exámenes.__ Para estimular á la buena educación en otras poblaciones de este reino, se darán,</t>
  </si>
  <si>
    <t>o con algunas partidas, y procurando atraerlo al ataque con el mayor denuedo y valentía. El alférez D. Juan Bautista Mas dió muestras nada equívocas de su valor, recogiendo las municiones que se le echaban por el muro, y animando con el mayor calor á tóda la tropa y paisanage. El teniente D. Josef R</t>
  </si>
  <si>
    <t>Masoauta, Manuel</t>
  </si>
  <si>
    <t>Manuel Masoauta</t>
  </si>
  <si>
    <t>pio de Irlanda D. Patricio Kearney, del inmemorial del Rei D. Carlos de los Ríos , y del de Ñapóles D. Manuel Masoauta. JEn América. Habiéndose dignado S. M. aumentar dos canongías y dos raciones en la catedral de Cuenca del Perú , se ha servido el Reí nombrar para la primera canongía á D. Juan Ma</t>
  </si>
  <si>
    <t>Masson de Morviliiers</t>
  </si>
  <si>
    <t>a biografía, y parte de la vida de D. Hago de Moneada\y el 4-° una respuesta á la pregunta que hizo Mr. Masson de Morviliiers en la Enciclopedia metódica, en el artículo de España, vindicándose el honor de esta ultrajado por aquel. Se hallará este número , que consta de 3§ pliegos en 4 0 prolongado , en la</t>
  </si>
  <si>
    <t>Mat</t>
  </si>
  <si>
    <t>i Atica, id...................................... ........................................... IOOO. D. Mat ías Rodríguez, id............................................ ................. 60. Pedro Fernandez Salinero, maestro abaniquero, id........... ........ IOO. Varias personas de po</t>
  </si>
  <si>
    <t>Mata Ribera, Juan</t>
  </si>
  <si>
    <t>Juan Mata Ribera</t>
  </si>
  <si>
    <t>n i¿. ] '' u- A ';• D. Luis Robledo 1,60» ; , s , ¡¡0,1 . i; *TT.- i a Z, C , ‘ ;■ i ^ SL. ¿1 ---l* D. Juan Mata Ribera 320. St'contmúafd* - -" • í * ■ V •, t ú</t>
  </si>
  <si>
    <t>Mata, Juan Nicolás</t>
  </si>
  <si>
    <t>Juan Nicolás Mata</t>
  </si>
  <si>
    <t>ir á algún caballero en esta corte ó fuera de ella: tiene personas que le abonen. Asiste en casa de D. Juan Nicolás Mata, en las vistillas de S. Francisco, ñám. 15, quarto principal, frente á la casa del duque del Infantado. j Un sugetc, que tiene buena letra, ortografía y cuentas^ y está instruido</t>
  </si>
  <si>
    <t>Mata, Miguel</t>
  </si>
  <si>
    <t>Miguel Mata</t>
  </si>
  <si>
    <t>ntos quatro evangelistas, vacante en la catedral de Gerona por fallecimiento de D. Antonio Boix , á D. Miguel Mata: para otro, también segundo, de S. Bartolomé, vacante en la parroquia de Torruella de Montgri,obispado de Gerona, vacante por muerte de D. Jaime Martí, á D. Pedro Salvatella. El R</t>
  </si>
  <si>
    <t>Matamoros y Pacheco, Pedro</t>
  </si>
  <si>
    <t>Pedro Matamoros y Pacheco</t>
  </si>
  <si>
    <t>.. 300 1470 D. Manuel Carretero................. -.............. ....... &gt; Málaga........ IOOO 2429 D. Pedro Matamoros y Pacheco...... ............. Cádiz........... 500 236) Doña Josefa Vivanco........................................ Zaragoza..... 000 50 D. Juan Manuel Ocerin..............»................</t>
  </si>
  <si>
    <t>oza..... 300 213 D. Guillermo Gorman....................................... Alicante...... 500 2427 D. Pedro Matamoros y Pacheco....................... Cádiz........... 600 557 D. Josef Merlo................................................. . Madrid........ 300 2175 D. Francisco Saber Bernete...............</t>
  </si>
  <si>
    <t>. 300 2425 D. Mariano Malanco............................................ Cádiz........... 600 2428 D. Pedro Matamoros y Pacheco....................... Cádiz........... 1500 222 D. Josef de Olaegui............................................. Alicante...... 300 1579 Doña Modesta Antonia de Bringas..........</t>
  </si>
  <si>
    <t>Matea Cerrillo</t>
  </si>
  <si>
    <t>Banco, por agosto á 4 rs. diarios.................... ............................i,.,....... 114. Dona Matea Cerrillo, por dos meses á un real diario - 61. D. Román de Haro, portero del archivo general de Rentas» por agosto á 2 rs. diarios......................................... ................</t>
  </si>
  <si>
    <t>Mateb, Pablo</t>
  </si>
  <si>
    <t>Pablo Mateb</t>
  </si>
  <si>
    <t>or ^ 1 el.,,í,•.................,»...* 24I4-*li^. AoJtonic Mplenrllo12 id* por-'4id.......í,,,ttoo. D. Pablo Mateb,’po'r1 tíña ............ &gt;• 700V D. Ramón Ruiz-, portero-de la secretaría-de-Guerra, id,........W ^ 3*2 o.; 1^. husébio Pareja * portero de id..««•««««»»..**&lt;&gt;«....»..-««•«...«».,</t>
  </si>
  <si>
    <t>Matesanz, Manuel</t>
  </si>
  <si>
    <t>Manuel Matesanz</t>
  </si>
  <si>
    <t>ma 2. D. Joaquín de Guper 4 camisas. Doña F. N. 2: La Sra. de Eguia 2. La condesa de Campo Giro 12. D. Manuel Matesanz 2. Doña María Vicenta Qnilez 3. Doña Josefa del Rio 4. Doña María Ignacia de Mogozuza 2. D. Manuel Baquero 2. , D. Joaquín Antonio Sóxo 6. D. Josef Maldonado 6. Doña A. y B. 2. D.</t>
  </si>
  <si>
    <t>MaTÍa, Miguel</t>
  </si>
  <si>
    <t>Miguel MaTÍa</t>
  </si>
  <si>
    <t>una niédia-racion de la metropolitana de Sevilla , vacante por fallecimiento dé D. Jpséf Maestre, á D. Miguel MaTÍa del plmp y Herrera , exáminadÓf sinódal de aquel arzobispado; para la, dignidad dé chantre dé la catedral dé Orense ,; vacante por muerte d$ Don Francisco Solis, y por haberla renunci</t>
  </si>
  <si>
    <t>Matías Pablo</t>
  </si>
  <si>
    <t>Madrid, en Giunilt i Si; Ds Faiktsc» Ae jtfsttfii ycaAaduxafalSt.D. Matías Pablo. .a5i.d ‘A&gt; ‘--A, i' -Por, próvidcncaidel tHbünayclcomúladó;deG4d**,.y ncábiaíijde P^Melchor Ñicólas TruxiUbpsc cUay llaioa j'einplaza á qualqmcra;uue se considere con derechoá lo</t>
  </si>
  <si>
    <t>Maturana, Vicente María</t>
  </si>
  <si>
    <t>Vicente María Maturana</t>
  </si>
  <si>
    <t>PDF p. 4</t>
  </si>
  <si>
    <t>S. A. &amp; en consideración í el distinguido mérito y talentos del Brigadier D. Vicente María Maturana , Xefe de Escuela del Real Cuerpo de Artillería ha venido e* r.ombrarle su Ayudante General cerca de su Persona» Nota. Se admiten subscripciones á la Gazeta Ministerial para esta</t>
  </si>
  <si>
    <t>e esta Suprema Junta de Gobierno de primero ¿el corriente se ha dado comisión al mariscal &lt;1e campo D. Vicente María Maturana, ayudante general cerca de S. A. S. , para que oiga las excepciones únicas sobre alistamientos que prefixa el bando de 13. de Agosto anterior, señalando las horas de nueve á once</t>
  </si>
  <si>
    <t>vido nombrar subinspector comandante de artillería del departamento de Segovia ai mariscal de campo D. Vicente María Maturana, gefe de escuela del departamento de Seviila. Los condes de Torralba y Talara, deseando acreditar su amor y leal-* tad en las actuales circunstancias , y coadyuvar á su remedio en</t>
  </si>
  <si>
    <t>vido nombrar subinspector comandante de artillería del departamento de Segovia al mariscal de campo D. Vicente María Maturana , xefe de escuela del departamento de Sevilla. Zaragoza 15 de Noviembre• Nuestro digno General, después de haber recorrido la línea del cxercico que ocupan las divisiones de reser</t>
  </si>
  <si>
    <t>Matute, Mateó</t>
  </si>
  <si>
    <t>Mateó Matute</t>
  </si>
  <si>
    <t>............... 100. D. Josef Allery agente, á 120 rs. metisHales........v........A.......... :i2o. D. Mateó Matute, platero, por üñ tercio á 4 rs. diarios.......... 488. D. Manael Luquet , por el primer tercio adelantado aí respecto de' 4 rs. diarios..................... .................. . 4</t>
  </si>
  <si>
    <t>Mauj</t>
  </si>
  <si>
    <t>s del duque dé Lcdi y de. otros muchos. persoqage^ de la c?sa'rqal. ,$S. rnanifescqron .al director Mr. Mauj^edini ,y .Jiermpsas';que ha</t>
  </si>
  <si>
    <t>Mauricio</t>
  </si>
  <si>
    <t>.. 1 oco 463 D. Josef de Irunclaga......................................... Bilbao......... 300 748 D. Mauricio.de Parada...................... ........ ...... Madrid....... 300 2282 D. Josef Floranes..................................... ;........ Cádiz......... 5001 1048 D. Miguel Crespo d</t>
  </si>
  <si>
    <t>FlOrez Quevédo.................... 1 1 Sr. X). Carió* Sexn............................. .... 3 Sr. D. Mauricio ‘Manuel de Parada....... . 1 2 Sr. D. Josef Lidón ...................................... 1 Dos personas, nduya moderación ha exigido rio se hagan públicos sus nombres, han entrega</t>
  </si>
  <si>
    <t>Mauricio Boinot</t>
  </si>
  <si>
    <t>.......... «}«».».•&gt;}««£,*^1 D. Lorenzo Iruegas, del comercio de paños, por Una Vez*.....#., 20000. D. Mauricio Boinot, presbítero, por agosto á 2 rs. diarios.}.,... 62. D. Francisco Neira, médico de cámara, por 3 meses á 4 rs. diarios........................... ...................... ...........</t>
  </si>
  <si>
    <t>Mauricio Estrada</t>
  </si>
  <si>
    <t>. Josef Bausa ; en los heridos el segundo capitán D. jdsefMartinez; el teniente graduado de capitán D. Mauricio Estrada,, y el subteniente D. Manuel Oromí; y un; solo contuso que hai lo es el capitán primero Francisco Fariñas , todos: deitiradorfesideXUádiz. . ; Lajunta .suprema, queiha mirado con</t>
  </si>
  <si>
    <t>Mauricio Justo del Rincón</t>
  </si>
  <si>
    <t>rovidencia del Sr. D. Manuel Perez de Rozas , alcalde de casa y corte, y escribanía de provincia de D. Mauricio Justo del Rincón, acuda ante dicho señor y. citada escribanía, donde se enterará de las cargas con que se hallan gravadas dichas fincas. H . . ■ AVISOS». : , ■ ♦ El dia 30 de agosto.último remitió</t>
  </si>
  <si>
    <t>Mauricio Kusenstiern</t>
  </si>
  <si>
    <t>lón á bordo del Gustavo Adolfo, de 90 cañones. El teniente coronel Tornquist es gefe de división, y Mr. Mauricio Kusenstiern capitán de bandera. La escuadra se compone de 14 navios de línea y de 8. fragatas. AUSTRIA. Viena 25 de abriL El Emperador y la Emperatriz han partido repentinamente para Brovn, d</t>
  </si>
  <si>
    <t>Mauricio Manuel de Parada</t>
  </si>
  <si>
    <t>Domingo Galota, id...... ......... ........................................................... 100. D. Mauricio Manuel de Parada, un vale real id........................... 2323. Doña Vitoria Gadea, id...... .............................................................. 300, D. Miguel de Gamboa, brigadier d</t>
  </si>
  <si>
    <t>Mauricio Salazar</t>
  </si>
  <si>
    <t>la ración que este dexa á D. Josef de Granda, cura en la misma diócesi: para la segunda canongía á D. Mauricio Salazar, y para la ración de este á Don Tomas Borrero Ponton, cura rector de dicha catedral: para la primera ración de aumento á D. Fausto Sodupe, y para la media ración que este dexa á D</t>
  </si>
  <si>
    <t>Mauricio Xaplaneta</t>
  </si>
  <si>
    <t>D. Francisco'Baldrich , D. Eugenio de Iturraga, Don Basilio Viola, D. Julián Viola , D. Juan Viola, D. Mauricio Xaplaneta, D. Pedro Nicolás Ximenez , D. Ventura Carbonell , D. Félix Victoriano Gómez, D. Juan Godoi, D. Juan Jorge, D. Juan Vicente Vandeli, Don Andrés Alvarez de Toledo, D. Manuel Gestal</t>
  </si>
  <si>
    <t>Mauro López</t>
  </si>
  <si>
    <t>án Galindo, eclesiástico de dicha. D. Tomas del Cano Goicochea, secretario del barrio del Hospicio. D. Mauro López, diputado id. D. Manuel Benaya id. D. Pedro López Conche, de id. D. Blas de Torres Errazque, diputado de Jesús Nazareno. D. Josef Hilario Fernandez, eclesiástico. D. Juan Bautista</t>
  </si>
  <si>
    <t>Mav</t>
  </si>
  <si>
    <t>........,................................. Madrid........ 1)00 270 D. Manuel y D. Mateo Martínez, y D. Mav . nuel de v illanueva......................................... Burgos........ 300 175 9 D. Martin Josef de Herrea y Ripa............... Cádiz........... 500 1598 D. Bernardo de El</t>
  </si>
  <si>
    <t>Maximiliano Vandeosleene</t>
  </si>
  <si>
    <t>.......................... 6l, Manuel Pastor, criadp .de un lavadero, por agosto á real diario. 3l* D. Maximiliano Vandeosleene, coronal agregado al estado mar yvi de Madrid, á 4 rs. diarios» por agosto............... . Doña Isabel,Botello» viuda, por agosto ¿ 2 rs. diarios............. 62. D. Miguel de Bu</t>
  </si>
  <si>
    <t>Mayo Caamaño, Manuel</t>
  </si>
  <si>
    <t>Manuel Mayo Caamaño</t>
  </si>
  <si>
    <t>D. Manuel Muñíz y al de fusileros D. Josef María Tapia; á subteniente de granaderos al de fusileros D. Manuel Mayo Caamaño; á subtenientes de compañía á Jos de bandera D. Diego Abarca y D. Isidoro Puente y Robledo; y á subteniente de bandera á D. Josef Luis Cumplido, vecino de la demarcación del regim</t>
  </si>
  <si>
    <t>Mayo, Antonio</t>
  </si>
  <si>
    <t>Antonio Mayo</t>
  </si>
  <si>
    <t>-.. Coruña.......; 500 744 D- Tomas García Arribas y Quizq................. Madrid....... 500 1987 D. Antonio Mayo................... .......................... , 3 o® Se continuara.</t>
  </si>
  <si>
    <t>Mayo, Felipe</t>
  </si>
  <si>
    <t>Felipe Mayo</t>
  </si>
  <si>
    <t>. F. A. B.............. ......................................... ................ .......... 4400. D. Felipe Mayo, músico, id.................... ............ ...........&gt;............ 40. D. Manuel Fernandez, á cuenta de 300 rs., por id.................... loo. D. Ramón Jo ver, del comercio,</t>
  </si>
  <si>
    <t>Mayo, Manuel</t>
  </si>
  <si>
    <t>Manuel Mayo</t>
  </si>
  <si>
    <t>....... . 200. D. Pedro Mayo, id.................. ........... .................... i....... . 500. D. Manuel Mayo, id........................................ .......... .. JCO. 14</t>
  </si>
  <si>
    <t>Mayo, Pedro</t>
  </si>
  <si>
    <t>Pedro Mayo</t>
  </si>
  <si>
    <t>..................... 200. D. Josef Broquel , id............................................ . 200. D. Pedro Mayo, id.................. ........... .................... i....... . 500. D. Manuel Mayo, id........................................ .......... .. JCO. 14</t>
  </si>
  <si>
    <t>Mayol, Martín</t>
  </si>
  <si>
    <t>Martín Mayol</t>
  </si>
  <si>
    <t>iedo......... . D. Manuel Rubiano y Nieto. En Palenda.... D. Josef María Calonge. En Palma....... . D. Martin Mayol. En Pamplona........ Sres. viuda de Barbería é hijo. En Salamanca..... Sres. Urrero y Casaseca. , En Santander....... Sres. Vial, hijo y compañía. En Segovia............. Sres. vi</t>
  </si>
  <si>
    <t>.... D. Manuel Rubiano y Nieto. En Patencia.......... D. Josef María Calonge. En Palma............. D. Martin Mayol. En Pamplona....... Sres. viuda de Barbería é hijo. En Salamanca..... Sres. Urrero y Casaseca. En Santander...... Sres. Vial, é hijo y compañía. En Segovia........... Srés. viuda</t>
  </si>
  <si>
    <t>Mayol, Pedro</t>
  </si>
  <si>
    <t>Pedro Mayol</t>
  </si>
  <si>
    <t>Francisco Miró Ortoll y compañía, de Villanueva. Quien supiere su paradero . avisará en Baycelóna á D. Pedro Mayol, y en Madrjd á D. Magín Gomá. • En la villa de Arañda de Duero , provincia de Burgos, se halla vacante la plaza ” dé maestro de priirierás letras, dotada con 300 ducados anuales,</t>
  </si>
  <si>
    <t>Mayoli, Francisco Ventura</t>
  </si>
  <si>
    <t>Francisco Ventura Mayoli</t>
  </si>
  <si>
    <t>a mayor, y pico en efectivo, id........................ ;.................................. . 150°* D. Francisco Ventura Mayoli, id........................ ...... ........... . 200. D. Felipe de Roxas , en créditos, id............................................ 2415 9. Doña C. M., id 7643984620672 3P* D.</t>
  </si>
  <si>
    <t>Mazarron, Juan</t>
  </si>
  <si>
    <t>Juan Mazarron</t>
  </si>
  <si>
    <t>Benito García Perez de Castro D. Severo Andrés García 2.’ una. La viuda de D. Josef de la Dehesa €. D Juan Mazarron 2 usadas. D. Juan Aceto 2. Doña Francisca Arias Perez 12, D. Francisco y Doña María Corche- D. Manuel de Salazar 2. ro 4. - D. V. M. 8 varas de lienzo. D. Antonio Sánchez Trapero</t>
  </si>
  <si>
    <t>Mazorra, Ramón</t>
  </si>
  <si>
    <t>Ramón Mazorra</t>
  </si>
  <si>
    <t>a del Arce 6 id. D. M. A. I. 9 id. El Sr. D. Manuel de Gandasegui, director de Filipinas, 12 finas. D. Ramón Mazorra 4 Huevas. Don C. V. 4 id. Doña Manuela Nieto del Campo 2 camisas y 6 pares de calcetas. Doña Teresa de la Cueva 2 camisas nuevas. D. Pedro Perez Plano 3 id* Doña Juana Meco, resid</t>
  </si>
  <si>
    <t>Meco, Juan Antonio</t>
  </si>
  <si>
    <t>Juan Antonio Meco</t>
  </si>
  <si>
    <t>00. D. Estanislao Barreta, id. id................ ............................................ 100. D. Juan Antonio Meco, sacristán de dicho oratorio, id............ 80. D. Domingo Reinoso, boticario, id........................................... . 400. El alcalde de barrio de las Descalzas, id.....</t>
  </si>
  <si>
    <t>Medina y Cabanas, Fernando</t>
  </si>
  <si>
    <t>Fernando Medina y Cabanas</t>
  </si>
  <si>
    <t>Vicente Ferrer y García : y para* el canonicato vacante, por muerte del Dr. D. Ignacio Valencia, á D. Fernando Medina y Cabanas ,, racionero roas aurígero : para esta^ ración al. medio racionero mas antiguo el Dr. D. Miguel dé Vargas ,- catedrático y7 recto* que ha sido de esta real Univer-sidad 5 y para e</t>
  </si>
  <si>
    <t>Medina, Francisco</t>
  </si>
  <si>
    <t>Francisco Medina</t>
  </si>
  <si>
    <t>Prieto , prior de Sto. Tomas. D. Bernabé Mateo Perez, diputado eclesiástico dei barrio de S. Juan. D. Francisco Medina, capellán mayor de los naturales de S. Pedro. Fr. Eugenio Amoedo, abad de San Bernardo. D. Benito Prado, diputado de la nobleza. D. Juan Antonio Salcedo, cura de S Gines. D. Domin</t>
  </si>
  <si>
    <t>Medina, Manuel</t>
  </si>
  <si>
    <t>Manuel Medina</t>
  </si>
  <si>
    <t>tado de id. D. Cayetano Aravaca , eclesiástico de id. D. Tomas Zapelena, diputado calle de Segovia. D. Manuel Medina, diputado id. D. Antonio Urandurraga, diputado del barrio de S.'Juan.-'D. Melchor Gómez de la Torre, diputado de t)oña María de Aragón. D. Francisco Villegas. D. Juan Francisco Mo</t>
  </si>
  <si>
    <t>Mefendez Valdés, Juan</t>
  </si>
  <si>
    <t>Juan Mefendez Valdés</t>
  </si>
  <si>
    <t>la Sala de alcades, en que consta haber prestado hoi todos sus individuos, con el fiscal- jubilado D. Juan Mefendez Valdés, el ju¿ ramenío prevenido en la re;J cédula de i.° del corriente; á fin de que V. E. se halle enterado, y se sirva ponerlo en noticia de la Junta central suprema del reino. .¿h Di</t>
  </si>
  <si>
    <t>Megino, Alberto</t>
  </si>
  <si>
    <t>Alberto Megino</t>
  </si>
  <si>
    <t>a ^, merecen particular mención las demostraciones con que celebfíS.est^ plausibleacón-, tecimiento D. Alberto Megino, cónsul de ¡España y de ¡^tEuriaem AV^etie— cía. Goncurrió al recibo de S. M.I. y R. en una .magnífica^y ;oste.nt.9sa^ fa? lúa, adornada con tanta elegancia como riqueza, que llev</t>
  </si>
  <si>
    <t>Méidtor Fernández</t>
  </si>
  <si>
    <t>anciseo Xavier de Dicido 'y Zaríiudio; y para la* chantría q\ie este obtiené'á^^Méidtor Fernandez, canónigo magistral: para la dignidad de maestrescuela de la.^ propia...iglesia,*vacante pdr iratterte dé D. Carlos Joscf Montero, á D;Cayetanovjfosef de Roo : para la canongía de este á El</t>
  </si>
  <si>
    <t>Meíendro, Antonio</t>
  </si>
  <si>
    <t>Antonio Meíendro</t>
  </si>
  <si>
    <t>r agosto a 60 rs. mensuales.............. ................................................... . 6o* D. Antonio Meíendro, oficial de la tesorería mayor, por agosto á 60 rs. mensuales..... ....................................................... . 6o* D. T. G., abogado de los reales consejos, por agos</t>
  </si>
  <si>
    <t>Meígárejo Mo, Rafael</t>
  </si>
  <si>
    <t>Rafael Meígárejo Mo</t>
  </si>
  <si>
    <t>Fernandez Catada y Opilantes, Alonso Contador y Tena, D. Jóset Águilar y^deja Touraelle y Cabello:, D. Rafael Meígárejo Mo^d^^lps,'©. Josef. de Ror|-; res y Silva , D. Rafael del1 Pino y Vera ,¡ D. oAutonip r A&amp;XP&lt; :'y,:JJinci, D. Vicente Romero y: Cepeda &gt;íD;. Ignacio; López** nuet La-fita y Porras,</t>
  </si>
  <si>
    <t>Meir</t>
  </si>
  <si>
    <t>s triunfos de Iqs exércítos. franceses, y, E1 parlamentario Isabel&gt; que ha conducido á Inglaterra á Mr. Meir, correó de gabinete austríaco , está en Potivres, pronto á dar la vela, para llevar la respuesta de núestra corte á las ¡propuestas hechasy remitidas por éf conde de Metternich, e</t>
  </si>
  <si>
    <t>Mel, Gaspar</t>
  </si>
  <si>
    <t>Gaspar Mel</t>
  </si>
  <si>
    <t>componer la Junta de gobierno» Por Asturias y constan al margen por orden alfabético, se veriÉl Sr. D. Gaspar Mel- ncó la ceremoniar en. la forma siguiente: Se juntaron chor. de Jo veilanos. dichos seqores diputados en la sacristía de la capilla pl Sr. marques de óam- del pahdo de este real si</t>
  </si>
  <si>
    <t>Melchor Nicolás</t>
  </si>
  <si>
    <t>las qüe se hubiesen, otorgado *, y que los autos de dicha testamentaría penden en la escribanía de D. Melchor Nicolás.Truxíllo, escribano:del mismo tribunal. ' : -r. , r f</t>
  </si>
  <si>
    <t>Melend, Manuel</t>
  </si>
  <si>
    <t>Manuel Melend</t>
  </si>
  <si>
    <t>.....................................' 120. H. de D. J. A. C., en vales reales, id...... .. 2267 2. D. Manuel Melend.ez, vecino de Viilagarcía,.en intereses de vales reales:, id....... ........................ .............................. .......... 1263 17* D. Bernardo .Barril, oficial de Tes</t>
  </si>
  <si>
    <t>Melendez Bru, Luis</t>
  </si>
  <si>
    <t>Luis Melendez Bru</t>
  </si>
  <si>
    <t>faltar otros que los que. por ausencia ó tero. enfermedad no pudieron asistir i este acto, para que D. Luis Melendez Bru- fueron citados. Y asi congregados én la sala de *s&gt;of -fia.' * •. &gt; -bierno, principal del Consejo;, asistieron todos a Ja</t>
  </si>
  <si>
    <t>Melendez Val-, Juan</t>
  </si>
  <si>
    <t>Juan Melendez Val-</t>
  </si>
  <si>
    <t>escribano de cámara mas antiguo y de goNoreña. bierno de la Sala: ,, ¿ Juráis á Dios y á sus santos D. Juan Melendez Val- evangelios y á Jesucristo crucificado, cuya sagrada dés, fiscal jubilado, imagen teneis presente, que en el destinó y exércicio de ministros de este supremo tribunal promoveréis y d</t>
  </si>
  <si>
    <t>Melendez Valdés, Juan</t>
  </si>
  <si>
    <t>Juan Melendez Valdés</t>
  </si>
  <si>
    <t>2. Véndese á.3 rs. en las librerías dé Castillo y Ranz. Alarma segunda á las tropas españolas, por D. Juan Melendez Valdés. Véndese con ía primera á real en las librerías de Castillo, frente á láá gradas de S. Felipe , y de Gómez, callé de las Carretas. Puede ir en carta. : , Carta segunda jocoseria d</t>
  </si>
  <si>
    <t>I3T2 Excmo. Sr. = La Sala de alcaldes de la real casa y corte, con inclusión del íiscal jubilado D. Juan Melendez Valdés, animada de los mismos principios con que resistió y no prestó el juramento que el gobierno intruso exigió de ella con órdenes de 23 , 24 y 27 de julio último, se ha apresurado, s</t>
  </si>
  <si>
    <t>Melendez Víldés- Véndese, Juan</t>
  </si>
  <si>
    <t>Juan Melendez Víldés- Véndese</t>
  </si>
  <si>
    <t>romance compuesto antes dél desástrado 2 de mayo á la detención del Rei Fernando vii en Bayona, por D. Juan Melendez Víldés- Véndese á real en las librerías de Gómez y Castillo. - • . ' Elogio á la madre España, y reconvención 1 Francia. Se hallará en las librerías de Arribas y Hurtado , calle* de las Carretas,</t>
  </si>
  <si>
    <t>Melendez, Pedro</t>
  </si>
  <si>
    <t>Pedro Melendez</t>
  </si>
  <si>
    <t>.. . Zaragoza1 . . 500 1954 D. Jacinto Uria y Nafarrondo......................... taragoza 300 2402 D. Pedro Melendez........................... .............. Zaragoza • • • • f 3°9 519 d. ;osef Dupuy y sobrinos.......................... . Bilbao... 300 505 Doña María Antonia Moro de Elejaveita.</t>
  </si>
  <si>
    <t>Melgarejo, Luis</t>
  </si>
  <si>
    <t>Luis Melgarejo</t>
  </si>
  <si>
    <t>meses..,.......-,...........» 61. Doña María la. Cruz Ximeñez Barreras, por una vez............ 4. D. Luis Melgarejo, ministrOídel pojist jo jeaf de Jas Ordfnes,?en vales rea les,,, id *****-** **.^« *« « i:0m * Ctf«.AVi.V*Í *«*4 ■ *.**••**••# * ■ • «•***•»*'« ét. - X I* J^onx Juana &gt;Síib3^t^uj.</t>
  </si>
  <si>
    <t>Meliton de Cafranga</t>
  </si>
  <si>
    <t>diz.......... 300 2259 D. Joaquin Luis de Arechaga......................... Bilbao......... 300 465 D. Meliton de Cafranga.................!....?........... Bilbao......... 00o. 1337 D. Antonio Royo, del comercio..................i. Valencia..... 500 1209 D. Manuel de Náxera Represa y Mena df 1 •" ^ ^</t>
  </si>
  <si>
    <t>Menacho, Rafael</t>
  </si>
  <si>
    <t>Rafael Menacho</t>
  </si>
  <si>
    <t>l Príncipe y 4 piezas de artillería volante, todo al mando del comandante del citado de Campo Mayor D. Rafael Menacho; y el resto de la reserva lo dividió en dos secciones, la primera al mando del mariscal de campo D. Narciso de Pedro, compuesta del regimiento de dragones de Pavía, y de los de in</t>
  </si>
  <si>
    <t>Menachoé En, Rafael</t>
  </si>
  <si>
    <t>Rafael Menachoé En</t>
  </si>
  <si>
    <t>de caballería del Príncipe, y 4 piezas de artillería volante al mando del comandante de Campomayor D. Rafael Menachoé En seguida hice dos secciones de mi división, la una al cargo del general de Pedro , con los regimientos de granaderos Provinciales, Africa, Zaragoza , dragones de Pavía, y 4 piezas</t>
  </si>
  <si>
    <t>Mendéz Benegasi, Manuel</t>
  </si>
  <si>
    <t>Manuel Mendéz Benegasi</t>
  </si>
  <si>
    <t>el batallón de; voluntarios dé Barbastro se ha servido S. M. promor ver á teniente, al subteniente D. Manuel Mendéz Benegasi; y á'subteniente de bandera al cadete D. Juan Nepomuceno Saravia. . En América. En el regimiento provincial de infantería de Toluca se ha servido el Reí promover á capitán al teni</t>
  </si>
  <si>
    <t>Mendez, Antonio</t>
  </si>
  <si>
    <t>Antonio Mendez</t>
  </si>
  <si>
    <t>........... 6 o. D. Mariano Falco , 20 id. por 2 meses......................................... 40. D. Antonio Mendez, 20 id. por agosto........................................ 2 O. D. Manuel López y Marichavar, presbítero, 60 id. id.............. 60. D. Frutos Tenaquero, zapatero de cámara de S.</t>
  </si>
  <si>
    <t>Mendez, Benito</t>
  </si>
  <si>
    <t>Benito Mendez</t>
  </si>
  <si>
    <t>sa arbitrio de la nieve, id............ ..................................................... 1000* D. Benito Mendez, secretario de la junta superior de medicina, id............................................................................ .............. ........... feo. Juan Diaz de Lara, id.</t>
  </si>
  <si>
    <t>Mendez, Pedro</t>
  </si>
  <si>
    <t>Pedro Mendez</t>
  </si>
  <si>
    <t>sos* creación de i.° de mayo, nums. .388063,391007, 392918,393783 y 394239, sin mas firma que la de D. Pedro Mendez, y uno de 300 pesos de la misma creación, núm. 426962, sin otra firma-que la de D. Mateo Martínez; y no habiendo llegado estos á su destino, quien supiere su paradero se servirá a</t>
  </si>
  <si>
    <t>D. Julián, D. Juan y D. Joaquín Diez 12 camisas de crea.D. Santiago Colorainas 2j pares/de zaparos. D. Pedro Mendez 2 2 varas 'pañp/fflcgro;; ¿#4#$ Aljnsqnjeta 88 camisas de yiy^ro. D. P-5A. R.i 1,2 pares demedias deJanabjincas.La Excma. Sra. marquesa, de S. j Andrés -, viuda ide Éereua &gt; \y &lt;&amp;</t>
  </si>
  <si>
    <t>es, id.............................................. .............. ........... ;.----.... 2327 2§* D. Pedro Mendez, dependiente de la real compañía de la Havana , id............ ............... ,.............................. *.............................. 1500. Doñíi N., id..................</t>
  </si>
  <si>
    <t>Mendez, Santiago</t>
  </si>
  <si>
    <t>Santiago Mendez</t>
  </si>
  <si>
    <t>premios adjudicados: fueron los siguientes. Por lo tocante al ramo de dibuxo el 1.° de 700 rs. sj[ D. Santiago Mendez, de: Vigo , de edad de 1.7 años. El 2.0 de 500 á D. Francisco':Diaz Pedregal y Castro, de la misma edad. y vecindad. El 3de 300 á D.i Lorenzo Suarez, de i 6 años‘deedad. A D. Manu</t>
  </si>
  <si>
    <t>Mendía, Martín</t>
  </si>
  <si>
    <t>Martín Mendía</t>
  </si>
  <si>
    <t>arV intprésor, por Una vez.-.......,;........ . r6o.. Dona Juana rjeto, lid.«**•«*•«...«•«««««.200. D. Martin Mendía y id D. Miguel de Náxera, ageqte de los del número de Indias, en librámi^ntbs de intereses de vales reales de 807, id................ roro8. D.pMiguel ». H ' dé • t Axpe, ^ oficial</t>
  </si>
  <si>
    <t>Mendieta, Francisco</t>
  </si>
  <si>
    <t>Francisco Mendieta</t>
  </si>
  <si>
    <t>ha servido promover a mariscales de campo de sus exércitos á los brigadieres D. IJlises Albergotti, D. Francisco Mendieta , D. Ramón de Carvajal, D. Félix Jones, D. Miguel Salcedo, D. Pedro Adorno, Don Josef de Vargas y D. Cárlos Luxan , coroneles de los regimientos de infantería de Ñapóles , Rei, Es</t>
  </si>
  <si>
    <t>Mendinuera, Pedro</t>
  </si>
  <si>
    <t>Pedro Mendinuera</t>
  </si>
  <si>
    <t>ejo dé Hacienda: el marques de las Amarillas, consejero ae Estado, decano del consejo de la Guerra: D. Pedro Mendinuera, consejero de Estado, teniente general de tos reales exércitos: D. Arias Antonio Mon y Velarde, decano del consejo de Castilla, y su gobernador inteirino: el duque de Granada, pre</t>
  </si>
  <si>
    <t>Mendinueta, Pedro</t>
  </si>
  <si>
    <t>Pedro Mendinueta</t>
  </si>
  <si>
    <t>onde de Fioridablanca. Consejo de Guerra pleno extraordinario á 28 de setiembre de 1808. Excmo. Sr. D. Pedro Mendinueta. = Excmo. Sr. D. Antonio Luis del Real. = Excmo. Sr. D. Josef Vasallo. = Excmo. Sr. marques de Alcpcebar. = Sr? p. Josef Salazar. =Sr. D. Manuel Fernandez del Burgo. = Sr. D. Jose</t>
  </si>
  <si>
    <t>1.447 ba; y ha resuelto al mismo tiempo que el Sr. D. Pedro Mendinueta continúe exerciendo en todas sus partes las funciones del empleo de, inspector general de milicias. . i Continúan los donativos en dinero paira el exército de\Aragón, D. Estanisla</t>
  </si>
  <si>
    <t>Mendipuetá, María</t>
  </si>
  <si>
    <t>María Mendipuetá</t>
  </si>
  <si>
    <t>z 1 2 camisas. Doña María de la Presentación Garridocolegiala en el dé Legaiiés 9 6¿ •; -' Dia &lt;T.- Doña María Mendipuetá 6 camisas; D, Manuel González de Lobera y compañía5 42‘ varas y mjtdj3 dé paño azül turqur veíntiquátréno. Doña P. G!1 A. a'CamisáS' JoséF^aeriá^z.'Ddñía JfEsía ElHret una^^Dqña-M</t>
  </si>
  <si>
    <t>Menendez Caso Cobos, Pedro</t>
  </si>
  <si>
    <t>Pedro Menendez Caso Cobos</t>
  </si>
  <si>
    <t>os que exige la sociedad; la qual sin embargo acordó publicar sus nombres, que son- los siguientes: D. Pedro Menendez Caso Cobos, vecino del concejo de Laviana, tiene plantados y presos 532 nogales : Pedro Diaz Faes, del concejo de Alíer , tiene igualmente plantados y presos 7 5 nogales: Sebastian Zapico, d</t>
  </si>
  <si>
    <t>Menendez García, Pedro</t>
  </si>
  <si>
    <t>Pedro Menendez García</t>
  </si>
  <si>
    <t>Continuación de los donativos para vestir ell exéreito y otros usos titiles al mismo. Setiembre 19. D. Pedro Menendez García 15 varas de lienzo. Doña Alfonsa Ceuleman 4. D. Manuel Lacarra 2 camisas. D. Andrés Caballero 27. Doña Josefa Sanz 6. D. Manuel de Velasco 2 camisas y 14 varas de lienzo. D. Manue</t>
  </si>
  <si>
    <t>Menendez, Ignacio</t>
  </si>
  <si>
    <t>Ignacio Menendez</t>
  </si>
  <si>
    <t>lzosde esta corte, id. 2200. Doña Vicenta Cobo, un recibo de intereses de vales de 1800, id. 90 8f. D. Ignacio Menendez, comisario de entradas del Hospital general, id.................................. ................................................... 361. D. josef Rico de Arévalo, id............</t>
  </si>
  <si>
    <t>Menendez, Lorenzo</t>
  </si>
  <si>
    <t>Lorenzo Menendez</t>
  </si>
  <si>
    <t>s. mensuales...... 30. D. Tosef Sánchez, 10 rs. cada mes............i......... ............... . IO D. Lorenzo Menendez, dorador, por agosto á real diario.......... 31. D. Francisco de Paula Lobo , arcediano titular de Plasencia, por agosto á 10 rs. diarios....................................... ..</t>
  </si>
  <si>
    <t>Meneses, Juan</t>
  </si>
  <si>
    <t>Juan Meneses</t>
  </si>
  <si>
    <t>a de Fuensanta, que en todo compondrían'120 caballos; los tiradores de Cartagena de las partidas de D. Juan Meneses, D. Nicolás Henarejos y D. Josef Arredondo , y 100 hombres del segundo regimiento de voluntarios de Murcia. Toda esta infantería, á las órdenes del sargento mayor de dicho segundo</t>
  </si>
  <si>
    <t>Mengs, Antoñio Rafael</t>
  </si>
  <si>
    <t>Antoñio Rafael Mengs</t>
  </si>
  <si>
    <t>4 retratos de perscnages célebres, y con 27 cabeceras y finales : en pasta 174 rs. , . , , Obras de D. Antoñio Rafael Mengs: en 4.° marquida: en papel á 22 rs., -3 32 en pasta común, y 38 en fina. • Tratados de matemática , compuestos para la instrucción teórica de artífices de instrumentos astronómico</t>
  </si>
  <si>
    <t>Menguez, Juan Antonio</t>
  </si>
  <si>
    <t>Juan Antonio Menguez</t>
  </si>
  <si>
    <t>.7 Madrid......;. 500 755 D. Antonio Rodríguez y compañía.......... ........ Madrid ..!../ 300 1041 D. Juan Antonio Menguez..........................i...... Madrid../...;, iboo 24 él D. Pedro Cbrnel • Zaragoza.../ 21 $7 D. Juan Antonio Curbera........... ..... ..... -..... *, Gorunk. .I.í.v 300. 1049 D</t>
  </si>
  <si>
    <t>Menini, Juan</t>
  </si>
  <si>
    <t>Juan Menini</t>
  </si>
  <si>
    <t>óo rs. mensvules.. ^ 60; D. Sancho dé Llamas ,-deí consejó detiacienda\ mensuáilmen^b.:^.¡0206. Xi D. Juan Menini, cirujano hernista, mensual mente................ .100. ' (Se continuará.) F EN LA IMPRENTA REAL. - -..i</t>
  </si>
  <si>
    <t>Mercar, Antonio</t>
  </si>
  <si>
    <t>Antonio Mercar</t>
  </si>
  <si>
    <t>é . . . I24T ra: á D. Antonio Mercar, de Madrid rde 20 añós. Escultura: á D. Manuel Sancho, de id., de 13 años. Arquitectura? á D. Francisco Bermndez, de Torrelaguna, arzobispado de Toledo, de 25 años. Tercera clase.</t>
  </si>
  <si>
    <t>Mercat, Juan</t>
  </si>
  <si>
    <t>Juan Mercat</t>
  </si>
  <si>
    <t>... 500. Joaquín Fernandez, pastelero, id..................................................... 200. D. Juan Mercat, id....... ........................................................... 500. D. Joaquín Saenz López, del comercio, anualmente................... 3000. D. Antonio -Rodríguez de Aman</t>
  </si>
  <si>
    <t>Merino de Segovia, María</t>
  </si>
  <si>
    <t>María Merino de Segovia</t>
  </si>
  <si>
    <t>..... 1 Zaragoza.».. 500 .878 Doña María1 Manuela-Mutiozaval............. »»». Madrid, i»». 6gó 640 Doña María Merino de Segovia...»....... Madrid...... 500 2207 D. Cefeiriño^Arias..................................-........«. Coruña.».». 1500 244 D. Ambrosio de la Quadra, sargento mayor.. Burgos......... 30</t>
  </si>
  <si>
    <t>Merino, Francisco</t>
  </si>
  <si>
    <t>Francisco Merino</t>
  </si>
  <si>
    <t>mando de su¿ dignos gefesD. Juan Nacten, D. Josef de Moya, cuyo coronel ha muerto de^sus Eeridas , D. Francisco Merino , D. Francisco deoSierra y D. Melchor «le ia^Concha , se distinguieron por su valor y cons-* tanda, como igualmtnte' Di Francisco Ilenriquez, comandante do volunta-» tíos de : Añt</t>
  </si>
  <si>
    <t>Merino, Manuel</t>
  </si>
  <si>
    <t>Manuel Merino</t>
  </si>
  <si>
    <t>20. D. Alfonso de Alava, id....................................... ........................... 500. D. Manuel Merino, criado del Rei nuestro Señor, idL.*....... . '300* D. Miguel Ortiz de Rozas f en un vale real, id....ií.ó.................. 2162* Doña Balbina González , id........ .............</t>
  </si>
  <si>
    <t>Merino, Nicolás</t>
  </si>
  <si>
    <t>Nicolás Merino</t>
  </si>
  <si>
    <t>^ancivta,- cancmrgo' doctoral de' ella: para una radon d e PrcRr GrntdaiuTanrr'onmfe' par muerte de D. Nicolás Merino , á D: Ignacio Mariano de Aguílar; y para la mediarracion , que este dexa, á D. JosefMaría de larVega, cura en el obispado de Oaxaca. / i También se ha dignado S. M. nombrar para</t>
  </si>
  <si>
    <t>Merri</t>
  </si>
  <si>
    <t>Del mismo al mismo. Londres 2 de octubre de 180y. Yo tenia motivos para creer que había partido ya Mr. Merri, quando se presentó ayer mañana en mi casa para decirme que las noticias que acababa de recibir el gbbierno habían retardado su viage, y que Mr. Canning deseaba verme otra vez ant</t>
  </si>
  <si>
    <t>r á otro destino...... Mr. Canning concluyo diciéndome, que deseaba me aprovechase de la partida de Mr. Merri para estrechar á mi corte á una com^posicion , cuya negativa producida infaliblemente el rompimiento con la Suecia, y representarle la necesidad urgente de hacer un ajuste prelimi</t>
  </si>
  <si>
    <t>Mesa, Domingo</t>
  </si>
  <si>
    <t>Domingo Mesa</t>
  </si>
  <si>
    <t>. Rafapl Puente, alcalde del barrio de id. D. Manuel Bernabla, diputado eclesiástico de S. Plácido. D. Domingo Mesa, alcalde del barrio de id. D. Antonio María, Perez, secretario. D. Manuel Rodríguez , presbí-, tero r diputado de S. Nicolás. D. Agustín Michel, diputado de la Huerta del Bayo. D.</t>
  </si>
  <si>
    <t>Meseguer, Francisco</t>
  </si>
  <si>
    <t>Francisco Meseguer</t>
  </si>
  <si>
    <t>el Villar, explicando los fines de esta reunión periódica. I1? seguida el socio de mérito literario D. Francisco Meseguer leyó un resumen histórico de las tareas de la sociedad desde su creación en el año de 1777. Luego se leyeron dos discursos acerca de la utilidad del estudio de las ciencias natura</t>
  </si>
  <si>
    <t>Mesía de la Cerda, Carlos</t>
  </si>
  <si>
    <t>Carlos Mesía de la Cerda</t>
  </si>
  <si>
    <t>celona.... 500 501 D. Juan Josef de Yarraga............................... Bilbao......... 300 2407 D. Carlos Mesía de la Cerda.............. ............ Zaragoza..... 600 1027 D. Manuel Josef Marín y Borda.................... Madrid ....... 300 7$4 Excmo. Sr. Duque de Osuna..... .................... Madr</t>
  </si>
  <si>
    <t>Mesmain, Carlos</t>
  </si>
  <si>
    <t>Carlos Mesmain</t>
  </si>
  <si>
    <t>na vez 4© rtf. D. Josef Marcos Iglesias, por agosto á 20 rs. mensuales durante la guerra, 20. ' ; , D. Cárlos Mesmain, por id;, idv,&lt;2o. D. Marcelo de Ondarza, oficial' de la secretaría de Hacienda, por una vez 1100 rs. D. Ramón de Adurriaga, por id. 200. D. Pedro Madrid, por agosto á 2 rs. diari</t>
  </si>
  <si>
    <t>Mete</t>
  </si>
  <si>
    <t>de existen custodiados. * ’ :r Por providencia del tribunal del consulado de C£diz,.y escribanía,de D. Mete chor Nicolás Truxillo, se cita, llama y emplaza á qualquiera que se:considere con derecho al concurso de acreedores de D. Pedro Josef Martínez de Junquera, para que en el preciso</t>
  </si>
  <si>
    <t>Metri</t>
  </si>
  <si>
    <t>salido de' aqui un correo para España con pliegos para nuestro embaxador cerca de la suprema junta. Mr. Metri, que saldrá de aqui á la primera ocasión en calidad de embaxador cerca de la corte de Suecia , lleva plenos poderes para tratar con el Rei, en consecuencia de una conferencia de 3</t>
  </si>
  <si>
    <t>Mexía, Manuel</t>
  </si>
  <si>
    <t>Manuel Mexía</t>
  </si>
  <si>
    <t>icente Martínez, id............. ............................................................. 200. D. Manuel Mexía, escribano del colegio, á cuenta de 182 rs. por una vez............... .................................... ................................... 3*. D. Rafael de Yarza, oficial may</t>
  </si>
  <si>
    <t>Mi, Marquesa</t>
  </si>
  <si>
    <t>Marquesa Mi</t>
  </si>
  <si>
    <t>3^omqs,«.,4%J^xcinOír Sr* jConoc,;flc ^p^ré^*».iMa**M*»,*#««vj*****c^ * „ 2. 4~ , ’ s* Excma. Sra. Marquesa Mi,MalpiqavV.'...'.V.;.*.."'.-Va‘ *. '• i'• •• -]gxciiio. .Sr. marques-de '.VViL ;"..x’, Excmo. Sr. marques de Monasterio........v.„3 ^ 3 Excmo. Sr. conde de Moutarco................</t>
  </si>
  <si>
    <t>Micaela Fourdiniez</t>
  </si>
  <si>
    <t>rtínez Carranza 6* D. Félix Manzaneda 6. Doña Isabel Ilarranza 2. D. Rosendo Saturío 2. D. J. B. 3. Doña Micaela Fourdiniez y sus dos D. Agustín Sanz 2. hijas 4. D. J. Q. 2. D. Josef de la Torre 4. D. Pedro Arnaiz una. Doña Isabel Andrea Huésterlíng 12. D. Manuel Martínez de Aedo y Do­ Doña Cándida Iruet</t>
  </si>
  <si>
    <t>Micaela Luengo</t>
  </si>
  <si>
    <t>..................... . 500. D, Juan Mariano de Masguiarán.................................... jco. Doña Micaela Luengo........................ ........... ............... 100. D. León de Aitolaguirre.......... ........................................ 500. D. Jüan Antonio de Goftabarría............</t>
  </si>
  <si>
    <t>Micaela Ramona Nicolasa</t>
  </si>
  <si>
    <t>y otros usos titiles a este. Setiembre 26. Doña María Soria 2 camisas. D. Dámaso Santos Martínez 2. Doña Micaela Ramona Nicolasa 2. Doña Clara Sexti y Badan 6. Don Antonio Ribera 6 camisas de coruña. Las religiosas de las Vallecas 10. D. Josef Benitez 6. Doña Gertrudis Padella de Cano una. Doña María Ricart</t>
  </si>
  <si>
    <t>Micaela Roseílon</t>
  </si>
  <si>
    <t>atonera, viuda, una olla de campaña de cobre. Dia 22. D. Francisco del Campo, en nombre de su muger Doña Micaela Roseílon , 24 camisas y 6 sus criados. Doña Josefa Espina 4. María Josefa Díaz 4 pares de zapatos, y A. A. t camisa. D. Sebastian Illescas 2. D. M. S. 6. D. Jorge Palacios, intendente ,12.</t>
  </si>
  <si>
    <t>Micaela Sánchez</t>
  </si>
  <si>
    <t>d...;.......................................................... ............ ................. jco. Doña Micaela Sánchez , id................................ .................................. 100. El real colegio de Escribanos, Notarios de los reinos domiciliados en esta corte, en 1 vales de 600 pe</t>
  </si>
  <si>
    <t>Micaela Ugbicain y Joaquina de Cuevas</t>
  </si>
  <si>
    <t>Ignacio Agudo, id................ ........ ................................................ . 100. Doña Micaela Ugbicain y Doña Joaquina de Cuevas, id.......... 160. D. Josef Díaz, id......... ................................ ......... 20. Doña Manuela de Corres, en intereses de acciones, por una vez. ioooo. r Un religioso d</t>
  </si>
  <si>
    <t>Micaela Zuloaga</t>
  </si>
  <si>
    <t>. 74 Rs. Mrs. i D. T. Munarriz, por una vez................................... 366. Doña Micaela Zuloaga, en un Vitalicio, id........... ..................... 1295. Gaspar Martin ,. 30 rs. mensuales , por agosto y setiembre......... 60. Feliciano García , 20 id. por agosto...........</t>
  </si>
  <si>
    <t>Michel, Agustín</t>
  </si>
  <si>
    <t>Agustín Michel</t>
  </si>
  <si>
    <t>D. Antonio María, Perez, secretario. D. Manuel Rodríguez , presbí-, tero r diputado de S. Nicolás. D. Agustín Michel, diputado de la Huerta del Bayo. D. Andrés Grande, diputado id. D. Francisco Carreño , alcalde del &gt; barrio del Amor de Dios. D. Luis Gii Fernandez , del del Hospital general. ) D</t>
  </si>
  <si>
    <t>Michel, Juan</t>
  </si>
  <si>
    <t>Juan Michel</t>
  </si>
  <si>
    <t>......... ............. 172 ir* D. Domingo. Acosta, platero, por agosto á 10 rs. mensuales..... 10. D. Juan Michel» dependiente del marques de Villafranca, mensuaLmenteí...*.. ................................. ................ ...» D. Pedro Barbería, del comercio, por agosto á 6 rs. diarios...</t>
  </si>
  <si>
    <t>Michel, Pedro</t>
  </si>
  <si>
    <t>Pedro Michel</t>
  </si>
  <si>
    <t>............... 1200 24. Josef Añover, tendero, por una vez»..»;».»...........»»„............ 60. r D. Pedro Michel,' un vale-dinero de 150 pesos por una vez. ... 2316 -19. D. Luis Mulet, abogado del colegio, á cuenta de 3000 rs. póri - /1 úna vez..'....................... ........»..»»..»».»».</t>
  </si>
  <si>
    <t>Micoud-d’ Umons</t>
  </si>
  <si>
    <t>e nuevo sobre el Mosa con los escombros de la catedral que quedó destruida el año 1794. El prefecto Mr. Micoud-d’ Umons colocó el 4 de éste mes con gran ceremonia la primera piedra de esta obra. S. A. I. el Príncipe virei de Italia ha declarado puertos francos el de Ancona y el de Sinigaglia, como</t>
  </si>
  <si>
    <t>Miel de las Guas y de Francisca Rodríguez, Martín</t>
  </si>
  <si>
    <t>Martín Miel de las Guas y de Francisca Rodríguez</t>
  </si>
  <si>
    <t>de la parroquia de Sta. Olalla de Fregulce , en el obispado de Mondoñedo, reino de Galicia, hijo de D. Martin Miel de las Guas y de Doña Francisca Rodríguez, naturales y vecinos que fueron de la misma parroquia, para que al término de 15 dias precisos y perentorios, contados desde esta publicación , acudan ante dicho señor por el ofic</t>
  </si>
  <si>
    <t>Mignel González de Lobera</t>
  </si>
  <si>
    <t>. D. F. I. M., id....... ........................................... ........................ 1100. D. Mignel González de Lobera, id.......... .................................... 160. D. Antonio Becerril, un real diario, y 320, id........................... 320. D. Hilarión Salcedo, un libramiento contra l</t>
  </si>
  <si>
    <t>Migue</t>
  </si>
  <si>
    <t>éft años. Palacio 13 de junio de 1808. =sPor ausencia del Sr. D. Migue! Josef de A zanza, Ped ro de Cifuentes. 2= Sr. Decano del consejo. Para dar á la agricultura el fomento necesario á la prosperidad del reí-* no» y que mis amados vasallosempiecen</t>
  </si>
  <si>
    <t>ermandei, y este al de D. Manuel Ximenez. Quien supiere de su paradero, se servirá avisarlo á dicho D, Migue-! Joaquín Esquiu, en la referida ciudad de Zaragoza. ,• : Habiéndose empezado -ya la impresión del Almanak mercantil del año próximo y deseando el editor la mayor exactitud posible</t>
  </si>
  <si>
    <t>Miguel Gonzalo</t>
  </si>
  <si>
    <t>ante el.Sr. D. Leon.de Sagasta, teniente corregidor de ésta villa, por la escribanía del número de D. Miguel Gonzalo. ■ ' Avisos. Se halla vacante la plaza de maestro de primeras letras de la villa, de Seseña, provincia de Madrid: su dotación es de 2200 rs. anuales, cobrados mensual mente, y ade</t>
  </si>
  <si>
    <t>Migúer de Górdon, Jórge</t>
  </si>
  <si>
    <t>Jórge Migúer de Górdon</t>
  </si>
  <si>
    <t>estazgo de Madrid, en la diócesi de; Toledo, vácante por ‘fallecimiento de D. Cristóbal Qotdori!, á D. Jórge Migúer dé Górdon 5 y para el beneficio^ servidero de la parroquia de S. Pedro' de la •ciudad' dé Carmoña, én la diócesi de Sevi-r. llaVnuevamente' erigido pbr'el plan; benefiáiál de aquel arzobisp</t>
  </si>
  <si>
    <t>Miians, Francisco</t>
  </si>
  <si>
    <t>Francisco Miians</t>
  </si>
  <si>
    <t>recibido dos partes , el une del mariscal de campo conde de Cal* ti;.dagués, y el otro del coronel D. Francisco Miians , qué son los! siguientes: - 7s,vExcmó. Sr. En oficio que ayer remití •áí'VvE. por la posta; lemoriciaba que k&gt;s énemigosise; fortificaban mas* en Si Pedro. Márttrt enéfectd hasta</t>
  </si>
  <si>
    <t>Miíans, Francisco</t>
  </si>
  <si>
    <t>Francisco Miíans</t>
  </si>
  <si>
    <t>neral de ViJlafranca' recibida el 14. asegura que en el campamento de Moneada, al mando del coronel D. Francisco Miíans, hacia tres dias que había un fuego terrible y que se ignoraba entónces el resultado.. Támbien- hemos visto carta del campamento de S. Ge¿ róáimo de Ja Murta con fecha del 9. que</t>
  </si>
  <si>
    <t>Miiñoz, Bartolomé</t>
  </si>
  <si>
    <t>Bartolomé Miiñoz</t>
  </si>
  <si>
    <t>u partido, dándome aviso de su recibo. Dios guarde á V. muchos años. Madrid 12 de agosto de 1808. = Don Bartolomé Miiñoz. Por el supremo consejo de Castilla se ha expedido la real provisión seguiente: “• ,rD. Fernando vii, por la gracia de Dios &amp;c. A.vos los corregidores1, alcaldes mayores, justicia</t>
  </si>
  <si>
    <t>Milans del Bosch, Francisco</t>
  </si>
  <si>
    <t>Francisco Milans del Bosch</t>
  </si>
  <si>
    <t>as armas del Rei. En este caso se hallan D. Narciso de la Valeta , comandante del 2.0 de Barcelona; D. Francisco Milans del Bosch , teniente coronel del fixo de Ceuta; D. Juan O Donovan, comandante del 2.0 batallón de Ultonia; D. Henrique O-Donnell, sargento mayor del mismo cuerpo, que ha sido herido ; D. Ju</t>
  </si>
  <si>
    <t>fecha del 15. del corriente, del coronel y comandante del campamento cie^S. Gerónimo de la Murtra, Don Francisco Milans del Bosch, en el que entre otras cosas dice, que habiendo visto una órden, que los regidores de la villa de Bsdalcna la presentaron, por ia que los franceses les mandaban aprontasen cierta</t>
  </si>
  <si>
    <t>Milans, Francisco</t>
  </si>
  <si>
    <t>Francisco Milans</t>
  </si>
  <si>
    <t>e. Este digno gefe dispuso su marcha en quatro divisiones; la primera al mando del teniente coronel D. Francisco Milans con 500 hombres para el servició de guerrillas y vanguardia: segttfán 50 zapadores reales al mando de D. Honorato de Fleires, 2 violentos al del teniente del real cuerpo de artill</t>
  </si>
  <si>
    <t>rte por ellos mismos. Los pocos que pudieron librarse en esta acción fueron perseguidos todavía por D. Francisco Milans y gente de su mando con tan feliz suceso que han llegado pocos á Barcelona, y estos mui estropeados. (Diario de Lérida núm* 36*) Madrid 7 de setiembre. Exposición del Excmo. Sr. D.</t>
  </si>
  <si>
    <t>falucho francés,, que llevaba pliegos á Barcelona. Jos quaíes quedan ya en poder de nuestro general D. Francisco Milans.1'’ Posteriormente han. llegado aquí personas fidedignas de dicho campamento, y aseguran que el 14, fue atacado nuestro exército por tres gruesas columnas de infantería y caballer</t>
  </si>
  <si>
    <t>Míllana, Manuel</t>
  </si>
  <si>
    <t>Manuel Míllana</t>
  </si>
  <si>
    <t>. mensuales........................... .......................................... ........... 1500. D. Manuel Míllana, por agosto á 20 rs. mensuales..................... 20. D. Juan Antonio Cadenas, por dos meses á 20 rs. cada uno..,. 40. Los 114 individuos de la contaduría general de Consolidaci</t>
  </si>
  <si>
    <t>Millau, Francisco</t>
  </si>
  <si>
    <t>Francisco Millau</t>
  </si>
  <si>
    <t>n de maxiíia D. Antonio Barrientos, el comisario provincial del real cuerpo de artillería de marina D. Francisco Millau ,y el comandante del puerto y de la fragata Proserpina D. Josef Salazar, á las 10 de la mañana de este dia, prestaron ante dicho señor capitán general el juramento de fidelidad á</t>
  </si>
  <si>
    <t>Milloradovich</t>
  </si>
  <si>
    <t>cos de á caballo, que levantó este Príncipe para mantener la tranquilidad interior de la provincia. Mr. Milloradovich, coronel de</t>
  </si>
  <si>
    <t>Miña, Andrés</t>
  </si>
  <si>
    <t>Andrés Miña</t>
  </si>
  <si>
    <t>en Madrid las tropas cfceí exército de Andalucía. El mismo día llegaron á dicha villa el Excmo. Sr. D. Andrés Miña no de las Casas, cornisionado de esta Suprema Junta en el exército, y el Excmo» S. General en xefe D. Francisco Xavier Castaños-. Las circunstancias de su entrada se reterirán en</t>
  </si>
  <si>
    <t>Miñano, Andrés</t>
  </si>
  <si>
    <t>Andrés Miñano</t>
  </si>
  <si>
    <t>a villa de Madrid los Excmos, Sres. IX F ranche o Xavier Castaños, nuestro digno general en xefe, y D. Andrés Miñano y ias Casas, vocal de esta Suprema Junta, quienes siguen Ja banguardia de nuestro exército, q,ue juagamos haya entrado en dicha villa el mismo Ldnes. Se previene al Público que 13.</t>
  </si>
  <si>
    <t>Minguet, Pablo</t>
  </si>
  <si>
    <t>Pablo Minguet</t>
  </si>
  <si>
    <t>ófó'S; ¡ f- •1 tí. Mañuél Jósefde Ribáfcbbay Gor- D. Pedro Navarro 3. , - vea 1)2, camisas.' : .... D. Pablo Minguet una. v:r;-' '/ .Doña María Anselma de Vacas uñar. Doña Ñ. úna.1 f: - f D. Isidro Gaspar de Aranzazuj. D. Leandro Sandoval y su escribienDoñá María Nicolasa .Montero 2. v te D. Ram</t>
  </si>
  <si>
    <t>ministro Can-ning</t>
  </si>
  <si>
    <t>orridos ni de un modo mezquino, ni con miras mercantiles ni mer- * cenarías. El ministro Can-ning contestó; se lisongeaba no Labia individuo que fuese capaz de imaginar, que la Inglaterra faltase á deberes , que las mas augustas circuns</t>
  </si>
  <si>
    <t>ministro Canaing</t>
  </si>
  <si>
    <t>el actual estado de los negocios. Los diputados españoles tienen audiencia del ministro Canaing casi todos los dias. La conferencia de ayer duro mas de 4 horas* ESPAÑA. Oviedo 29 d* Agoito» Josef Napoleón» ántes de entrar en España, recibió en empréstiso</t>
  </si>
  <si>
    <t>ministro Canning</t>
  </si>
  <si>
    <t>y&gt; municiones, de que necesitemos para la defensa de. nuestra, justa causa. El ministro Canning ha formado</t>
  </si>
  <si>
    <t>Ministro Cevallos</t>
  </si>
  <si>
    <t>s fuéron despreciadas como antes estas ofertas, y habiendo tomado la palabra el Ministro Cevallos reconvino al Emperador por principios de diplomacia, contestación que duró cinco quartos de hora; mas nada consiguió; antes el Emperador mandó que se retirase.</t>
  </si>
  <si>
    <t>ministro Champagni</t>
  </si>
  <si>
    <t>434 entregó los pliegos que llevaba de nuestro gobierno al ministro Champagni y al embajador de Rusia, y el miércoles en la tarde se le entregaron las respectivas contesuci mes para Canning, secretario de estado de nuestro miv nisterio. Co</t>
  </si>
  <si>
    <t>ministro Ghampag</t>
  </si>
  <si>
    <t>príncipes de Neufchatel y dé^BéneVentb, lsu cabalíerizo mayor Caulaincourt, el ministro Ghampag^1 secretario de estado :M¡árét. Entré los principales(oficiales franceses sé’óueíítán lós ¿¿¿riscales Lannes, Mortier y Dufoc, con muchos generales y oficiales</t>
  </si>
  <si>
    <t>ministro Labrador</t>
  </si>
  <si>
    <t>2f él ministro Labrador en l#s principios de Cevallos, mas ai fin se decretó la extinción de la Dinastía,y á Fernando Séptimo se le dieron seis horas para la renuncia. Esta se reduce á</t>
  </si>
  <si>
    <t>ministro Lu</t>
  </si>
  <si>
    <t>a paz, cuyo ajuste debe ser tanto mas fácil, quanto por confesión de los mismos ministros Lu</t>
  </si>
  <si>
    <t>ministro Mr</t>
  </si>
  <si>
    <t>llegado de Londres no ha traído lospliegOR que esperaba el gobierno de nuestro ministro Mr. Monroe: solamente, se. sábe que el 7 de setiembre presentó una nota áMr. Cannirtg, en laqual, pon arreglo á las instrucciones que habia recibido por la Rcveng</t>
  </si>
  <si>
    <t>xtraordinario en América, ha venido á bordo del Statira, en compañía de nuestro ministro Mr. Erskine¡. Mr. Rose ha dado al gobierno de los Estados-Unidos las explicaciones debidas sobre el. asunto de los marineros americanos tomados de la..fragata la</t>
  </si>
  <si>
    <t>nsejero de hacienda que ha ido áfKónigsberg, hace causa común con Mr. Beime. El ministro Mr. de yoss, que había venido aqui para tratar con el gobernador de esta ciudad; en lugar de Mr. de Stein, ha marchado á Haselberg, donde hace las veces de decano</t>
  </si>
  <si>
    <t>iembre, se confirma en el articulo de Viena la noticia de haber llegado nuestro ministro Mr. Alan el 19 de Octubre á las cercanías da Coistantinopla , donde al momento entabló la negociación pata dar ü 1 á las hostilidades entre ingleses y turcos. Nue</t>
  </si>
  <si>
    <t>ministro Portalis</t>
  </si>
  <si>
    <t>derribada en uno de Jos alborotos de la revolución ; y á propuesta del difunto ministro Portalis ha sido ahora restablecida por decreto de S. M. I. y R. La carta que con este motivo escribió en 9 de octubre de 1807 al cardenal de Belloi el consejero de est</t>
  </si>
  <si>
    <t>ministro Salicetti</t>
  </si>
  <si>
    <t>ión que eh la nócbefídel. yp.af ji de eñerp .destyiyó aparte del pala?* ció del ministro Salicetti. En un hueco abierto en un muro interior contiguo al palacio del ministro se hat&gt;ia colocado una máquina incendiaria traída de una de las islas ocupadas vp©V,</t>
  </si>
  <si>
    <t>Ministro Secretario de Estado</t>
  </si>
  <si>
    <t>que se cumpla como ley del Estado.—Firmado — Naeoleon. r=Por el Emperador ,j¿l Ministro Secretario de Estado, litigues B. Maret. Extracto de las Minutas de la Secretaría de Estado. En nuestro campo Imperial de Madrid d 4 de Diciembre de 1808. Nvpoleon , Emperador de l</t>
  </si>
  <si>
    <t>que se cumpla como ley del Estado.■= Ehmado = Napolron. = Por el Emperador, el Ministro Secretario de Estado, Mugues B. Maret. Extracto de las Minutas de la Secretaría de Estado. En nuestro campo Imperial de Madrid d 4 de Diciembre de 1808. Napoleón, Emperador de los</t>
  </si>
  <si>
    <t>ue se cumpla como ley del Estado. = Firmado ;= Napoleón. = Por el Emperador, el Ministro Secretario de Estado, litigues B. Maret. Extracto de las Minutas de la Secretaría de Estado. Fn nuestro campo Imperial de Madrid d 4 de Diciembre de r8o8. Napoleón , Emperador dp l</t>
  </si>
  <si>
    <t>al dé Madrid á 7 de Diciembre de 18© tnado =5 Napoleón. = Por el Emperador , el Ministro Secretario de Estado,, Hugues; B. Maret,. Exento. Sr.: Las ocurrencias del día, reducidas á que nuestro exércitode la Navarra y Rioja, ai mandó del General Castaños, se halla en pr</t>
  </si>
  <si>
    <t>ministro Stadioc</t>
  </si>
  <si>
    <t>arenga, se retiró si* contestar una sílab3, é hizo decir á Andreossy que por el ministro Stadioc recibiría su respuesta. A las tres horas se presentó el Emhaxador á dicho ministro, y explicado el motivo de su visita se le contestó ,, que S. M. el Em,, pera</t>
  </si>
  <si>
    <t>ministro Vial</t>
  </si>
  <si>
    <t>tado nuestro afortunado pais, no le abandonen jamas! ” El Exctno. Sr. general y ministro Vial ha salido de aqui el 3 del corriente para Lucerna para asistir á la abertura de la dieta, que ha de celebrarse en aquella ciudad; y hecho esto, se dirigirá á P</t>
  </si>
  <si>
    <t>Miquelez, Manuel</t>
  </si>
  <si>
    <t>Manuel Miquelez</t>
  </si>
  <si>
    <t>................ ........... 75 D. Francisco Ferrer, oficial de la Nunciatura, 20 rs. cada mes. 20. D. Manuel Miquelez, ayuda de cocina del Reí ,10 rs. cada mes. 10. D. Josef María de Ormaegui, capellán de las señoras comendadoras, 60 rs. mensuales.............. ...................... ....... .s..</t>
  </si>
  <si>
    <t>Miquelini, Gaspar</t>
  </si>
  <si>
    <t>Gaspar Miquelini</t>
  </si>
  <si>
    <t>a y Vera , empleado en la imprenta de la compañía de libreros.»»....»»..».......... ........ . 100. D. Gaspar Miquelini, dependiente de la guardaropa del Reí, por .una vez.«.............................. «....... .......... .......v..........»..;.., 300. D. Angel María Tadei, pintor, por una vez...</t>
  </si>
  <si>
    <t>Miralles, Francisco</t>
  </si>
  <si>
    <t>Francisco Miralles</t>
  </si>
  <si>
    <t>agona, vacante por renuncia de D. Félix Torres de Amat, canónigo de la colegiata de S. Ildefonso: á D. Francisco Miralles para otra capellanía, vacante en. la parroquia de Sta. María del Mar de Barcelona por promoción de D. Miguel Casset á un beneficio de aquella catedral: á D. Josef Llinas para una</t>
  </si>
  <si>
    <t>Miranda, Cayetano</t>
  </si>
  <si>
    <t>Cayetano Miranda</t>
  </si>
  <si>
    <t>mismas precauciones; y entre las varias descubiertas que hizo salir, la mandada por el subteniente D. Cayetano Miranda, del batallón de Campomayor, que se dirigia por el camino de Mendavia, encontró á poca distancia de Logroño una partida de 6© caballos enemigos , mandada, según se ha sabido déspu</t>
  </si>
  <si>
    <t>mente á los del regimiento de Borbon Gómez y Loscertaies con su tropa, al subteniente de Campomayor D. Cayetano Miranda, y al sargento del mismo cuerpo Tomas Leal. ,,Dios guarde á V. A. S. muchos años.’ Quartel general de Agreda 1*5 de octubre de i8o8. = Sermo. Sr.=Xavier de Castaños.=Serano. Sr. c</t>
  </si>
  <si>
    <t>e, camino de? Mendavia;. con otra- partida del batallón de Campo-mayor,. que mandaba el subteniente D. Cayetano Miranda,, quien habiendo encontrado 60*.. soldados de caballería francesa, les acometió, con tal intrepidez; que los hizo huir, dexándose dos prisioneros con sus caballos. En ninguna elee</t>
  </si>
  <si>
    <t>Miranda, Pedro</t>
  </si>
  <si>
    <t>Pedro Miranda</t>
  </si>
  <si>
    <t>d, habiendo seguido la división desde Niborg hasta esta isla. Idem de la Princesa. Teniente coronel D. Pedro Miranda, en Paris: comisionado para el vestuario de los cuerpos de la división. Capitán D. Juan Gómez de Ostos; tenientes D. Manuel de Giria y Don Pascual Canut, en Hamburgo: nombrados po</t>
  </si>
  <si>
    <t>Mirbel</t>
  </si>
  <si>
    <t>strales de todas las escuelas modernas de pintura. Allí residirán baxo la inspección y dirección de Mr. Mirbel. El discurso siguiente es el que pronunció S. M. en lengua holandesa el lunes 26 de abril en la función que se hizo para . solemnizar el cumpleaños de la fundación de la orden rea</t>
  </si>
  <si>
    <t>Modesta Antonia de Bringas</t>
  </si>
  <si>
    <t>. 1500 222 D. Josef de Olaegui............................................. Alicante...... 300 1579 Doña Modesta Antonia de Bringas................... Bilbao.......... 30a 1836 D. Esteban Die..................................................... Zaragoza..... 500 2134 D. Pedro Laño..............................</t>
  </si>
  <si>
    <t>Mógrovejo, Melchor</t>
  </si>
  <si>
    <t>Melchor Mógrovejo</t>
  </si>
  <si>
    <t>, - ,JJ / _ ■•1 'J ■r7 ' ■ ' i : ■ :___ 'm regimienl ■ to de infantería de Jaén al sargento primero D. Melchor Mógrovejo; y en el dé voluntarios de Castilla ai cadete D. Mariano Niu.bó y Maura. En ei regimiento dé caballería del Infante se ha servido S. Mi conceder ; tenencia al alférez D. Andrés Mi</t>
  </si>
  <si>
    <t>Móíinj, Manuel</t>
  </si>
  <si>
    <t>Manuel Móíinj</t>
  </si>
  <si>
    <t>^ ¡tenén^i^i al d&amp;S&amp;r naderos X). M¿mgel Jubera,. y ;subtenenc ia de .bandera* 3! sargento primerf D. Manuel Móíinj:. en el de^Navarra-,ppmpaíUáfai^pf^rit^.dp granaderos* graduado de .capitán ,j i}.*/Ramón J$engeÍ.£ Y¡M ct: 4e»Hjjfeni^ subtenencia de.t^ndeya'al^fj^te.-P^Josef l¡Ía¿ía!|55ntipfi?</t>
  </si>
  <si>
    <t>Moino, Vicente</t>
  </si>
  <si>
    <t>Vicente Moino</t>
  </si>
  <si>
    <t>...................... 180. Antonio de Arribas ,¡4$! comercio de libros, 20 id. por 3 meses. 6.0. * D. Vicente Moino, 1»$ id. por 2 id........................... . ■ 3 ©« Juan Fernandez, 30 id. por 6 id....... ................................... ........ 180. Domingo Quiñones,40 id. por agosto..</t>
  </si>
  <si>
    <t>Moira, Lord</t>
  </si>
  <si>
    <t>Lord Moira</t>
  </si>
  <si>
    <t>gura ; y allí era donde debían enviarse tropas, caso que se creyese útil enviarlas á algún punto.”—-Lord Moira hizo después un elogio del exército ruso, alabando su valor y sufrimiento; pero á su parecer no estaba todavía en estado de poder lidiar con los franceses. La cámara aprobó la pro</t>
  </si>
  <si>
    <t>y ventajas de que gozan I05 protestantes. La representación traia trn -número infinito de firmas.. Lord Moira contestó que estaba mui convencido de la justicia de" la petición de los católicos ; pero que no era tiempo oportuno para ventilar este negocio. Sin embargo, lord Greñviiie.consig</t>
  </si>
  <si>
    <t>ias y ventajas de que gozan los protestantes. La representación traía un número infinito de firmas. Lord Moira contestó que estaba</t>
  </si>
  <si>
    <t>'á-sieíflpre'el ihismbrrpeiigiñó’én darles entrada á lóS émpleoS'superio^és^-;^7 *&gt;1 r. c r. : ¡n y Lord Moira dixo que hubiera sido conveniente diferir para qtró tieYnpo esta discusión; pero que ya que se habia hecho lp propuesta ,, creía propio de su deber el apoyarla"que era preciso' pe</t>
  </si>
  <si>
    <t>Mol, Antonio</t>
  </si>
  <si>
    <t>Antonio Mol</t>
  </si>
  <si>
    <t>pas de esta acción 6 def.-nsa han sido el batallón de reales guardias Valonas, al mando del coronel D. Antonio Mol: los 2 batallones primero y segundo del regimiento de Irlanda, al mando de su teniente coronel el coronel conde de Ibeargh : el primero y tercero del de Jaén, al mando del tenient</t>
  </si>
  <si>
    <t>Molina, Antonio</t>
  </si>
  <si>
    <t>Antonio Molina</t>
  </si>
  <si>
    <t>amonte, que traían á bordo 61, franceses, hechos prisioneros en el Algarbe, y que vénian á cargo de D. Antonio Molina, capitán del regimiento de Córdoba, con la escolta de 17. soldados del de Murcia. Parece que se piensa en trasladar i Ceuta y Mallorca los prisioneros franceses de la esquadra. ¡</t>
  </si>
  <si>
    <t>Molina, Juan Francisco</t>
  </si>
  <si>
    <t>Juan Francisco Molina</t>
  </si>
  <si>
    <t>e S.'Juan.-'D. Melchor Gómez de la Torre, diputado de t)oña María de Aragón. D. Francisco Villegas. D. Juan Francisco Molina* pretvbítero. D. Ignacio Guerra. D. Mam e) Ramos. D. Pedro Ezquerra, secretario de la diputación de S. Gines. D. Diego Crespo, diputado de Santa Cruz. D. Andrés Ortiz id. D. Felic</t>
  </si>
  <si>
    <t>Mollinedo, Antonio</t>
  </si>
  <si>
    <t>Antonio Mollinedo</t>
  </si>
  <si>
    <t>ntinúan los donativos y ofertas voluntarias que constan en el bañe9 nacional de S. Carlos. Rs. Mra. D. Antonio Mollinedo, ballestero de S. M., en tres boletas de casa real , por una vez.................................................... ............ . 2199 33. D.-Juan Manuel Ruiz de Bilbao, oficial</t>
  </si>
  <si>
    <t>rovisiones, en intereses de vales reales del año de 1800 id......... . ..................... . 992* D. Antonio Mollinedo, id................ ,,....... ................................. 500* D. Josef Ramos y Cerda, escribano de S. M., en intereses de vales reales de los años 1800 y 1807 id...........</t>
  </si>
  <si>
    <t>Moltke</t>
  </si>
  <si>
    <t>r que hai de cierto entre tantas noticias contradictorias como corren sobre la materia. Se sabe que Mr. Moltke, embaxador de Dinamarca, y Mr. Thornton, ministro de Inglaterra, tuvieron en 24 de enero su primera audiencia del Reí Gustavo ¿ y que inmediatamente después asistieron ambos á la</t>
  </si>
  <si>
    <t>Monasterio, Diego Alonso</t>
  </si>
  <si>
    <t>Diego Alonso Monasterio</t>
  </si>
  <si>
    <t>alle, caballerizo de campo de S. M., por agosto á 40 rs. mensuales.... .................. ./... 40* D. Diego Alonso Monasterio, por agosto á 16 rs. mensuales.. 16. D. Manuel Gutiérrez de Rozas, del comercio, por agosto á 60 rs. mensuales....................... .............................................</t>
  </si>
  <si>
    <t>Mondragon, Joaquín</t>
  </si>
  <si>
    <t>Joaquín Mondragon</t>
  </si>
  <si>
    <t>capitán al teniente de granaderos D. Juan de Dios Ortega: á teniente ds granaderos ai de fusileros D. Joaquín Mondragon : á teniente al subteniente de granaderos D. Josef Ignacio García Illue</t>
  </si>
  <si>
    <t>Monet, Juan</t>
  </si>
  <si>
    <t>Juan Monet</t>
  </si>
  <si>
    <t>na fué herido igualmente el 16 el capitán D. Santos García. Los tenientes del regimiento de Irlanda D. Juan Monet y D. Josef Moreno, con ei subteniente del mismo cuerpo -D. Francisco Carmelet, lo haa sido también el dia 19 del corriente....... .... En el mismo dia 19 fueron muertos eri la acción</t>
  </si>
  <si>
    <t>Monfort y Viergol, Pedro</t>
  </si>
  <si>
    <t>Pedro Monfort y Viergol</t>
  </si>
  <si>
    <t>la Casa aposento, 30 id., por agosto............................... .v......... .................. D. Pedro Monfort y Viergol , contador mayor; de Propios, y Sisas, 120 id. id.................................................. ............................. 120. D.-Julián Alvarez Castañon, oficial de,la co</t>
  </si>
  <si>
    <t>Monjouan</t>
  </si>
  <si>
    <t>l dia 29. Hemos apresado á l’Espiegle, corbeta francesa con 16 cañones y 85 hombres , comandada por Mr. Monjouan, capitán de. fragata, que hace 6 dias dio vela de 1’Oriente con órdenes secretas. SUECIA, Gothenburgo 27 de agosto. Por un buque americano que parlamentó el día 12 con la escuadra</t>
  </si>
  <si>
    <t>Monroe</t>
  </si>
  <si>
    <t>ó felizmente recoger los 43' hombres á su bordo. —Las noticias que trae ae América se reducen á que Mr. Monroe, embaxador de los Estados-Unidos en Inglaterra, estaba de vuelta el 14 de diciembre: los papeles públicos referian que el senado y cámara del congreso estaban reunidos desde aquel</t>
  </si>
  <si>
    <t>rreo que ha llegado de Londres no ha traído lospliegOR que esperaba el gobierno de nuestro ministro Mr. Monroe: solamente, se. sábe que el 7 de setiembre presentó una nota áMr. Cannirtg, en laqual, pon arreglo á las instrucciones que habia recibido por la Rcvenge, exponía de nuevo todos lo</t>
  </si>
  <si>
    <t>la próxima elección del presidente de los Estados. Mr. Madisson tuvo 83 votos para la presidencia: Mr. Monroe tuvo 3 , y otros tantos Mr. Clinton. Este último fue elegido unánimemente para la vice-presidencia» El enviado ingles Mr. Rose ha propuesto que antes de darse principio á la negoc</t>
  </si>
  <si>
    <t>a. El gabinete británico, después dé varias, tergiversaciones, y con mucha doblez, anunció ea fin á Mr. Monroe su intención de enviar á la América un ministro particular, encargado de altanar todas las dificultades que había entre las dos naciones. El resultado de la comisión de Mr. Rose n</t>
  </si>
  <si>
    <t>Monroi, Ramón</t>
  </si>
  <si>
    <t>Ramón Monroi</t>
  </si>
  <si>
    <t>e Castilla, sus 6 cubiertos de plata, y 60 rs. mensuales ínterin las circunstancias: por agosto 60. D. Ramón Monroi, por una vez 150 rs. ' D. Juan Josef de Gamboa, contador del nóvenb1, sin . perjuicio! de 30 rsl diarios durante la. guerra, por.una vez 33:00. . . ' [ D. Manuel Velasco, mayordom</t>
  </si>
  <si>
    <t>Monroi, Tomás</t>
  </si>
  <si>
    <t>Tomás Monroi</t>
  </si>
  <si>
    <t>tes D. Vicente S. Pedro, D. Cosme Montanaro, D, Felipe Alvarez, y los cadetes D. Mariano Buendica, D. Tomas Monroi y D. Joaquín Clavijo, con la tropa, se reunieron, sin saber aquella determinación por haber estado algunos de ellos en la guardia, donde no era fácil separarse, y salieron para Vitori</t>
  </si>
  <si>
    <t>Monsalve, Francisco</t>
  </si>
  <si>
    <t>Francisco Monsalve</t>
  </si>
  <si>
    <t>Peralta................................ Cádiz........... 500 1433 Lorenzo del Castillo y compañía y D. Francisco Monsalve................................................. Málaga^...... 30a 1585 D. Ruperto de Mugabazu.................................. Wiu-r" Xíi i- •••••••» 500 207 Doña María Concepci</t>
  </si>
  <si>
    <t>Montaos, Manuel</t>
  </si>
  <si>
    <t>Manuel Montaos</t>
  </si>
  <si>
    <t>o. D. Pedro Roldan. D. -Francisco Taona. D. María-* no Blancas. D. Julián* de ¥uenté$¡' Dij&gt;ütados: D. Manuel Montaos. D., Juan * Madrid Dávilá. D. Matías Bayo. í). Fránciséo-Villa;' D* Juan Ramón Maf-1 tú te. D. Jüan Matías Satini, Óí Jtrán Josef de Dringas, prdcúrad&amp;f&gt;géñefai^ D. Felipe Somóz*,</t>
  </si>
  <si>
    <t>l Sr. D. Pedro de Mora y Lomas, corregidor ; D. Juan de Castañedo, regidor; D. Juan Xaramillo, id.; D. Manuel Montaos, diputado del común; D. Matías Bayo, id.; D. Juan Josef de Bringas , procurador general; D. Mateo Norzagarai, personero del común. Diputación del estad» eclesiárHco regular. Fr. E</t>
  </si>
  <si>
    <t>Montecasini, Lorenzo</t>
  </si>
  <si>
    <t>Lorenzo Montecasini</t>
  </si>
  <si>
    <t>feliz advenimiento al trono de las Dos-Sicilias. En el mismo día $. M. dio audiencia de despedida á Mr. Lorenzo Montecasini, enviado extraordinario y ministro plenipotenciario de SS. AA. II. y RR. los príncipes dé Lúea. IMPERIO FRANCES. París ig de diciembre. t Continúa el discurso al consejo de Estado</t>
  </si>
  <si>
    <t>Montemayor, Juan Antonio</t>
  </si>
  <si>
    <t>Juan Antonio Montemayor</t>
  </si>
  <si>
    <t>camisas. Mendoza 2. '•-f ' ■ :' 4 D. Manuel Galvez 6 y 12 vendas¿ 1 DoiJ&lt;Ksbfi.TÍo dantos 3. ' j ! D. Juan Antonio Montemayor ó^ CaLa marquesa de Pesadilla , condesa misas;. " ’ 0 ' : • -"• t ’;i de Canillas, 24; :i • D. Damián de Isási una. r D. Juan Pie 4. * ‘ D. Ped ro Morerio1 Lombardo ti? Doña Casil</t>
  </si>
  <si>
    <t>Montenegro, Vicente</t>
  </si>
  <si>
    <t>Vicente Montenegro</t>
  </si>
  <si>
    <t>0 rs., 180. D. Lorenzo Garcia Robredo, por una vez 1100 rs. D. Santiago Gancedo Pelaez, id. 300 rs. D. Vicente Montenegro, secretario de las fábricas de Alcaraz, id. 300 rs. Pedro de Prado', maestro de obra prima, por una vez 2200 rs. D. Josef Pablo Malnero, criado de los señores infantes, por id. 32</t>
  </si>
  <si>
    <t>Montengon, Pedro</t>
  </si>
  <si>
    <t>Pedro Montengon</t>
  </si>
  <si>
    <t>á en las librerías de Campo , Escribano y de la viuda de Quíroga. Frioleras eruditas y curiosas por D. Pedro Montengon: contiene varios asuntos científicos, entresacados de muchas obras de erudición , útiles á la vida humana , y necesarios en el uso de la sociedad civil: un tomo en 8.° Se vende en</t>
  </si>
  <si>
    <t>presión. Se hallará en la librería de Barco, carrera de S. Gerónimo. El Eusebio, novela escrita por D. Pedro Montengon, reformada solamente por este célebre autor , asi en el estilo como en la inteligencia de algunas proposiciones que motivaron su prohibición*, la común y constante aceptación de e</t>
  </si>
  <si>
    <t>Montero, Antonio</t>
  </si>
  <si>
    <t>Antonio Montero</t>
  </si>
  <si>
    <t>comercio de libros, por id. 500 rs. La viuda de Barco Lópezdel comercio de libros, por id. 500 rs. D. Antonio Montero, id. 100 rs. D. Germán García de laPinilla á 3 rs. diarios durante la guerra, y un tercio-anticipado, 365 rs. D. Juan Vilar, platero, una escribanía nueva de plata valuada en 1264</t>
  </si>
  <si>
    <t>Montero, Benigno</t>
  </si>
  <si>
    <t>Benigno Montero</t>
  </si>
  <si>
    <t>14*8 Muías. Caball. Sillas. Bridas. Oíros efectos. Benigno Montero, vecino de Fuenlabrada............. .................... r i i Un cura párroco de un pueblo de esta provincia............................................ i i i El marques de Montealegre..</t>
  </si>
  <si>
    <t>Montero, Carlos</t>
  </si>
  <si>
    <t>Carlos Montero</t>
  </si>
  <si>
    <t>on solos 2 500 hombres de todas armas y 6 piezas de artillería en 3 colunas. La primera mandada por D. Carlos Montero, teniente coronel del regimiento de infantería de Soria; la segunda por D. Gaspar Gómez de la Serna, coronel del dé Granadaí y la tercera por el coronel D. Juan O-Donovan, comanda</t>
  </si>
  <si>
    <t>l del coronel del regimiento de infantería de Granada D. Gaspar Gómez de la Serna: la tercera al de D. Carlos Montero, teniente coronel del regimiento de infantería de Soria: la quarta al de D. Bruno Barrera, coronel delsegundó de Sabóya.j estando esta y la tercera baxo las órdenes del mariscal d</t>
  </si>
  <si>
    <t>Montero, Félix</t>
  </si>
  <si>
    <t>Félix Montero</t>
  </si>
  <si>
    <t>, abogada del oolegio , 500. rs,i por uíia : : ve5ív, y 186 * por - agosto* a o rs. ■ díanos.1 686. D. Félix Montero,: propietario", ¡por. 2- meses á real y; naedlo. . dia¥io¿.....}¿4. i* t* . . r 90. D. Domingo de Urniela, por 4 meses á f rs, diarios.....í-6 id* D. Gregorio de Arias, procurador</t>
  </si>
  <si>
    <t>Montero, Juan</t>
  </si>
  <si>
    <t>Juan Montero</t>
  </si>
  <si>
    <t>60 id. durante.un año, id........................................................... ......... 60. D. Juan Montero, cirujano, 2.rs. diarios, por 2 meses..... 122. D. Domingo Gil, v.ista de la reai Aduanar, 3. id. en intereses de vales reales............................ ........................</t>
  </si>
  <si>
    <t>Montero, Ventura</t>
  </si>
  <si>
    <t>Ventura Montero</t>
  </si>
  <si>
    <t>portaguión D. Diego Gamacho, en Mompeller, id. Idem de Villavkiosa. Capitán D. Luis Bouch; teniente D. Ventura Montero, en Langeland: luego que trascendieron la determinación del embarco de las tropas, se desertaron de la isla de Langeland, donde se hallaba su regimiento. Santander 9 de octubre de</t>
  </si>
  <si>
    <t>Montes, Cayetano</t>
  </si>
  <si>
    <t>Cayetano Montes</t>
  </si>
  <si>
    <t>.. 40. Juan* de; Dios Ballesteros, id.......................... .............................. 100. D. Cayetano Montes, id........ ...... .......................................... ........ 20®. D. Agustín Población, en réditos, de 10. vales de 150 pesos de 1800, y en id. de 2 de 150 de.1808, id..</t>
  </si>
  <si>
    <t>Montes, Felipe</t>
  </si>
  <si>
    <t>Felipe Montes</t>
  </si>
  <si>
    <t>00 f9 D, Juaq Buch................................... ..................... Barcelona...» 600 *934 D. Felipe Montes........................... ....... ...... .......... Zaragoza..... ..... 300 1701 D. Joiséf Bóútet....................................... . Cádiz......... . 300. 1802 Doña Ramona</t>
  </si>
  <si>
    <t>Montes, Francisco</t>
  </si>
  <si>
    <t>Francisco Montes</t>
  </si>
  <si>
    <t>ona.... 300 1533 Apolinar de Isuazan...................................... Bilbao......... 600 2200 D. Francisco Montes..................................... . Coruña....... 300 1837 Excmo. Sr. D. Pedro Cevallos.......................... Zaragoza..... 300 305 Rafael Medina y Lafita..................</t>
  </si>
  <si>
    <t>Montesinos, Manuel</t>
  </si>
  <si>
    <t>Manuel Montesinos</t>
  </si>
  <si>
    <t>D. Juan Claros, capiran retirado; Don Manuel Bodet, capitán de granaderos del regimiento de Soria; D. Manuel Montesinos, capitán de infantería de Extremadura; D. Manuel Antunez, alférez de guardias Españolas; D. Cosme García, capitán graduado del regimiento de infantería de Borbon, y D. Tomas Garcí</t>
  </si>
  <si>
    <t>Montoro, Ramón María</t>
  </si>
  <si>
    <t>Ramón María Montoro</t>
  </si>
  <si>
    <t>ada......... D. Francisco Unzaga. En Guadalaxara. D. Isidoro García Plaza. En Jaén................. D. Ramón María Montoro. En León................. . D. Josef Rio del Pino. En Málaga............ D. Juan Ximeno.4 En Mahon.............. Doña Catalina Germán y Hugalde. En Murcia............. Sres. Mored</t>
  </si>
  <si>
    <t>da........ D. Francisco de Unzaga. En Guadalaxara. D. Isidoro García Plaza. En Jaén................ D. Ramón María Montoro. En L eon................. D. Gerónimo Gómez. En Malaga....... . D. Juan Ximeno. En Mahon............. Doña Catalina Germán y Hugalde. En Murcia............ Sres. Moreda y Ladalid</t>
  </si>
  <si>
    <t>nada........ D. Francisco de Unzaga. £ñ Cruadálaxaru. D. Isidoro García Plaza. £n Jaén............. D. Ramón María Montoro. £n León....... . D. Francisco Pió del Pino. £n Málaga........... . D. Juan Ximeno. £n Mahon......... . Doña Catalina Germán y Hugalde. £n Murcia.............. Sres." Moreda y Lad</t>
  </si>
  <si>
    <t>Montoya, Juan</t>
  </si>
  <si>
    <t>Juan Montoya</t>
  </si>
  <si>
    <t>dos de capitán, D. Juan Gómez de Ostos y D. Benito Panigo; ayudantías á los tenientes de granaderos D. Juan Montoya y D. Francisco los Cobos; tenencias á los subtenientes de granaderos D. Antonio Cano , D. Rafael Gutiérrez Monge y D. Manuel de Ciria,y subtenencias de bandera á los cadetes Don Franc</t>
  </si>
  <si>
    <t>Monzo, Pedro</t>
  </si>
  <si>
    <t>Pedro Monzo</t>
  </si>
  <si>
    <t>da rio en el presente día al señor ¿gobernador militar D. Pedro Monzo, para que cuente sin limitación con nuestros esfuerzos en quanto Jos considere necesarios para este efecto, y mientras debemos prorneremos que la mano del Omnipotente, especial pr</t>
  </si>
  <si>
    <t>Moore</t>
  </si>
  <si>
    <t>bierno y los particulares de Rusia. El coronel Murrai, gefe del estado mayor del exército que manda^Mr. Moore&gt; que había venido;de orden de este general á recibir instrucciones</t>
  </si>
  <si>
    <t>Mopfort y Viérgol, Pedro</t>
  </si>
  <si>
    <t>Pedro Mopfort y Viérgol</t>
  </si>
  <si>
    <t>algo ( .usadas^ * P. Cr'^robal de Guemes, agente de negocios de Inedias , 6 camisas nuevas. . ..... D. Pedro Mopfort y Viérgol 6 id, í D. An|onio Ruibambá 2 id. Los padres portero^ d¿ los conventos de capuchinos de S. Antonio del prado de Madrid y del Pardo una . arroba de hilas y 3 libras y media de cabe</t>
  </si>
  <si>
    <t>Mora y Jaraba, Domingo</t>
  </si>
  <si>
    <t>Domingo Mora y Jaraba</t>
  </si>
  <si>
    <t>iente de ^granaderos al de fusileros D. Josef María Truxillo. VENTAS JUDICIALES. Por providencia de D. Domingo Mora y Jaraba, juez comisionado regio en lá diócesi de Ciudad-Rodrigo, se ha señalado el día ió del presente para él remane de las fincas siguientes: dos medías dehesas de pasto, contiguas á di</t>
  </si>
  <si>
    <t>Morales Gallegos, Juan Bautista</t>
  </si>
  <si>
    <t>Juan Bautista Morales Gallegos</t>
  </si>
  <si>
    <t>nonicato vacante en esta Santa Patriarcal Iglesia, por muerte dtlEroo. Sr. Cardenal de Yorck, al Dr.D. Juan Bautista Morales Gallegos 2 para la&gt; ración entera vacante en la misma,.por muerte de D.Jorge de Flores , a D. Vicente Ferrer y García : y para* el canonicato vacante, por muerte del Dr. D. Ignacio Valenci</t>
  </si>
  <si>
    <t>Morales Pastor, Pedro</t>
  </si>
  <si>
    <t>Pedro Morales Pastor</t>
  </si>
  <si>
    <t>Juan Andrés, pastor , id.......... ............................................................ 60. D. Pedro Morales Pastor, abogado del Colegio, id.................... . 200. D. Antonio Ribera , cincelador, en intereses de vales reales, id. 361. D. Antonio María Izquierdo, capellán de honor de $. M.,</t>
  </si>
  <si>
    <t>Morales Ramírez, Francisco</t>
  </si>
  <si>
    <t>Francisco Morales Ramírez</t>
  </si>
  <si>
    <t>.......... D. Juan Josef Díaz, id...,.,,......,............................. ....... ........ . 3°. D. Francisco Morales Ramírez, por agosto á60 rs. mensuales;.. ©O. D. Luis Leclair, presbítero, por id. á 40 rs.................. i............. 40. Isidro Perez, muñidor de la congregación de S. Nicolás, por</t>
  </si>
  <si>
    <t>Morales y Espinosa, Manuel</t>
  </si>
  <si>
    <t>Manuel Morales y Espinosa</t>
  </si>
  <si>
    <t>; Fr. Rufino Calvo, comendador del de nuestra señora de las Mercedes; D. Joséf García. Bal inaseda, D. Manuel Morales y Espinosa y D. Manuel López de Arriaga, curas propios de las parroquiales de S. Marcos, Sta. María Magdalena y S. Martin; D. Miguel Sabino de Acosta, contador de exército, y principal de esta p</t>
  </si>
  <si>
    <t>Morales, Gregorio</t>
  </si>
  <si>
    <t>Gregorio Morales</t>
  </si>
  <si>
    <t>n 4; ■_ - T. 4 ‘i un' libramiento de vitalicio de 808,.por una ye*e.tjíííf..¿.iv..!.;...\ 7f 47 17. D. Gregorio Morales, organista de S. Isidro, por'ahora........... 30. D. Nicolás Ramón García, por unaívez..u..v;..¿U¿¡i;y.V;.P:.,.,.&gt;í..r¿.... . go. &lt; Bartolomé Perez, maestro sombrerero ,* por una</t>
  </si>
  <si>
    <t>Morales, Joaquín</t>
  </si>
  <si>
    <t>Joaquín Morales</t>
  </si>
  <si>
    <t>l de la Corona compañía al ayudante, graduado dé capitán, D. Miguel Vaca, y tenencia al subteniente D. Joaquín Morales : en el de Africa tenencia al subteniente de granaderos D. Luis Sánchez de la Peña*, en el de Zamora compañía al teniente,graduado de capitán,Don Miguel Bolangéro; tenencia al sub</t>
  </si>
  <si>
    <t>Morales, Luis</t>
  </si>
  <si>
    <t>Luis Morales</t>
  </si>
  <si>
    <t>Muñoz. Herido............ Teniente..... D. Félix Perez de Guzman. Contuso.......... Capitán....... D. Luis Morales. Segundo de Granada. Herido........... Su segundo comandante el teniente coronel D. Manuel * Torralbav e Voluntarios catalanes. HerMo*........... Teniente*. ..-{E; Jtorát^MoUne. C</t>
  </si>
  <si>
    <t>Morales, Vicente</t>
  </si>
  <si>
    <t>Vicente Morales</t>
  </si>
  <si>
    <t>corte, en 1 vales de 600 pesos de setiembre, y: efectivo, id................ .......... 20ÓC0. •*’ D. Vicente Morales , agente de negocios, id............. .......... . 320. D. J. M. D. C., en intereses de Vitalicio, id............................. 472 16. Doña Josefa-del Saz, viuda, en boletas'd</t>
  </si>
  <si>
    <t>Moran, Juan</t>
  </si>
  <si>
    <t>Juan Moran</t>
  </si>
  <si>
    <t>d^'descubierta, con todos? los 18 hombres de caballería: de España , al marido dél bizarro alférez D. Juan Moran, se dirigiesen alj citado: piiésto, tanto' pira‘ Observar antes.‘ de llegar á él, si les füese posible, lasintfencioriesy; situacíori del enemigo,; y- poder tener yo los avisos ma</t>
  </si>
  <si>
    <t>de Sesma, y 5 compañías del batallón de voluntarios catalanes, y 16 caballos de España, al mando de D. Juan Moran, alférez del mismo regimiento, situados en Carear, baxo las órdenes del coronel de exército D. Juan de Villalba, con las instrucciones ambos puntos de sostener á Lerin en ataque y</t>
  </si>
  <si>
    <t>Moratinos, Bartolomé</t>
  </si>
  <si>
    <t>Bartolomé Moratinos</t>
  </si>
  <si>
    <t>......................................................... 500. Doña M. R. M., id 331808788008 1500. D. Bartolomé Moratinos, maestro pasamanero, un vale de 150 pesos y electivo, id......................................................................... 2676 2* Doña Benita Diaz y Doña Paula Rodríguez,</t>
  </si>
  <si>
    <t>Mordella y Spotorno, Antonio</t>
  </si>
  <si>
    <t>Antonio Mordella y Spotorno</t>
  </si>
  <si>
    <t>a sido enviado al mundo para destrucción de la humanidad. _ Manifiesto á, toda la Europa: publícalo D. Antonio Mordella y Spotorno._Ocios históricos dignos de imitar por los españoles que desean la victoria y apetecen la libertad de la patria. Se hallarán en las librerías de Doblado, calle de Barrionuevo* de</t>
  </si>
  <si>
    <t>Moreau</t>
  </si>
  <si>
    <t>ón de las aguas del canal del Ourcq, se trasladaron á la hora de medio dia al solar de la Bastilla. Mr. Moreau, maire del noveno distrito, y sus adjuntos recibieron á S. E.; y el maire tomando la palabra dixo á nombre de los vecinos del referido distrito: ,, Apenas han pasado nueve meses d</t>
  </si>
  <si>
    <t>Moreno de Estopar, Felipe</t>
  </si>
  <si>
    <t>Felipe Moreno de Estopar</t>
  </si>
  <si>
    <t>gregación dé S. Mauro, y traducida al castellano de lá edición que corrigió y aumentó el autor, por D. Felipe Moreno de Estopar. La célebre y sólida reputación qué en la religión cristiana se" Han gráégeadbloS individuos de lá cóñgregacion de San JWauro, se sostienen ert esta útil obra¿ en la'que, exponién</t>
  </si>
  <si>
    <t>Moreno y Acevedo, Antonio</t>
  </si>
  <si>
    <t>Antonio Moreno y Acevedo</t>
  </si>
  <si>
    <t>anual. Quien quisiere hacer postura, lo cxecutará por la escribanía de dicha comisión del cargo de D. Antonio Moreno y Acevedo. ' Por providencia de D, Hermenegildo Fernandez de Burunda, juez comisionado subalterno en el ducado de Escalona, con residencia en la villa de DomingosPerez , se han sacado á púb</t>
  </si>
  <si>
    <t>que es de pasto y labor. Quien quisiere hacer postura, lo executará por lá escribanía del cargo de D. Antonio Moreno y Acevedo. Por{la comisión real dé la diócesi de Sevilla, y en virtud de providencia de IX Tomas Perez de Junguitu, juez comisionado regio en ella, se han señalado los dias 14 y 15 dél corr</t>
  </si>
  <si>
    <t>Moreno y Ácevedo, Antonio</t>
  </si>
  <si>
    <t>Antonio Moreno y Ácevedo</t>
  </si>
  <si>
    <t>rs 5 mrs. en renta anual. Quien quisiere hacer postura, lo executará por la escribanía del cargo de D. Antonio Moreno y Ácevedo. Por providencia de D. Estéban de la Madrid y Montes, juez comisionado regio en la vicaría general de Toledo, se ha señalado los días 23 y 24 de febrero</t>
  </si>
  <si>
    <t>Moreno y Acevodo, Antonio</t>
  </si>
  <si>
    <t>Antonio Moreno y Acevodo</t>
  </si>
  <si>
    <t>., y rematada en 312300 en vales. Quien quisiere hacer mejora/'acuda a la escribanía ¿pie desempeña D. Antonio Moreno y Acevodo; en inteligencia'qüé al vencimiento dé los 20 primeros días , que deberán contarse desde el 16 de febrero, se celebrará el remate del medio diezmo, al de los segundos el del diezm</t>
  </si>
  <si>
    <t>Moreno y Delgado, Diego</t>
  </si>
  <si>
    <t>Diego Moreno y Delgado</t>
  </si>
  <si>
    <t>... Málaga....... 300 853 D. Nicolás Lamiel y Benages................. . ... Madrid....... 300 333 D. Diego Moreno y Delgado...................... ... Cádiz........ . 1000 2289 D. Antonio García del Rio............................. Cádiz......... 600 1097 D. Antonio’Villareal............................</t>
  </si>
  <si>
    <t>Moreno y Garino, Agustín</t>
  </si>
  <si>
    <t>Agustín Moreno y Garino</t>
  </si>
  <si>
    <t>a canoncía de la metropolitana de Sevilla, vacante por fallecimiento de D. Josef Ramón de Aldana, á D. Agustín Moreno y Garino, racionero deja misma iglesia; y para la ración que resulta vacante por el ascenso de este á D. Nicolás Luis de Lezo y Garro: para la canongía de la catedral de Cartagena , vacant</t>
  </si>
  <si>
    <t>Moreno y Gómez, Francisco</t>
  </si>
  <si>
    <t>Francisco Moreno y Gómez</t>
  </si>
  <si>
    <t>D. Francisco Moreno y Gómez, agente de Indias, por 4 meses . a 6 rs. díanos................... ................................................................. .. Felipe Diez de Frixo, sirviente, por 6 mese</t>
  </si>
  <si>
    <t>Moreno y Hore, Juan Nepomuceno</t>
  </si>
  <si>
    <t>Juan Nepomuceno Moreno y Hore</t>
  </si>
  <si>
    <t>simple de Sta. Cruz con Barcena, en la diócesi de Burgos, vacante por muerte de D. Eugenio Nuñez, á D. Juan Nepomuceno Moreno y Hore ; y para uno de los beneficios préstamos de la parror quia de Arroyo-molinos, en el obispado dé Plasencia , vacante por muerte de D. Nicolás Tifeno' Garrido, y el préstamo :del lu</t>
  </si>
  <si>
    <t>Moreno, Ángel</t>
  </si>
  <si>
    <t>Ángel Moreno</t>
  </si>
  <si>
    <t>dinero efectivo..... 65 90... D. Francisco Cabañas, del comercio............................ . 500. D. Angel Moreno................................ ................ ............. 2000. D. C. C. E......................................... 100. D. Nicolás de Apezteguia, agenté de la consolidación.</t>
  </si>
  <si>
    <t>Moreno, Antonio</t>
  </si>
  <si>
    <t>Antonio Moreno</t>
  </si>
  <si>
    <t>tán de fragata; D. Josef Sanmartín, capitán agregado á Bórbon;. D.* Josef Mauri , capitán retirado; D. Antonio Moreno, teniente dfc Hafiuatería jde Cócdobaq el teniente , coronel D'. Juan Freire, cadete de reales guardias de Corps; D. Fernando Zurita, subteniente de Jaén, y Don Juan Bascur, tenie</t>
  </si>
  <si>
    <t>Moreno, Francisco</t>
  </si>
  <si>
    <t>Francisco Moreno</t>
  </si>
  <si>
    <t>nta María una sábana. D. Fernando Ibirrola, 6 camisas., I). Ramón de Sandra, vecino de Almería , 6. D. Francisco Moreno 12. D. Pantaleon de Castro una. El gremio de caldereros 16 ollas grandes de campaña, ,8 chicas de.repartir, una paila y 2 calderetas, todo de cobre, 2 pailas, 3 sartenes y una cuc</t>
  </si>
  <si>
    <t>Campomayor D. Francisco Moreno, comandarte de las guerrillas de h vanguardia de ias divisiones de Andalucía, que iba á ser atacado ai amanecer del dia siguiente, hizo salir varias descubiertas en la mañana del</t>
  </si>
  <si>
    <t>. Agustín López, diputado eclesiástico de id. D. Fernando Galán, diputado del barrio de Seo. Tomas. D. Francisco Moreno, diputado id. D. Eugenio Diaz, diputado interino id. D. Andrés Perez « diputado dei barrio dei Ave María. D. Ignacio Ucelai, alcalde del barrio de id. D. Manuel Balanzategui, bene</t>
  </si>
  <si>
    <t>, del gremio de cabreros ; Castor de Lamo, de boteros; D. Miguel de Moya, del barrio dél Barquillo; D. Francisco Moreno y D. Fernando Galan, de ropería ; Melchor Ascanio, Rafael del Casar y Juan Hernández; de silleros y jauleros; Juan Bautista Gil y Antonio Saenz de Rozas, de vidriado; Manuel Guerra ,</t>
  </si>
  <si>
    <t>Moreno, Gerónimo</t>
  </si>
  <si>
    <t>Gerónimo Moreno</t>
  </si>
  <si>
    <t>: A mi llegada á este punto el 7 del actual me comunico, entre otras cosas, mi segundo el brigadier D. Gerónimo Moreno haber tratado con V. E. sobre la interceptación de porción de trigo que tenían los franceses almacenado en la villa de Milagro, para la que remitiría V. E. el refuerzo de 100 caba</t>
  </si>
  <si>
    <t>Moreno, Lorenzo</t>
  </si>
  <si>
    <t>Lorenzo Moreno</t>
  </si>
  <si>
    <t>1468 Ru iz 3. El'Sr. D. Cayetano de Urbina, del consejo de Indias, 40. D. Lorenzo Moreno 2. D. Josef Marchan, carpintero, un uniforme de paño blanco, 1 camisas y un par de calcetas. Doña Manuela Farinos 2 camisas. Dia ir. Doña María Sebastiana Gil una camisa., Varios</t>
  </si>
  <si>
    <t>.......... 120. Doña María Faijo, por una vez................................................... 4. D, Lorenzo Moreno, id.......................................... ........ ........... . 500. Doña F. M., id.................................................... .............. 20* D. Juan Bautista Fe</t>
  </si>
  <si>
    <t>Moreno, Luis</t>
  </si>
  <si>
    <t>Luis Moreno</t>
  </si>
  <si>
    <t>orta muebles de S. M., por una vez rs. D. D. F., durante la guerra 60 rs. mensuales, por agosso 60. D. Luis Moreno, oficial de la secretaría de Estado, por una vez 1© rs. D. Manuel de Foronda y Soto, oficial jubilado de tesorería general, 90 rs. mensuales, por agosto 90. Sres. Castillo y Primo</t>
  </si>
  <si>
    <t>Moreno, Martín</t>
  </si>
  <si>
    <t>Martín Moreno</t>
  </si>
  <si>
    <t>............. 500 792 D. Pedro de Llano........................... ....... , Madrid....... 500 5754 D. Martin Moreno..................................... Cádiz....».».». 600 3 733 D. Julián Negrete..................................... Cádiz.......... 300 2360 D. Vicente Fernandez................</t>
  </si>
  <si>
    <t>Moreno, Vicente</t>
  </si>
  <si>
    <t>Vicente Moreno</t>
  </si>
  <si>
    <t>ra el Excmo. Sr. Capitán General y otras autoridades. El General D. Francisco Salinas, y su segundo D. Vicente Moreno , abanzan con su división hacia las riberas del Ebro, y quanto antes saldrán refuerzos para aquel punto. Se están organizando otros dos exércitos. Los nuevos alistamientos se disc</t>
  </si>
  <si>
    <t>so necesario. El 13. salió una diputación á recibir al generel Salinas que entró e! 15 : su segundo D. Vicente Moreno llegó á la‘tarde con la primera división de su exército, y por momentos se esperan las demas. El general ha hecho una proclama muy enérgica que se está imprimiendo. Por un expreso</t>
  </si>
  <si>
    <t>MorenoEstepar, Felipe</t>
  </si>
  <si>
    <t>Felipe MorenoEstepar</t>
  </si>
  <si>
    <t>tino de la congregación de S. Mauro, traducida de la edición que corrigió y aumentó el&gt; autor j por D. Felipe MorenoEstepar: un tomo en 8.°, con 2 estampas finas, y aumentada la novena del Santísimo.,Se hallará én la librería de Bailo. Tomo 2.0 del Teatro de D. F. E. Castrillon, que comprehende Jas com</t>
  </si>
  <si>
    <t>Morera, Gaspar</t>
  </si>
  <si>
    <t>Gaspar Morera</t>
  </si>
  <si>
    <t>.% •AJajitid !•••« Sr j OO 452 D. Manuel Antonio de Boloqui,..,..1.,..-.;,;. Bilbao..../... 303 *74 D. Gaspar Morera, comerciante,........4........ "Valencia..... ; 1000 2363 Doña Ines del Castillo....................................... Zaragoza..... 500 860 D. Juan Fernandez de la Cancela......</t>
  </si>
  <si>
    <t>Moresqui, Manuel</t>
  </si>
  <si>
    <t>Manuel Moresqui</t>
  </si>
  <si>
    <t>ve2.... 3000; D. Vicente Tejera, por una vez................... ......................i....... 120. D. Manuel Moresqui, uxier de cámara de S. M., por una vez. 54®. D. Andrés Ortiz, agente de negocios, por ahora....................... 1200. D. Manuel Diez Grijalva, por una vez......................</t>
  </si>
  <si>
    <t>Moret, Segismundo</t>
  </si>
  <si>
    <t>Segismundo Moret</t>
  </si>
  <si>
    <t>../. 300; 1582 D. Víctor de Elorrieta...................................... Bilbao......... coo2432 D. Segismundo Moret....................... ............. Cádiz......... 600r •318 Pablo" deP Valle-y Llera............... Málaga../...* 6003033 Doña-Isabel García- Laso de la-Vega;...........' Madrid</t>
  </si>
  <si>
    <t>Morillo, Carlos</t>
  </si>
  <si>
    <t>Carlos Morillo</t>
  </si>
  <si>
    <t>.... 500 3755 D. Josef María Suarez....................................... Cádiz.......... 500 2201 D. Carlos Morillo.............................................. Coruña....... 300 844 D. Felipe Siete................................................... Madrid....... 300 2009 D. Josef Rech........</t>
  </si>
  <si>
    <t>Morlius, Ignacio</t>
  </si>
  <si>
    <t>Ignacio Morlius</t>
  </si>
  <si>
    <t>el año de 1796 se embarcó y partió de Cádiz para las Américas en buque mercante, y que s« avisase á D. Ignacio Morlius, procurador del número de la mencionada ciudad de Cartagena, defensor nombrado judicialmente para la aprobacipn y demas dííigencias relativas á la partición de bienes de Doña Flor</t>
  </si>
  <si>
    <t>Mórnn, Estéban Felipe</t>
  </si>
  <si>
    <t>Estéban Felipe Mórnn</t>
  </si>
  <si>
    <t>e, alcalde de dicha. D. Francisco Cabañas , diputado de dicha. Don Ildefonso Ortuño , eclesiástico. D. Estéban Felipe Mórnn, secretario. Don Félix Abrarez dei Villar, diputado dé S. Francisco. D. Lúeas Escolar, secretario. D. Pedro Roque Cobo, diputado $le S- Justo. D. Domingo del Valle, secretario de</t>
  </si>
  <si>
    <t>Mosquera de Puga, Francisco Xavier</t>
  </si>
  <si>
    <t>Francisco Xavier Mosquera de Puga</t>
  </si>
  <si>
    <t>os........................... ...................... ........... ........................... . 368. D. Francisco Xavier Mosquera de Puga , abogado, por medid ano a 3 rs.-diarios.tj; D. Josef Cuevas y Becerril, propietaria, por agosto.á.ua real diario..............¿ 31, D Isidro. Fernandez Cástelao, 1100 rs. por una</t>
  </si>
  <si>
    <t>Mosquera, Tomás</t>
  </si>
  <si>
    <t>Tomás Mosquera</t>
  </si>
  <si>
    <t>................... . 16000. Manuel López, del gremio de cabreros, por una vez................ 160. D. Tomas Mosquera, abogado del colegio, por una vez........... 1100. Pedro de la Torre, almacenista de carbón, por una vez...,......... 200. Julián de Barrios, fundidor de letras , á cuenta de 210</t>
  </si>
  <si>
    <t>Mou, General</t>
  </si>
  <si>
    <t>General Mou</t>
  </si>
  <si>
    <t>ón del general Lasaile acometió dé frente ali cerro , mientras qué él general Merle, apoyado por el General Mou* tony por la guardia imperial , atacaba la izquierda. ' - Las tropas francesas fueron al combate haciendo resonar el aire ccn loa gritos de viva el Emperador. Era tal su entusiasm</t>
  </si>
  <si>
    <t>Mourgen, Coronel</t>
  </si>
  <si>
    <t>Coronel Mourgen</t>
  </si>
  <si>
    <t>ldados enemigos; pero oyendo tocar la retirada, hubo de reprimir 9H ambición de gloria. £1 Teniente Coronel Mourgen ordenó la retirada por haber observado que venia al enemigo un refuerzo de 100. caballos. Dispuse en conseqüea* cia fuese el Teniente de caballería del Príncipe D. Carlos Lanzarot</t>
  </si>
  <si>
    <t>Mousson</t>
  </si>
  <si>
    <t>12 de julio de 1808</t>
  </si>
  <si>
    <t>Madrid 84</t>
  </si>
  <si>
    <t>n el año anterior, y que envió dicha embaxada; i Mr. Wattenwil, enviado extraordinario á París, y á Mr. Mousson, con</t>
  </si>
  <si>
    <t>Moya, Antonio</t>
  </si>
  <si>
    <t>Antonio Moya</t>
  </si>
  <si>
    <t>. .... En el mismo dia 19 fueron muertos eri la acción el coronel del regimiento de Jaén, de línea, D. Antonio Moya,-y su ayudante D. Carlos Sevilla; y heridos el capitán D. Juan Lascano, los subtenientes D. Bernardo Tortosa y D. Santiago Escario, como asimismo el cadete D. Josef María Ortiz. E</t>
  </si>
  <si>
    <t>Mr Broun</t>
  </si>
  <si>
    <t>a mayor distinción, han presentado un jarro de plata de la forma mas elegante á Mr Broun, cirujano mayor de las tropas que tenemos en Sicilia, con una inscripción en que manifiestan tanto el concepto en que están de su habilidad y talentos, como su gratitud por la humanidad y e</t>
  </si>
  <si>
    <t>Mrni</t>
  </si>
  <si>
    <t>onip r A&amp;XP&lt; :'y,:JJinci, D. Vicente Romero y: Cepeda &gt;íD;. Ignacio; López** nuet La-fita y Porras, Dr Mrni&amp;eLEspeyéTy Daeñafe ^J&gt;ínVicentáflez Yebra y Vaca Domingo TJlzamní ybPeráltd ManuelSandlm* y Arjona y Vargas, D. Josef Rufo de DgSiíté y EspaifcaV y Di Francisco ‘ Costa y Mut* .'</t>
  </si>
  <si>
    <t>MSiríá Prado de Aparici</t>
  </si>
  <si>
    <t>............. Cádiz......... 300 3815 D. Miguel Dolz.............v..........Zaragoza...» I oeo 2130 Doña MSiríá Prado de Aparici.............'......... Zaragoza..... neo 2087 D. Marcelino Lom.........................../...... . Cádiz........... neo 3785 D. Pedro Bastarreche...;...... ............. Cádiz....</t>
  </si>
  <si>
    <t>Mu Igrave, Lord</t>
  </si>
  <si>
    <t>Lord Mu Igrave</t>
  </si>
  <si>
    <t>, no delira pensarse sino en armar quantos mas brazos fuese posible para la defensa común. -' • : i Lord Mu Igrave echó en cara á lord Grenvillé el silencio que había guardado sobre este negocio; de los católicosmiénttas estuco- en el ministerio. Si está medida eslían necesatias-pára lá*íáiud^£d</t>
  </si>
  <si>
    <t>Muar, Fernando</t>
  </si>
  <si>
    <t>Fernando Muar</t>
  </si>
  <si>
    <t>............. ............................... 120, D. Lorenzo de Mor», de Juros, por una.vez...3CQ* D. Fernando Muar, id........................... ............. ............................ 1500. D. Josef Alverá, id...................................... .....1...................... . 1500» Manu</t>
  </si>
  <si>
    <t>Mugra, Miguel</t>
  </si>
  <si>
    <t>Miguel Mugra</t>
  </si>
  <si>
    <t>go Allende , D. Juan Francisco Diaz , D. Angel Hubach ; á los subtenientes del cuerpo de patriotas; D. Miguel Mugra, D. Vicente Bordas, D. Juan Bautista Viton, D. Julián Corbera, D. Juan Pedro Macharen! , D. Roque Laurel, D. Ramón Urien , D. Angel Ubac; á los cadetes del expresado cuerpo de pat</t>
  </si>
  <si>
    <t>Muí, Lord</t>
  </si>
  <si>
    <t>Lord Muí</t>
  </si>
  <si>
    <t>tropas. Ademas de estas y de las que man* da Wellesley en Portugal , se alistan otros 2$9 hombres# Lord Muí grave dió de comer el 25 á los enviados españoles y ¿ todos les ministros* El gobierno francés ha hecho insertar en las gaze* tas de Alemania tina relación de lo acaecido en Españ</t>
  </si>
  <si>
    <t>Muía, Pedro</t>
  </si>
  <si>
    <t>Pedro Muía</t>
  </si>
  <si>
    <t>de la Isla de León con pliegos para esta suprema junta. A pocas horas salió un místico al mando de D. Pedro Muía, teniente de navio de la real armada, con pliegos para el Capitán general de Mallorca; y aunque regresó inmediatamente por haberse roto el palo mayor, salió en breve el falucho Vu</t>
  </si>
  <si>
    <t>Mulet, Luis</t>
  </si>
  <si>
    <t>Luis Mulet</t>
  </si>
  <si>
    <t>.....»»„............ 60. r D. Pedro Michel,' un vale-dinero de 150 pesos por una vez. ... 2316 -19. D. Luis Mulet, abogado del colegio, á cuenta de 3000 rs. póri - /1 úna vez..'....................... ........»..»»..»».»».........................iooo. D. Gil Antonio Laguna, procurador de vill</t>
  </si>
  <si>
    <t>Munarriz, Miguel</t>
  </si>
  <si>
    <t>Miguel Munarriz</t>
  </si>
  <si>
    <t>ipe González Vallejo.=Sr. D. Juan Ibañez de la Rentería.=Sr. í). Esteban Antonio de Orellana. =rSr. D. Miguel Munarriz.=:Sr. D. Guillelmo de Vargas. Sr. D. Juan Josef Polo. = Sr. D. Josef Joaquin Martí.=rSr. D. Benito San Juan.=Sr. D. Ramón de Villalba. =r Sr. D. Francisco Bucheli. = Sr. Don .Fran</t>
  </si>
  <si>
    <t>Muñcz, Bartolomé</t>
  </si>
  <si>
    <t>Bartolomé Muñcz</t>
  </si>
  <si>
    <t>yan vespec ti va mente á la pública tranquilidad. Madrid 4 de agosto de 1.808, =s Está rubricado. = D. Bartolomé Muñcz. avisos. Quien quisiere hacer obligación de surtir en el todo ó parte de 9800 fa.negas de cebada y 44® arrobas de paja de trigo, que se necesitan; p,¡ra la r manutención del ganad</t>
  </si>
  <si>
    <t>Mungnía, Juan de Dios</t>
  </si>
  <si>
    <t>Juan de Dios Mungnía</t>
  </si>
  <si>
    <t>meses........... ............ ........................... 60. D. Julián Pombo y Robledo, y su hijo D. Juan de Dios Mungnía, 10 rs. diarios,.por 5 meses..................... J......................... í53°. D. Juan Antonio de Yandiola, de la contaduría mayor de Cuentas, 6 id. por agosto................</t>
  </si>
  <si>
    <t>Muñíz, Manuel</t>
  </si>
  <si>
    <t>Manuel Muñíz</t>
  </si>
  <si>
    <t>á teniente de granaderos al de fusileros D. Domingo Malo; á tenientes al subteniente de granaderos D. Manuel Muñíz y al de fusileros D. Josef María Tapia; á subteniente de granaderos al de fusileros D. Manuel Mayo Caamaño; á subtenientes de compañía á Jos de bandera D. Diego Abarca y D. Isidoro</t>
  </si>
  <si>
    <t>Muñoz de Torres, Bartolomé</t>
  </si>
  <si>
    <t>Bartolomé Muñoz de Torres</t>
  </si>
  <si>
    <t>pondiente: que asi es nuestra voluntad; y que al traslado impreso de esta nuestra carta, firmado de D. Bartolomé Muñoz de Torres, nuestro secretario, escribano de cámara mas antiguo y de gobierno del nuestro consejo, se le dé la misma fe y crédito que á su original. Dada en Madrid á n de agosto de i8oS.='D.</t>
  </si>
  <si>
    <t>contravención en mañera alguna. Qué asi es nuestra voluntad j y que al traslado impresa, firmado de D. Bartolomé Muñoz de Torres, nuestro secretario, escribano de cámara mas antiguo y de gobierno-del nuestro .Consejo,, sé de dé la misma fe y crédito que á su original. Dada en Madrid á i.° de octubre de f8o8</t>
  </si>
  <si>
    <t>Muñoz, Ambrosio</t>
  </si>
  <si>
    <t>Ambrosio Muñoz</t>
  </si>
  <si>
    <t>e acudan los postores y demas que quieran hacer las mejoras que tengan por conveniente. ‘ AVISOS. A D. Ambrosio Muñoz, vecino de la ciudad de Tarifa, se le han extraviado los vales reales siguientes: 2 de 150 pesos de la creación de' l.° de setiembre, números 178497^* 209785: *4 de 300 de la mism</t>
  </si>
  <si>
    <t>Muñoz, Bartolomé</t>
  </si>
  <si>
    <t>Bartolomé Muñoz</t>
  </si>
  <si>
    <t>ara que lo tengan entendido, cumplan y cuiden de su exacta observancia. Madrid 10 de mayo de 1808.= D. Bartolomé Muñoz. Con esta misma fecha se ha expedido una real provisión del consejo en que, con motivo del real decreto en que se nombra al Sérmo. Sr. gran Duque de Berg por Lugar-Teniente Genera</t>
  </si>
  <si>
    <t>s de cstapartido.; idándoiheaaviío f del recibo. ¡ ^iDios 'muchos años.Madrid 18 de mayo.de 1808.se Don Bartolomé Muñoz.’* üui'-/.¡ qi D W ^ .¡El i Serenísimo Señori&amp;raii iDuqnedelBergl &lt;Eugar-IFeoá*áto General, del reino, y la junta suprema de gobierno se h;;n enterad&amp;áde qué. hb. déteos de&lt;Ss Mii</t>
  </si>
  <si>
    <t>partidq, dándome aviso del.recibo. ^ : t)ios guarde á V. muchos ritos. Madrid 25 de mayo de 1808.== Don Bartolomé Muñoz. ; '• &gt; Continuación de las noticias relativas d ía real academia del Derecho JEs~*pdñol¿ ; ’ ■ .' SEÑOR REDACTOR. í •' .v: !: ? * 3 Muióseñor riiioi: Habiendo vmd. tenido á bien</t>
  </si>
  <si>
    <t>de su partido; dándome aviso del recibo. Dios guarde á V. muchos años. Madrid 3 1 de mayo de 1808. —Don Bartolomé Muñoz. Continuación de las noticias relativas d la real academia del Derecho espa ñol. SEÑOR REDACTOR. Muí señor mió : Llevando adelante el pensamiento de comunicar á vmd. las noticias</t>
  </si>
  <si>
    <t>ismo fin ; y de su recibo me dará aviso. Dios guarde á V. muchos años. Madrid n de junio de 1808. = Don Bartolomé Muñoz. Relación de lo acaecido en Segovia. El Sermo. Sr. Lugar-Teniente General dei reino, enterado de que algunqs revoltosos habian comprometido la tranquilidad pública en la ciudad de</t>
  </si>
  <si>
    <t>6o i Dios guarde á V. muchos años. Madrid 15 de junio de 18c8.=Don Bartolomé Muñoz. Con fecha de 14 del corriente comuniqué á V. de orden del consejo VÍos dos reales decretos publicados en él, y expedidos en Bayona á 10 de r este mes por el Sr. Reí D. Josef Napo</t>
  </si>
  <si>
    <t>gue á conocimiento de todos , ha mandado el consejo xar este aviso. Madrid i.° de agosto de i8o8. = D. Bartolomé Muñoz, ' • ' ECONOMIA POLITICA. &gt; &gt; De la emigración. Vcasc la gazeta nítnt. &gt; No parece probable que todas las naciones sean igualmente industriosas. Asi pues, si un territorio bien cu</t>
  </si>
  <si>
    <t>el correo de la Goruña, con otra cubierta sobre la primera, carta del escribano secretario de V. A. D. Bartolomé Muñoz, con fecha de 11 de junio. En esta se inserta la que se llama minuta de la secretaría de estado del Emperador de los franceses, que queriendo hacer cesar el interregno de España á</t>
  </si>
  <si>
    <t>entos del consejo Reaf, que de orden de esc supremo tribunal me ha remitido el secretario del mismo D. Bartolomé Muñoz, he leído á la pág, 96 un oficio pasado.á "V. S. I. por el Sr. D. Sebastian Piñuela, con fecha de 23 de julio, en el quaf.se hallan las siguientes expresiones.:. „ ya lo han hecho</t>
  </si>
  <si>
    <t>. =s T). Tomas; Moyano.rs D, Ignacio Martínez de VilleIa. = D. Juan Antonio González Cárrilld.rr Yo D. Bartolomé Muñoz, secretario del Rei nuestro Señor, y sii éscribaño de cámara, la hice escribir por su mandado con acuerdo de los de. su Consejo. = Registrada, D. Josef Alegre. =s Teniente de canc</t>
  </si>
  <si>
    <t>Muñoz, Carlos</t>
  </si>
  <si>
    <t>Carlos Muñoz</t>
  </si>
  <si>
    <t>meses................ 40. D. Domingo González de Santa Marta,io id.id......................... 20. D. Carlos Muñoz, 60 id. por un mes...................................... 60. D. Paulino Juan Fernandez, 2 rs. diarios, por 2 meses........... 122. Narciso Pablos, 3 id. durante un año, por un mes</t>
  </si>
  <si>
    <t>Muñoz, Domingo</t>
  </si>
  <si>
    <t>Domingo Muñoz</t>
  </si>
  <si>
    <t>nuel Víctor Gómez y. Lozano, id*........ ............................ IIPO. D.. Domingo Muñoz, cirujano, id........... .................... ............ i... t 3 P°- . D Josef Éstevez de Ribera , 2 recibos de intereses de vales rea­ f les de 1808., y 3 de 1800, id...................</t>
  </si>
  <si>
    <t>Muñoz, Francisco Ignacio</t>
  </si>
  <si>
    <t>Francisco Ignacio Muñoz</t>
  </si>
  <si>
    <t>e S. Lorenzo. D. Juan Josef Barrios, cura de Santa María. Fr. Miguel de Herrín, guardián de S. Gil. D. Francisco Ignacio Muñoz, cura de Santa Cruz. D Blas de Lera y Caño, cura de S. Pedro. D. Juan de Lera y Caño, cura de S. Salvador. D. Gregorio Marín, cura de S. Justo. D. Miguel de Olivan, vicario castre</t>
  </si>
  <si>
    <t>Muñoz, Gerónimo</t>
  </si>
  <si>
    <t>Gerónimo Muñoz</t>
  </si>
  <si>
    <t>al del almacén de ’ paños: de Guadalaxara, en un recibo de réditos sobre el tabaco * id..... 320 ol D. Gerónimo Muñoz, id..................................................... ............. IOO» Hemeterio González, id....... .................... ......................................... IOO. D. Da</t>
  </si>
  <si>
    <t>Muñoz, Ignacio</t>
  </si>
  <si>
    <t>Ignacio Muñoz</t>
  </si>
  <si>
    <t>Cayetano; D.. Gregorio de Aller, diputado del barrio* del Buen-suceso. D. Josef Gómez, diputado id. D. Ignacio Muñoz, diputado id. D. Rafapl Puente, alcalde del barrio de id. D. Manuel Bernabla, diputado eclesiástico de S. Plácido. D. Domingo Mesa, alcalde del barrio de id. D. Antonio María, Per</t>
  </si>
  <si>
    <t>Muñoz, Manuel</t>
  </si>
  <si>
    <t>Manuel Muñoz</t>
  </si>
  <si>
    <t>en los de Zamora., Valencia y León á los cadetes D. Francisco Bolangero , D. Josef María Rodríguez, D. Manuel Muñoz y D. Josef Nuñez Baamonde. ^ El Reí se ha servido promover en el regimiento .suizo de Reding número 3.0 á sargento mayor al capitán primero del mismo D. António Kai</t>
  </si>
  <si>
    <t>Muñoz, Miguel</t>
  </si>
  <si>
    <t>Miguel Muñoz</t>
  </si>
  <si>
    <t>.......... 360. D. J. M. G. de H., 30 id. por agosto........................................... 30. D. Miguel Muñoz, 8 id. por id.......................... ........................... 8. D. Cayetano Espano, 2 rs. diarios, por 6 meses................ ,........ 368. D. Manuel Espiñeira y Aguiar,</t>
  </si>
  <si>
    <t>Muñoz, Nicolás</t>
  </si>
  <si>
    <t>Nicolás Muñoz</t>
  </si>
  <si>
    <t>enca. Muerto.....;.... Subteniente. D. Natalio Garrido. Ciudad Real. Muerto........... Subteniente. D. Nicolás Muñoz. Herido............ Teniente..... D. Félix Perez de Guzman. Contuso.......... Capitán....... D. Luis Morales. Segundo de Granada. Herido........... Su segundo comandante el tenien</t>
  </si>
  <si>
    <t>Muñoz, Pablo</t>
  </si>
  <si>
    <t>Pablo Muñoz</t>
  </si>
  <si>
    <t>la Presilla xoo. D Antonio Xavier de Herrera 2500, D. Manuel Rodriguen 40. D. Pedro de la Riva 60. D. Pablo Muñoz de la (Vega 122 rsi El conde de N. 270 rs. y 25 § mrs. y 7 mrs. en efectos de estado. Doña Luisa Benito'80. D. Angel de Aragón y Alvarez 20o D. Manuel Galan 20. . ¿ en cédulas. , D. Fra</t>
  </si>
  <si>
    <t>Muñoz, Pedro</t>
  </si>
  <si>
    <t>Pedro Muñoz</t>
  </si>
  <si>
    <t>pañadla orden del Excmo. Sr. Presidente interinó; no habiéndolo podido hacer por enfermos los Sres. D. Pedro Muñoz dé ía Torré , D: Bernardo Iriarte, D. Francisco Machado y el marqués del' Surcoí Y jp&amp;rú quh consté- ’dol fá presente que firmo- con lós señores concurrentes en Madrid á 28 de setiem</t>
  </si>
  <si>
    <t>Muñozr, Ricardo</t>
  </si>
  <si>
    <t>Ricardo Muñozr</t>
  </si>
  <si>
    <t>jfosef Otero Arias; y en el de la Corona subtenencia; de bandera al sargento1 primero'de granaderos D. Ricardo Muñozr. • Asimismo se ha dignado S. M. conferir en el regnitierrto de infantería* de■ América^ cótiipa5ía á su:caíbc41ert&gt;' ,pá^e D. Tomas-de Peñaranda,:i EriAmirícx.’ Et Rfcf-'sé ha^sér</t>
  </si>
  <si>
    <t>Munt, Pedro</t>
  </si>
  <si>
    <t>Pedro Munt</t>
  </si>
  <si>
    <t>ta acción se distinguieron D. Segismundo Bront, teniente de la compañía de D. Jaime Guión, de Vich; D. Pedro Munt y el ayudante de órdenes D. Juan Caracol, que se hallaba mandando la coluna de retaguardia; sin dexar de recomendar á D. Josef Puig y Prats , interventor de correos, el que hace tiemp</t>
  </si>
  <si>
    <t>o Piuofeft, y el tenicnteD- Joaquin Mureu ; del tercio de, Vich los capitanes vD. Francisco Planas, D. Pedro Munt y'D. Juan Pujol, y el teniente D. Segismun</t>
  </si>
  <si>
    <t>Murat, Príncipe</t>
  </si>
  <si>
    <t>Príncipe Murat</t>
  </si>
  <si>
    <t>ueño ya Napoleón de la sagrada persona del Rei y de la de su augusto hermano, dispuso por medio del Príncipe Murat, general en gefe de sus tropas, que se trasladasen igualmente á Bayona los Reyes padres, baxo el especioso pretexto de componer y arreglar las diferencias que suponía entre estos</t>
  </si>
  <si>
    <t>Muret</t>
  </si>
  <si>
    <t>igración, y animar á los extrangeros á venir al pais. Por este tiempo se vio también una memoria de Mr. Muret, cura de Vevai, llena de sólidas instrucciones sobre la materia. El autor pensó en asegurarse de la existencia del mal antes que buscar sus remedios. Con este fin , examinando cui</t>
  </si>
  <si>
    <t>anuales á toda la población en el último período debió ser menor que durante el curso del primero. Mr. Muret hace ver que en el último período la mortandad fue extremadamente pequeña, y mui considerable el número de los niños que llegaron á ia pubertad. No pudo suceder lo mismo en los pe</t>
  </si>
  <si>
    <t>ión en las campiñas de Suiza, en las montañas ha quedado estacionaria. Y, si hemos de dar crédito á Mr. Muret, se ha disminuido mucho en los Alpes del pais de Vaud; pero no es probable que en estas montañas se crie ahora menos ganado que antes: y si es menor el número de habitantes, puede</t>
  </si>
  <si>
    <t>Murfi, Juan</t>
  </si>
  <si>
    <t>Juan Murfi</t>
  </si>
  <si>
    <t>da orden con mucha anticipación, para que no hagan uso de parte alguna de ellas. Habiendo propuesto D. Juan Murfi levantar á sus expensas un regimiento de infantería de línea, compuesto de 3 batallones sobre pie de guerra , cediendo gratuitamente todos los empleos, á .oftetaies del exército;</t>
  </si>
  <si>
    <t>Muriarti, Juan</t>
  </si>
  <si>
    <t>Juan Muriarti</t>
  </si>
  <si>
    <t>real Casa y Corte. 24 pares de zapatos nuevos para la tropa. D. Eustaquio Sanz un par de pistolas. D. Juan Muriarti un par id. La Excma. Sra. duquesa viuda del Infantado 2 caballos, ademas de otro cuya entrega está ya anunciada. D.S.T. un caballo con su correspondiente silla y brida. D. Pedro A</t>
  </si>
  <si>
    <t>Murillas, Bernardo</t>
  </si>
  <si>
    <t>Bernardo Murillas</t>
  </si>
  <si>
    <t>r agosto i 160 rs. mensuales durante la guerra/ 160. El conde de........... á cuenta de 4© rs., 2®. D. Bernardo Murillas, por una vez i50 rs. t ( D. J uan Manuel de Traspeña, del comercio de lienzos, por una ^jez 1 i 00 rs* Sebastian de Noriega Ribero , de Carabanchél, por id. 60 rs. \ i D. Miguel A</t>
  </si>
  <si>
    <t>Murillo, Julián</t>
  </si>
  <si>
    <t>Julián Murillo</t>
  </si>
  <si>
    <t>e Navarra, graduado de teniente coronel, D. Ramón Go¿méz: la del de Sabóya al capitán del de Toledo D. Julián Murillo: la del de ía Corona al capitán del de Murcia, graduado dé teniente coronel, Don MaftuePFranco : la del de Sevilla al capitan1 dél propio inmemorial del Reí üL Pedro Gaztelu: lá d</t>
  </si>
  <si>
    <t>Muro, Juan Francisco</t>
  </si>
  <si>
    <t>Juan Francisco Muro</t>
  </si>
  <si>
    <t>z...... 600 229 D. Juan Roca y Juan........................................ Alicante...... 300 1750 D. Juan Francisco Muro......................... .......... Cádiz........ .. 600 2324 Herederos de Doña Francisca Rosa Ulloa..... Cádiz....... . 3000 256 D. Francisco Sánchez de María....................</t>
  </si>
  <si>
    <t>n Manuel de Soldevilla,,...... 3 00 151 Doña Rosa Fernandez Ay ala....... . Valencia...... 50a *749 D. Juan Francisco Muro................. .......... Cádiz............ 300 1818 Doña Ana Albani............................... •.......... Zaragoza..... .3 00 34 D.. Jayme Nogues........... Barcelona...*</t>
  </si>
  <si>
    <t>MuUeí, Carlos</t>
  </si>
  <si>
    <t>Carlos MuUeí</t>
  </si>
  <si>
    <t>o Navarro, gentilhombre de boca de S. Mv, por 2 meses á 40 rs; mensiíáles..;d^i.......ó;....-.^ 80. D. Carlos MuUeí&gt;pÓr agosto. á 60 *». id:.:.ó 60. D. Agtístin Endara, por id. á 120 id..... ................ .................... . i*u. Doña María Laguna dé Várgas, id........;............ 120. D</t>
  </si>
  <si>
    <t>Muzquiz, Ignacio</t>
  </si>
  <si>
    <t>Ignacio Muzquiz</t>
  </si>
  <si>
    <t>ue: He tenido á bien conferir plaza efectiva en mi consejo de Estado al marques de las Amarillas, á D. Ignacio Muzquiz , á D. Manuel de Lardizabal y Uribe, á D. Ramón de Posada y Soto , á D. Josef García de León y Pizarro, á D. Ignacio Martínez de Villela, á D. Manuel Romero, á D. Antonio Ranz Rom</t>
  </si>
  <si>
    <t>Nadal y Rens, Pablo</t>
  </si>
  <si>
    <t>Pablo Nadal y Rens</t>
  </si>
  <si>
    <t>Büfgós..:.;:.. íiooo c982 D. Fernando de Stá. Olalla...................í..;... Madtídi..,U 660 . 79 D. Pablo Nadal y Rens.............................. Barcelona.... ' 600 1855 D. Vicente Roblejo.........AA.......................... Zaragoza..... 500 2126 D. A ntonio Satórras.... .7...... .V. .7.. .</t>
  </si>
  <si>
    <t>Nadal, Ramón</t>
  </si>
  <si>
    <t>Ramón Nadal</t>
  </si>
  <si>
    <t>D. Ramón Nadal, por «na vez...... ......................... 320. D o ña María Rita de Urbieta, viuda, en un vale real, id.......... 2262. Paula Itlana, crradade la anterior, id..................</t>
  </si>
  <si>
    <t>Nagot</t>
  </si>
  <si>
    <t>, fundaron al propio tiempo en Ba'timore con, autorización del obispe un seminario, cuyo rector fue Mr. Nagot, clérigo de S. Sulpicío. Celebróse después un sínodo, en que se resolvió pedir al Papa un coadjutor para Mr. Carrol, proponiéndole á Mr. Leonardo Neale, jesuíta; y habiendo sido c</t>
  </si>
  <si>
    <t>Naranjo, Luis</t>
  </si>
  <si>
    <t>Luis Naranjo</t>
  </si>
  <si>
    <t>carella, diputado de S. Ildefonso. D. Tomas Sanz de Ibarrola, de id. Don Ramón Royo Pueyo, alcalde. D. Luis Naranjo, diputado de la Latina. Don Cristóbal Olmedo, de id. D. Pedro Acevedo id. D. Rafael Guerra, eclesiástico de dicha. D. Juan Hermoso Dara,-alcalde. D. Bernardino Quirós, cura de San</t>
  </si>
  <si>
    <t>Narcisa Rodríguez, María</t>
  </si>
  <si>
    <t>María Narcisa Rodríguez</t>
  </si>
  <si>
    <t>id........... 30. . í JuaYi de Orquiota, oficial de cantero, por- id. á 20 rs&lt; id........... 2QÍ , Doña María Narcisa Rodríguez, viuda, por id. á 30 rs, id....... D. Benigno Mariano de Santos, por id. á 60 rs. id........................ D. Francisco Dufoo, ministro honorario de la junta de Comercio y Moned</t>
  </si>
  <si>
    <t>Narcisco</t>
  </si>
  <si>
    <t>... ........... . ... Coruña....... 300 1179 .i Zaragoza..... 30 o 1308 ... 'Valencia.;... 600 2382 D. Narcisco; Alvarez- y ■ compañía. Zaragoza..... 3 00 1996 Doña Maríá Josefa Espinosa ........ ... " Zaragoza.... 500 24! D. Manuel Antonio de Arana..... ... Burgos....... IOCO i©í4 D. Pedro</t>
  </si>
  <si>
    <t>Narciso Benito</t>
  </si>
  <si>
    <t>.. ...... ..... . 61, El cura párroco de Sevilla la nueva , uno id. id.,.,...... ....... ...... 61. D. Narciso Benito, uno id. id...................................................... 6t. D- Antonio Aguado, teniente arquitecto mayor de esta villa, 4 id. por 2 .meses...............................</t>
  </si>
  <si>
    <t>Narciso Boada</t>
  </si>
  <si>
    <t>. 5 00 1095 D. Josef Cabrera................................................. Madrid..... . 300 137 D. Narciso Boada.......................... ................... Valencia..... 300 loo. Doña Joaquina Pallas y Torrente................. . Madrid....... 300 2154 Doña María de la Cadena y Perez.....</t>
  </si>
  <si>
    <t>Narciso Coder</t>
  </si>
  <si>
    <t>150 franceses con su capitán y tres subalternes fueron k dicho pueblo, lo que sabido por el espitan D. Narciso Coder * y Pedro Poicet, comandante de los somatenes de los pueblos de Espolia, Vila Manístra , S. Quirze y RabÓs fuéron a su seguimiento , sin intimidarlos el saber (según dixo el capit</t>
  </si>
  <si>
    <t>Narciso Coderch</t>
  </si>
  <si>
    <t>a villa de Llansá 150 hombres con un capitán, su miiger y 3 subalternos» y teniendo noticia de ello D. Narciso Coderch, de 70 años de edad-, y capitán de miqueletes que fue eñ la, guerra pasada, y Pedro Pairet, comandante de somatenes, reunieron basta' unos 100 hombres i los óó solo con armas; y s</t>
  </si>
  <si>
    <t>Narciso de Arrieta</t>
  </si>
  <si>
    <t>....... 61* Josef Zamorano, uno id. id......................................................... 61. D. Narciso de Arrieta, notario oficial mayor del vicariato general del -éxército , 2 id. por 2 id................. ............................ 122. D. Vicente *de- Alzaibary 4 id. por agosto..........</t>
  </si>
  <si>
    <t>Narciso de la Valeta</t>
  </si>
  <si>
    <t>sposiciones han contribuido principalmente á la gloria de las armas del Rei. En este caso se hallan D. Narciso de la Valeta , comandante del 2.0 de Barcelona; D. Francisco Milans del Bosch , teniente coronel del fixo de Ceuta; D. Juan O Donovan, comandante del 2.0 batallón de Ultonia; D. Henrique O-Don</t>
  </si>
  <si>
    <t>Narciso de la Veleta</t>
  </si>
  <si>
    <t>res de Tarragona, y otra de igual fuerza de los miqueletes de Gerona, al mando del teniente coronel D. Narciso de la Veleta, y del sargento mayor de Ultonia D. Enrique OJonelJ, con dos violentos; y al momento que la Sta. Iglesia Catedral tocó á somaten, salió la expresada columna, cargó sobre las dos b</t>
  </si>
  <si>
    <t>Narciso de Pedro</t>
  </si>
  <si>
    <t>cho , y dividió el resto de la reserva en dos secciones , la primera al mando del mariscal de campo D. Narciso de Pedro, compuesta del regimiento de dragones de Pavía y de los de infantería de granaderos Provinciales , Africa y Zaragoza, y !n se*gemela al del marques de Ge lo, regimiento do d¿f&gt;goa</t>
  </si>
  <si>
    <t>ho; y el resto de la reserva lo dividió en dos secciones, la primera al mando del mariscal de campo D. Narciso de Pedro, compuesta del regimiento de dragones de Pavía, y de los de infantería de granaderos provinciales, Africa y Zaragoza; y la segunda al del marques de Jelo, del regimiento de caball</t>
  </si>
  <si>
    <t>Narciso Depedro</t>
  </si>
  <si>
    <t>exército de Andalucía con .su comandante el Excmo. Sr. D. Manuel La-Peña y lo^ mariscales de campo D. Narciso Depedro, marques de Gelo y D. Josef Augusto Laporta, y á su frente ei capitán general y xefe de aquel exército el Excmo. Sr. D. Francisco Xavier Castaños. Las tropas del exército de Valen</t>
  </si>
  <si>
    <t>Narciso Depedroy</t>
  </si>
  <si>
    <t>jército de Andalucía con su-comandante*el Excmo. Sr. D. Manuel de la Peñáy y los mariscalesde campo D. Narciso Depedroy marques de. Jelo, y D. Josef Augusto Laporta,destinados á ella, y á su frente el capitán general de aquel exército el Excmo. Sr. D. Francisco Xavier Castaños. No es posible explic</t>
  </si>
  <si>
    <t>Narciso Forte</t>
  </si>
  <si>
    <t>oza,?...,óoo 1522 D. Pedro Josef de Manzanal............................. Bilbao.....-!... 300 2165 D. Narciso Forte....................................... -.. Coruña.......; 500 744 D- Tomas García Arribas y Quizq................. Madrid....... 500 1987 D. Antonio Mayo................... ......</t>
  </si>
  <si>
    <t>Narciso Gonzalo del Rio</t>
  </si>
  <si>
    <t>o de •* ■ ( Moscoso........ ................................................. Madrid....... 600 236 D. Narciso Gonzalo del Rio urgos............. Tlií ^/vao uuw 1300 Excmo. Sr, D. Félix Berenguer, teniente general............................................................... Valencia..... 300 921 D, Bart</t>
  </si>
  <si>
    <t>Narciso Herranz, Diego</t>
  </si>
  <si>
    <t>Diego Narciso Herranz</t>
  </si>
  <si>
    <t>........ 22617 28. D. Josef de Campos , en intereses de 1800, id........................... 270 27. D. Diego Narciso Herranz, en efectos contra Tesorería mayor, y pico en efectivo, id........................ ;.................................. . 150°* D. Francisco Ventura Mayoli, id.....................</t>
  </si>
  <si>
    <t>Narciso Peril</t>
  </si>
  <si>
    <t>................. 184. La duquesa viuda del Arco, '8 id., por 4 meses,......................... 9/6-D. Narciso Peril, oficial primero del gobierno del ramo de sali- tres, 6 id., pqr 2 meses.i.................. ........................ . 3 66. D. Francisco Pieronceli , maestr6*bordador, 6 id., po</t>
  </si>
  <si>
    <t>Narciso Reding</t>
  </si>
  <si>
    <t>ia 2. llegó á esta el primer batallón de suizos de Reding con i3. plazas, y su coronal el brigadier D. Narciso Reding , con el qual viene Mr. Reed , edecán de 911 hermano el general de este nombre, joven qüe ha venido'á España enviado por su pádre, para aprender eñ la</t>
  </si>
  <si>
    <t>Narciso Roca</t>
  </si>
  <si>
    <t>alhin y D. Isidoro Aza— güirre, oficiales de contaduría. . D. Agustín Peiaez, cirujano consultor. . D. Narciso Roca, comisario de entradas de hospital. Ministerio de justicia. D. Juan Miguel Paez de la Cadena, auditor de guerra. Ramo de correos* D. Antonio Uribarri, administrador. Santander 9 d</t>
  </si>
  <si>
    <t>Narciso Rubio</t>
  </si>
  <si>
    <t>ino, en acta de 20 dé junio próximo, admitió con agrado la oferta que le hizo su vocal y secretario Don Narciso Rubio de costear un retrato de nuestro amado Sooerano el Sr. Don Fernando vn para colocarlo donde se celebran Jas, sesiones* • .; j En la mañana del 31 de julio se presento el retrato'con</t>
  </si>
  <si>
    <t>​= De orden de la junta suprema de gobierno = Pablo Rincón, secretario vocal. = Narciso Rubio, secretario vocal. Sermo. Sr.: Con la de V. A. S. de i.° del corriente be recibido el do* cumeñto-que lá acompaña , él que me dexa enterado de la instalación de la Junta central suprema y gub</t>
  </si>
  <si>
    <t>Narciso Rubio Ja</t>
  </si>
  <si>
    <t>a #1 i£¿/,dada por el Excmo. Sr. capitán general presidente , y repetida por todos. En seguida leyó D. Narciso Rubio Ja oración siguiente. Señor. ,• , i-,, ;• .:&lt;.»■.» ■. ¡ . •&gt; * í,La lealtad valenciana, que en el dia 23 de mayo próximo pasado levantó sus pendones, ratificando el juramento de vasa</t>
  </si>
  <si>
    <t>Narciso Soria</t>
  </si>
  <si>
    <t>....... 400... D. Timoteo Rodríguez, por una vez.............................................. 500. D. Narciso Soria, platero de oro* por una vez........... ............... 1200 24. Josef Añover, tendero, por una vez»..»;».»...........»»„............ 60. r D. Pedro Michel,' un vale-dinero de 150</t>
  </si>
  <si>
    <t>Narzagaray, Francisco</t>
  </si>
  <si>
    <t>Francisco Narzagaray</t>
  </si>
  <si>
    <t>...... Zaragoza..... 600 1566 D. Francisco y D. Ramón de Mazarredo....... Bilbao.......... 300 1222 D. Francisco Narzagaray................................... Bilbao.......... 500 919 D. Josef Clemente de Luja.....................,....... Madrid........ 700 816 D. Josef Merchan.........................</t>
  </si>
  <si>
    <t>....... Madrid....... 3°° 1446 D. Henrique Disiier........................ . Málaga....... 300 1221 D. Francisco Narzagaray........ . Bilbao,.;...... 3°° 536 D. Félix Bustilío................ ............................ oeo 2419 Doña María de Dolores Amil y de Oro....... OclCilZaiiM #••• 390 507 D. An</t>
  </si>
  <si>
    <t>Nassarre, Blas Antonio</t>
  </si>
  <si>
    <t>Blas Antonio Nassarre</t>
  </si>
  <si>
    <t>blioteca universal de la poligrafía española, compuesta por D. Cristóbal Rodríguez, y publicada por Don Blas Antonio Nassarre, bibliotecario mayor de S. M---- Sinopsis histórica acronólógica de España-, - por D. Juan de Perreras, bibliotecario mayor de S.M., añadida con un sumario cronológico, y un índic</t>
  </si>
  <si>
    <t>Natalio Garrido</t>
  </si>
  <si>
    <t>a. Contuso........ Coronel....... Marques de Jas Atalayuelas. Cuenca. Muerto.....;.... Subteniente. D. Natalio Garrido. Ciudad Real. Muerto........... Subteniente. D. Nicolás Muñoz. Herido............ Teniente..... D. Félix Perez de Guzman. Contuso.......... Capitán....... D. Luis Morales. Segundo</t>
  </si>
  <si>
    <t>Natalio Rodríguez, Diego</t>
  </si>
  <si>
    <t>Diego Natalio Rodríguez</t>
  </si>
  <si>
    <t>s. en un libramiento sobre la renta del Tabaco, por una vez, y 42 id. por agosto.......... 1414 17* D. Diego Natalio Rodríguez, administrador de la Lotería, 60 id. durante.un año, id........................................................... ......... 60. D. Juan Montero, cirujano, 2.rs. diarios, por 2 me</t>
  </si>
  <si>
    <t>Ñau</t>
  </si>
  <si>
    <t>cionistas; S. E. el ministro del tesoro público ha nombrado para continuar los pagos de este añer a Mr. Ñau, yerno de Mr, Boscheron, pagador general de la deuda pública. Esta providencia es meramente interina, mientras que el consejo de estado resuelve sobre los demas artículos de queja</t>
  </si>
  <si>
    <t>Naudin, Juan</t>
  </si>
  <si>
    <t>Juan Naudin</t>
  </si>
  <si>
    <t>1003 do de teniente 'Coronel &lt;iel de Soria r el subteniente de Ceuta D. Juan Naudin, y él capitán graduado del mismo cuerpo D. Manuel de S. Martin, se han adquirido la mayor-distinción, y; aprecio por las repetidas pruebas que dieron continuamente de su espíritu</t>
  </si>
  <si>
    <t>Navarro Pingarron, Ramón</t>
  </si>
  <si>
    <t>Ramón Navarro Pingarron</t>
  </si>
  <si>
    <t>de D. Josef Moreda y Doña Alaría Siara, vecinos que fueron de esta corte,.y por providencia del Sr. D. Ramón Navarro Pingarron, alcalde de casa y corte, que entiende en su testamentaría, se ha mandado publicar por 20 dias la enagenacion de dos casas sitas en la calle de ios Yeseros, la una núm. 13 , manz.</t>
  </si>
  <si>
    <t>Navarro y Belluga, Francisco</t>
  </si>
  <si>
    <t>Francisco Navarro y Belluga</t>
  </si>
  <si>
    <t>omingo 7 del presente, con misa solemne, y descubierto-por mañana y tarde: predicará el M. R. P. M. D. Francisco Navarro y Belluga, predicador de S. M., calificador de la suprema Inquisición, y vicario general deja congregación del gran padre S. Basilio de España. Asistirá la música de la Encarnación.</t>
  </si>
  <si>
    <t>Navarro y María Caudevila, Francisco Xavier</t>
  </si>
  <si>
    <t>Francisco Xavier Navarro y María Caudevila</t>
  </si>
  <si>
    <t>uérfanos de S. Vicenteynuestra señora de la Misericordia, y fundaciones dé D. Juan Bautista Mas, de D. Francisco Xavier Navarro y Doña María Caudevila, baxo las mismas condiciones y exámenes.__ Para estimular á la buena educación en otras poblaciones de este reino, se darán, 6 premios de 50 rs., y para niños y 3 para niñas de la</t>
  </si>
  <si>
    <t>Navarro, Andrés</t>
  </si>
  <si>
    <t>Andrés Navarro</t>
  </si>
  <si>
    <t>4-4 4 4 4&lt;4 4&gt;4 * * -* t «'M « - d 4 4-4 44-4 4 4 4 4*4 4 "4 4-4 4-4 4 4&gt;4 4 4 4 4 4 #&gt;4 4 09 6 a» D. Andrés Navarro, eartedrático de S. Isidro, roo rs. por una vez&gt; y 6o cada raes &gt; .M «**« t «*.* « 100» . 4 4^4 4-4 44 44 44 4 » M&lt;* • *4 4 44 44 4-4-4 4 4 4 4 44 4 4*4 44 44 4 4 4 D„,AJexo.Pemer</t>
  </si>
  <si>
    <t>Navarro, Blas</t>
  </si>
  <si>
    <t>Blas Navarro</t>
  </si>
  <si>
    <t>oi de Laguardia......... ................................................... Coruña....... 600 2155 D. Blas Navarro.............................................. Coruña.......... 300 374 D. Juan Manuel de Peralta.............................. Cádiz........... 600 382 D. Andrés Ribera, canónigo</t>
  </si>
  <si>
    <t>Navarro, Joaquín</t>
  </si>
  <si>
    <t>Joaquín Navarro</t>
  </si>
  <si>
    <t>oria. Igualmente ha concedido el Reí ayudantía en el regimiento de infantería de España al teniente D. Joaquin Navarro. ; S. M. se ha servido conferir .la comandancia del tercer batallón del regimiento de infantería inmemorial del Rei al sargento mayor del mismo cuerpo D. Felipe Berenguer: ía del</t>
  </si>
  <si>
    <t>Navarro, Manuel</t>
  </si>
  <si>
    <t>Manuel Navarro</t>
  </si>
  <si>
    <t>de julio de 1807 se hallará desde mañana en el despacho de la'imprenta real, y en Cádiz en casa de D. Manuel Navarro. VENTAS JUDICIALES. Por providencia de D. Juan López de Vinuesa, juez comisionado regio en la diócesi de Coria,' se ha señalado el dia 28,del presente para el remate de la quarta</t>
  </si>
  <si>
    <t>Navarro, Mánüel</t>
  </si>
  <si>
    <t>Mánüel Navarro</t>
  </si>
  <si>
    <t>o de España de agosto de 1807 se hallará en el despacho de la imprenta real; y en Cádiz éñ; casa de D. Mánüel Navarro. "" nll I ' ■■■ I »»■■■ «lililí» ■ '!■■■ ■■ l I l » II ■ mmmm—w—■■ 1 VENTAS JUDICIALES. ' Se publican por 15 días mas varias fincas sitas en esta villa y en la de Legánés, pertene</t>
  </si>
  <si>
    <t>etiembre de 1807 se hallará desde mañana en el despacho de la imprenta real , y en Cádiz en casa de D. Manuel Navarro. VENTAS JUDICIALES. Por providencia del Sr. D. León de Sagasta, teniente corregidor de esta villa, le há señalado el dia 10 de mayo próximo para eliemáte de Una viña existente en</t>
  </si>
  <si>
    <t>o de España de octubre de 1807 se hallará en el despacho de la imprenta real, y en Cádiz en casa de D. Manuel Navarro.. . VENTA. El señor intendente de esta provincia ha aprobado el remate de una ca$aj en esta corte calle de las Hileras, nútn. 9, manz. 389, que se verificó en 23 2® rs. , de ellos</t>
  </si>
  <si>
    <t>Añtomó Gáircía . 'cárpjritero dé D. Nicolas' de Araus 12. :kS."M.,:i4r'r: v' ‘ D. M. B, 3.' - * -■ D. Manuel Navarro 6. f Una sirviente:;una¿ ; :f JD. JJdanuel Barrio 2. ,' * ■' \ i r (l Doña María Gertrudis.Támaró y $» Dona María Manuela Gil 4. criada María Bonilla A y 2 pares D. Josef Espinosa</t>
  </si>
  <si>
    <t>Navarro, Pedro</t>
  </si>
  <si>
    <t>Pedro Navarro</t>
  </si>
  <si>
    <t>............................ 80. D. Buenaventura Vidal, del comercio, por agosto á 100 r$¿ id. roo. D. Pedro Navarro, gentilhombre de boca de S. Mv, por 2 meses á 40 rs; mensiíáles..;d^i.......ó;....-.^ 80. D. Carlos MuUeí&gt;pÓr agosto. á 60 *». id:.:.ó 60. D. Agtístin Endara, por id. á 120 id....</t>
  </si>
  <si>
    <t>. \ * pares. 4e calcetas, y *' 1 ,r D; Júaii de Gñófó'S; ¡ f- •1 tí. Mañuél Jósefde Ribáfcbbay Gor- D. Pedro Navarro 3. , - vea 1)2, camisas.' : .... D. Pablo Minguet una. v:r;-' '/ .Doña María Anselma de Vacas uñar. Doña Ñ. úna.1 f: - f D. Isidro Gaspar de Aranzazuj. D. Leandro Sandoval y su es</t>
  </si>
  <si>
    <t>Navarro, Ramón</t>
  </si>
  <si>
    <t>Ramón Navarro</t>
  </si>
  <si>
    <t>su¿baqnos» d-diputados-dé^cart^ dad de ellos de su entera confianza. Quartel-de Palacio. El alcalde D. Ramón Navarro hará la de los barrios de S. Nicolás, santa Marta y S. Juan á los Caños del Peral. El señor corregidor, barrios de la Encarnación y Doña María de Aragón. El regidor D. Rafael Reyn</t>
  </si>
  <si>
    <t>Nazario Reding</t>
  </si>
  <si>
    <t>ogio. El marques de Coupigni recomienda también al gefe de guardias VaIo¿ ñas; con particularidad á D. Nazario Reding, coronel del regimiento de su apellido , y al marques de las Ataiayuelas, coronel de Bujalance; el de Giudad-ReahDI:Miguel Pedrero, y el sargento mayor de Cuenca D. PedfooGonesaoi</t>
  </si>
  <si>
    <t>el. dia 2 dfe este mes ólprimer batallón de suizos de Reding con 1®plazas, su coronel eí brigadier D. Nazario Reding, hermano del general. - . Para dar una-idea del entusiasmo, patriotismo y generosidad con que esta capital ha-recibido estas valerosas tropas vencedoras en Bai len , era necesario</t>
  </si>
  <si>
    <t>Negrete, Julián</t>
  </si>
  <si>
    <t>Julián Negrete</t>
  </si>
  <si>
    <t>rid....... 500 5754 D. Martin Moreno..................................... Cádiz....».».». 600 3 733 D. Julián Negrete..................................... Cádiz.......... 300 2360 D. Vicente Fernandez.............................. Zaragoza..... 300</t>
  </si>
  <si>
    <t>asa y cor te- Zaragoza..... IOOO 810 Doña María Juliana de Lapuente y Vargas... Madrid... IOOO 1730 D, Julián Negrete...................................i....... . Cádi*....... ...» 10000 2450 Doña Manuela Motiet,.y .Pipeda***.*.**/* w. v.wwy-' Zaragoza..*.. joop 544 Doña María del Pilar Lafuentey</t>
  </si>
  <si>
    <t>Négueruela, Manuel</t>
  </si>
  <si>
    <t>Manuel Négueruela</t>
  </si>
  <si>
    <t>— tez , eclesiástico, del barrio del Ave María. D* Ventura López, alcalde del barrio Je Sta. María. D. Manuel Négueruela% secretario de S Juan. Don Juan Sagra , alcalde de los Caños. D. Andrés Luis, secretario de dicha. D. Josef López Braña, eclesiástico de dicha. D. Manuel Taraayo, diputado</t>
  </si>
  <si>
    <t>Neira, Francisco</t>
  </si>
  <si>
    <t>Francisco Neira</t>
  </si>
  <si>
    <t>, por Una Vez*.....#., 20000. D. Mauricio Boinot, presbítero, por agosto á 2 rs. diarios.}.,... 62. D. Francisco Neira, médico de cámara, por 3 meses á 4 rs. diarios........................... ...................... ........... ........................... . 368. D. Francisco Xavier Mosquera de Pug</t>
  </si>
  <si>
    <t>Nejpomuceno del Poyo, Juan</t>
  </si>
  <si>
    <t>Juan Nejpomuceno del Poyo</t>
  </si>
  <si>
    <t>de i.° de setiembre, que ha satisfecho.......................... .......................... 1263 8. D. Juan Nejpomuceno del Poyo, un real diario, por 4 meses... 120. D. Cayetano de Carmona y Herrera, 4 rs. id. durante 6 meses, por agosto............. .................. ......................................</t>
  </si>
  <si>
    <t>Nelson, Lord</t>
  </si>
  <si>
    <t>Lord Nelson</t>
  </si>
  <si>
    <t>l Hpód se haT dirigido cóñ su esquadra á las islas Cabanas, con áiiimo dé ’átaéár la. dé Tériériféé Lord Nelson , que intentó igual empresa,.perdró én ella fih brazo y casi todas las tropas que había desembarcado. • : . También sé dice que los regimientos ingleses, que debían pasar desde Ma</t>
  </si>
  <si>
    <t>Netf, Gerónimo</t>
  </si>
  <si>
    <t>Gerónimo Netf</t>
  </si>
  <si>
    <t>co Meyer y D. Carlos Marliani: en el de Reding núm. 2.° á subteniente de granaderos ai de fusileros D. Gerónimo Netf: en el de WimpfFen á teniente al subteniente D. Víctor Troette: en el de Betschart á capitán segundo al teniente de granaderos D. JosefAlmeia ;á’ teniente de granhdéros al de fusi</t>
  </si>
  <si>
    <t>Nevcombe, Francisco</t>
  </si>
  <si>
    <t>Francisco Nevcombe</t>
  </si>
  <si>
    <t>ue llevan á bordo 11$ hombres de tropas al mando de sir David Baird. La corbeta Beagle, mandada por Mr. Francisco Nevcombe, que cruza delante de Boloña, ha apresado el 2 del corriente y conducido á Deal al corsario francés el Acaso, capitán Leloni, de 14 cañones, y 40 hombres de tripulación, que habia</t>
  </si>
  <si>
    <t>Neviet, Santiago</t>
  </si>
  <si>
    <t>Santiago Neviet</t>
  </si>
  <si>
    <t>..... . 300 2349 D. Vicente González......................................... Zaragoza..... 300 609 D. Santiago Neviet........................................ . Madrid........ 000 541 D. Esteban Fernandez de León....................... Madrid.'...... 300 797 D. Manuel de Gordon....................</t>
  </si>
  <si>
    <t>dos. Rs vn. 1998 D. Juan Pedro Cantón...... ................................ Zaragoza..... 5QOO 608 D. Santiago Neviet...........,................................. Madrid........ 1)00 270 D. Manuel y D. Mateo Martínez, y D. Mav . nuel de v illanueva......................................... Burgos.</t>
  </si>
  <si>
    <t>Nicanor Ricaud</t>
  </si>
  <si>
    <t>ntes de campo del general en gefe. D. Estanislao Salvador, capitán del regimiento de la Princesa; y,D. Nicanor Ricaud, id. del de Algarbe, secretarios del estado mayor general. D. Nicolás Cachapero, secretario del general en gefe, en Londres. El conde de Prado Castellano, coronel de milicias, agr</t>
  </si>
  <si>
    <t>Nicasio Álvarez de Cienfuegos</t>
  </si>
  <si>
    <t>..,...... 'Cádiz........ ..i ‘&lt;3°Q *38 P, Manuel Isidro de Mier, a» ■ ••• • Madrid........ 300 1801 D. Nicasio Alvarez de Cienfuegos......... . Zaragoza..... &gt;00 1849 Doña Alexandfa Hernández......... .......... . Zaragoza..... 300 • 195 D. Josef López Sobrp.ymas.......... ......... Alicante;... 3°° »75* D. Ant</t>
  </si>
  <si>
    <t>Nicasio Eiren</t>
  </si>
  <si>
    <t>Venegas y Cabrera , provisor. = Cários de Aguirre , mi-. nistro de Hacienda. = Nicasio Eiren, canónigo vocal eclesiástico. =Joaquín Colás, 3Vdcal militar. =r Antonio Salas, diputado del pueblo. =sPablo Mena— cho, regidor. = Angel Fernandez de Liencres, diputado de real hacienda. ==</t>
  </si>
  <si>
    <t>Nicasio Gallego, Juan</t>
  </si>
  <si>
    <t>Juan Nicasio Gallego</t>
  </si>
  <si>
    <t>rá en.la librería def lá;viuda de Quiroga, calle de las Gárrétas.íí El Día dos de mayo, elegía, por D. Juan Nicasio Gallego. Sie hallará en la&amp; librerías de Perez, calle de las Carretas, y de Castillo, frente á las gradas de San Felipe el Real. , - . • ... ;-.-r r ■ f - &lt;• r.: , e • y ry ^ ^ ** *' • —</t>
  </si>
  <si>
    <t>S. (Jerónimo, y.dé Villa, plazuela de Sto. Domingo. ^ j . i tr; ,-j. El día 2 de mayo, elegía, por D. Juan Nicasio Gallego: 2.a edfclqq^,Se;y^ade en las librejías de J|erez y 4.e Castillo. .................. t . . ¡ • ^ i ... GRABADO,. :■ ,v, ’ r Estampa que representa el primer saludo del león españo</t>
  </si>
  <si>
    <t>Nickel, Sebastián</t>
  </si>
  <si>
    <t>Sebastián Nickel</t>
  </si>
  <si>
    <t>124* Juan Atftonio -Teresa-ypor una'-vez;.*;.-....';.-.-;;;::;:;;;;;;;;.*.......;.4...;!. 1 too. ; D. Sebastian Nickel; y ; D. Felipe Befck y -plateros de tíro y ^.. . .¿ ‘ 80^ ; D. Manuel cte Sáücal-, oficia! de la cóótáduna de Consolidación, * \ y$ü muget ’Doña Florentina Sotó tufa’ y'ez..:.V...</t>
  </si>
  <si>
    <t>Nicol y Josipf González, Nicolás</t>
  </si>
  <si>
    <t>Nicolás Nicol y Josipf González</t>
  </si>
  <si>
    <t>D. Josef Antonio CanosaD. Pablo Muñoz de la Vera y D. Miguel García Marín, diputados de parroquias; D. Nicolás Nicol y Josipf González, por el gremio de menuderos; D; Francisco Galvez de Quirós, D. Manuel González Rodríguez, D. Pedro Gorron de Cisneros, D. Manuel Ramos Zafra, D. Angel de Sata y Zubiria, D. Manuel</t>
  </si>
  <si>
    <t>Nicola, Francisco</t>
  </si>
  <si>
    <t>Francisco Nicola</t>
  </si>
  <si>
    <t>......................... 10. Francisco Colomer, cocinero, por id. id.......................... 10. D. Francisco Nicola, por id. á 60 rs. id............... I.,............. —......... - -Ao. D. Juan Cosme Sánchez, presbítero, por id- á 30 rs. id........... 30. . í JuaYi de Orquiota, oficial de cant</t>
  </si>
  <si>
    <t>Nicolai</t>
  </si>
  <si>
    <t>n del comercio marítimo. No sabemos á punto fixo el valor de esta vaxilla; pero según el cálculo de Mr. Nicolai en su descripción de Berlín y de Potsdam, asciende á dos millones y medio de rixdalers (como unos 10 millones de pesetas), bien que se incluye el costo de las hechuras. De todos mod</t>
  </si>
  <si>
    <t>Nicolas' de Araus</t>
  </si>
  <si>
    <t>nuel de Sampelayo 5ó cambas. D. Juan Ignacio de Berriozabal 24. D; Añtomó Gáircía . 'cárpjritero dé D. Nicolas' de Araus 12. :kS."M.,:i4r'r: v' ‘ D. M. B, 3.' - * -■ D. Manuel Navarro 6. f Una sirviente:;una¿ ; :f JD. JJdanuel Barrio 2. ,' * ■' \ i r (l Doña María Gertrudis.Támaró y $» Dona María Ma</t>
  </si>
  <si>
    <t>Nicolás- de la Cruz</t>
  </si>
  <si>
    <t>bles artes, en junta que celebró el 3 del corriente, acordó .dar un premio de irrealesque satisfará D. Nicolás- de la Cruz, consiliario de dichá escuela , y lá patente de individuo, dei mérito dé la mis*?, ma, al prbfesor que desempeñe en un lienzo apaisado de 2 varas y una y quarta de alto, pintado a</t>
  </si>
  <si>
    <t>Nicolás-Menendez</t>
  </si>
  <si>
    <t>e ¡a secretaría de las reales gradas del Excusado y Noveno, 310 id. id........................ 310. D. Nicolás-Menendez, 10 id. id...... ....................d.......................... 10. D. Simón de Villar y Sancha, 60 id., por 4 meses..................... 240. D. Miguel Amable Charost, reloxero</t>
  </si>
  <si>
    <t>Nicolasa García</t>
  </si>
  <si>
    <t>Romero 6. D. Gerónimo Gambon 2 camisas. D. Benito Uit de Miiins 3. Doña María Ximenez de Traporcr, Doña Nicolasa García una y 2 pares vecina de Méritrida ,6. - • de calcetas. El Sr. D. Pedro de Mora y Lomas, D. Fernando Romero t sábanas, un corregidor de esta villa,'una silla capote, una casaca y u</t>
  </si>
  <si>
    <t>Nicolasa Montero</t>
  </si>
  <si>
    <t>os 4. Doña Francisca Villa 2. Doña Juana Prieto 2. Monjas de Sta. Clara 2. Doña Francisca Laliga 1. Doña Nicolasa Montero 2. Doña María Rodríguez 1. El colegio de S. Antonio 3. Doña Faustina Bustarviejo 3. Doña Catalina Villa 3. Doña Joaquina Alberto de Zülueta 2 camisas y 2 pares de calcetas. Dia 13</t>
  </si>
  <si>
    <t>Nicolasa Pérez de Castro</t>
  </si>
  <si>
    <t>a Juana María del Val 2 camisas* Doña María Damiana de Otaolá 6 Doña Francisca Arroteta, su criada. Doña Nicolasa Perez de Castro 2, una. D. Vicente Diratigo 3. D. Francisco Torres 4. D. Benito García Perez de Castro D. Severo Andrés García 2.’ una. La viuda de D. Josef de la Dehesa €. D Juan Mazarron 2 usad</t>
  </si>
  <si>
    <t>Nieto Zorrilla, Diego</t>
  </si>
  <si>
    <t>Diego Nieto Zorrilla</t>
  </si>
  <si>
    <t>o. Los pretendientes dirigirán sus memoriales al escribano del número y ayuntamiento de dicha villa Don Diego Nieto Zorrilla, y los que se hallen en esta corte los podrán entregar al apoderado D. Francisco Rodríguez Martin, challe de Juanelo, núms. 20 y 21, quarto segundo. ¡ ■ CONTINÜÁ</t>
  </si>
  <si>
    <t>úirn. 20 y 21, quarto segundo, en casa de D. Francisco Rodríguez, apoderado de la citada villa, y á D. Diego Nieto Zorrilla, escribano de su número y ayuntamiento. En la ciudad de Santander está vacante la plaza primera de cirujano latino y comadrón, que tiene de salario 7700 rs. anuales, pagados del f</t>
  </si>
  <si>
    <t>Nieto, Juan Bautista</t>
  </si>
  <si>
    <t>Juan Bautista Nieto</t>
  </si>
  <si>
    <t>eses....................................................... .............. .................. 1100. D. Juan Bautista Nieto, del comercio, 4 id. por 6 id.... ....... 730. D. Pedro Alonso, uno id. por 2 id............................................. 61. Pablo García, 2 id. por agosto...................</t>
  </si>
  <si>
    <t>secretario. D. Pedro Roque Cobo, diputado $le S- Justo. D. Domingo del Valle, secretario de dich;í. D Juan Bautista Nieto, diputado de id. Dan Lázaro Sanz, alcalde. D. Francisco Criado, diputado id. D. Andrés Beni— tez , eclesiástico, del barrio del Ave María. D* Ventura López, alcalde del barrio Je</t>
  </si>
  <si>
    <t>egidor; D. Diego del Rio, también regidor, y D. Matías Bayo, diputado; D. Nicolás García Caballero, D. Juan Bautista Nieto, D. Pedro Marcelino Blanco , D. Miguel Martínez, D. Pedro Queipo de Llano, D. Juan Ruiz Dávila, D. Josef Bausá, D, Rafael Ricote, D. Josef Antonio CanosaD. Pablo Muñoz de la Vera</t>
  </si>
  <si>
    <t>Nogue, Bernardo</t>
  </si>
  <si>
    <t>Bernardo Nogue</t>
  </si>
  <si>
    <t>Aires , ¡proporcionada á su mérito y circunstancias, . . . ;¡ , / Que por el mérito que contraxeron D. Bernardo Nogue, cirujano deí real cuerpo de artillería, y su hi jo D. Manuel Nogue, den años de edad, que se singularizó en la defensa, ha concedido también S. M. á dicho Don Manuel la gracia de</t>
  </si>
  <si>
    <t>Nogue, Manuel</t>
  </si>
  <si>
    <t>Manuel Nogue</t>
  </si>
  <si>
    <t>por el mérito que contraxeron D. Bernardo Nogue, cirujano deí real cuerpo de artillería, y su hi jo D. Manuel Nogue, den años de edad, que se singularizó en la defensa, ha concedido también S. M. á dicho Don Manuel la gracia de plaza de artillero distinguido en una de las compañías de artillero</t>
  </si>
  <si>
    <t>Noguer, Santiago</t>
  </si>
  <si>
    <t>Santiago Noguer</t>
  </si>
  <si>
    <t>u valor y conocimientos asegura contribuyeron sumamente á su feliz logro; y por último, á su edecán D. Santiago Noguer, teniente del regimiento deBorbon, que con rapidez, y por los mayores peligros , llevó sus órdenes á todos los pumos. Consecuente al anterior parte ha recibido otros S. E. de Host</t>
  </si>
  <si>
    <t>Noiret, Juan Bautista</t>
  </si>
  <si>
    <t>Juan Bautista Noiret</t>
  </si>
  <si>
    <t>jio se lo llevasen las olas. Ya no podía mas de fatiga y de frió, quando llegó Juan Bautista Noiret, vecino de Ault. Los generosos esfuerzos de este digno ciudadano salvaron á 9 de los náufragos. Sacó á 5 dé ellos por medio de la cuerda, y á nado á otros 4; los 2 restantes habían sido a</t>
  </si>
  <si>
    <t>Nolasco Ximenez, Pedro</t>
  </si>
  <si>
    <t>Pedro Nolasco Ximenez</t>
  </si>
  <si>
    <t>amón Antonio San Fuertes, capitanes urbanos: D. Juan de la Vianca, D. Basilio Viola, D. Juan Viola, D. Pedro Nolasco Ximenez, D. Juan Jorge, D. Matías Cámara, tenientes urbanos; y D. Manuel de los Ríos, subteniente también de urbanos, que van comprehendidos en sus respectivas ciases para obtener las inm</t>
  </si>
  <si>
    <t>Ñorberto de Oca y Meló</t>
  </si>
  <si>
    <t>Trasvina, primos, del comercio, 5# rs. á cuenta de 10© anuales, y 25© por una ve*......... . 30000. D. Ñorberto de Oca y Meló, por uña vez...................... ............ 300. D. Patricio de Zuazo, id........... ...................... ............................. 160. D. Francisco Xavier y D. Isidro</t>
  </si>
  <si>
    <t>Noriega, Antonio</t>
  </si>
  <si>
    <t>Antonio Noriega</t>
  </si>
  <si>
    <t>........ 500 í 548 D.-Bonifacio de Tosantos................................ . Bilbao...... 300 1924 D. Antonio Noriega , tesorero mayor de S. M. Zaragoza..... 300 1966 D. Pascual Martin de Vidacar........................ Zaragoza..... 6co 454 D. Eulagio de Vitoriea.................................</t>
  </si>
  <si>
    <t>Noriéga, Antonio</t>
  </si>
  <si>
    <t>Antonio Noriéga</t>
  </si>
  <si>
    <t>rnen anualmente eC*eí s|ryició de la tesorería. Y hallándose vacante este empleo por exóneracion de D. Antonio Noriéga ,'énterádo S. A. I. dé los servicios, integridad y'demas circunstancias del ministro del consejo supremo de Hacienda D.Vicente Alcalá Galiano, y dej intendente de exército I&gt;. Jua</t>
  </si>
  <si>
    <t>Normande, Pedro</t>
  </si>
  <si>
    <t>Pedro Normande</t>
  </si>
  <si>
    <t>......... . . Zaragoza..... 600 2294 D. Juan Manuel Fernandez de Mier...... , Cádiz ...... . 500 66 D. Pedro Normande..................................... . Barcelona.... IOOO 2403 D. Juan Miguel Luzan.......... ................. . . Zaragoza..... 300 325 Juan Rein................................</t>
  </si>
  <si>
    <t>;. 30o 1089 D. Pedro dél Rio............................................. ,. Madrid..... .. ,6eo 67 D. Pedro Normande..... ............••»?....... ..........••• Barcelona...; 600 742 D. Josef Agustin de.Larramendi............... Madrid...................■ 500 *182 D. Mariano ¿Romea.y Bayona.....A</t>
  </si>
  <si>
    <t>Normante, Lorenzo</t>
  </si>
  <si>
    <t>Lorenzo Normante</t>
  </si>
  <si>
    <t>ernandez Cástelao, 1100 rs. por una ¿vezf, y 4400 por un año á 12 rs. diarios.».................... D. Lorenzo Normante, oficial de la secretaría de Hacienda ,po* tí-_. * agosto a ^ rs. diarics.',*....,* 1^^j u D. Juan Polo y Catalina, oficial.de. la..misma, secretaría,:ppr ú agosto á 4-rs. diarios</t>
  </si>
  <si>
    <t>Norte, Francisco</t>
  </si>
  <si>
    <t>Francisco Norte</t>
  </si>
  <si>
    <t>....... 3 2. D. Josef María lita , 30 id. por agosto........................................... 30. D. Francisco Norte, 30 id. por unaño.......................... 360. D. J. M. G. de H., 30 id. por agosto........................................... 30. D. Miguel Muñoz, 8 id. por id.................</t>
  </si>
  <si>
    <t>Norzagarai, Mateo</t>
  </si>
  <si>
    <t>Mateo Norzagarai</t>
  </si>
  <si>
    <t>el Montaos, diputado del común; D. Matías Bayo, id.; D. Juan Josef de Bringas , procurador general; D. Mateo Norzagarai, personero del común. Diputación del estad» eclesiárHco regular. Fr. Eugenio Arnoedo, abad del monasterio de S. Bernardo; P. D. Calixto Nuñez, abad de S. Basilio. Diputación del e</t>
  </si>
  <si>
    <t>Nourse</t>
  </si>
  <si>
    <t>que se levante el embargo puesto en los puertos de los Estados-Unidos. En el mismo buque ha venido Mr. Nourse, enviado de aquel gobierno. Desde luego se ira á Francia, y se asegura que volverá á Londres. Este viage á Par&gt;3 nos hace dudar que la comisión de Mr. Nourse sea enteramente pacíf</t>
  </si>
  <si>
    <t>dada por el capitán Maeolm , el qual informó al comandante americano dé lo difícil que había sido á Mr. Nourse el pasar de Francia á Inglaterra, y del rigor con que Se observaba el decreto de bloqueo. A consecuencia de.este informe, el comandante americano aceptó da oferta que le hizo el cap</t>
  </si>
  <si>
    <t>Nueve, Bernardo</t>
  </si>
  <si>
    <t>Bernardo Nueve</t>
  </si>
  <si>
    <t>I* Coruña...;.: foo 1964 D. Martin de Enseña............................i Zaragoza.;;., i 300 '2029 D. Bernardo Nueve 'l^Íesias.;...v.V.,.V.&gt;..-.1..;.-¡. V Cádiz,.! &gt; _ t yoo 103 2 D. 'Benito de Gereda. Ma'dridi...'.;. &lt;5 300 ' '607 Sr. Marques de la Ensenada. A Madrid.!../.;. 8 300 217 ó Doña Ro</t>
  </si>
  <si>
    <t>Nueve-Iglesias, Bernardo</t>
  </si>
  <si>
    <t>Bernardo Nueve-Iglesias</t>
  </si>
  <si>
    <t>Zorrilla hermanos.......Madrid...;...; 1500 1434 D. Juan Laporta*.íí*^...-..Málaga.;/../.' 300 2028 D. Bernardo Nueve-Iglesias...... ....................... Cádiz......... * 500 3216 D. Miguel dé Lapiaza...................................... Bilbao........ 500 -421 D. Domingo' Abrial............... ......</t>
  </si>
  <si>
    <t>Núñez Hoyos, Francisco</t>
  </si>
  <si>
    <t>Francisco Núñez Hoyos</t>
  </si>
  <si>
    <t>se con nuestro exército en Agreda el batallón de voluntarios tiradores de esta capital, al mando de D. Francisco Nuñez Hoyos, con un sargento mayor, 2 ayudantes, 7 capitanes, 5 tenientes, 9 subtenientes, un abanderado, un capeiian* un tambor mayor, un maestro armero, 31 sargentos primeros y segundos, y</t>
  </si>
  <si>
    <t>Núñez, Antonio</t>
  </si>
  <si>
    <t>Antonio Núñez</t>
  </si>
  <si>
    <t>alo 2. D. Roberto y Guilleímo Dale, inD. Márcos González 6," ' gles , 12. \ Doña Ines Martínez una. D. Antonio Nuñez 2. D. Nicolás Lamiel y Venegas 4. ' Doña Mariana Obregon 3 libras de D. Manuel de Ureta 4. hilas y6;pánit0s. ; Doña B. A. una-. D. Diego Lamón, ingles, 2 camisas. Doña María Guerr</t>
  </si>
  <si>
    <t>Nuñéz, Manuel</t>
  </si>
  <si>
    <t>Manuel Nuñéz</t>
  </si>
  <si>
    <t>o por unanimidad de votos D. Ramón Escovar, y el‘segundo D. Mariano Cuesta.__ También se adjudicó á D. Manuel Nuñéz un exemplar del arte de la taquigrafía , eiiquadernado en tafilete, que dio el maestro de esta enseñanza D. Francisco de Paula Martí; y asimismo se'le1 entregó por secretaría cert</t>
  </si>
  <si>
    <t>Ñuño Álvarez Pereira de Mello</t>
  </si>
  <si>
    <t>e es la siguiente: El arzobispo de Lisboa y inquisidor general del reino; el arzobispo de Cointbra; D. Ñuño Alvarez Pereira de Mello, hermano del duque de .Cadabaf» uno de los primeros magnates del reino, y de sangre real ; los marqueses dé Abrantes, padre é hijo; el marques de Peñalba; el marques de Valencia;</t>
  </si>
  <si>
    <t>Ñuño, Francisco</t>
  </si>
  <si>
    <t>Francisco Ñuño</t>
  </si>
  <si>
    <t>uipoÍicrmí so las compañías de la costa de Granada y 1 tiradores de Montoro mandado* por el capitán D. Francisco Ñuño. La mañana del íó se adelantaron los indultados ele P/Llaga y las guerrillas á reconocer los olivares , y atacados por el enemigo» se repltgaron sobre ios tiradores de Cádiz, que</t>
  </si>
  <si>
    <t>O Donovan, Juan</t>
  </si>
  <si>
    <t>Juan O Donovan</t>
  </si>
  <si>
    <t>omandante del 2.0 de Barcelona; D. Francisco Milans del Bosch , teniente coronel del fixo de Ceuta; D. Juan O Donovan, comandante del 2.0 batallón de Ultonia; D. Henrique O-Donnell, sargento mayor del mismo cuerpo, que ha sido herido ; D. Juan Baget, coronel y comandante de Jos tercios de Lérida;</t>
  </si>
  <si>
    <t>O Lalo, Santiago</t>
  </si>
  <si>
    <t>Santiago O Lalo</t>
  </si>
  <si>
    <t>ación y el aprecio, por la intrepidez y acierto con que mandó el fuego de fusilería; y el malhadado D. Santiago O Lalo, cuya memoria no podrá menos de sernos eternamente grata, y cuyo nombre dará siempre á la nación y al exército Ja esclarecida idea dé un oficial de un mérito sublime, y de un ciud</t>
  </si>
  <si>
    <t>O- Donnell, Henrique</t>
  </si>
  <si>
    <t>Henrique O- Donnell</t>
  </si>
  <si>
    <t>S. Soria......... .... Teniente........................ D. Tadeo Aldea. ^Sargento mayor............ D. Henrique O- Donnell. Ultonia............ Capitán de granaderos. D. Guillermo Nasc, levemente. i (.Subteniente.................... D. Miguel Pierson. j.° Barcelona.. Subteniente.................... D.</t>
  </si>
  <si>
    <t>O-Bali, Pedro</t>
  </si>
  <si>
    <t>Pedro O-Bali</t>
  </si>
  <si>
    <t>ral de división Reille, edecán de S. M. ei Em- &gt; peraddr yRei, por una parte; y por otra el coronel D. Pedro O-Bali, goherriador comandante de la plaza de Rosas y el castillo de la Trinidad*, y el coronel dé ingenieros D Manuel Lemaux. » * . * -t 4 Peticiones. Respuestas. X i.° La plaza de Rosa</t>
  </si>
  <si>
    <t>O-Dalli, Pedro</t>
  </si>
  <si>
    <t>Pedro O-Dalli</t>
  </si>
  <si>
    <t>n los paisanos y los valerosos oficiales y soldados del expresado regimiento, cuyo teniente coronel D. Pedro O-Dalli quedó herido en esta acción. Serian cerca de las 5 de la tarde quando el enemigo dió este primer ataque; y viendo burladas sus esperanzas en este punto, atacó inmediatamente el fu</t>
  </si>
  <si>
    <t>O-Daly, Pedro</t>
  </si>
  <si>
    <t>Pedro O-Daly</t>
  </si>
  <si>
    <t>endición. Firmado, Juan Dombrowski, ayudante-comandante, gefe del estad# mayor. Pia, Coronel mayor.=D. Pedro O-Daly.s Manuel Lemaux. Aprobada la presente capitulación en quanto á fas respuestas solasen* te. = El general de división comandante del sitio.s= Firmado, Rcille. Tala vera de la Reina,</t>
  </si>
  <si>
    <t>ar los heridos; puta no había en el cas* tillo ningún cirujano. Gerona ag. de Noviembre. El coronel D. Pedro O-Daly, gobernador de la plaza de Rosas, avisó el 19. al general de la banguardia del ejército de Cataluña, que en un consejo de guerra, al que asistieron todos los xefes de los cuerpos</t>
  </si>
  <si>
    <t>O-Doeell, Francisco</t>
  </si>
  <si>
    <t>Francisco O-Doeell</t>
  </si>
  <si>
    <t>colocó .por .su primera línea el batallón de tiradores de. Cádiz , al man^ d6 de su sargento mayor D. Francisco O-Doeell; sobre su derecha el de ti-, radores de España, á las del coronel D. Juan de Viilalba; y á su izquierda cí de voluntarios de Carmena, ál mando de su comandante D. Josef Asmé4*, ni</t>
  </si>
  <si>
    <t>O-Donnell, Henrique</t>
  </si>
  <si>
    <t>Henrique O-Donnell</t>
  </si>
  <si>
    <t>sistibles militares , mandados por sus dignos oficiales y valerosos gefes ©. Narciso de la Váleta y D. Henrique O-Donnell, atacaron á la bayoneta las baterías del enemigo con tal ardor y celeridad que apenas’ dé dieron tiempo de reconocerse. Arrollados y confundidos en los mismos pantos que defendían</t>
  </si>
  <si>
    <t>ch , teniente coronel del fixo de Ceuta; D. Juan O Donovan, comandante del 2.0 batallón de Ultonia; D. Henrique O-Donnell, sargento mayor del mismo cuerpo, que ha sido herido ; D. Juan Baget, coronel y comandante de Jos tercios de Lérida; D. Juan Claros, capiran retirado; Don Manuel Bodet, capitán de</t>
  </si>
  <si>
    <t>O-Donovan, Juan</t>
  </si>
  <si>
    <t>Juan O-Donovan</t>
  </si>
  <si>
    <t>va fuerte era 1145 hombres encabezada por 145 granaderos de infantería de Borbon , á las órdenes de D. Juan O-Donovan, comandante del tércer jbatallon dei regimiento de infantería de Ultonia. En este orden, y 4 distancia proporcionada del enemigo-, que oprimía á Monjui-, hizo subdividir la divisi</t>
  </si>
  <si>
    <t>ia; la segunda por D. Gaspar Gómez de la Serna, coronel del dé Granadaí y la tercera por el coronel D. Juan O-Donovan, comandante del tercer batallón del de Ultonia : llevaban la vanguardia los húsares al mando de su sargento mayor D. Casimiro Loy, y cubrían la retaguardia 1 ó o hombres del escua</t>
  </si>
  <si>
    <t>enieros y miqueletes que ha concurrido; y señala en particular al cor mandante de la tercera coluna D. Juan O-Donovan, que con las comr pañías de granaderos, primera de Granada, segunda de Ekjrbon, y par*; te de fusileros de Soria, persiguió al enemigo; y á D? Casimiro Loy; sargento mayor de húsa</t>
  </si>
  <si>
    <t>O-farril, Gonzalo</t>
  </si>
  <si>
    <t>Gonzalo O-farril</t>
  </si>
  <si>
    <t>cumplimiento.*’ El Reí en atención, al distinguido y acreditado mérito del teniente general el Sr. D. Gonzalo O-farril, consejero de estado honorario , se hs*dignado conferirle el empleo de director y coronel general, del real cuerpo de artillería qr jEspaña é Indias* Y? satisfecho también. S.’M.</t>
  </si>
  <si>
    <t>O-Farril, Gonzalo</t>
  </si>
  <si>
    <t>Gonzalo O-Farril</t>
  </si>
  <si>
    <t>dia de los señores D. Francisco Gil de Lemos, D. Miguel Josef de Azanza , D. Se4 b.stian Piñuela y D. Gonzalo O-Farril, secretario del despacho; y de los señores Duque de Granada de Ega, presidente del consejo de las Órdenes, marques Cabulero, presidente del de Hacienda, marques de las Amarillas,</t>
  </si>
  <si>
    <t>te dia con asistencia de dos señores vocales de la suprema junta de gobierno el excelentísimo señor Don Gonzalo O-Farril; y el ilustrísimb señor D. Bernardo Inarte &gt; nombrados al efecto por S. A. I. y R. él serenísimo señor gran Duque de Berg; y habiéndose conferenciado el asunto, y oido én voz á lo</t>
  </si>
  <si>
    <t>O-Farríl, Gonzalo</t>
  </si>
  <si>
    <t>Gonzalo O-Farríl</t>
  </si>
  <si>
    <t>uientes: D. Sebastian Piñuela, del consejo de Estado, secretario del despacho de Gracia y Justicia: D. Gonzalo O-Farríl, consejero de Estado, secretario del despacho de la Guerra: el marques Caballero, consejero de Estado , gobernador del consejo dé Hacienda: el marques de las Amarillas, consejero</t>
  </si>
  <si>
    <t>os ministro del Interior; al Sr. D. Miguel Josef de Azanza ministro de Indias: ha confirmado al Sr. D. Gonzalo O-Farril en el ministerio de la Guerra que regenta, y al Sr. D. Josef de Mazarredo en el de Marina ; finalmente ha nombrado S. M, al señor conde de Cabarrus ministro de Hacienda Lo participo</t>
  </si>
  <si>
    <t>O-Farrill, Gonzalo</t>
  </si>
  <si>
    <t>Gonzalo O-Farrill</t>
  </si>
  <si>
    <t>onda para su cumplimientos Señalado de la real mano de S. M. = En palacio'á io de abril de 1808.= A D. Gonzalo O-Farrill.” * El Reí se ha servido conferir en el regimiento de infantería inmemorial del Rei la tenencia coronela al comandante del tercer batallón del de la Corona D. Genaro Rezabal: en e</t>
  </si>
  <si>
    <t>cas, escritas desde Burgos,.con fecha de 17 del corriente, y firmadas por D. Josef Miguel de Azanza,Don Gonzalo O-Farrill, D. Manuel Romero, Don Mariano Luis de Urquijo, D. Pablo Arribas , y el conde de Cabarrus. Estos hombres ilusos, vendidos por ambición al enemigo, siguen en sus cartas el camino t</t>
  </si>
  <si>
    <t>O-Neiíle, Félix</t>
  </si>
  <si>
    <t>Félix O-Neiíle</t>
  </si>
  <si>
    <t>América, baxo la escolta del San Francisco de Paula, navio de guerra de 74. cañones, su comandante D. Félix O-Neiíle. Este navio va á Veracruz. El convoy se compone de 4. fragatas , un xabeque y un bergantín para Veracruz; dos fragatas y dos bergantines para la Havaca; un bergantina y una bombar</t>
  </si>
  <si>
    <t>O-Neill, Juan</t>
  </si>
  <si>
    <t>Juan O-Neill</t>
  </si>
  <si>
    <t>ido de esta plaza y de la villa de Mallen una división de 3$ hombres al mando del mariscal de campo D. Juan O-Neill con destino á las Cinco Villas. Se espera, luego el feliz resultado de las operaciones; de todas estas tropas. ;i • Carta de la ciudad de Tudela al Exento; Sr. JD. Josef Palafox,</t>
  </si>
  <si>
    <t>O-Neille, Juan</t>
  </si>
  <si>
    <t>Juan O-Neille</t>
  </si>
  <si>
    <t>f de Palafox y Melci, capitán general de Aragón, remite el parte que le ha dado el teniente general D. Juan O-Neille, comandante de la división de la derecha de aquel exército, y es como sigue: ,, Excmo. Sr.: Habiendo reunido los enemigos sobre Nardues todas las tropas de Monreal y Salinas con e</t>
  </si>
  <si>
    <t>O-Neilli, Juan</t>
  </si>
  <si>
    <t>Juan O-Neilli</t>
  </si>
  <si>
    <t>bloqueaban. (Diario de Granada jnnm. 14S.) ESPAÑA. Jaca go de octubre, Nuestro gobernador y general D. Juan O-Neilli ha enviadoá pedir á esta plaza espoletas para granadas, estopines para obtísés y otros pertrechos de guerra. Una carta de Ansó dice que los roñcáléses han -corrido hasta ahora con</t>
  </si>
  <si>
    <t>Oberni, Estéban</t>
  </si>
  <si>
    <t>Estéban Oberni</t>
  </si>
  <si>
    <t>50, de la creación de i.° de setiembre, tiúm. 1978411 todos endosados en la misma ciudad á favor-de D, Estéban Oberni con fecha 4? r8 de febrero próximo pasado, Quien supiere de su paradero, se servirá avisar en Madrid á D, Domingo Albert, calle de la Cruzj núm, 3; en Zaragoza á D, Juan Gaíeart,</t>
  </si>
  <si>
    <t>Ocerin, Juan Manuel</t>
  </si>
  <si>
    <t>Juan Manuel Ocerin</t>
  </si>
  <si>
    <t>......... 500 236) Doña Josefa Vivanco........................................ Zaragoza..... 000 50 D. Juan Manuel Ocerin..............».................... Bilbao......... 300 516 D. Antonio Cortés del Valle»,......................... Bilbao......... IOOO 1061 Doña Vicenta María de Guzman...........</t>
  </si>
  <si>
    <t>Octavio de Toledo, Ramón</t>
  </si>
  <si>
    <t>Ramón Octavio de Toledo</t>
  </si>
  <si>
    <t>o de este año , á consulta de la junta general de comercio y moneda, se ha dignado S. M. conceder á D. Ramón Octavio de Toledo, vecino de la ciudad de Corella , en Navarra , la gracia de que pueda colocar las reales armas sobre la puerta de una fábrica de extracto de regaliz que tiene en £lla. AVISO. En e</t>
  </si>
  <si>
    <t>ODonovan, Juan</t>
  </si>
  <si>
    <t>Juan ODonovan</t>
  </si>
  <si>
    <t>su franqueza y buena fe, nombró comisionados á dos de sus miembros, que fueron el teniente coronel D. Juan ODonovan, comandante del regimiento de Ultonia, y D. Martin de Burgués, regidor perpetuo de la ciudaa, quienes al anochecer pasaron al campo enemigo: fueron bien recibidos pór los generale</t>
  </si>
  <si>
    <t>OFarril, Gonzalo</t>
  </si>
  <si>
    <t>Gonzalo OFarril</t>
  </si>
  <si>
    <t>ón del Sr; IX Pedro Cevallos) los ministros S . Mariano Luis de Urquijo, D. Miguel Josef de Azanza, D. Gonzalo OFarril, D. Josef Mazarredo y el conde de Cabamis. Todos los supremos tribunales-de la nación que tienen su residencia en esta, corte han vivido hasta j est^rmamento oprimidos, sin libert</t>
  </si>
  <si>
    <t>Oiivencia, Matías</t>
  </si>
  <si>
    <t>Matías Oiivencia</t>
  </si>
  <si>
    <t>l de Abbad; gefes de trozo D. Manuel Ferrando, D. Pedro Sánchez Pavón y D. Pablo Unda; seminaristas D. Matías Oiivencia,D. Josef María Carrillo, D. Félix GHman, cadete de reales guardias Valonas, D. Félix Palacios, D. Manuel Entramfbasaguas, D. Pedro Cendeja , D. Josef Manuel del Valie, D. Josef Ma</t>
  </si>
  <si>
    <t>OJoneü, Francisco</t>
  </si>
  <si>
    <t>Francisco OJoneü</t>
  </si>
  <si>
    <t>ridos, colocó por $ü primera línea el batallón de tiradores de Cádi?5/al mando de su sargento mayor D. Francisco OJoneü, sobre su derecha el de tiradores de España al del coronel D J uan de ViiU!v-a, y a. su irquierda el de voluntarios de Carmena al mando su- comandante D. Joscf As-menicb,. dexando</t>
  </si>
  <si>
    <t>Olaguer Feliu, Antonio</t>
  </si>
  <si>
    <t>Antonio Olaguer Feliu</t>
  </si>
  <si>
    <t>an sin exercicio los secretarios de estado y del despacho D. Pedro Cevallos , el marques Caballero, D. Antonio Olaguer Feliu , el baylí© Fr. D. Francisco Gil, y D. Miguel Cayetano Soler, y necesitando por tanto de mi nombramiento, he venido eir ratificarlo respectivamente al despacho de que cada uno est</t>
  </si>
  <si>
    <t>secretario de estado y del despacho universal de guerra al teniente general de mis reales exércitos D. Antonio Olaguer Feliu, que ha servido este destino á mi satisfacción; he venido en nombrar para el empleo de mi secretario de estado y del despacho de gracia y justicia á D. Sebastian Piñuela y Alonso,</t>
  </si>
  <si>
    <t>Olí, Francisco</t>
  </si>
  <si>
    <t>Francisco Olí</t>
  </si>
  <si>
    <t>4 id. por 12 meses................ ................. ,146o. . D. Manuel Paez., 3,id.,id • iíIX.O.A D. Francisco Olí,ya , .presbítero ¿ 2 id.¡ id&gt;.&lt;.,&gt;...rf.........i...... 7304 XI D. Mateo Zurita. Palac.io,. cura propio de la iglesia .parroquial ..m - j.r-.u de Tamara, 200 rs. mensuales, por ag</t>
  </si>
  <si>
    <t>Olivan, Bernardo</t>
  </si>
  <si>
    <t>Bernardo Olivan</t>
  </si>
  <si>
    <t>s vñ. • Miera................... ......................................... Bilbao........ 3 00 2414 D. Bernardo Olivan............................ Zaragoza....* 300' 1283 D. Antonio Víscaino, presbítero......... ............ "Valencia..... IOOO 620 D. Francisco de Irusta...........................</t>
  </si>
  <si>
    <t>Olivares, Manuel</t>
  </si>
  <si>
    <t>Manuel Olivares</t>
  </si>
  <si>
    <t>edro Barbería 200. D. Juan Gil de Arana 60, . * D.; £.; B. 1$. I D ña Justa Rutina de la Puente 20¿ D. Manuel Olivares 100. Doña Margarita Cabrero 10. . . .i D. Sebastian Casado 20. D. Francisco Ximenez Panlagua 40i D. Antonio Gay oso 10. D. M. F. A. 40, í D.. Antonio y D, Josef Zayas 100. Doña Ma</t>
  </si>
  <si>
    <t>Oliveros, Antonio</t>
  </si>
  <si>
    <t>Antonio Oliveros</t>
  </si>
  <si>
    <t>o de Indias, id.................................................................. ......... . xfce. D. Antonio Oliveros, canónigo de S. Isidro,.id........... .............. 800. D. Manuel García Moreno, presbítero, 124 rs. mensuales, por agosto.......... ............ ...............................</t>
  </si>
  <si>
    <t>Olondroz, Juan</t>
  </si>
  <si>
    <t>Juan Olondroz</t>
  </si>
  <si>
    <t>l Virrey con pliegos para V. A. S., y. que viene de pasagero en dicho bergantín el teniente coronel D. Juan Olondroz, tio del gobernador de Montevideo. Participólo á V. A. S. para su inteligencia, acompañando nota del cargamento que conduce. Dios guarde á V. A. S. muchos años. Cádiz 13. de Dicie</t>
  </si>
  <si>
    <t>Omodeo</t>
  </si>
  <si>
    <t>starán ya libres de las piraterías de los ingleses. Antes que llegara Mr. Dembouski ya habia venido Mr. Omodeo, gefe de batallón, y ayudados uno y otro de las tropas que mandan y $Íe Mr. Capponi, subdelegado del gobierno, pondrán mui pronto esta isla en</t>
  </si>
  <si>
    <t>Onaza, Félix</t>
  </si>
  <si>
    <t>Félix Onaza</t>
  </si>
  <si>
    <t>Cárlos. Rs. Mr*. D. Antonio Sastre, 6 rs. diarios * por 6 meses.............................. noo. D. Félix Onaza, 3 id. por 2 id..................................................... 183. Benito Garrido, 4 id. por agosto..................................................... 124. D. Julián Fuer</t>
  </si>
  <si>
    <t>Onofre Martínez, Manuel</t>
  </si>
  <si>
    <t>Manuel Onofre Martínez</t>
  </si>
  <si>
    <t>, diputado de id. D. Diego Uriondo , diputado id. D. Francisco Rodríguez ¿ diputado del Ave María. D. Manuel Onofre Martínez, diputado de la Encarnación. D. Antonio Cucarella, diputado de S. Ildefonso. D. Tomas Sanz de Ibarrola, de id. Don Ramón Royo Pueyo, alcalde. D. Luis Naranjo, diputado de la Latin</t>
  </si>
  <si>
    <t>Oófbaíán, Joaquín</t>
  </si>
  <si>
    <t>Joaquín Oófbaíán</t>
  </si>
  <si>
    <t>a al cápitaií'dei dé Cruabalaxara, ipitan del ele Guadalaxara-, graduado gra dé teniente- corone] • D. Joaquín Oófbaíán: °la del meñdonado de Jaén al'capStaíí desdicho dé voluntarips de EstádóV.gnduado’ de teniente coronel, D.TDbmingo PiTe¿ : la de F enunciad o dé Voluntarios de Castilla al capitaí</t>
  </si>
  <si>
    <t>Oquendo, Miguel Antonio</t>
  </si>
  <si>
    <t>Miguel Antonio Oquendo</t>
  </si>
  <si>
    <t>e lienzos, por una ^jez 1 i 00 rs* Sebastian de Noriega Ribero , de Carabanchél, por id. 60 rs. \ i D. Miguel Antonio Oquendo* por una vez 200 rs. D. Francisco Garcia Prieto, oficial de la secretaría de la presidencia de Castilla, sus 6 cubiertos de plata, y 60 rs. mensuales ínterin las circunstancias: p</t>
  </si>
  <si>
    <t>Orawfor</t>
  </si>
  <si>
    <t>urado después determinar la influencia del calor, sobre los fenómenos que ofrece la respiración. El Dr. Orawfor, que ha meditado profundamente esta materia, cree haber observado que la deterioración del adre, ocasionada por la respiración, era tanto menor, quanto mas activo era él calor que</t>
  </si>
  <si>
    <t>Ordonéz, Francisco</t>
  </si>
  <si>
    <t>Francisco Ordonéz</t>
  </si>
  <si>
    <t>iádíz.. Cádiz;; A.;... 000 2050 D. Fra ncLsco XáVler' Ca í taños. ;.. a..C / j,.AA f $ 00 2383 Lie. D. Francisco Ordonéz.•••••••.........i...f.v.,. ■ZitVA^óka. AJ. 7 3 00 '^33 D. lonias de Lainadrid.......i.. /LiaráuóZa..;.. r 6cO 1798 D.‘ Trian Antonio ’d'é Y'ai’diola y Garay .;:.A..r' C iZi«« •• 1</t>
  </si>
  <si>
    <t>Ordqñez Castañon, Francisco</t>
  </si>
  <si>
    <t>Francisco Ordqñez Castañon</t>
  </si>
  <si>
    <t>tre dé la catedral dé Orense ,; vacante por muerte d$ Don Francisco Solis, y por haberla renunciado D. Francisco Ordqñez Castañon* á'quien S. M. tuvo á bien de nombrar; para ella, á D. Bernardo Martínez; y para la cannngía que esté dexa, á D. jacinto Nicolás Taboada: para la canongía doctoral dé la catedral</t>
  </si>
  <si>
    <t>Orduñez, Pablo</t>
  </si>
  <si>
    <t>Pablo Orduñez</t>
  </si>
  <si>
    <t>• ~._ ••• ;~ .•••.••• "•••••.•• :•••.•••••,•••••••••••'•• ~ • • . ' ~. 1 • • • ',' :;60. •• " r _ ; D. Pablo Orduñez, id ....•.•••.....••......................•.................•.... . ~40. D. Frdllclsco d~i C.-tmpQ·; contador ~ ió~ Sres. Jnf.iotes º~ 9á~~ lo~ y D .. FraQcjsco ·de P.aut~, el) y~</t>
  </si>
  <si>
    <t>Orodea, Bernardo</t>
  </si>
  <si>
    <t>Bernardo Orodea</t>
  </si>
  <si>
    <t>.. . 300 rjy-62 D. Gerónimo López.......................................... Cádiz.......... 300 27Ó D. Bernardo Orodea.......... .............................. Burgos........ 200 18 50 D. Juan Francisco Rodrigo........ ....... ............. Zaragoza.... ÓOO 484 Doña, María Antonia de Labiesca.....</t>
  </si>
  <si>
    <t>Oromí, Manuel</t>
  </si>
  <si>
    <t>Manuel Oromí</t>
  </si>
  <si>
    <t>do capitán D. jdsefMartinez; el teniente graduado de capitán D. Mauricio Estrada,, y el subteniente D. Manuel Oromí; y un; solo contuso que hai lo es el capitán primero Francisco Fariñas , todos: deitiradorfesideXUádiz. . ; Lajunta .suprema, queiha mirado con el mayor interes eln heroico valor</t>
  </si>
  <si>
    <t>Orozco, Bernardo</t>
  </si>
  <si>
    <t>Bernardo Orozco</t>
  </si>
  <si>
    <t>Elasa , San Gerónimo ; D. Tomas Sanz Ibarrola , Maravilla- ; D. Roque Antonio de Lema, Afligidos ; D. Bernardo Orozco, Barquillo; D. Tadeo Fón , San Martin. Diputación por el cuerpo de vecinos honrados de las parroquias de Madrid. D. Pedro Gorron de Cisneros, D. Esteban de la Torre, D. Nicolás Ga</t>
  </si>
  <si>
    <t>Orta, Bernardo</t>
  </si>
  <si>
    <t>Bernardo Orta</t>
  </si>
  <si>
    <t>ver á capitán al teniente de granaderos D. Ramón de, Soto; á teniente de granaderos al de fusileros D. Bernardo Orta; á teniente ^1..subteniente de granaderos D. Antonio Caire; á subteniente de granaderos, al de* fusileros D. Mariano Gariburu, y á subteniente de bandera al cadete 1L Rafael Camar</t>
  </si>
  <si>
    <t>Ortega Gijon, Felipe</t>
  </si>
  <si>
    <t>Felipe Ortega Gijon</t>
  </si>
  <si>
    <t>19. D. Fermín de Sota, id............. .......... ........................................... 120. D. Felipe Ortega Gijon, id.............. ................................. . 120. D. Sebastian Diez , en intereses de vales reales, id.......... . 180 17. D. Juan de Dios Ortiz, id............ .........</t>
  </si>
  <si>
    <t>Ortega y Marrón, Francisco</t>
  </si>
  <si>
    <t>Francisco Ortega y Marrón</t>
  </si>
  <si>
    <t>rector general de la renta dé. iabacos del vireinatp; de Buenos-Aíres, vacante,por fallecimiento dé D. Francisco Ortega y Marrón; y al propio tiempo sev ha dignado promover a director de la citada renta , en él reino de Chile, a D. Agustín dé Olavarrieta, contador general de la de Buenos¡Aires ; para cujro</t>
  </si>
  <si>
    <t>Ortega, Bernardo</t>
  </si>
  <si>
    <t>Bernardo Ortega</t>
  </si>
  <si>
    <t>, y D. Juan Manuel : de Peralta, hermanos........... ....-.i.;..¿............ Cádiz..»’..»» 600 427 D. Bernardo Ortega............»..»»»....... .....¿..... Santander...; 300 1597 Sres. Olabazzia Sta. Cruz, CamiruagayLan- 1 i desa.............................................. .................... B</t>
  </si>
  <si>
    <t>500 1107 D. Juan Guínza....................................... ........ . Madrid.......¿ r 000 428 D. Bernardo Ortega..... ...................................... Santander.... 300 556 D. Josef Merlo................................................ . Madrid...... óco 402 D. Diego Betegon , oficial</t>
  </si>
  <si>
    <t>Ortega, Francisco</t>
  </si>
  <si>
    <t>Francisco Ortega</t>
  </si>
  <si>
    <t>Espíritu Santo, por id. á 6 rs. id .... »»•»•*•*•»« ............ .......... ... . ............ 186. D. Francisco Ortega • teniente visitador de Rentas, por una ves. loo* Andrés de Oña, pasamanero, id........................ ............................ 20. D. Manuel Rufon, id.......................</t>
  </si>
  <si>
    <t>Ortega, Ignacio</t>
  </si>
  <si>
    <t>Ignacio Ortega</t>
  </si>
  <si>
    <t>en una boleta de gastos, -id....................................... 10990; D. Ignacio Sánchez, id. D. Ignacio Ortega, id 60; D. Mateo Martínez, corredor de la real Aduanaid.......6000# Florencio Polo, id •••••••••***•«•••*••«••• • * *üV**í&gt; • *• SéV* *'••*# • •’**■*** • * S **’•• 9 ^ ^ * ' 40II</t>
  </si>
  <si>
    <t>Ortega, Juan de Dios</t>
  </si>
  <si>
    <t>Juan de Dios Ortega</t>
  </si>
  <si>
    <t>rovincial de infantería de Toluca se ha servido el Reí promover á capitán al teniente de granaderos D. Juan de Dios Ortega: á teniente ds granaderos ai de fusileros D. Joaquín Mondragon : á teniente al subteniente de granaderos D. Josef Ignacio García Illue</t>
  </si>
  <si>
    <t>Ortiz de la Iglesia, Mateo</t>
  </si>
  <si>
    <t>Mateo Ortiz de la Iglesia</t>
  </si>
  <si>
    <t>vez 300 rs. D. Bernardo González Alvarez, por una vez 640 rs. D. Matías Brieva, por una vez 100 rs. D. Mateo Ortiz de la Iglesia, por una vez jco rs, D. N. Taranco, 1© rs. D. N. Zámorano, 2© rs. D. N. Villanueva, 100 rs, D. N, Seguí , 10 rs. D. Josef Kossi, por una vez 800 rs. D. Francisco Labat, por agosto</t>
  </si>
  <si>
    <t>Ortiz de Lanzagorta, Tomás</t>
  </si>
  <si>
    <t>Tomás Ortiz de Lanzagorta</t>
  </si>
  <si>
    <t>........................ 500. D. Antonio Lerin.................. .......... ................ . 640. D. Tomas Ortiz de Lanzagorta..... ................ ........... . 500. D. Jaime Ferrer..... ............................................ . 320/ 0.;Pedro Marcelino Blanco, corredor de número, en dos vales reale</t>
  </si>
  <si>
    <t>Ortiz de Muga, Manuel María</t>
  </si>
  <si>
    <t>Manuel María Ortiz de Muga</t>
  </si>
  <si>
    <t>.... ...... 1500. Lorenzo Sanz, oficial de carpintero, id...................................... 20. D. Manuel María Ortiz de Muga, en una boleta de casa real, íd ¡66 2i2v. D. J. M. 60. •. D. Manuel de la Quintana, del comercio , en vales, reales, id... 2327 ,rj» I&gt;. Bernardo Gutiérrez , del comercio, id</t>
  </si>
  <si>
    <t>Ortiz de Rozas, Miguel</t>
  </si>
  <si>
    <t>Miguel Ortiz de Rozas</t>
  </si>
  <si>
    <t>......................... 500. D. Manuel Merino, criado del Rei nuestro Señor, idL.*....... . '300* D. Miguel Ortiz de Rozas f en un vale real, id....ií.ó.................. 2162* Doña Balbina González , id........ ........................................................ 120. Ramoa Rodríguez , id........</t>
  </si>
  <si>
    <t>Ortiz de Urbina, Vicente</t>
  </si>
  <si>
    <t>Vicente Ortiz de Urbina</t>
  </si>
  <si>
    <t>ítero, 3 ras de barragan. camisas. D. J. A. 10 varas y media de lienzo. D. Josef Mariano Vallejo 2. D. Vicente Ortiz de Urbina y su D. Estanislao Antonio Barreta ¿ pres*? muger 70 varas de lienzo. bífero, 3. Doña M; A. A. B. G. 8 camisas y D. J. Y. 2: 56 varas de lienzo. D. Francisco Goyá 21 varas de lienzo</t>
  </si>
  <si>
    <t>Ortiz Santiuste, Domingo</t>
  </si>
  <si>
    <t>Domingo Ortiz Santiuste</t>
  </si>
  <si>
    <t>: D. Antonio.de Sousa r tesorero del Monte pió militar ¿ por una 500. Juan Salas ^ prco^cfo ^ 60. i D. Domingo Ortiz Santiuste , deí comercio de lienzos, id........., ,1000. D. Elias Salnz, por ahora....v. ................... i..*...... 280. D. F. M., por una, 640.. » D. N.,ld r,. •*•'*•* « •••*• * • M &lt;</t>
  </si>
  <si>
    <t>Ortiz, Andrés</t>
  </si>
  <si>
    <t>Andrés Ortiz</t>
  </si>
  <si>
    <t>......................i....... 120. D. Manuel Moresqui, uxier de cámara de S. M., por una vez. 54®. D. Andrés Ortiz, agente de negocios, por ahora....................... 1200. D. Manuel Diez Grijalva, por una vez......................3°°* ■4 3X Benito Loarte, registrador de sisas, poruña vez...</t>
  </si>
  <si>
    <t>. Pedro Ezquerra, secretario de la diputación de S. Gines. D. Diego Crespo, diputado de Santa Cruz. D. Andrés Ortiz id. D. Feliciano Gómez id. D. JusnDuarez, secretario. Fr. Fíánéisco dé S. Josef, prior del Carmen descalzo. Fr. Celedonio Urrutia , rector de Doña María dé Aragón. D. Rafael Chart</t>
  </si>
  <si>
    <t>Ortiz, Antonio</t>
  </si>
  <si>
    <t>Antonio Ortiz</t>
  </si>
  <si>
    <t>la partida de guerrilla , y el capellán Fr. Juan de Málaga, dei orden de capuchinos, y ti cirujano D. Antonio Ortiz, que siguieron á mi lado en lo mas vivo de la acción, y tuve que prevenirles se retirasen á retaguardia. í: La tropa sostuvo con el mayor valor el fuego del enemigo, tanto de cañó</t>
  </si>
  <si>
    <t>Ortiz, Bernardo</t>
  </si>
  <si>
    <t>Bernardo Ortiz</t>
  </si>
  <si>
    <t>rs. diarios...,........................ ....................... .............................. 186. D. Bernardo Ortiz, contador honorario de los reales almacenes de cristales, por agosto á 45 rs. mensuales.............................. 47. Francisco Torres, maestro de vidriero, por 4 meses á 50 r</t>
  </si>
  <si>
    <t>Ortiz, Juan de Dios</t>
  </si>
  <si>
    <t>Juan de Dios Ortiz</t>
  </si>
  <si>
    <t>................... . 120. D. Sebastian Diez , en intereses de vales reales, id.......... . 180 17. D. Juan de Dios Ortiz, id............ ................................... ............ 60. D. Juan Manuel Chamorro, 50XS. mensuales, por 6 meses...... 300. Doña S. de V. , 60 id. por 2 id.....,........</t>
  </si>
  <si>
    <t>Ortiz, Manuel</t>
  </si>
  <si>
    <t>Manuel Ortiz</t>
  </si>
  <si>
    <t>la secretaría de la .junta de Comercio y Moneda, id......................... ................. 49. D. Manuel Ortiz, superintendente de la casa de Moneda, en un recibo de intereses del Empréstito de 160 millones, id.......... 1600. D. Domingo Guerrero, á cuenta de 365 rs. anuales...............</t>
  </si>
  <si>
    <t>or 6 meses. 60. D. Francisco Velasco., 30 id. por agosto .v.................................... 30* D. Manuel Ortiz.de Velasco, .capellán .y cura castrense de los reales hospitales, 1.372 rs. y 17 mrs. en un libramiento sobre la renta del Tabaco, por una vez, y 42 id. por agosto.......... 1414</t>
  </si>
  <si>
    <t>...... . 8333 io# Doña María Josefa de Iruegas, id........................................ . 15000. D. Manuel Ortiz, id....................... .............. . 300. X). Manuel Gilabert, en vales reales, id.................. . 2268 2. D. Bernardo Tomé, del comercio de cera, en vales reales, en u</t>
  </si>
  <si>
    <t>Ortiz, Pablo</t>
  </si>
  <si>
    <t>Pablo Ortiz</t>
  </si>
  <si>
    <t>elativas á la partición de bienes de Doña Florentina Orfiz, viuda de D. Leandro Escalona, y tía del D. Pablo Ortiz; y 110 habiéndose tenido todavía aviso alguno, se previene que el dia 5 de abril próximo está señalado para la repartición de dichos bienes de Doña Florentina Ortiz entre los here</t>
  </si>
  <si>
    <t>Ortlz, Pablo</t>
  </si>
  <si>
    <t>Pablo Ortlz</t>
  </si>
  <si>
    <t>iembre de i3oó yaz de setiembre de 1807 se anunció en la gazeta que se deseaba saber el paradero de D. Pablo Ortlz, natural de la ciudad de Cartagena de Levante, y maestre de víveres de una fragata de la real armada, qae en el año de 1796 se embarcó y partió de Cádiz para las Américas en buque</t>
  </si>
  <si>
    <t>Osearte, Francisco</t>
  </si>
  <si>
    <t>Francisco Osearte</t>
  </si>
  <si>
    <t>... Zaragoza..... 300 945 Excmo. Sr. Marques del Norte...................... Madrid....... 500 2178 D. Francisco Osearte.......:.............. ................ Coruña....... 600 398 D. Nicolás Labagghi, tesorero deexército.... Coruña......... 500 1927 D. Josef Henriquez de Otero.....................</t>
  </si>
  <si>
    <t>Osorio de Madrid, Vicente Joaquín</t>
  </si>
  <si>
    <t>Vicente Joaquín Osorio de Madrid</t>
  </si>
  <si>
    <t>Anexo, p. 28</t>
  </si>
  <si>
    <t>os interesados. Comisionados. Rs. vfl. 999 Madrid........ 500 1289 Valencia.;... 500 601 Excmo. Sr. D. Vicente Joaquín Osorio de Madrid..-..... 3 00 827 Madrid........ 500 x73* Cádiz.......... 3°° 634 Madrid........ 1000 209 Alicante...... 500 2T94 Coruña....... 500 136 Valencia..... 600 2102 Cádiz........... 300</t>
  </si>
  <si>
    <t>Osorio de Moscoso, Vicente Joaquín</t>
  </si>
  <si>
    <t>Vicente Joaquín Osorio de Moscoso</t>
  </si>
  <si>
    <t>^o 531 D. Francisco de Baulini................................... Madrid....... 1500 602 Excmo. Sr. D. Vicente Joaquin Osorio de Moscoso.......................... .................................. Madrid....... 300 315 Miguel Crook y Timoteo Macnamara............. Málaga........ 300 991 D. Antonio Maeda...........</t>
  </si>
  <si>
    <t>Osorio, Manuel</t>
  </si>
  <si>
    <t>Manuel Osorio</t>
  </si>
  <si>
    <t>, capitán déíde Málaga,* el teniente del mismo regimiento D. Rafael Brucho y D. Manuel Osorio, teniente coronel del .provincial de Guadixy mis ayudantes de campo. ‘ vPor esta misma causa no expreso!ltjfc.oficiales, sargentas ,;icabos y soldados que se distinguieron; de los quales^y</t>
  </si>
  <si>
    <t>Osorio, Vicente Joaquín</t>
  </si>
  <si>
    <t>Vicente Joaquín Osorio</t>
  </si>
  <si>
    <t>....*. 3°0 1921 D. Manuel María Bahamonde,..*..,.................. Zaragoza..... 500 598 Excmo* Sr. D, Vicente Joaquin Osorio de •* ■ ( Moscoso........ ................................................. Madrid....... 600 236 D. Narciso Gonzalo del Rio urgos............. Tlií ^/vao uuw 1300 Excmo. Sr, D. Féli</t>
  </si>
  <si>
    <t>Osoro, Francisco</t>
  </si>
  <si>
    <t>Francisco Osoro</t>
  </si>
  <si>
    <t>patriotas , con grado de subteniente, D. Juan Jo— sef Ferrer, D. Josef Beruti , D. Josef Zerero; á D. Francisco Osoro , Dop Juan Abundante Boqúi,&lt;D. Juan Bautista Ceiaya.-y D. Jósef María Coitia, ayudante mayo?, y tenientes del cuerpo de maestranza establecida en la fortaleza, grados,de teniente</t>
  </si>
  <si>
    <t>Ostalezde Calvo, Juan</t>
  </si>
  <si>
    <t>Juan Ostalezde Calvo</t>
  </si>
  <si>
    <t>........ ...... ...... . Madrid..».;. 300 993 D. Manuel de Palomera....... Madrid éiií*** 300 *0,57 D. Juan Ostalezde Calvo......................... . Madrid »»»l 300 359 D.. Josef Ventura. de Lema......¿.^.....u. »..uu. Cádiz».»»»:. Jdo 2763 D. Gerónimo López................. . &gt; Cádiz.....»^i 'j6oo 3</t>
  </si>
  <si>
    <t>Otero, María</t>
  </si>
  <si>
    <t>María Otero</t>
  </si>
  <si>
    <t>Doña N. una. Una Sra. viuda 3. Doña C. B. 2 id. y 6 vendas, Dos religiosos Mercenarios calzados 6» Doña María Otero 2 camisas.. Doña, Manuela .Gilman,y:ergafa.„6. , El confesor, de las. Monjas GeronLD. Mateo Matute y D. Manuel Lu- mas 2. ,r t' que 24v¿ Í y- ... -■ . *&gt;&gt;,/•,.- ,0 ’ ,, i'-. Una p</t>
  </si>
  <si>
    <t>Oubrii</t>
  </si>
  <si>
    <t>la Grande de la legión de honor, comandante en Xefe del cuerpo de observación de la Gironda, al Sr. D’ Oubrii.nEstoy encargado por su A. I. y R. eí Gra» Duque de Berg de avisaros, que una brigada de vuestro mando debe dexar á Portugal, para reunirse al cuerpo de observación de la Girón Ja</t>
  </si>
  <si>
    <t>Oubril</t>
  </si>
  <si>
    <t>cree que su plaza se dará ál secretario dé estado Specftnsfcí,. persona de grande opinión y mérito- Mr. Oubril continúa retirado en sus haciendas. • S. M. ha expedido un ukase en que manda fbrmar una junta para liquidar los respectivos créditos y deudas entre los comerciantes rusos é ingle</t>
  </si>
  <si>
    <t>Ovalíe, Félix</t>
  </si>
  <si>
    <t>Félix Ovalíe</t>
  </si>
  <si>
    <t>Cevallos. La sección de Hacienda se compone de los Excmos. Sres. D. Martin Garay, D. Lorenzo Calvo, D. Félix Ovalíe,. D¿ Luis de Funes, D.. Sebastian.de Jocano, D. Francisco de Paula Castañeda : su secretario el Exorno. Sr. D. Francisco Saavedra. La sección de Gracia y' Justicia se compone de l</t>
  </si>
  <si>
    <t>Ozta, Juan Ramón</t>
  </si>
  <si>
    <t>Juan Ramón Ozta</t>
  </si>
  <si>
    <t>taría de Gracia y Justicia, por una vez...;..»............ *..... «.«...............»».;»»».» 160., D. Juan Ramón Ozta* y Errazu, abogado y poruña vez.»»»..». 500. ; D. Pedro Villareai, á cuenta de‘900 rs.y por una vez»»»»»..» 225.. Doña María Gertrudis Cosió,! viuda, por una vez.»»»»...»»&gt;». 40.</t>
  </si>
  <si>
    <t>Pablo Alonso</t>
  </si>
  <si>
    <t>•••• ...... . 2826 ir. Doña Antonia Alonso, .viuda, id................... • •.....• -......... 300. D. Pablo Alonso, id.....—................................................ ......... 320. D. Pantaleon Zavaia, en intereses de vales reales de 1800, id... 1434 8.</t>
  </si>
  <si>
    <t>Pablo Fernando</t>
  </si>
  <si>
    <t>doo 2202 D. Benito Samaniego...................... ................... Coruña....... 50a 2442 Sres. D. Pablo Fernando, y D. Juan Manuel : de Peralta, hermanos........... ....-.i.;..¿............ Cádiz..»’..»» 600 427 D. Bernardo Ortega............»..»»»....... .....¿..... Santander...; 300 1597 S</t>
  </si>
  <si>
    <t>808 El conde de Casa-Valencia. Zaragoza.,... 1000 5.5 2 D. P&amp;blo Villa Madrid....... 300 2439 Sres. D. Pablo Fernando y D, Juan Manuel ' 1*'z;, .«**oo' dé Peralta...................................................... v¿aai * 3210 Doña Petra Pernia de Benavente..................... Bilbao...... . jeo</t>
  </si>
  <si>
    <t>....... 3CO 2169 D. Alonso Dionisio de Berastegui................... Coruña......... 3°o 2441 Sres. D. Pablo Fernando y D. Juan Manuel de Peralta........................................................ Cádiz........... 500 1047 D. Miguel de Azpiroz...................................... Madrid........</t>
  </si>
  <si>
    <t>a..... 600 1809 D. Joaquín Eugenio de Onís.................. ......... Zaragoza..... 600 2435 Sres. D. Pablo Fernando y D. Juan Manuel de Peralta................... ............................. . Cádiz......... 500 2053 D. Francisco Xavier Castaños................ ......... Cádiz.......... 300 259 D</t>
  </si>
  <si>
    <t>Pabló' Brúñete</t>
  </si>
  <si>
    <t>do ó verde, y sombrero redondo dé copa 'alta, encerado ,' sé servirá dar “aviso en la "platería- de D. Pabló' Brúñete! talle de Toledó1, ^ríte'á'lá nueva deí&gt;. Isidro; y sé le agradecerá. s '..J j. ly i-.U» UA]- &lt;&gt;. lí., - ■ i- ' - c. •- !-H/; V En la calle de Atocha, nátn. 3, frente á la del Vie</t>
  </si>
  <si>
    <t>Pablo' Fernando</t>
  </si>
  <si>
    <t>407 D. Pedro de Barric........................ Coruña* ...1L . '300 ■ &gt; t . 1 ■ -f U): y 2437 Sres. D. Pablo' Fernando y D. Juan Manuel dé Peralta...!....................................... ......... . Cádiz-.....;... fideo 282 D. Ildefonso de Marios.................................... Má laga.......</t>
  </si>
  <si>
    <t>Pablos, Pedro</t>
  </si>
  <si>
    <t>Pedro Pablos</t>
  </si>
  <si>
    <t>. Infante ; D. Antonio, 90 id. por 4 meses.................................................... 360. D. Pedro Pablos, un real,diario, por 4 meses................... ;....... 122. ¡ ¡ D. Apolinar de Iguaran,-del comercio, 2500 rs. por una vez, ? y é rs. id. por f id..... .......... ..............</t>
  </si>
  <si>
    <t>Pacheco, Juan</t>
  </si>
  <si>
    <t>Juan Pacheco</t>
  </si>
  <si>
    <t>viarán el juramento por escrito, como lo han hecho á causa de .su indisposición los-, Excmos. Sres. D. Juan Pacheco y conde de Montarco, El Excmo. Sr. marques de Bajamar, en calidad de decano del consejo,}</t>
  </si>
  <si>
    <t>Padilla, Luis</t>
  </si>
  <si>
    <t>Luis Padilla</t>
  </si>
  <si>
    <t>coronela del regimiento de infantería de la Corona ai comandante del tercer batallón del de España D. Luis Padilla; y subtenencia de bandera en el de voluntarios de Castilla al cadete D. Tomas de Match y Virgili. En el batallón de; voluntarios dé Barbastro se ha servido S. M. promor ver á teni</t>
  </si>
  <si>
    <t>Padilla, Ventura</t>
  </si>
  <si>
    <t>Ventura Padilla</t>
  </si>
  <si>
    <t>-, tdlico y real del Excusado, y al de colector general de. Espolios y vacantes, , le he hecho ante D. Ventura Padilla , del consejo de S. M., coronel graduado y secretario de la comisaría general. En seguida prestaron ante mí el mismo juramento con igua). solemnidad los asesores dci tribunal ;vá</t>
  </si>
  <si>
    <t>........ 130» * D. "Ramón Fernandez, por id. a 2 rs. diarios...........62. ¿ D.'Ventura Padilla, secretario de la comisaría de Cruzada., * 5 qo i ,f&gt; V q rs. por utia vez , y 732 rs.- por 4 meses a. 6-diarios...... 1232. ? D. Manuel-Hidalgo, oficial de la&lt; secretaría y contaduría del Mo</t>
  </si>
  <si>
    <t>Paez de la Cadena, Juan Miguel</t>
  </si>
  <si>
    <t>Juan Miguel Paez de la Cadena</t>
  </si>
  <si>
    <t>, cirujano consultor. . D. Narciso Roca, comisario de entradas de hospital. Ministerio de justicia. D. Juan Miguel Paez de la Cadena, auditor de guerra. Ramo de correos* D. Antonio Uribarri, administrador. Santander 9 de octubre de 180S.=V. B. = E1 conde de S. Román. — Ignacio Martínez Valiejo.</t>
  </si>
  <si>
    <t>Paez, Manuel</t>
  </si>
  <si>
    <t>Manuel Paez</t>
  </si>
  <si>
    <t>a iglesia. ..J parroquial de Mo.rata, 4 id. por 12 meses................ ................. ,146o. . D. Manuel Paez., 3,id.,id • iíIX.O.A D. Francisco Olí,ya , .presbítero ¿ 2 id.¡ id&gt;.&lt;.,&gt;...rf.........i...... 7304 XI D. Mateo Zurita. Palac.io,. cura propio de la iglesia .parroquial ..m - j.r-</t>
  </si>
  <si>
    <t>Pahtaleonr AznarV</t>
  </si>
  <si>
    <t>io de esta córte, á cuenta de r© rs. ápuales..........«¿.v**.«.«*.«.;.v.......i.*.»».......... ^oo. D. Pahtaleonr AznarV intprésor, por Una vez.-.......,;........ . r6o.. Dona Juana rjeto, lid.«**•«*•«...«•«««««.200. D. Martin Mendía y id D. Miguel de Náxera, ageqte de los del número de Indias, en l</t>
  </si>
  <si>
    <t>Paiafox, Francisco</t>
  </si>
  <si>
    <t>Francisco Paiafox</t>
  </si>
  <si>
    <t>me situaré en Plasencia sobre el rio Jalón este mismo dia* Ayer me alcanzó en Longares el brigadier D Francisco Paiafox, comisionado por el capitán general de Aragón, á cumplimentarnos y darnos gracias por el pronto y oportuno socorro, con que los hemos protegido. Ei mismo xefe me remitió ayer el n</t>
  </si>
  <si>
    <t>PaíáFox, Francisco</t>
  </si>
  <si>
    <t>Francisco PaíáFox</t>
  </si>
  <si>
    <t>res. Vocales que han salido cotí esta comisión, son : el Sr. D. Tomis Veri,, para Catalufía.=Ei Sr. D. Francisco PaíáFox, Áragon.z^Los Sres. D. Francisco Xavier Caro, y D. Manuel María Avalle, Asturias y Galicia.— El Sr. Barón de Sabasoná, Valencia.a=ÉÍ Sr. Marques de ¿ampo-sagrado, Granada, Córdoba</t>
  </si>
  <si>
    <t>Paiomeque, Salvador</t>
  </si>
  <si>
    <t>Salvador Paiomeque</t>
  </si>
  <si>
    <t>.... i carro y d. m. p. c. ................ s D. Manuel Aguirre é hijos............. II { arreo. •' D. Salvador Paiomeque.........¡..... .</t>
  </si>
  <si>
    <t>Pajarillo, Antonio</t>
  </si>
  <si>
    <t>Antonio Pajarillo</t>
  </si>
  <si>
    <t>ro de S, M., 90 id. por agosto..... 90. D. Josef de .Albet,, i?q por 4&lt;mese$...4........... , 12.0* D. Antonio Pajarillo,, 4 mensuales, por agosto 4. D. Manuel Ildefonso López, 6 id. id..*.....,..... 6. D. Pedro de Eliceche,. 2 rs. diarios, por agosto 62. D. Sebastian. .Eri.che, 2, Id?, 62. D. Tadeo</t>
  </si>
  <si>
    <t>Pajatos de León, Ignacio María</t>
  </si>
  <si>
    <t>Ignacio María Pajatos de León</t>
  </si>
  <si>
    <t>or, tasado en 101684 rs. Quien quisiere hacer postura, lo executará por la escribanía que desempeña D. Ignacio María Pajatos de León. El señor intendente de esta provincia, por su decreto de 1.° del corriente, ha aprobado el remate celebrado en 18 de febrero próximo de la casa sita en Ja cuesta déla Vega de est</t>
  </si>
  <si>
    <t>Pajires, Victoriano</t>
  </si>
  <si>
    <t>Victoriano Pajires</t>
  </si>
  <si>
    <t>se subscribe en esta ciudad en la librería da la viuda de Hidalgo y Sobrino..zz .En Cádiz en la de D. Victoriano Pajires : en Córdoba en la de D. Rafael Rodríguez : en Málaga en ¡a .de O. Francisco Martínez y AguiSar: en Granada en la de D. Gabriel Martínez y Aguilar : en Madrid en la de la viuda de</t>
  </si>
  <si>
    <t>Palacin, Manuel</t>
  </si>
  <si>
    <t>Manuel Palacin</t>
  </si>
  <si>
    <t>. Zaragoza....., 500 1794 Doña Ana María de Varo y Ribero................ Cádiz.......... 1500 1131 D. Manuel Palacin........ ....................................... Zaragoza..... 300 2425 D. Mariano Malanco............................................ Cádiz........... 600 2428 D. Pedro Matamoros</t>
  </si>
  <si>
    <t>... 600 2285' D. Manuel Berdeja.....,..................................... Cádiz.,........ 500 1870 D. Manuel Palacin..... ..........,,............................ Zaragoza...:. 300 437 D. Antonio del Piélago y Castro..................... Santander.... 600 1561 D. Apolinar de Iguazan.............</t>
  </si>
  <si>
    <t>Palacio Veiarde, Pedro</t>
  </si>
  <si>
    <t>Pedro Palacio Veiarde</t>
  </si>
  <si>
    <t>e vino , por uña vez 160; D. Frahcisco.de. Arieta , agente de Indias., por una vez......¿..... 500. D. Pedro Palacio Veiarde, del comercio de lienzos, por una i &gt; 5OO. D. Antonio Gil. y Arriba, por una vez................ .................. 3000. D. Cristóbal de Rlpa y Jaureguizar, comisario de Guerra j</t>
  </si>
  <si>
    <t>Palacio, Bartolomé</t>
  </si>
  <si>
    <t>Bartolomé Palacio</t>
  </si>
  <si>
    <t>2 D. Bartolomé Palacio, del comercio, por una vez 6© rs. D. Angel Gerónimo Alvarez, por id. 5 00 rs. D. Félix de Larena, id. 500 rs. D. Juan Laví y Zavala, id. 1100 rs.. D. Josef López de la Iglesia, id</t>
  </si>
  <si>
    <t>Palacio, Diego</t>
  </si>
  <si>
    <t>Diego Palacio</t>
  </si>
  <si>
    <t>Sevilla por privilegio de la compañía, ni tampoco se vende en .Madrid en otra parte que en casa Je D. Diego Palacio, á la subida de Sta. Cruz, nos apresuramos á explicar en qué ha consistido esta equivocación, para evitar incomodidades y malas inteligencias al publico de esta corte. A principio</t>
  </si>
  <si>
    <t>Palacios de Urdaniz, Jorge</t>
  </si>
  <si>
    <t>Jorge Palacios de Urdaniz</t>
  </si>
  <si>
    <t>......*............. . 80. D. N. de Zuazaga, en intereses de-vales de 18^0, id............... 2000. D. Jorge Palacios de Urdaniz, intendente de Exército, en un I vale de 1 jo pesos de enero, y en efectos contra Tesorería geEl conde de Cumbre Hermosa , en vales reales, id................... 2324 28. La comun</t>
  </si>
  <si>
    <t>Palacios García, Nicolás</t>
  </si>
  <si>
    <t>Nicolás Palacios García</t>
  </si>
  <si>
    <t>ri 2 id........ ...... 122. D. Josef Rosinos, uno y medio id. por 5 id......,.*......... . ... 229. D. Nicolás Palacios García, maestro de primerás letras, 2 id. por ^ 1 el.,,í,•.................,»...* 24I4-*li^. AoJtonic Mplenrllo12 id* por-'4id.......í,,,ttoo. D. Pablo Mateb,’po'r1 tíña ............ &gt;•</t>
  </si>
  <si>
    <t>Palacios, Domingo</t>
  </si>
  <si>
    <t>Domingo Palacios</t>
  </si>
  <si>
    <t>..................... 1200. Marías de Frutos, 20 rs. mensuales, por 3 meses.................. . 60. D. Domingo Palacios,-por una vez.................... ..................... 300. D. Felipe García, batidor de oro, en intereses de vales de 1800 y.pico enefectivo, id..................................</t>
  </si>
  <si>
    <t>Palacios, Félix</t>
  </si>
  <si>
    <t>Félix Palacios</t>
  </si>
  <si>
    <t>tas D. Matías Oiivencia,D. Josef María Carrillo, D. Félix GHman, cadete de reales guardias Valonas, D. Félix Palacios, D. Manuel Entramfbasaguas, D. Pedro Cendeja , D. Josef Manuel del Valie, D. Josef María Bassoco, D. Matías de la Torre, D, Francisco Xavier Vidarte, D. Josef María Bretón, D. Fer</t>
  </si>
  <si>
    <t>Palacios, Jorge</t>
  </si>
  <si>
    <t>Jorge Palacios</t>
  </si>
  <si>
    <t>ina 4. María Josefa Díaz 4 pares de zapatos, y A. A. t camisa. D. Sebastian Illescas 2. D. M. S. 6. D. Jorge Palacios, intendente ,12. D. Juan Bautista y Doña Catalina Luisa Robinet paño negro diez y ocheno varas i8f. D. J. P. 8 camisas. Doña Josefa del Saz 8. D. F. A. Ll. 3 . La Sra. marquesa de</t>
  </si>
  <si>
    <t>Palacios, Manuel</t>
  </si>
  <si>
    <t>Manuel Palacios</t>
  </si>
  <si>
    <t>.......................... 20. D. Antonio.Pizar.ro» ídem de las fábricas de ídem, por agosto..» 20. D. Manuel Palacios, ¡platero , por agosto.................. .................. Antonio M^chinena, barbero, por agosto........».»...,................... 8. D. Josef Martínez, pintor, por agosto......</t>
  </si>
  <si>
    <t>Palacios, Santiago</t>
  </si>
  <si>
    <t>Santiago Palacios</t>
  </si>
  <si>
    <t>Sebastian. 500 456 Doña Joaquina Manuela Smit............................. Bilbao...... . 300 1010 D. Santiago Palacios............................................. Madrid....... 300 1022 D. Juan Josef de Bringas.................................... Madrid....... 500 441 D. Francisco Barangot......</t>
  </si>
  <si>
    <t>Títulos de esta corte, id..................... . 17629 24. D. Josef Marchan, un cubierto de plata. D. Santiago Palacios, 1© rs. anuales......................................... 1000. D. Estéban Carranzo, 20 rs. mensuales,por 2 meses................ 40. D. Domingo González de Santa Marta,io id.id...</t>
  </si>
  <si>
    <t>Palacios, Vicente</t>
  </si>
  <si>
    <t>Vicente Palacios</t>
  </si>
  <si>
    <t>., 20 id. por 2 ’id... .......Id.........i .d........... ■ '‘40.' 114 I*. T. y ., 100 id * ivl 2CO. D. Vicente Palacios , 30 id. id..........................*............ .......... 60. D. Pascual Carsi y Vidal , librero de cámara de S. M., 2 rs. diarios., por 2 meses. .................. .,........</t>
  </si>
  <si>
    <t>Palafox y Melzi, Francisco</t>
  </si>
  <si>
    <t>Francisco Palafox y Melzi</t>
  </si>
  <si>
    <t>as dignos. * * La Junta suprema gubernativa del reino ha recibido el siguiente parte del Excmo. Sr. D. Francisco Palafox y Melzi. Acaba de avisarme el general O Neille y St. Marcque que han tomado á Caparroso ayer 14 á las 10 de la mañana , habiéndolo evacuado precipitadamente los enemigos á las 7 de ella,</t>
  </si>
  <si>
    <t>Pálafox, Francisco</t>
  </si>
  <si>
    <t>Francisco Pálafox</t>
  </si>
  <si>
    <t>cado en esta villa un; bando en que se anuncia que al anochecer- se esperaba; en ella al Excmo¿ Sr. D. Francisco Pálafox hermano del inmortal; defensor de Zaragoza , que viene con honores de espitan: general: de los exércitós ,. y como representante de'ía Junta central guberoatiya,í cercai de el: de</t>
  </si>
  <si>
    <t>Palás, Ambrosio</t>
  </si>
  <si>
    <t>Ambrosio Palás</t>
  </si>
  <si>
    <t>ue asisten en ambos establecimientos. Habrá por k mañana misa solemne y sermón, que predicará el P. D. Ambrosio Palás, presbítero, de la congregación de S. Felipe Neri, doctor en sagrada teología. Por ia tarde á las 6 se cantarán las completas. Estará expuesto el santísimo Sacramento, y asistirá</t>
  </si>
  <si>
    <t>Pallarés, Jacinto</t>
  </si>
  <si>
    <t>Jacinto Pallarés</t>
  </si>
  <si>
    <t>. Gregorio Morelló, diputado.de la Seo de Urgel en representación del corregi- miento de Puigeerdá; D. Jacinto Pallarés, diputado de Talarn;^ D. Francisco Lesus y Pou, diputado de Mataró; D. Manuel Torrens, diputado.de Manresa; D. Baltasar de.OUinellas , diputado de Igualada en representación</t>
  </si>
  <si>
    <t>Palomero, Miguel</t>
  </si>
  <si>
    <t>Miguel Palomero</t>
  </si>
  <si>
    <t>oleta y 1 fQ;rs. efectivos, id.................................... .......... ............... 1210. D. Miguel Palomero, 20 rs. mensuales, por agosto................. . 20. D. Manuel García de la Erran, del comercio de lienzos, 120 id. id....................................... .....................</t>
  </si>
  <si>
    <t>Palón, Carlos</t>
  </si>
  <si>
    <t>Carlos Palón</t>
  </si>
  <si>
    <t>ía. AVISOS. Todas las pérsonas que se consideren con derecho, ó acreedores en la quiera del difunto D. Carlos Palón , vecino de Cádiz, se servirán presentar.,.ó harán constar.'SuLdocumsmos.'en el término1 de 10 meses, ante D. Francisco Castiiion , dei coiñéroío de Cádiz , primer, síndico en dic</t>
  </si>
  <si>
    <t>Pando, Manuel</t>
  </si>
  <si>
    <t>Manuel Pando</t>
  </si>
  <si>
    <t>a en 25 de setiembre próximo, por mayor numero de interesados y cantidades la proposición hecha por D. Manuel Pando, obligándose solamente á pagar á los acreedores en vales reales un 8 por 100 del todo de los créditos que quedaron líquidos en el estado formado por los comisionados de dicha depe</t>
  </si>
  <si>
    <t>Paniagua, Diego</t>
  </si>
  <si>
    <t>Diego Paniagua</t>
  </si>
  <si>
    <t>dad deS^n- ¿ ta Ana................................. .... ............ ................i.,,. abobo. D. Diego Paniagua, agente del numero de Indias , en un recibo de réditos de vales.................................... 180. D. J. A. C........................ .......... ............................</t>
  </si>
  <si>
    <t>Panlagua, Diego</t>
  </si>
  <si>
    <t>Diego Panlagua</t>
  </si>
  <si>
    <t>en Ubeda 50 arrobas de aceite al.exército de Anda* lucía.....-V................ ........... í 320* D. Diego Panlagua, agente de Indias.,, por una vez 3OÓO. D. Josef García del Corral, oficial de da contaduría de las Ordenes militares...............................................................</t>
  </si>
  <si>
    <t>.......... . 30. D. J. A., á-cuenta de 1500 rs. id.......................................... . 500. D. Diego Panlagua, id............................. ........................................ 500. D. Francisco Xavier Huerta y García, id................................. 320. D. N. N. , id.........</t>
  </si>
  <si>
    <t>. D. Gregorio Azpeltia y su5 hijo 4.: « D. J uan Bu rruezo 4. ‘ ' Doña María Rita de Ibargtiéñ úna. D. Diego Panlagua 6. i.rr -i.; D. Angel de Urriidhi 4 T D. Silvestre y D. Pélayo Diez Mar- Doña Ines Delgado\ Sirvienta7,1 tinez 2. •r-•* • J'; : J íDoña N. 6*- * ^ 'di ti'« *1 í;íf D. Estébaií de</t>
  </si>
  <si>
    <t>Paño, Antonio</t>
  </si>
  <si>
    <t>Antonio Paño</t>
  </si>
  <si>
    <t>.... . JOO 1935 D. Juan de Brugada.................................... ...... Zaragoza..... 300 965 D. Antonio Paño................................................. Madrid........ 5C0 2091 D* Salvador Dubernad........................................ Cádiz......... . 300 424 D. Josef Enderica Ga</t>
  </si>
  <si>
    <t>, por 4 meses á 60 rs. inensuales*.&gt;.,........•'»»••■•••»•••»».•.»•»«*....................... 24o&gt;. D. Antonio Paño*,.plateropor 6 meses á 60 rs. mensuales...... 360^ D. Pedro Roca del .consejo de Hacienda, y contador dé data de la -tesorería .mayor , 6 503 rs. 25 mrs. por una vez en me. tilico</t>
  </si>
  <si>
    <t>Pantaleon de Beramendi</t>
  </si>
  <si>
    <t>ión que se dió en aquel propio dia; y por no haber concurrido en ¿1 aLConsejo los señores ministros D. Pantaleon de Beramendi, D. Bernardo Febrer, y Dos Francisco Eugenio Carrasco t el secretario de millones D. Ignacio Rodrigues de Riras, y el certificante, no pudieron executarló, y lo han verificado igu</t>
  </si>
  <si>
    <t>Pantaleon de Castro</t>
  </si>
  <si>
    <t>Fernando Ibirrola, 6 camisas., I). Ramón de Sandra, vecino de Almería , 6. D. Francisco Moreno 12. D. Pantaleon de Castro una. El gremio de caldereros 16 ollas grandes de campaña, ,8 chicas de.repartir, una paila y 2 calderetas, todo de cobre, 2 pailas, 3 sartenes y una cuchara de hierro. Doña Lorenz</t>
  </si>
  <si>
    <t>Pantaleon de Reramendi</t>
  </si>
  <si>
    <t>amento, y no fueron llamados ni concurrieron al cumplimiento los señores ministros de dicho consejo D. Pantaleon de Reramendi, Don Tomas Saez de Parayuelo., D. Sancho de Llamas y D. Manuel de Echeverría.; los señores fiscales de él D. Josef de Ibarra, D. Tadeo Segundo Gómez y D. Manuel de Torres Cónsul,</t>
  </si>
  <si>
    <t>Pantaleon Vázquez Zapata</t>
  </si>
  <si>
    <t>............. ......... 1 X D. Josef Castro, alcalde del barrio de la calle deja Montera......... 1 D. Pantaleon Vázquez Zapata, vecino y procurador síndico de la Villa de Brea............. ................ 1 yegua torda de 6 años. D. N. N. por medio de D. Marcelo Naveiro y Ordoñez............ La Sra. cond</t>
  </si>
  <si>
    <t>Pantaleon Zavaia</t>
  </si>
  <si>
    <t>..... 300. D. Pablo Alonso, id.....—................................................ ......... 320. D. Pantaleon Zavaia, en intereses de vales reales de 1800, id... 1434 8.</t>
  </si>
  <si>
    <t>Pantaleon, Antonio</t>
  </si>
  <si>
    <t>Antonio Pantaleon</t>
  </si>
  <si>
    <t>... 320. Pedro Galea, panadero, id................. ............. ......... .................. 200. D. Antonio Pantaleon, id................................................... ......... JOO. D. Pedro Longarela, id................... ............. ......... ...................... 500. (5V continuard.</t>
  </si>
  <si>
    <t>Pardo de Figueroa, Benito</t>
  </si>
  <si>
    <t>Benito Pardo de Figueroa</t>
  </si>
  <si>
    <t>1666 ESPAÑA. I Madrid 21 de diciembre. S. E. el general D. Benito Pardo de Figueroa, enviado extraordinario y ministro plenipotenciario jde España en la corte de Rusia,’ ha teñido una audiencia de S. M. el Emperador Aiexandro, en la qual le ha manifestado ¡est;e</t>
  </si>
  <si>
    <t>Pardo, Bautista</t>
  </si>
  <si>
    <t>Bautista Pardo</t>
  </si>
  <si>
    <t>mil ochocientos y ocho. Por disposición de la Suprema Junta de Gobierno. =j uan Bautista Pardo , Secretario.zdYIanuel María Aguilar , Secretario. Con fecha de 4 del que corre, mandó publicar esta Suprema Junta la órden siguiente. Desde el momento que se estableció esta Suprema Junta, tr</t>
  </si>
  <si>
    <t>Pardo, Benito</t>
  </si>
  <si>
    <t>Benito Pardo</t>
  </si>
  <si>
    <t>e de no comparecerse celebrará con los que se: presenten, y les parará el perjuicio que haya lugar. Don Benito Pardo, fontanero mayor que fue en esta córte, natural del lugar Dapasada, hijo:de Antonio Pardo , que lo fue cULPiñeira,y de Catalina Fernandez ,Muñiz Ares, sü muger, natural del lugar</t>
  </si>
  <si>
    <t>Pardo, Juan</t>
  </si>
  <si>
    <t>Juan Pardo</t>
  </si>
  <si>
    <t>Valiente y aí cadete D;. Josef Antonio Cabrera: en el de Farnésio ayudantía al teniente D. Juan Pardo: en eldfe Álgarbe empleo de alférez al portaestandarte D; Ignaeio Toxa-; y esta resalta al: sargento primero D. Juan Martin; También se ha dignado el Reí conferir compañía en el-r</t>
  </si>
  <si>
    <t>s ha- echado , y sufrís. Sevilla y Mayo 29 de 1808. = D.Juan Bautista Esleller , Secretar;.) iv° n: D. Juan Pardo , Secretario 2. a A LOS PORTUGUESES: Vuestra suerte ha sido quizá la mas dura de quantas fea1 sufrido ningún Pueblo de la tierra. Se. forzó á vuestros Reyes á que huyesen de vosot</t>
  </si>
  <si>
    <t>i8o8.=:Por disposición de la Suprema Junta de Gobierno. — D. Juan Bautista Ksteüer, Secretario i.°s D. Juan Pardo, Secretario a.0 CON SUPERIOR PERMISO. EN LA IMPRENTA HE LA VIUDA DE HIDALGO Y SOBRINO.</t>
  </si>
  <si>
    <t>Pardo, Juan Bautista</t>
  </si>
  <si>
    <t>Juan Bautista Pardo</t>
  </si>
  <si>
    <t>tanto que con la debida reflexión examine lo conveniente al feliz éxito de sus sanas intenciones.=:D. Juan Bautista Pardo, Secretario. La suprema Junta de Gobierno de estos Ileyoos, queriendo dar un testimonio dei santo fin que la anima, asistió el Martes 7. del corriente á la función solemne, que en</t>
  </si>
  <si>
    <t>imiento. Dado en el Real Paiacio del Alcázar de Sevilla i 14. de Junio de i8o8.=Juan Bautista Pardo, Secretario. El agrio puro y concreto del limón, 6 el ácido cítrico cristalizado, es ya conocido en España de algún tiempo á esta parte por diferentes anuncios de los papeles públP eos, y Por</t>
  </si>
  <si>
    <t>para facilitar al Público su mas -pronto despachorzPor disposición de S. A. S.—Juan Bautista Pardo, Secretario, Un oficial de nuestro exército ha propuesto el siguíente problema: hallar el calibre y aure0a-.de un cgñon^ que pueda ser manejada y rodado mas de una legua por solo &lt;. dos artil</t>
  </si>
  <si>
    <t>Pardo, Matías</t>
  </si>
  <si>
    <t>Matías Pardo</t>
  </si>
  <si>
    <t>luadas en&gt; 73340 rs. Quien quisiere hacer postura, lo executará por íajescribánía qué déséin-" peña D, Matías Pardo. Por providencia de D. Francisco Xavier de Villegas, subdelegado del juez co-r misionado real de la diócesi de Santander en el departamento de Toranzo, se ha señalado el dia 28 de</t>
  </si>
  <si>
    <t>Paredes, Joaquín</t>
  </si>
  <si>
    <t>Joaquín Paredes</t>
  </si>
  <si>
    <t>conde de Oñate, 40 id. por agosto...... ...................................................... 40. D. Joaquín Paredes, 10 id. id..................................... ............... 10. B. Josef Alvarez, oficial de Correos, 120 id. id........................ 120. D. Lázaro Gallego Maeso, catedrát</t>
  </si>
  <si>
    <t>Paret, Luis</t>
  </si>
  <si>
    <t>Luis Paret</t>
  </si>
  <si>
    <t>rlas de oro* y en los intermedios los preciosos medallones pintados al óleo por el insigne profesor D. Luis Paret. En el balcón principal habia un rico pabellón de color carmesí con guarní</t>
  </si>
  <si>
    <t>Pas</t>
  </si>
  <si>
    <t>ble, y que se espera, una reconciliación pronta y completa entre las dos potencias. El coronel ruso Mr. Pas*r guíele, que ha estado recientemente algunas semanas en Constantinopla, ha tenido muchas conferencias con ei reis-effendi y con otros ministros del di-r van; de cuyas resultas se</t>
  </si>
  <si>
    <t>Pascual</t>
  </si>
  <si>
    <t>..... . 500 1735 D. Juan Antonio Caraso.................................... Cádiz......... 500 1002 D. Pascual f.e de Ardanaz............................ . Bilbao....... . 3 00 1950 D. Josef María Jalor.................... ...... ........... . Zaragoza..... óoo 1314 D. Joaquín Redin, comer</t>
  </si>
  <si>
    <t>Páscuál</t>
  </si>
  <si>
    <t>nera; ......:...!.. fcbrdña; !».. i.; 500 41? D. Inocencio Ruiz de Ogarrio.s^i...Santander.;!. 1500 D. Páscuál f.e de Ardanaz..^..-..Bílbáb...l.:!y 300 171$ DoñaSaívad'orade Aguilar Tablada del Gáfpió. y Gadizí..;i j 3°° 1001 Doña Juana MorazáU.......................Madrid....;;. '300 2372</t>
  </si>
  <si>
    <t>.......,.4*•*•••*.&lt;^. *44&lt; D. Tomas María Sacristán, clérigo menor,, por agosto 4o2r,s» ídVl 62. '? D. Pascual.Román, contador de Jgro^,por-:id*: á 6&gt;rs. jd.it...i. -I 186. •./ D. Josef de la Peña Rodrigo, del comercio&gt;;por ?una vez...... . 1500. Mateo Gómez,r del gremio de ropería, id.::.</t>
  </si>
  <si>
    <t>Pascual Bernabé Herrero</t>
  </si>
  <si>
    <t>por ^promoción dé D. Esteban dé la Gándara á una ración de mensa de la metropolitana de Zaragoza, á Don Pascual Bernabé Herrero. Desdé i.* de abril hasta 31 de mayo se renovarán en la tesorería de la real caxa de consolidación los vales-dinero de 600 y 300 pesos de la creación de 1.° de mayo de 1 $07. En e</t>
  </si>
  <si>
    <t>Pascual Blanco</t>
  </si>
  <si>
    <t>encia al subteniente de granaderos D. Raimundo Girona, y subtenencia de bandera al sargento primero D. Pascual Blanco: en el de la Princesa compañías á los ayudantes, graduados de capitán, D. Juan Gómez de Ostos y D. Benito Panigo; ayudantías á los tenientes de granaderos D. Juan Montoya y D. Fra</t>
  </si>
  <si>
    <t>Pascual Camps</t>
  </si>
  <si>
    <t>600 .297 Luis Antonio García............................................ Málaga......... I fOO 1324 D. Pascual Camps.......................... Valencia-.... 300 2321 D. Fermín Ramón Barrera............................... Cádiz........... 300 1779 D. Juan Manuel de Peralta........... ............</t>
  </si>
  <si>
    <t>Pascual Carsi y Vidal</t>
  </si>
  <si>
    <t>id * ivl 2CO. D. Vicente Palacios , 30 id. id..........................*............ .......... 60. D. Pascual Carsi y Vidal , librero de cámara de S. M., 2 rs. diarios., por 2 meses. .................. .,..................... 122. D. Jo*ef Canseco ,rpre^íterp , ep, Intereses ,de vales reales y efectivo</t>
  </si>
  <si>
    <t>Pascual de Atristain</t>
  </si>
  <si>
    <t>. Málaga........ ÓOQ 2267 Sres. viuda de Trotiaga é hijo.....'........ ■ Bilbao.......... 300 2272 D. Pascual de Atristain,,, Bilbao. I 5 OO 1890 D. Fausto Juara.,,.......... goza..... 300 85 7 D. Franciscq Gutiérrez,Solana. 9* • * • t » «■« • • • ■».% •AJajitid !•••« Sr j OO 452 D. Manuel Antonio de</t>
  </si>
  <si>
    <t>Pascual de los Cobos, Francisco</t>
  </si>
  <si>
    <t>Francisco Pascual de los Cobos</t>
  </si>
  <si>
    <t>a...... 500 1677 D. Agustín de Izaguirre............... ................. . S. Sebastian. 300 103 5 D. Francisco Pascual de los Cobos................. Madrid.......; 300 508 D. Angel Ladebesee y Alzaibar...................... Bilbao.......... 300 843 D. Domingo Bañares......... ............................... .</t>
  </si>
  <si>
    <t>án, subteniente de la partida de descubierta de Valencia.;..;.................................... . D. Francisco Pascual de los Cobos, vecino de Jtjmilla.............. .......... D. Ramón de Vitoria, regidor de Madrid....................... X X D. Gabriel'Balez, del comercio..... X X La condesa de la Coruña.....</t>
  </si>
  <si>
    <t>Pascual de Mingo</t>
  </si>
  <si>
    <t>Alonso Arias, id............................................................................. 32» • D. Pascual de Mingo, maestro de lienzos del real Hospicio de esta corte, 10 rs. mensuales, por agosto y setiembre......... 20. j. i D. Juan de Dios Trillo, 122 rs. por agosto y setiembre á 2 dia» ci:</t>
  </si>
  <si>
    <t>Pascual de Salinas</t>
  </si>
  <si>
    <t>............................ 124. D. Gerónimo Martínez Mazabe, del comercio, por una vez..... loco. D. Pascual de Salinas, dependiente en la administración de Rentas, 62 rs. por 2 meses, y 200 id.................. ............................. 262. D. F. G., id........................................</t>
  </si>
  <si>
    <t>Pascual Foz</t>
  </si>
  <si>
    <t>goza..... 5000 2369 D. Miguel Julián Vivanco................................ Zaragoza..... 300 1863 D. Pascual Foz, presbítero................................. Zaragoza..... 300 213 D. Guillermo Gorman....................................... Alicante...... 500 2427 D. Pedro Matamoros y Pacheco.</t>
  </si>
  <si>
    <t>Pascual Galiana</t>
  </si>
  <si>
    <t>z.......;., 300 483 DoÚaMaría/Josefa.de Laviesca....................,¿v.ií!/Bilbao./A..¿.; 300 1710 D, Pascual Galiana. v.,„v.,«».7« .«l. »,i\\ CadiA«.•••••.. ^óo ,37° Ér,. Redro Yepes.,. .del orden:,de rS/ Juan; de: ¿ cí kj/ » f ..............................................ii.i''; dadizíMiiiMi;</t>
  </si>
  <si>
    <t>Pascual García</t>
  </si>
  <si>
    <t>..... 80. Francisco Cabello, 20 id. por 6 id...... .................. .................... .. 120. D. Pascual García, 30 id..por 2 meses............................. ........ . 6s. D. Antonio Bobadilla ,16 id. por 2 id................................. .......... 3 2. D. Josef María lita , 30 id.</t>
  </si>
  <si>
    <t>Pascual Herrero</t>
  </si>
  <si>
    <t>Una pobre sirvienta 4. D. Jaime Mateo 2 chaquetas y 2 gor-, La viuda de Espárza una sábana. ■ ras. D. Pascual Herrero 3 camisas. D. Lorenzo Cisneros Toledo 3 camiD. Isidro Viota 20 varas de lienzo. sas y 3 chalecos. Real compañía de la Havana 3 40 va­ D. Francisco Garrido, presbítero, 3 ras de ba</t>
  </si>
  <si>
    <t>Pascual Josef de Ardanaz</t>
  </si>
  <si>
    <t>Madrid....... . 6co 1793 D. Pedro Pablo Perez de Arrieta..................... Cádiz...... 1000 1540 D. Pascual Josef de Ardanaz............................ Bilbao.......... 300 1718 D. Miguel Eusebio de Irigoyen...................... Cádiz........... 300 1622 D. Josef Escalante.............................</t>
  </si>
  <si>
    <t>Pascual Martín de Vidacar</t>
  </si>
  <si>
    <t>....... . Bilbao...... 300 1924 D. Antonio Noriega , tesorero mayor de S. M. Zaragoza..... 300 1966 D. Pascual Martin de Vidacar........................ Zaragoza..... 6co 454 D. Eulagio de Vitoriea..................................... Bilbao.......... 300 2315 D. Bernardo Tovia Marín........................</t>
  </si>
  <si>
    <t>PasCual Martín de Vídacar</t>
  </si>
  <si>
    <t>.*.**........ Cádiz.......... 500 1617 D. Saturnino de Atueha. ...v..v....Bilbattñ.v..*.. £oor 1967 D. PasCual Martin de Vídacar....................... Zaragoza,....; -500 1471 D. Juan Poíuar.........*........v.»*»..*..*....' Málaga........ 300 2295 D. Diego Fernandez Ximenez-.v.-.v.»&gt;....».....*..*»*i Cádi</t>
  </si>
  <si>
    <t>Pascual Mauduit</t>
  </si>
  <si>
    <t>éndome solo á individualizar que el capitán de Zapadores D. Gaspar de Goycochea, el de. igual clase D. Pascual Mauduit y demas oficiales pertenecientes á este cuerpo , se distinguieron al lado de la artillería, y traxeron un canon del enemigo á nuestras baterías , en donde se hallaba sú comandante. La</t>
  </si>
  <si>
    <t>Pascual Mora</t>
  </si>
  <si>
    <t>..... JOO 1133 D. Antonio Gibanel............................................ Zaragoza..... 500 140 D. Pascual Mora.................................................. Valencia..... 300 221 D. Josef de Mollinedo..... ................................. Alicante...... 300 1558 D. Apolinar de Iguazan</t>
  </si>
  <si>
    <t>rcelona.... foo 1051 D. Vicente Gil y compañía................... .......... Madrid........ 6eo 138 D. Pascual Mora.............*..................................... Valencia..... 300 38 D. Manuel Vicente Poza y D. Pascual Duro. Barcelona.... 300 2106 D. Patricio Kearney... .......... ........</t>
  </si>
  <si>
    <t>........... Cádiz.......... 3oa 768 D. Josef Ignacio Macazaga,... ^ &lt;•••# 000 Valencia..... 500 139 D. Pascual Mora............. Málaga........ $QQ 1457 D. Antonio Laserra......... Se continuará*</t>
  </si>
  <si>
    <t>Pascual Quilez</t>
  </si>
  <si>
    <t>raza- respectiva al gobierno intruso. Madrid 11 de bal. agosto de 1808. = Está rubricado por uno de D. Pascual Quilez. los señores del margen. = Licenciado ZorraD. Benito Arias de Prada. quin.” Lo que participo á V. de orden del consejo para s» cumplimiento en la parte que le toca, y que lo circu</t>
  </si>
  <si>
    <t>Pascual Rodríguez</t>
  </si>
  <si>
    <t>,........ 368. D. Manuel Espiñeira y Aguiar, 3 id. id.................... ................... 552. D. Pascual Rodríguez, 2 id. por 5 id...................................... 306. D. Ramón Fernandez, uno id. por2 id..¿................ 61. D. Miguel Lop?z del Postigo, del comercio, 3 id. por agosto..</t>
  </si>
  <si>
    <t>Pascual y Bayot, Rafael</t>
  </si>
  <si>
    <t>Rafael Pascual y Bayot</t>
  </si>
  <si>
    <t>................. 40. Doña Francisca de Torres, un vale de 150 pesos id................... 2323 19. D. Rafael Pascual y Bayot, oficial de la contaduría general de Propios, id........................................................................................ 100. Pedro Ramos, tahonero, id............</t>
  </si>
  <si>
    <t>Pascual, Rafael</t>
  </si>
  <si>
    <t>Rafael Pascual</t>
  </si>
  <si>
    <t>r. Celedonio Urrutia , rector de Doña María dé Aragón. D. Rafael Chartea, diputado de Santa Isabel. D. Rafael Pascual, diputado de S. Plácido» D. Antonio Santa María, alcalde de dicho. D. Fe ipe Duró, presbítero , diputado de S. Basilio. D. Juan Manrique de Lara, diputado id. D Tomas Condé, ecles</t>
  </si>
  <si>
    <t>Pascuala de la Plaza</t>
  </si>
  <si>
    <t>24. Doña María Poazoti y Pía 4. D. Francisco Asui 12. D. Juan de Madrid 6. .D, Antonio Sanz Ruiz 2. Doña Pascuala de la Plaza una. Doña :M. A. S. 12. Doña María' Leama y Seco;£&gt; s; A \ D* Ántonip Pereira 5. ,r ‘Doña Maríá) Nidolasa de; Arquero.s 4. D. Fernando Martínez de Viérgol 18. Doña Rosa Ruiz y Agu</t>
  </si>
  <si>
    <t>Pascuala de Oro</t>
  </si>
  <si>
    <t>..........................3000. Doña-María González, viuda, id........................... . 500. -i Doña Pascuala de Oro, id.. • «••••••••••••••••••«A »•««■* *•••••*••■ ► D. Ramón Zapata, id................. ........................;..í.v.;^.......;;..í.^í i : 32J. nJ D. Antonio Gil Delgado,.id.....</t>
  </si>
  <si>
    <t>Pascuala Trijueque</t>
  </si>
  <si>
    <t>uel López 1. Las monjas de la Encarnación 4. El conde Galvez 3. 0. Diego Erran 1. 0. Simón Ortiz 2. Doña Pascuala Trijueque 2. Doña Teresa Moreno 1. Doña Rosa del Cano 2. Doña BÍasa Ramiro 2. Doña Paula Fuentes 1. LaSra. de Carranza 2. Marquesa del Valle de la Paloma 1. Doña Josefa Semolinos 4. Doña Fr</t>
  </si>
  <si>
    <t>Pasisi, General</t>
  </si>
  <si>
    <t>General Pasisi</t>
  </si>
  <si>
    <t>te de la sección del Interior. = El duque de Larignano, pre-, sidente de la sección de Hacienda. s= General Pasisi , presidente de la sección de Guerra. = Francisco de Simone. = El duque de Cassano Serra.=El duque de S. Aspino. =El caballero Luis Maudorice.sejGregorio Gamarra. s Ulde«&gt; rico Bi</t>
  </si>
  <si>
    <t>Paskevitz</t>
  </si>
  <si>
    <t>mación; pero sí pare? ce positivo, según noticias fidedignas de Constantinopla, que el coronel ruso Mr. Paskevitz ha tenido mu jhas conferencias importantes con el ReisEfFendi, las quales han ocasionado varias juntas extraordinarias d¿l divan. El arreglo de la milicia nacional se continúa con</t>
  </si>
  <si>
    <t>Pasqual Genero y Rodenas</t>
  </si>
  <si>
    <t>es. conde de Contamina y marques de Castel-Rodrigo; y para secretario1 al comisario de guerrael Sr. D. Pasqual Genero y Rodenas. Los Excmos. Sres. embaxadores de Austria y de Rusia dirigen por esta Suprema Junta la correspondencia diplomática á sus cortes. Desde el puerto del Grao se pasa con un * falucho</t>
  </si>
  <si>
    <t>Pasqual Tenorio</t>
  </si>
  <si>
    <t>AL. Lisboa 8 de Noviembre, El 29 del pasado por la mañana se presentó al consejo de Regencia el Sr. D. Pasqual Tenorio y jYIoscoso, en calidad de encargado de negocios de S. IYI. G. el 'Sr. D. Fernando VII , y recibido con las formalidades de estilo, pronunció un discurso, en que manifestó, los dese</t>
  </si>
  <si>
    <t>Passovich</t>
  </si>
  <si>
    <t>negociaciones que tiene pendientes en aquella capital van hasta cierto punto de acuerdo con las de Mr. Passovich, agente ruso. Los gefes civiles y milirares de los servios se muestran, de algún tiempo á esta parte, mui desconfiados del Austria, y están mui rezelosos de su futura Suerte. Toda</t>
  </si>
  <si>
    <t>Pastor, María</t>
  </si>
  <si>
    <t>María Pastor</t>
  </si>
  <si>
    <t>Donativos de camisas y otros efectos para el esdrcito de Aragón. D. Juan Francisco Agües 2 camisas. Dona María Pastor 38 varas de lienzo. D. Lorenzo Rubro Abarran 2. Doña Jacoba Atíenza de Durango una Doña FerÚiinaCálculi 2 y 2paresde camisa. ■■.■-‘■.••J:.. ‘ zapatós. ^ • s D. Manuel Escudero f.,</t>
  </si>
  <si>
    <t>Pastor, Vicente Domingo</t>
  </si>
  <si>
    <t>Vicente Domingo Pastor</t>
  </si>
  <si>
    <t>goza..... 30.0 1225 D. Agustin Peceto de Andrés........................... Alicante...... 30 o 1323 D. Vicente Domingo Pastor, beneficiado....... Valencia..... 300 343 F'r. Pedro Yepez, del orden de S. Juan de JJIOS..........................................................................................</t>
  </si>
  <si>
    <t>Patero, Rafael</t>
  </si>
  <si>
    <t>Rafael Patero</t>
  </si>
  <si>
    <t>........ 300 1995 D. Vicente Casáju». ..i.........;...:..................... Zaragoza..... 300 1787 D. Rafael Patero........ ......................................... Cádiz.......... 500 2412 D. Henrique Sd Hilaire...................................... Zaragoza 600 3448 » - ■ D. Francisco Borja</t>
  </si>
  <si>
    <t>Patricio</t>
  </si>
  <si>
    <t>........................ 3000. D. Francisco Antonio Bringas, por agosto á 6® rs. mensuales... 6000. D. Patricio&gt;Martínez de Bustos, por una vez 12® rs., y 300 por agosto á joo rs. mensuales.................................................. 12300. D. Juan Josef rerez de la Fuente, 1500 rs. p</t>
  </si>
  <si>
    <t>Patricio de Zuazo</t>
  </si>
  <si>
    <t>e*......... . 30000. D. Ñorberto de Oca y Meló, por uña vez...................... ............ 300. D. Patricio de Zuazo, id........... ...................... ............................. 160. D. Francisco Xavier y D. Isidro Pareja, id....................... 200. D. Francisco Espi, 30 rs. mensuales</t>
  </si>
  <si>
    <t>Patricio Kearney</t>
  </si>
  <si>
    <t>de Toledo D. Nicolás Darctmrt, del expresado de Mallorca D. Antonio Hernando, del propio de Irlanda D. Patricio Kearney, del inmemorial del Rei D. Carlos de los Ríos , y del de Ñapóles D. Manuel Masoauta. JEn América. Habiéndose dignado S. M. aumentar dos canongías y dos raciones en la catedral de</t>
  </si>
  <si>
    <t>............. Valencia..... 300 38 D. Manuel Vicente Poza y D. Pascual Duro. Barcelona.... 300 2106 D. Patricio Kearney... .......... ............................ Cádiz.......... 600 69 D. Manuel Dalmau............................................ Barcelona.... 300 1903 D. Juan Benito Reúaga........</t>
  </si>
  <si>
    <t>Patricio Martines de Bustos</t>
  </si>
  <si>
    <t>eos correspondientes al servicio de tiros........ 30000. Ei Excmo. Sr. comisario general de cruzada D. Patricio Martines de Bustos entregó al mismo comisionado y para les n ismos-íines en dinero efectivo.... 10000. La casa ae comercio de los Sres. Murga y Agnirre en efectivo........... ............. ...........</t>
  </si>
  <si>
    <t>Patricio Martínez de Bustos</t>
  </si>
  <si>
    <t>uña... 310. 944 Palma.;... 20832. 945 Santiago. 38667. 458856. 25 Libranzas dadas por el Excmo. Sr. D. Patricio Martínez de Bustos á favor de la tesorería mayor, y contra diferentes administradores de Cruzada de las provincias j-á saber; Números. 647;. Para Cádiz 93590,. 827. alencia............«... •........</t>
  </si>
  <si>
    <t>a de proeligios. . Dios guarde á V. A. muchos años. Madrid 28 de setiembre de 1,808.5? Senno. Sr. = D. Patricio Martínez de Bustos. t= Sermo. Sr. conde de Flpri-' dablañca. v Excmo. Sr. = En cumplimiento de lo que manifesté á V. E. ,en mi pa-pel de 28 del corriente, he dispuesto que se reuniesen hoi, como se</t>
  </si>
  <si>
    <t>Patricio Martiñez de Bustos</t>
  </si>
  <si>
    <t>de la preciosa vida de V. E. los muchos años que le ruego. Madrid 3 de octubre de 1808.=Excmo. Sr. =D. Patricio Martiñez de Bustos. r= Excmo. Sr. conde de Floridablanca. Excmo. Sr. = Quedo enterado de quanto de acuerdo de ésa Junta suprema y central de gobierno me previene V. E. en papel de 3 del corriente me</t>
  </si>
  <si>
    <t>ada de S. E. á todos los vocales que tienen su residencia en esta corte, y pasé aviso al Excmo. Sr. D. Patricio Martínez de Bustos , caballero gran cruz eclesiástico, y colector general de la orden, para que, como otras muchas veces lo ha practicado, hiciese las funciones ce gran canciller, que no podian dese</t>
  </si>
  <si>
    <t>Patricio Martínez de Jplustos</t>
  </si>
  <si>
    <t>eligencia y gobierno. ' Dios guarde á V. E. muchos años. Madrid 4 de octubre de 1808.== Exentó. Sr.=D. Patricio Martínez de Jplustos. = Excmo. Sr. conde dé Flóridablanca. Excmo. Sr. = He hecho presenté en Consejo el oficio que se ha servido V. E. dirigirme con fecha de ayer, manifestando haber acordado la Junta</t>
  </si>
  <si>
    <t>Patricio Ortiz</t>
  </si>
  <si>
    <t>os de este común; D. Manuel de Huertas, D. Bruno Francisco de Acosta, D. Julián Manuel dé Valverdé, D. Patricio Ortiz/Pareja, Dón Francisco Ruano Santos »y D. Isidoro de Lara, jurados perpetuos; í&gt;. Alfonso Cañedo; y Vigil, dignidad de vicario de coró dé está dicha santa iglesia primada; D. Juan</t>
  </si>
  <si>
    <t>Patricio Sánchez Hidalgo</t>
  </si>
  <si>
    <t>J). Santos Quixada Alaiza: para una ración de la catedral de Cuenca., vacante ¡por fallecimiento de D. Patricio Sánchez Hidalgo , í D, Gerónimo Requejo, medio-racionero de la misma iglesia; y para la media-ración que este dexa, á X). Miguel Felipe Briz:</t>
  </si>
  <si>
    <t>Patricio'Alonso Núñez</t>
  </si>
  <si>
    <t>... Zaragoza... 300 162 f í&gt;. Ramón de Sta. Cruz y Gil..................... Santander. .. 300 2195 D. Patricio'Alonso Nuñez............. ........... ........ Coruña....... 300 . 840 D. Josef Saenz de Sici lia................. .. Madrid........ 300 133 2 IX. Mgnuel ^Sebastian Gil del .Reinq..-..-.......</t>
  </si>
  <si>
    <t>PatricioMartinez de Bustos</t>
  </si>
  <si>
    <t>s años la-preciosa vida de V- E., como se lo ruego. Madrid 3cí de setiembre de. 18.08. = Excmo-*Sr.=D. PatricioMartinez de Bustos. =r Excmo. Sr¿ conde rde Florídablanca. , .Excmo.,Sr.=Hoi:á'lasjRy media de la mañana ^recibí, el oficio de V. E. de 26, del’corriente, con, Já orden; para que -el 0o0feejov.de -E</t>
  </si>
  <si>
    <t>Patrón, Juan</t>
  </si>
  <si>
    <t>Juan Patrón</t>
  </si>
  <si>
    <t>id en la de la viuda de Barco Jbopez: en Valencia en la de D. Salvador Prufy: en Badajoz en casa de D. Juan Patrón : en Salamanca en ia de D. Francisco de Toxar; en Valladoíid en ia de la viuda é hijos de Santanders en Zaragoza en la de D. Josef Yagüe: y en Santander en la de D. Josef Haro y A</t>
  </si>
  <si>
    <t>Pauca, Pedro</t>
  </si>
  <si>
    <t>Pedro Pauca</t>
  </si>
  <si>
    <t>una vez, 4631 rs. y 22 mrs. D. Manuel Isidoro del Corral y Sobrino, cambiantes, por una vez 20© rsi D. Pedro Pauca, caxero jubilado del Banco, por 6 meses desde agosto . . 500,rs. D. Mariano Ainza, agente de negocios, por id., 360 rs, D. Marcelo Qarcia , por agosto 120 rs. . D. Domingo Suarez,</t>
  </si>
  <si>
    <t>Pauia Huete</t>
  </si>
  <si>
    <t>isas. El Excmo. Sr, Príncipe de Maserano 12. Doña M. L; 2. ' Dia 27. Un pobre sirviente una camisa. Doña Pauia Huete una. Dqña Rafaela Marín y Alvarez 6 pares de calcetas. Dia 2 8. D. Roque Ferro 4 camisas. Doña A anilina Jesusa Cuevas 6. * Algunos vecinos de Mirafiores de la Sierra 6 id. .-as,</t>
  </si>
  <si>
    <t>Paula Carrillo, Francisco</t>
  </si>
  <si>
    <t>Francisco Paula Carrillo</t>
  </si>
  <si>
    <t>....... Madrid....... 300 335 D. Valentin y D. Josef Segura, hermanos..... Cádiz..........* 300 110 D. Francisco Paula Carrillo.............................. Tudela....... . JOO 1935 D. Juan de Brugada.................................... ...... Zaragoza..... 300 965 D. Antonio Paño.........................</t>
  </si>
  <si>
    <t>Paula de Plazaola, Francisco</t>
  </si>
  <si>
    <t>Francisco Paula de Plazaola</t>
  </si>
  <si>
    <t>idos ministros del opresor del continente el malvado Napoleón. El dia 4 del presente mes los señore^D. Francisco Paula de Plazaola, D. Salvador Galiard, pretendiente aprob.,*io á plaza de caballero cadete del real cuerpo de artillería, y D. Juan Bautista Caballero, discípulos de la academia pública de matemát</t>
  </si>
  <si>
    <t>Paula Fuentes</t>
  </si>
  <si>
    <t>rtiz 2. Doña Pascuala Trijueque 2. Doña Teresa Moreno 1. Doña Rosa del Cano 2. Doña BÍasa Ramiro 2. Doña Paula Fuentes 1. LaSra. de Carranza 2. Marquesa del Valle de la Paloma 1. Doña Josefa Semolinos 4. Doña Francisca Villa 2. Doña Juana Prieto 2. Monjas de Sta. Clara 2. Doña Francisca Laliga 1.</t>
  </si>
  <si>
    <t>Paula Gómez</t>
  </si>
  <si>
    <t>......... 600 2404 D. Josef Antonio de Torres.............................. Zaragoza...... lOOO 740 Doña Paula Gómez............................................ Madrid......... 300 2209 -D* Antonio Mayone............................. ............ Coruña........ 600 2174 D. Ramón Casariego Villaa</t>
  </si>
  <si>
    <t>Paula Gonzalo del Rio</t>
  </si>
  <si>
    <t>id....... 300 1902 D. Josef García Alvarez................................... Zaragoza..... 30» 234 Doña Paula Gonzalo del Rio......................... Burgos........ 300 958 D. Manuel Abad de Aparicio..................... . Madrid...... 3°° 2020 D. Pedro Darracq...........................................</t>
  </si>
  <si>
    <t>Paula Gonzalo del Rio y Rocandio</t>
  </si>
  <si>
    <t>.... 300 ,193 6 JP. MiHan Ví ilaroyá....... i........................ ... Zaragoza. • •**-* ?00 26y Doña Paula Gonzalo del Rio y Rocandio...... Burgos........ 300 ’f . 217 Coronel I&gt;.; Ignacio Muñoz........ ...... ............... .. Alicante. 300 832 D. Pedro Alvarez y compañía.......................... Madrid......</t>
  </si>
  <si>
    <t>Paula López</t>
  </si>
  <si>
    <t>rs. D. Andrés Rubio 120. Vippiita'Garqía icú o Doñá María García 60.. Balt^sai de los Santos 20. I Doña Paula López 40. D» Ju-^n An.tonid de Ibar 10. : ¡ D. Andrés .Perez de Gracia 120. Fr nciseo Xavier García 4. D. Ramón Perez y Qrteá 2354 xs. D. AngefSolano 60. y iplsmrs., en vales reales. Ju</t>
  </si>
  <si>
    <t>Paula Martínez</t>
  </si>
  <si>
    <t>2 camisas de vivero nuevas, y su criada Vitoria Sánchez 1 de estopilla usada. Elíñarques de N. 50. Doña Paula Martínez 6 de crea. D. N. 3, D. Francisco Hernando Gómez 152I varas de estopa. Doña María Bernarda Ortiz Guinea y Teran 4. Dia 24. D. Pedro Arnaez , presbítero, 2 camisas. D. Manuel Martín</t>
  </si>
  <si>
    <t>Paula Saez de Tejada</t>
  </si>
  <si>
    <t>iz......... 500 2053 D. Francisco Xavier Castaños................ ......... Cádiz.......... 300 259 Doña Paula Saez de Tejada.............................. Burgos........ 500 357 D. Domingo de Hormache.............................. Cádiz....... 300 1587 D. Josef Domingo de Aguirre........... ......... .</t>
  </si>
  <si>
    <t>Paula Trapero, María</t>
  </si>
  <si>
    <t>María Paula Trapero</t>
  </si>
  <si>
    <t>as por medio de alguna privación de su asistencia. Antonio González, maestro peluquero, ó. A. R. 1. Doña María Paula Trapero, 4. D. I. R. 1. Doña Joa</t>
  </si>
  <si>
    <t>Paulina Borghese, Princesa</t>
  </si>
  <si>
    <t>Princesa Paulina Borghese</t>
  </si>
  <si>
    <t>s de guerra, permanece aun anclada cerca de lneste. IMPERIO FRANCES. París 18 de julio. S. A. I. la Princesa Paulina Borghese, duquesa de Guastalla, salió' de Aix-les-Bains el 12 por la mañana, y se embarcó en el lago Bourget para entrar por él en el Ródano, y continuar por este rio su viage á Lion donde</t>
  </si>
  <si>
    <t>Paulino Cervera</t>
  </si>
  <si>
    <t>te, ayuda dé cámara, page ó mayordomo; ha estudiado 2 años de'filosofía y 2 de medicina. Dará razón D. Paulino Cervera, ayuda de cámara del marques de Villavicencio, calle de Jacometrezo. Un joven de edad de 23 años desea colocarse en una casa decente para dentro 6 fuera de Madrid ; sabe escribir</t>
  </si>
  <si>
    <t>Paulino Juan Fernández</t>
  </si>
  <si>
    <t>.................. 20. D. Carlos Muñoz, 60 id. por un mes...................................... 60. D. Paulino Juan Fernandez, 2 rs. diarios, por 2 meses........... 122. Narciso Pablos, 3 id. durante un año, por un mes............... 93. Zoilo Saenz de Langarica, uno id. durante un año, por 4 meses.... 1</t>
  </si>
  <si>
    <t>Pavery, Matías</t>
  </si>
  <si>
    <t>Matías Pavery</t>
  </si>
  <si>
    <t>onas por la general conducta de sus . individuos; entre los-quales se distinguió el primer teniente D. Matías Pavery qu«; con el sargento -Mansini y 15 soldados, se arrojaron toboa- ua.- esquadron 'de cabaílerfía'énemigG , y &gt;le obligaron á huir; y á su ayudante Torquáto Auxiliovguardia de Corps</t>
  </si>
  <si>
    <t>Paz, Lorenzo Vicente</t>
  </si>
  <si>
    <t>Lorenzo Vicente Paz</t>
  </si>
  <si>
    <t>ito Hernaez Jornalo....... Madrid....... 3°° ,, (Fent »■) 2.945 &lt;adiz. &lt;viraW-&gt; -4OCO lela dej 2179 D. Lorenzo Vicente Paz................. Coruña........ 3CO 17 «4 D.¡ Juan de Mata Gallardo.............. Cádiz......... óco D. Francisco Grimar............................ Zaraccza..... 6co 1734 D. Fran</t>
  </si>
  <si>
    <t>Pcdnrjosefde</t>
  </si>
  <si>
    <t>vale . de 150 pesos.................. ................................. ....................2316 &gt;• D. Pcdnrjosefde’^Echenique^ vista principal de Correos* por</t>
  </si>
  <si>
    <t>Peceto de Andrés, Agustin</t>
  </si>
  <si>
    <t>Agustin Peceto de Andrés</t>
  </si>
  <si>
    <t>......... 1000 1886 D. Josef Antonio de Barcena............................ Zaragoza..... 30.0 1225 D. Agustin Peceto de Andrés........................... Alicante...... 30 o 1323 D. Vicente Domingo Pastor, beneficiado....... Valencia..... 300 343 F'r. Pedro Yepez, del orden de S. Juan de JJIOS............</t>
  </si>
  <si>
    <t>Pecheux</t>
  </si>
  <si>
    <t>28 de diciembre de 1808</t>
  </si>
  <si>
    <t>Madrid 168</t>
  </si>
  <si>
    <t>ión por ausencia de S. A. I. el Príncipe gobernador general; y entonces el decano de los profesores Mr. Pecheux hizo en sus manos el juramento de estilo, que repitieron en seguida todos los individuos de la universidad. Con lo que se concluyó la sesib'n&gt; repitiendo todos viva^tl Emperador.</t>
  </si>
  <si>
    <t>Pécíro de Ccvallqa</t>
  </si>
  <si>
    <t>lores, en un li—■ bxarniento del real fondo vitalicio á cuenta de 4 rs. diarios..,.. 1080. ■ £1 Sr. D. Pécíro de Ccvallqa i ^ cuenta de 50 rs,'diarios.3710 26 D. Bartolomé de Dieso , tenedor de libros del Banco nacional, --- j?*.’.............. &lt; -.' L. r^n: .0. ce B. Josef Antonio Quijano , ay uídan</t>
  </si>
  <si>
    <t>Pecondon, Juan</t>
  </si>
  <si>
    <t>Juan Pecondon</t>
  </si>
  <si>
    <t>........... 60. Manuel Collado, tabernero, por agosto............... .......................... 60. D. Juan Pecondon, mayorddmo del conde de Fernán Nuñez, por agosto á 2 rs. diarios...... ........................................................ do. D. Santiago Gutiérrez Arintero, teniente de fon</t>
  </si>
  <si>
    <t>Pédfo TórféS y de Artiat</t>
  </si>
  <si>
    <t>iano de Besalú de la catedral de Gerona, vacante por fallecimiento de D. Francisco del Castillo y á D. Pédfo TórféS y de Artiat, cura párroco déS. Pedro de Sérrahima,</t>
  </si>
  <si>
    <t>PedfooGonesaoiiguaimente</t>
  </si>
  <si>
    <t>taiayuelas, coronel de Bujalance; el de Giudad-ReahDI:Miguel Pedrero, y el sargento mayor de Cuenca D. PedfooGonesaoiiguaimente al mayor de subdivisión, que le siguió éji el combate y cumplió mui bien sus deberes ; á su ayudante D.Juan Rafael Lasa1* * capitán de Campo mayor ; el marques de Guardia Real, te</t>
  </si>
  <si>
    <t>Pedid González Llamas</t>
  </si>
  <si>
    <t>e entraron sus tropas.' Las del exército de Silencia y Murcia con su insigne general el Excmo.' Sr. D. Pedid González Llamas se^ apostaron en el pa-erí del Pradp para esperar &lt;y recibir á sus caros’hermanos, hijds' de la madre España, los aguerridos soidádós del exéfC'.tordeAhdaiucía. Entre tanto que es</t>
  </si>
  <si>
    <t>Pedio Catalina Iglesias</t>
  </si>
  <si>
    <t>eion de 1V^ reáleá provisiones ^ .un - real- éiario..*.*«*tA.««»tiv.i....iía«it»**^.u.Mjw**# * 3*1* D. Pedio Catalina Iglesias, domador dél señor-conde de AltM v , mt'rá', por 4'meses k -2 rs. diarios durante lá guerra................. 244. D. Tomás Domingo de Hoyosy-oficial delaí contaduría de dicho; rr-</t>
  </si>
  <si>
    <t>Pedio Cevallos</t>
  </si>
  <si>
    <t>hermáno segundo del Reí. S. A. I. el gran duque de Berg y de Cleves había manifestado aí Excmo. Sr. D. Pedio Cevallos, primer secretario de estado y del despacho, que</t>
  </si>
  <si>
    <t>Pedra</t>
  </si>
  <si>
    <t>ioa j'einplaza á qualqmcra;uue se considere con derechoá los bienes del cónciírso de acreedores de ’D. Pedra.Lágarde, wéckb del Puerto de Sta. María, para, «pife en el perentorio -terminó dcun año acuda á formalizarlo con los documentos comprobantes; haxo la prevención de que en su defec</t>
  </si>
  <si>
    <t>Pedrb Pdkcúdl</t>
  </si>
  <si>
    <t>Juan Antonio Fabregues, oficial del exército del. Excmo, Sr. ' marques dé la Romana t d su hermano D. Pedrb Pdkcúdl, oficial dét segundo batdtton de Voluritarijis de Barcelona. j ~ A bordo del navio Edgar de S. Ají . británica en el Sund, frente Élsegiot, 29 de agosto de 1808. Mi querido herman</t>
  </si>
  <si>
    <t>Pedresa, Pedro</t>
  </si>
  <si>
    <t>Pedro Pedresa</t>
  </si>
  <si>
    <t>rantes de la Real de Caballería de esta Ciudad , D. Gonzalo Ramírez Delor , Comisario Ordenador , y D, Pedro Pedresa, Marques de Dos-hermanas. Todos están bien provistos de armas; y de estas como de las demas municiones y peltrechos se hacen continuas remesas á todos los puntos. A pesar del much</t>
  </si>
  <si>
    <t>Pedro Alonso</t>
  </si>
  <si>
    <t>.... .................. 1100. D. Juan Bautista Nieto, del comercio, 4 id. por 6 id.... ....... 730. D. Pedro Alonso, uno id. por 2 id............................................. 61. Pablo García, 2 id. por agosto..................................................... 62. D. Andrés Romero, 2 id.</t>
  </si>
  <si>
    <t>1. D. Francisco Izquierdo, id............ .................................................... 6o¿ D. Pedro Alonso * portero del Jardín botánico, id...;;.*.;... : 100. r2 n c í 1111 ^ ^2, i ... ■*. f p* p,p p p p p p p p 6o¿ * D. Bartolomé-de Escauriaza, oficial del almacén de ’ paños: de Guad</t>
  </si>
  <si>
    <t>Pedro Cayetano</t>
  </si>
  <si>
    <t>Rs. Mrs. Ugena , por una vez........ D. Pedro Cayetano. Cabeos&gt;. colector;de ;la -real iglesia, de.saoi i'v'-c Isidro, en intereses de vales reales.y, en efectivo, idi.J.......... ^ -3 asó. C. D. Lázaro Antonio Mendaz $,-qn intereses;</t>
  </si>
  <si>
    <t>Pedro Ignacio</t>
  </si>
  <si>
    <t>! D. Juan Julián López Castellanos , presbírero , id..... .......... 6qq*_ El coronel de infantería D. Pedro Ignacio .de Elguea , en vales ¿ reales....... .................................................. • ♦ ■ • • ■ .««.^. a ...á. , ^4é^o6 D. Pedro Ramón de Crespo, cura párroco d.el reai sitio</t>
  </si>
  <si>
    <t>Pedro Martín</t>
  </si>
  <si>
    <t>........... 60. D. Eugenio Dessí y Alcázar, id., id........ ................................... 80. D. Pedro Martin, confitero, id................................ ................ ..... . óoo.w D. Francisco Antonio de Pando, id........................... ..................... . 200®. D. Juan Sa</t>
  </si>
  <si>
    <t>Pedro Santiago</t>
  </si>
  <si>
    <t>se ha servido conferir la comandancia del tercer batallón del regimiento de infantería de Córdoba á D. Pedro Santiago, sargento mayor del de Jaén: compañía en este último cuerpo al ayudante , graduado de capitán, D. Juan Eustaquio de Lazcanó ; y en el de Burgos regencia al-subteniente de granader</t>
  </si>
  <si>
    <t>Pedro'Roca</t>
  </si>
  <si>
    <t>ver á mariscales dé campo de sus exércitos d los brigadieres marques de Gek&gt;4 marques del Palacio y D. Pedro'Roca, coroneles de lOS'régímientós de«/caballería de Alcántara , húsares Españoles y draéóne^ -de Saguntó^ y á brigadieres á D. Josef Mansoy D. Juan Josef voi voiciyj viv ív/cj 1 uv gá</t>
  </si>
  <si>
    <t>Pedros Jose</t>
  </si>
  <si>
    <t>..................... .............................. . - 20. i. D. Pedro I.opez I.abrana , id..31 ~ D. Pedros Jose.f López de. Para £* $jpQ*;.,.b D. Josef de A.mayo y .Luna , cirujano del Hospital general.* «en ir o[ t ; &gt; intereses de vafes y.efectivo, id.. f.l D. Nicolás Martínez, aparejador</t>
  </si>
  <si>
    <t>Pee, Juan</t>
  </si>
  <si>
    <t>Juan Pee</t>
  </si>
  <si>
    <t>rcuna v^z........... 400. D. Josef.Riv.es.,.cirujano., á cneota. de .3© rs/ppx.iinávez....... 1500. D. Juan Pee torelli, aparejadorprinci pal ¡de-las obras, reales* por una vez.................................................... 300. D. Manuel Redruelio, almacenista de carbón, por unq vez..</t>
  </si>
  <si>
    <t>Pefez, Francisco</t>
  </si>
  <si>
    <t>Francisco Pefez</t>
  </si>
  <si>
    <t>mrs. en intereses de vales .reales por una vez, y ademas un real diario, por 3 meses..... 182 ' 8. D. Francisco Pefez, &gt;00 rs* por úna vez, y ademas 6 diarios, por ó meses............i.................................................................. 1604. * D. I$a rclso de Ilerediá ,’ 6 ídl por</t>
  </si>
  <si>
    <t>Pei</t>
  </si>
  <si>
    <t>1 So3. = Firmado, YO EL REY. = Por S. M. su ministro secretario de Estado, Mariano Luis de Urquij®. D. Pei ro de Mora y Lomas, del consejo de S. M., su secrerario conj exercicio de decretos, intendente de esta provincia , y corregidor de esta vi-* lia de Madrid y su partido &amp;c. El Rei</t>
  </si>
  <si>
    <t>Peiaez, Agustín</t>
  </si>
  <si>
    <t>Agustín Peiaez</t>
  </si>
  <si>
    <t>ef Martínez, D. Josef Bringas, D. Josef Balhin y D. Isidoro Aza— güirre, oficiales de contaduría. . D. Agustín Peiaez, cirujano consultor. . D. Narciso Roca, comisario de entradas de hospital. Ministerio de justicia. D. Juan Miguel Paez de la Cadena, auditor de guerra. Ramo de correos* D. Antonio</t>
  </si>
  <si>
    <t>Peinado, Gerónimo</t>
  </si>
  <si>
    <t>Gerónimo Peinado</t>
  </si>
  <si>
    <t>ales, intendente, comandante del arsenal y demas gefes de cuerpos de marina, y el mariscal de campo D. Gerónimo Peinado» comandante de las armas en este cantón, á la misa cantada que se ha celebrado con motivo de la instalación de la referida suprema junta. En seguida, en mnos del preste que ofició</t>
  </si>
  <si>
    <t>Peirolon, Francisco</t>
  </si>
  <si>
    <t>Francisco Peirolon</t>
  </si>
  <si>
    <t>nez de Aparicio. En Toledo............... Sres. Chavarri y Pósadillo. ^ ■* En Vahnda......... Sres. D. Francisco Peirolon y compañía. En Valladolid.,.... D. Simón Durango.</t>
  </si>
  <si>
    <t>.. Sres. Chavarri y Posadillo. En Toro................ D. Josef Ligero. En Valencia.......... Sres. D. Francisco Peirolon y compañía* En Valladolid...... D. Simón de Durango. En Zamora........... D. Josef Alvarez Baragaña. En Zaragoza....... D. Tomas de la Madrid. constitución. Véanse las gazetas ntíms</t>
  </si>
  <si>
    <t>ez de Aparicio. _ £n Toledo..*..*........ Sres. Chavarri y Posadillo. £h Valencia............ Sres. D. Francisco Peirolon y compañía. n Valladolid...... ,D. Simón de Durango. Í fj^iaptora Du Josef Alvarez Baragaña. • , „ £p[Zar/fgo2 a....... D. Tomas de; la Madrid. , AVISO. . En 24 de mayo próximo pasa</t>
  </si>
  <si>
    <t>Peiron, Esteban</t>
  </si>
  <si>
    <t>Esteban Peiron</t>
  </si>
  <si>
    <t>principales, el entresuelo y baxo, el que tiene jardín y fuentes: tiene las llaves su administrador D. Esteban Peiron, procurador de los reales consejos, que vive en la calle de la Encomienda, núm. 6, quarto segundo. En la calle de S. Dimas, núm. 8, junto i la de la Palma baxa, se alquila, con pe</t>
  </si>
  <si>
    <t>Pelaez, Francisco Antonio</t>
  </si>
  <si>
    <t>Francisco Antonio Pelaez</t>
  </si>
  <si>
    <t>n tomo en 8.°, con una lámina, en la que se manifiesta el modo de ponerse los dientes postizos, por D. Francisco Antonio Pelaez. Se hallará en la librera de Lien, plazuela del Angel. ... r ' . . . Disertación histórica sobré las. sociedades, colegios y academias de Europa, y en particular de Esoaña, antes</t>
  </si>
  <si>
    <t>Pelayo Diez' Muñiz</t>
  </si>
  <si>
    <t>a corona de V Aragón , por uña vez..............................................*..»»»........ 160. D. Pelayo Diez' Muñiz , agente de negocios ¿ por una vez»...»v 300* D. Silvestre Diaz Muñiz, administrador del almotacén de Madrid , por una vez»,................... ...................................</t>
  </si>
  <si>
    <t>Pelev</t>
  </si>
  <si>
    <t>nte de la bandera encarnada; Sir Borla® Varren y Thornborough, vice-almirante de la bandera blanca; Sir Pelev, -rice-almirante de la bandera &amp;zul; Sir Purvis y Sir Cochrane, contralmirantes de la bandera encarnada; Sir Sidnei Smith y Mr. Felipe de Aubergne, príncipe de Bouillon, contra-al</t>
  </si>
  <si>
    <t>Peña, Andrés</t>
  </si>
  <si>
    <t>Andrés Peña</t>
  </si>
  <si>
    <t>paño. D. Manuel de Salas 70 pares de botines de lienzo cortos. Doña Francisca Gil 15 varas de paño. D. Andrés Peña 6 varas de paño. Doña María Felipa de Mendinueta</t>
  </si>
  <si>
    <t>Peña, Francisco</t>
  </si>
  <si>
    <t>Francisco Peña</t>
  </si>
  <si>
    <t>mo pasado se extraviaron 3 vales reales de 300 pesos, creación de i.° de mayo, renovados á favor de D. Francisco Peña, núms. 445242, 455907 y 473731. Quien supiere de su paradero, lo avisará al referido P. Franciico Peña,'vecino de Zaragoza. ’ libros. El Plutarco de la revolución francesa: obra t</t>
  </si>
  <si>
    <t>Peña, General</t>
  </si>
  <si>
    <t>General Peña</t>
  </si>
  <si>
    <t>l Dupont conferencia con el General R.e«ling. Lo he negado. A pocos momentos recibo carta del mismo General Peña manifestando piden capitulación : no les concedo otra que de ser prisioneros de guerra, permitiendo al General y Oi'-¿ales su espada, y una maleta con ropa de su uso , en atención</t>
  </si>
  <si>
    <t>Pena, Pedro</t>
  </si>
  <si>
    <t>Pedro Pena</t>
  </si>
  <si>
    <t>imple de S. Pélayo de Gallegos, en la diócesi de Oviedo. - ‘ ' 0. { , S. M. se ha servido nombrar a D. Pedro Pena para una canongía presbiteral de la catedral de Geronay vacante por fallecimiento de D. Francisco del Castillo: para la capellanía mayor de la parroquia de S. Cristóbal de las Fon</t>
  </si>
  <si>
    <t>Peña, Salvador</t>
  </si>
  <si>
    <t>Salvador Peña</t>
  </si>
  <si>
    <t>......... Madrid....... 300 20 El Excmo. Sr. Marques de las Amarillas....... Zaragoza..... 60© 1326 D. Salvador Peña, cirujano.............................. Valencia..... 500 822 Conde de Montefuerte.................................... Madrid....... 500 2055 D. Agustín González..................</t>
  </si>
  <si>
    <t>Peñalósa, Ignacio</t>
  </si>
  <si>
    <t>Ignacio Peñalósa</t>
  </si>
  <si>
    <t>e ha servido S. M. promover a capitana! teniente O. Josef María de Arancivia; á teniente al alférez D. Ignacio Peñalósa , y á alféreces al sargento D. Joaquín de Soto y D. Josef Antonio Arroyo, vecino de la demarcación del regimiento. Asimismo en el regimiento provincial dé dragones de S. Carlos, e</t>
  </si>
  <si>
    <t>Peñaredonda, Francisco</t>
  </si>
  <si>
    <t>Francisco Peñaredonda</t>
  </si>
  <si>
    <t>... . 100. D. Aniceto de Cuevas, 50 id......................................................... 50. D. Francisco Peñaredonda, 120 id. id...i.............. ........................ .120. D. Josef Pastor de Cáceres, 90 id. id..........................*............... 90. D. Gerónimo Rodríguez, pintor, 30</t>
  </si>
  <si>
    <t>Peón de Aftpíagngrr</t>
  </si>
  <si>
    <t>Pedro Sedanq ji^gentg de: negocios ,-,48 piares d? calcetas y; 25 ¿yaras/de ,coruña para camfs.asvi;D. Peón de Aftpíagngrr^ 38 yarj^s de dienzo, pa» S2S^- * r , -• , 1 , , 1 &gt;' ■ ' f f * ■.k ~; j ; i r ■' ’ v ’ •) K , ; ' í * Doña Rosa de Sanabrja 6 camisas nuevas. 1 D. Julián de Vivanco 8 id. D. ^Fra</t>
  </si>
  <si>
    <t>Peral, Agustín</t>
  </si>
  <si>
    <t>Agustín Peral</t>
  </si>
  <si>
    <t>....... soo M 817 D. Manuel Albuerne...................................... . Madrid....... O 0 1445 D. Agustín Peral................................................ Málaga......... 0 ^ (O J'-'O 1462 D. Josef Lizalde.................. ............................. Málaga......... 6co 1971 Doña An</t>
  </si>
  <si>
    <t>Peral, Joaquín</t>
  </si>
  <si>
    <t>Joaquín Peral</t>
  </si>
  <si>
    <t>, en una boleta de casa real, id.................................... ........................ 2000. D. Joaquín Peral, id................................... .................................... . 200. D. Beltran Fabre, id............................................................................</t>
  </si>
  <si>
    <t>Peral, María</t>
  </si>
  <si>
    <t>María Peral</t>
  </si>
  <si>
    <t>....... 120. D. Bernardo Perez, por una vez.......... ....................................... 1000. Doña María Peral , id.... ........ ................... ......... ............ ............ 190. D. Jos¿f del C-liado, del comercio, id................. .................. ^20. D. Antonio Cabo, ofi</t>
  </si>
  <si>
    <t>Peralta, Matías</t>
  </si>
  <si>
    <t>Matías Peralta</t>
  </si>
  <si>
    <t>. Alfonso Cortes, id...................... ............. ................. ......... ......... 20©. D. Matías Peralta ,-agente de negocios, id....... .............................. 100. D. Felipe de PueJIes, ageste de negocios, id...... .......................... ico. D. Domingo de Callejo, deLco</t>
  </si>
  <si>
    <t>Perceva</t>
  </si>
  <si>
    <t>reducidos, cambiarlos ppr anu'dadts (1) de la caxa de .amortización. „Quaüdo la paz de Amiens, dixo Mr. Perceva), ia deuda nacional subía á 479 millones de libras esterlinas, y el fondo dq amortización á 5.800000 Libras ester inas, cerca de la 82.a parte de la deuda. Actualmente la deuda na</t>
  </si>
  <si>
    <t>s preciso convenir en que los alborotos, lejos de acelerar la paz, no hacen mas que retardarla (1). Mr. Perceva!, canciller, del echiquier, ha propuesto las condiciones dél nuevo empréstito, el qual será para la Inglaterra de 8.000® de libras esterlinas , y para la Irlanda de 2.50a®: total</t>
  </si>
  <si>
    <t>Perceval</t>
  </si>
  <si>
    <t>. Los intereses de sus deudas ascienden á 9.1 22621 libras esterlinas. * El canciller del echiquier Mr. Perceval ha presentado al parlamento un nuevo plan de hacienda , según el qual, en consideración del actual subidísimo precio de los fondos ^públicos, se permitirá á las personas que tiene</t>
  </si>
  <si>
    <t>ba por los noruegos; y desde entonces parece que los suecos se mantienen solamente á la, defensiva. Mr. Perceval presentó el dia 2 en el parlamento el budjet del año 1808, cuyo resumen es el siguiente. &gt; . Gastos. Marina........ „....................................... 17.496647 libras ester</t>
  </si>
  <si>
    <t>Pereda, Vicente</t>
  </si>
  <si>
    <t>Vicente Pereda</t>
  </si>
  <si>
    <t>6. 1 " D, Hipo! ¡ to Ru iz 2, El brigadier D. Miguel dé Gamboa y X). F. 2 y 2 medias. su hermana 4. D. Vicente Pereda 6 camisas. r Doña Joaquina Gómez 2. D. Francisco Gil una. . "v / D Francisco Antonio de Ibarreche 12. D. F.”4. f ; . ■ /;: ■; Doña N. 2V ; y Doña, María Concepción de Ifusta 6. Do</t>
  </si>
  <si>
    <t>Peregrino de Llanderal</t>
  </si>
  <si>
    <t>Fermín María de Uria NafarroaD. Sebastian del Conde 200. ; ; - .40-73-rs. 23ímrs. eu,metálico, 2265 D. Peregrino de Llanderal 180*.: / ; rsv 11 jursiJ^p v$les reales, yt 361 Doña N. 22. -h./. ■: :r;en;e^ec^osAe'HíSíadpv.- • . Doña Ignacia García 60. ' La duquesarviuda,dellníantadpi!62^2 D. Josef Badan 14</t>
  </si>
  <si>
    <t>Pereira</t>
  </si>
  <si>
    <t>asi todos los pasageros. Entre los muertos se cuentan el lord Roiston, el coronel Folien, Mr. Focke,Mr. Pereira, muchas mugeres y niños. Los que se han salvado son el capitán del buquey 3 marineros, la muger del coronel Pollen, la que escribe, esta carta, 2 niños y 2 criados. Inmediatamente</t>
  </si>
  <si>
    <t>Pereira Forjaz Coutinho, Miguel</t>
  </si>
  <si>
    <t>Miguel Pereira Forjaz Coutinho</t>
  </si>
  <si>
    <t>estos cuerpos sean organizados en la forma declarada en los planes que vayan como «ste firmados por D. Miguel Pereira Forjaz Coutinho, secretari.0 del gobierno, encargado de la repartición de guerra y marina. El consejo de la Guerra lo tenga asi entendido, y lo haga executar en la parte que le corresponda. Palac</t>
  </si>
  <si>
    <t>rganizados ea la forma declarada en los planes que vayan como este firmados por Miguel Pereira Forjaz Coutinho, secretario dd Gobierne, encargado de la repartición de Guerra y Marinad' ESPAÑA. Rosas 25. de Septiembre. En la mañana del 21. se hicieron á la vela para la</t>
  </si>
  <si>
    <t>Perena, Felipe</t>
  </si>
  <si>
    <t>Felipe Perena</t>
  </si>
  <si>
    <t>o.mayor del tercio de Huesca D. Pedro Villacampa con 400 hombres, y por la parte de Olas al coronel D. Felipe Perena con el resto de Voluntarios de Aragón y Huesca, sostenidos por les demas cuerpos. La acción se empeñó con un ardor y entusiasmo extraordinario, 'en términos de apoderarse inmediat</t>
  </si>
  <si>
    <t>Perés, Segismundo</t>
  </si>
  <si>
    <t>Segismundo Perés</t>
  </si>
  <si>
    <t>Rec@mienda á esta Junta á sus señalados guerreros, y en particular al capitán del tercio de Manresa D. Segismundo Perés, quien se arrojó sobre lo¿ enemigos sable en mano, obligándoles á tirar los fusiles y cartucheras, y á huir coa el mayor desórden. Sevilla 18. de Octubre. El Viérnes próximo, día</t>
  </si>
  <si>
    <t>Pereyra Forjaz Coutifío, Miguel</t>
  </si>
  <si>
    <t>Miguel Pereyra Forjaz Coutifío</t>
  </si>
  <si>
    <t>sus exércitos. ' Juan Antonio Salten de Mendoza, desembargador do xpazo y procurador de la corona. D. Miguel Pereyra Forjaz Coutifío, del consejo de S. A. R. y brigadier de sus exércitos. Faltan algunos de los miembros de la Regencia nombrados por S. A» R*; unos poc^ haberla removido ^‘desgra</t>
  </si>
  <si>
    <t>Pereyra, Manuel Antonio</t>
  </si>
  <si>
    <t>Manuel Antonio Pereyra</t>
  </si>
  <si>
    <t>artínez de Novales, contador del reino y secretario de sfi diputación, por una vez 3600. ' : &gt; &lt; /í D. Manuel Antonio Pereyra, por ahora 160 rs.K - " D. Matías del Arco, contador de Sisas, por agosto á 40 rs. mensuales durante la guerra, 40. - ~...... D. Magín Goma, por id. á ioo rs. id. id., 100.</t>
  </si>
  <si>
    <t>Pérez Auja, Francisco</t>
  </si>
  <si>
    <t>Francisco Pérez Auja</t>
  </si>
  <si>
    <t>208 con su lancha, 26 arrobas y 10 libras de saín: D. Francisco Perez Auja, vecino del mismo puerto, ha cogido con la suya una partida de atún ó bonito, del que ha escabechado y beneficiado 7 5 50 libras, que hacen 75 quintales: Juan Martinez, del concej</t>
  </si>
  <si>
    <t>Pérez Ballesteros, Pedro</t>
  </si>
  <si>
    <t>Pedro Pérez Ballesteros</t>
  </si>
  <si>
    <t>Números Lotes de las . en acciones. Nombres de los Interesados. Comisionados. Rs. vo. 983 D. Pedro Perez Ballesteros^,..».......... ............. Madrid....... 300 5 96 Dona Polonia A. P. .M......................................... Madrid....7... 600 854 D. Ga'spár de Lerin......................</t>
  </si>
  <si>
    <t>Pérez Bueno, Juan</t>
  </si>
  <si>
    <t>Juan Pérez Bueno</t>
  </si>
  <si>
    <t>....... 3°° 2096 D. Prudencio de Torres........................ ......... . Cádiz......... 2CO 1105 D. Juan Perez Bueno............ ....................... Madrid....... 300 819 D. Manuel Albuerne.........,¡............................. Madrid........ 300 1982 Sres. D. Josef Francisco Mornau.......</t>
  </si>
  <si>
    <t>Pérez Camino, Manuel</t>
  </si>
  <si>
    <t>Manuel Pérez Camino</t>
  </si>
  <si>
    <t>agosto............. .................. .................................................... . 124. D. Manuel Perez Camino, canónigo de S. Isidro, 3 id. por 5 meses.......................... ....................... ................................................. * 459 Doña T. M. P. , 2 id.,por 2 id.</t>
  </si>
  <si>
    <t>Pérez de Arrieta, Pedro Pablo</t>
  </si>
  <si>
    <t>Pedro Pablo Pérez de Arrieta</t>
  </si>
  <si>
    <t>... 300 991 D. Antonio Maeda.............................................. Madrid....... . 6co 1793 D. Pedro Pablo Perez de Arrieta..................... Cádiz...... 1000 1540 D. Pascual Josef de Ardanaz............................ Bilbao.......... 300 1718 D. Miguel Eusebio de Irigoyen...................... Cá</t>
  </si>
  <si>
    <t>Pérez de Carnino, Fernando</t>
  </si>
  <si>
    <t>Fernando Pérez de Carnino</t>
  </si>
  <si>
    <t>z, oficial del banco, poR agosto á 100 rs. mehsuales¿,¿i¿.....¿.....í....................... 100. 1 D. Fernando Perez de Carnino, oficial mayor def parteyií^ :ftf.; 4 por una Vez y -ioo rs* mensuales. .;X..U4.4i.;4« &lt;. ..v -....... .11 oo. 4 D. Josef Villasante ,-propietario, pop agosto- á óo rs. mensvules.</t>
  </si>
  <si>
    <t>Pérez de Guzman, Félix</t>
  </si>
  <si>
    <t>Félix Pérez de Guzman</t>
  </si>
  <si>
    <t>ido. Ciudad Real. Muerto........... Subteniente. D. Nicolás Muñoz. Herido............ Teniente..... D. Félix Perez de Guzman. Contuso.......... Capitán....... D. Luis Morales. Segundo de Granada. Herido........... Su segundo comandante el teniente coronel D. Manuel * Torralbav e Voluntarios catalanes. H</t>
  </si>
  <si>
    <t>Pérez de Junguitu, Tomás</t>
  </si>
  <si>
    <t>Tomás Pérez de Junguitu</t>
  </si>
  <si>
    <t>scribanía que desempeña D; Manuel de Lárraurí, en la nominada villa de Bermeo. . Por providencia de D. Tomas Perez de Junguitu, juez comisionado regio en la diócesi de Sevilla, se ha señalado el día i.° de marzo próximo para el remate ■ de 2 casas sitas en dicha ciudad, la una en la plazuela de los Refina</t>
  </si>
  <si>
    <t>Pérez de Jungultu, Tomás</t>
  </si>
  <si>
    <t>Tomás Pérez de Jungultu</t>
  </si>
  <si>
    <t>, 59 y 81 ; y con ellos han ganado los jugadores 539,472 rs. VENTAS JUDICIALES. Por providencia de D. Tomas Perez de Jungultu, juez comisionado regio en la diócesi de Sevilla, se han mandado vender las fincas conque están dotadas las capellanías fundadas en la iglesia parroquial de la villa del Coronil ,</t>
  </si>
  <si>
    <t>Pérez de la Castellana, Pedro</t>
  </si>
  <si>
    <t>Pedro Pérez de la Castellana</t>
  </si>
  <si>
    <t>.. 93. Josef TeriJe , plumista, 2 id. id....................................................... 62. D. Pedro Perez de la Castellana, abogado del colegio,4 id. id. 124. Felipe Juan. Hernández* labrador, y Josef Vera, conductor de Correos, en un recibo contra la rentadei Tabaco, por una vez......................</t>
  </si>
  <si>
    <t>Pérez de las Muelas, Francisco</t>
  </si>
  <si>
    <t>Francisco Pérez de las Muelas</t>
  </si>
  <si>
    <t>uis Gii Fernandez , del del Hospital general. ) D. Francisco Josef Ofer, diputado del Amor de Dios. D. Francisco Perez de las Muelas, diputado id. D. Antonio Sánchez, diputado del barrio del Hospital. D. Silverio Perez id. id. D. Diego de Castro, secretario de la dir i cha .diputación. D. Andrés del Peral, dipu</t>
  </si>
  <si>
    <t>Pérez de Ro, Manuel</t>
  </si>
  <si>
    <t>Manuel Pérez de Ro</t>
  </si>
  <si>
    <t>ejo, en que acompaña la real tinezy gobernador. provisión expedida en 1.° de este mes, por la qual¿ D. Manuel Perez de Ro- habiéndose verificado la instalación de la Junta cen¿ zas. . tral suprema gubernativa de los reinos de EspaD. Andrés Romero Val- ña y de las Indias, se: manda observar las resolu—</t>
  </si>
  <si>
    <t>Pérez de Rozas, Manuel</t>
  </si>
  <si>
    <t>Manuel Pérez de Rozas</t>
  </si>
  <si>
    <t>olás de los Heros, barrios de la Cruz, Trinitarias y Jesús Nazareno. Quartel de Avapies. El alcalde D. Manuel Perez de Rozas hará la de los barrios de Santa Isabel , Ave María y Trinidad. El regidor D. Juan Xaramillo las de los barrios del Amor de Dios, plazuela de S. Juan y Hospital general. Quartel de</t>
  </si>
  <si>
    <t>mandado subastar por término de 30 dias, contados desde el 10 del presente, por providencia del Sr. D. Manuel Perez de Rozas , alcalde de casa y corte, y escribanía de provincia de D. Mauricio Justo del Rincón, acuda ante dicho señor y. citada escribanía, donde se enterará de las cargas con que se halla</t>
  </si>
  <si>
    <t>Pérez de Santa Cruz, Fernando Manuel</t>
  </si>
  <si>
    <t>Fernando Manuel Pérez de Santa Cruz</t>
  </si>
  <si>
    <t>la junta de Comercio y Moneda, por id. á 200 rs. id.................................... . •: 200. v D. Fernando Manuel Perez de Santa Cruz, del comercio,. á ¿o f •- t . rS. id................................. ............................ ...................................... ;'2cu. ;r D. Mariano García, dependiente</t>
  </si>
  <si>
    <t>Pérez del Castillo, Antonio</t>
  </si>
  <si>
    <t>Antonio Pérez del Castillo</t>
  </si>
  <si>
    <t>. Ramón Montiel, tenientes coroneles retirados; D. Josef González de ía Torre, capitán de exército; D. Antonio Perez del Castillo, presbítero; D. Martin Galarza y D. Claudio Blanco, alféreces retirados; D. Justo Pastor Perez, administrador del real Noveno; D. Juan Antonio Leonardo, D. Tomas de ia Torre, D_ F</t>
  </si>
  <si>
    <t>Pérez del Ingerto, Antonio</t>
  </si>
  <si>
    <t>Antonio Pérez del Ingerto</t>
  </si>
  <si>
    <t>rid.....;. :3?P 3287 D. Antonio García del Rio.*,....................... Cádiz......*,'. ; 3p° 2181 D. Antonio Perez del Ingerto..,,...,......i....... Coruña.....*. '39.® 639 Doña Francisca. María de Paz y Carrasco..... . Madrid*...... 600 2420 D, Juan Manuel de Peralta.,........................ •«*#!» 500</t>
  </si>
  <si>
    <t>Pérez García, Pedro</t>
  </si>
  <si>
    <t>Pedro Pérez García</t>
  </si>
  <si>
    <t>mpo de su compra estaba montuosa. Quién quisiere tratar de ajuste acudirá en esta &lt;^&gt;rte en casa de D. Pedro Perez García, del comercio, plaza mayor; y en Badajoz al comisario de guerra D. AntonióHenriquez de Mbntalba. Se halla vacante la plaza de médico de la villa de Seseña, distante 5 leguas de Ma</t>
  </si>
  <si>
    <t>Pérez Hernández, Manuel</t>
  </si>
  <si>
    <t>Manuel Pérez Hernández</t>
  </si>
  <si>
    <t>se ha servido nombrar para la canongía de la metropolitana de Toledo, vacante por fallecimiento de D. Manuel Perez Hernández, á Doa</t>
  </si>
  <si>
    <t>Pérez Juana, Pedro</t>
  </si>
  <si>
    <t>Pedro Pérez Juana</t>
  </si>
  <si>
    <t>i Manuel López 24. D. Josef Lese roo. v¡ ;/• 'A Julián D.elgado 20. Doña M. de A. una caxa de plata D. Pedro Pérez Juana, en dos na- ovalada, y una sortija ó anillo de . poleones,37 rs. y 17 mrs. oro. . Doña Vicenta San Román 60 rs. D. Andrés Rubio 120. Vippiita'Garqía icú o Doñá María García 60.. B</t>
  </si>
  <si>
    <t>Pérez Lomo, Pedro</t>
  </si>
  <si>
    <t>Pedro Pérez Lomo</t>
  </si>
  <si>
    <t>deron ¿ por una vez......................... .................... *...... ........... 300. D. Pedro Perez Lomo y D.Juan Martínez de Pinillos, del comercio de quincalla, por upa vez».»..»•«*»..»..«6oooá D. Luis Cabrejano, presbítero, por una vefz...».„».....„. 320.D. Luis Valenciano, teniente c</t>
  </si>
  <si>
    <t>Pérez Planellas, Francisco</t>
  </si>
  <si>
    <t>Francisco Pérez Planellas</t>
  </si>
  <si>
    <t>l premio de \% rs. y de la patente de socio de mérito ; y reconocido el pliego cerrado, resultó ser D. Francisco Perez Planellas, secretario de la subdelegacion de fábricas en aquella villa. Después se procedió á la</t>
  </si>
  <si>
    <t>Pérez Plano, Pedro</t>
  </si>
  <si>
    <t>Pedro Pérez Plano</t>
  </si>
  <si>
    <t>Manuela Nieto del Campo 2 camisas y 6 pares de calcetas. Doña Teresa de la Cueva 2 camisas nuevas. D. Pedro Perez Plano 3 id* Doña Juana Meco, residente en Castilla la vieja, 2 id. Doña María Fernandez Casariego 3 id. La Sra. Doña María Blasa Nieto de Paz y Centurión 12 camisas nueras y 7 quarteron</t>
  </si>
  <si>
    <t>Pérez Prieto, Miguel</t>
  </si>
  <si>
    <t>Miguel Pérez Prieto</t>
  </si>
  <si>
    <t>.............. .............. .. Cádiz;.....'... "‘foo 367 D. Diego Jugla Cádiz, ......... 500 2040 D, Miguel Perez Prieto. Cádiz*/.7..U. ,;foo</t>
  </si>
  <si>
    <t>Pérez Romo, Rafael</t>
  </si>
  <si>
    <t>Rafael Pérez Romo</t>
  </si>
  <si>
    <t>....... 500 985 Sres. Zorrilla hermanos.......................... ........... Madrid....... 300 275 D. Rafael Perez Romo...................................... Burgos...... 300 193 D. Juan Gil, presbítero.......................... ;........ Alicante......' 300 2400 D. Mateo Ruiz......................</t>
  </si>
  <si>
    <t>Pérez Villamil, Juan</t>
  </si>
  <si>
    <t>Juan Pérez Villamil</t>
  </si>
  <si>
    <t>es D. Antonio de Escaño, D. Josef Justo Salcedo y yo; D. Luis María de Salazar, intendente general; D. Juan Perez Villamil, ministro togado; el gefe de escuadra D. Josef de Espinosa, secretario, y el capitán de navio D. Martin Fernandez de Navarrete, contador fiscal, todos nos negamos á prestarle quan</t>
  </si>
  <si>
    <t>Pérez Ximenez Cádiz, Antonio</t>
  </si>
  <si>
    <t>Antonio Pérez Ximenez Cádiz</t>
  </si>
  <si>
    <t>Bilbao., 50a i8j8 D. Julián de- Fuentes....,....... ............. Zaragoza/,... 3 IOOO v 2046 Lie. D. Antonio Perez Ximenez Cádiz......... * „ 50 q ¿ 1382 D. Toribio María de Arce...... . Burgos........ 30&lt;* 2041 D. Manuel Primo de Ribera.,..., Cádiz}........ í 00 1624 D. Ramón de Sta. Cruz y Gil.. Santander</t>
  </si>
  <si>
    <t>Pérez y Qrteá, Ramón</t>
  </si>
  <si>
    <t>Ramón Pérez y Qrteá</t>
  </si>
  <si>
    <t>ez 40. D» Ju-^n An.tonid de Ibar 10. : ¡ D. Andrés .Perez de Gracia 120. Fr nciseo Xavier García 4. D. Ramón Perez y Qrteá 2354 xs. D. AngefSolano 60. y iplsmrs., en vales reales. Juan de García 19. Doña Ceferlna* Ramonel 200.. Francisco Villoría 30. D. Juan de.Berriiezo 30. Ramón González X rs. y 8 J</t>
  </si>
  <si>
    <t>Pérez y Velazquez, Francisco</t>
  </si>
  <si>
    <t>Francisco Pérez y Velazquez</t>
  </si>
  <si>
    <t>ermín del Rio, diputado de la Comadre. D. Antonio Rodríguez, eclesiástico. D. Antonio Rovillár, id. D. Francisco Perez y Velazquez, D. Gregorio Guerra Zorrilla, D. Josef Babea, D. Gregorio Dorado, diputación de las Descalzas. D. Benito Alfaya, diputado de S. Márcos. 35. Luis Bautró, diputado de S. Plácido. D.</t>
  </si>
  <si>
    <t>Pérez, Ambrosio</t>
  </si>
  <si>
    <t>Ambrosio Pérez</t>
  </si>
  <si>
    <t>mayor, por f meses á 4 rs. diarios................................•................ .......... 612. D. Ambrosio Perez, oficial de la contaduría de Espoüos, por agosto á un real diario................................. *............. ................. 31. D. Juan Domingo Yun, feo rs. por una vez, y</t>
  </si>
  <si>
    <t>Pérez, Andrés</t>
  </si>
  <si>
    <t>Andrés Pérez</t>
  </si>
  <si>
    <t>comercio, presentó para el propio fin 140 varas de barragan azul y 60 varas de estameña de forros. D. Andrés Perez, del comercio, entregó 6&amp;§ varas de paño negro y verde obscuro en 3 jetazos para lo mismo. La Sra. marquesa de Pesadilla , condesa de Canillas, presentó 24 camisas. , , D. Felipe</t>
  </si>
  <si>
    <t>del barrio de Seo. Tomas. D. Francisco Moreno, diputado id. D. Eugenio Diaz, diputado interino id. D. Andrés Perez « diputado dei barrio dei Ave María. D. Ignacio Ucelai, alcalde del barrio de id. D. Manuel Balanzategui, beneficiado de S. Lorenzo. D. Mariano García Cruz, alcalde del barrio de^</t>
  </si>
  <si>
    <t>Pérez, Antonio</t>
  </si>
  <si>
    <t>Antonio Pérez</t>
  </si>
  <si>
    <t>l ayuntamiento» de la misma, por mano de los comisionados D. Josef de la Muela, regidor perpetuo, y D. Antonio Pérez; en inteligencia de que el nombramiento se ha de hacer el primer domingo-de marzo próximo. _También se halla vacante en dicha villa la plaza de cirujáha latino ,-dotada con 78 rs.</t>
  </si>
  <si>
    <t>primero graduado de capitán ; tenencias á los alféreces D. Cristóbal Ximenez , T D.; Miguel Rave y D. Antonio Perez, teniente agregado al mismo cuerpo: en el de. cazadores voluntarios de España compañías á los ayudantes, graduados de capitán, D. Juan Casado y D. Juan de Vergara , y empleo de te</t>
  </si>
  <si>
    <t>Pérez, Bernardo</t>
  </si>
  <si>
    <t>Bernardo Pérez</t>
  </si>
  <si>
    <t>............. 60. D. Josef de Balde, 60 id. por 2 meses.............. ........................ 120. D. Bernardo Perez, por una vez.......... ....................................... 1000. Doña María Peral , id.... ........ ................... ......... ............ ............ 190. D. Jos¿f del C</t>
  </si>
  <si>
    <t>Pérez, Domingo Gaspar</t>
  </si>
  <si>
    <t>Domingo Gaspar Pérez</t>
  </si>
  <si>
    <t>ragoza..... 50o 1708 D. Juan Manuel de Peralta............. ............ . Cádiz.......*:. 300 24If D. Domingo Gaspar Perez....... . Zaragoza..:*. 3000 2302 D. - Alfonso de la Guardia. Cádiz.:.**!.... 600 I067 Sres* Gil y }3enisia.1 ih^adrid.*..**»" 5©P 1712 D. Manuel González. ................... ....</t>
  </si>
  <si>
    <t>Pérez, Francisco</t>
  </si>
  <si>
    <t>Francisco Pérez</t>
  </si>
  <si>
    <t>compañía al ayudante , graduado de capitán, D. Pedro Angulo; tenencia al subteniente de granaderos D. Francisco Perez, y subtenencia de bandera al' cadete D. Antonio de Paz: en el de América la tenencia coronela al comandante del tercer batallón del de Málaga D. Alonso Rodríguez Valdés; compañía</t>
  </si>
  <si>
    <t>lmacén cíe la renta del Plomo, y su hijo D. Ignacio Ibañez , á cuenta de 840 rs. por una vez... 70. D. Francisco Perez,, boticario, por un año...........................1200» ; D. Josef Navarro y Marcos^j d^i comercio de génerps ultrama» . i r, / ,VJL rinos, por’ id*•••.,.»...»• D. Manuel Fernande</t>
  </si>
  <si>
    <t>Peréz, Gabriel</t>
  </si>
  <si>
    <t>Gabriel Peréz</t>
  </si>
  <si>
    <t>ades, por una vez... 100. D. Josef Dachs, del comercio, por una vez........................ . 1000. D. Gabriel Peréz, librador de la reafcaballeriza, un vale real de 150 pesos por una vez........... ................................... . 2318 28. D. Domingo Usauro y Ruiz, presbítero , por una yez</t>
  </si>
  <si>
    <t>Pérez, Juan Antonio</t>
  </si>
  <si>
    <t>Juan Antonio Pérez</t>
  </si>
  <si>
    <t>r cada uno su contingente con arreglo á dicha junta. Y : La heredera ó viuda de Juan Antonio Perez, natural del lugar de Vilela, obispado de AstOrga, vecino que fue dé está corte, de oficio carpintero, hijo de Fran^ cisco y Antonia Rodríguez , que sirvió de cabo i.° agregado á&gt;la 3.a co</t>
  </si>
  <si>
    <t>rias. Fr. Andrés de S. Juan Bautista, prior de Recoletos. D. Juan de - Mata, alcalde de S. Nicolás. D. Juan Antonio Perez, diputado del Amor de Dios. SUPLEMENTO^</t>
  </si>
  <si>
    <t>Pérez, Juan Bautista</t>
  </si>
  <si>
    <t>Juan Bautista Pérez</t>
  </si>
  <si>
    <t>.... Zaragoza..... 500 Doña Gertrudis de Zaldo......... ......................... Madrid.»..... 600 D. Juan Bautista Perez................... ....v.......,.; Madrid....... 5 00 2344 Excmo. Sr. Marques de Villafranca............. Zaragoza.*... 300 2411 D. Josef Marco y Vidacar.;**....*.**.*.**..**....</t>
  </si>
  <si>
    <t>Pérez, Juan Isidoro</t>
  </si>
  <si>
    <t>Juan Isidoro Pérez</t>
  </si>
  <si>
    <t>...................... 1500. D. Juan Daurris, del comercio de quincalla , por una vez........ IOCO. D. Juan Isidoro Perez, abogado del colegio, por ahora...... .... 500. Antonio Rodríguez, calesero, criado de Julián Ruiz, por una vez................. ............. .............. .....................</t>
  </si>
  <si>
    <t>Pérez, Juan Manuel</t>
  </si>
  <si>
    <t>Juan Manuel Pérez</t>
  </si>
  <si>
    <t>Venancio García , rs. mensuales, por 20 meses..................... 300. D. Juan Manuel Perez, 20 id. durante 4 meses, por agosto..... 20. D. Federico de ia Oliva, 120 id. por *2 meses......... .................. 240. O. Josef López de ia Torre Aylíon y Gallo, 40 id. por a</t>
  </si>
  <si>
    <t>Pérez, Manuel</t>
  </si>
  <si>
    <t>Manuel Pérez</t>
  </si>
  <si>
    <t>.................... 30. D. Braulio Rodríguez, labrador , 30 rs. cada mes...................... 30. D. Manuel Perez, marmolista, 40 rs. cada mes.......................... 40* D. Pedro Josef Mayorá, 120 rs. cada mes................................. 120. D. Isidro Viota y Ximeno, oficial de la co</t>
  </si>
  <si>
    <t>; ■■ millas y un chaleco , un pantalón, D. Gabriel de Ayesa &lt;*&gt;. : un par de calzones de mahon, uñó D. Manuel Perez 2. \ ' dicho de paño negror un par de D. Santos Sánchez Molero 2. medias botas nuevas , y un par de D. Manuel González Salmón 6. calzones. ■ Doña Isabel Perez de Cifuentes 12. D;</t>
  </si>
  <si>
    <t>es..*...,,........... 180. * D. Gregorio de la Huerta, 20 id. por agosto....................... 20. D. Manuel Perez, 4 id. por 2 meses............... 8. D. Pablo Alemani , 40 id. por 5 id......................................... too. D. Tomas Gasanova, alcalde de corte, y su hijo D* Iñigo, 120</t>
  </si>
  <si>
    <t>ña Isabel -Navarro , id......... ............................. ........ ...................... 200. D. Manuel Perez, un recibo de Vitalicio, id................................. 1035. D. Ignacio Agudo, id................ ........ ................................................ . 100. Doña Micae</t>
  </si>
  <si>
    <t>Pérez, María</t>
  </si>
  <si>
    <t>María Pérez</t>
  </si>
  <si>
    <t>■M44D. Antonio María Izquierdo 500. D. Benito Reguero 180 rs. 17 mrs. Doña María Perez, sirvienta, 20. en id. D. M. 40. Df V. para las viudas de los defenDonar Agustina Picos 80. sores de; Zaragoza 190c» en metáli* Doña Ines Ramírez 8. - eo y 1 r oo en cédulas.. : D</t>
  </si>
  <si>
    <t>Pérez, Matías</t>
  </si>
  <si>
    <t>Matías Pérez</t>
  </si>
  <si>
    <t>Xavier Castaños......................... ; Cádiz................ 1000 2397 I)*. Matías Perez , presbítero.............. • •• ••••*• •Zaragoza..*-.. 300 g-31?4 D, Santos de Allende....*...... . . Coruña............. 300 1018 D. Manuel Asuaga......... Madrid............. .300 1942 p. Fr</t>
  </si>
  <si>
    <t>Peréz, Miguel</t>
  </si>
  <si>
    <t>Miguel Peréz</t>
  </si>
  <si>
    <t>........... V... ■■2 ' . -I 7 . - ... El conde de Ga$teÍflor»ido.... 3........ * . 2 , -....... . 2 D. Miguel Peréz, def comercio.... 2 S\y2 arreos. carros El duque de Osuna........................~ iPt.: Manuel Centurión ¿mayoi^loino de semana............................... . '-Ó ni*.-;; íV 1</t>
  </si>
  <si>
    <t>Pérez, Miguel</t>
  </si>
  <si>
    <t>Miguel Pérez</t>
  </si>
  <si>
    <t>, cura de S. Salvador. D. Gregorio Marín, cura de S. Justo. D. Miguel de Olivan, vicario castrense. D. Miguel Perez, secretario de la diputación de S. Luis. D. Agustín López, diputado eclesiástico de id. D. Fernando Galán, diputado del barrio de Seo. Tomas. D. Francisco Moreno, diputado id. D.</t>
  </si>
  <si>
    <t>Pérez, Nicolás</t>
  </si>
  <si>
    <t>Nicolás Pérez</t>
  </si>
  <si>
    <t>Quien hubiese perdido una muía, acudirá á dar las señas de ella al alcalde del barrio de Monserrat D. Nicolás Perez, junto á las comendadoras de Santiago. Quien hubiese perdido una acción del real empréstito de 160 millones de rs,, acuda á la barbería que hai en la plazuela del Angel, en donde</t>
  </si>
  <si>
    <t>Pérez, Nicolás Antonio</t>
  </si>
  <si>
    <t>Nicolás Antonio Pérez</t>
  </si>
  <si>
    <t>. 200. Josef María Pagani, id.................................................................. 20. D. Nicolás Antonio Perez, id¿................................................. . 1000. D. Manuel Silvestre de Fuenlabrada, en un libramiento del fondo vitalicio, id........................................</t>
  </si>
  <si>
    <t>Pérez, Pedro</t>
  </si>
  <si>
    <t>Pedro Pérez</t>
  </si>
  <si>
    <t>........... 40. D. Gregorio García Vinuesa , por 3 meses...................................... 600. D. Pedro Perez , 2 rs. diarios, en intereses de vales..................... 1468. D. Ign acio Pajares, 200 rs. por una vez, y 122 por 2 meses á 2 rs. diarios, que pagará durante un año...........</t>
  </si>
  <si>
    <t>Pérez, Simón Mateo</t>
  </si>
  <si>
    <t>Simón Mateo Pérez</t>
  </si>
  <si>
    <t>s. por una vez...................500. D. Antonio de Campos, abogado, mensualmente............ . 40. D. Simón Mateo Perez , empleado en la tesorería de la real fábrica de palacio, ^por una vez........................ ............... . 600. D. Inocencio Mateo Perez, empleado en la misma » por upa vez*</t>
  </si>
  <si>
    <t>Pérez, Tómas</t>
  </si>
  <si>
    <t>Tómas Pérez</t>
  </si>
  <si>
    <t>Ramón de Vasualdo, individuos de la compañia de longistas, 30 piezas de paños negros con 861 varas. D. Tómas Perez 3! piezas de paños con 1108 varas. Las comendadoras de Santiago una libra de hilas. D. Manuel de Zalles 3. Las monjas de Gcngora 2. Doña Tacinta Palau 2. Doña Leonarda de Fraguas</t>
  </si>
  <si>
    <t>Pérez, Tomás</t>
  </si>
  <si>
    <t>Tomás Pérez</t>
  </si>
  <si>
    <t>y Heredia, del consejo de Estado, un vale real de 15 0 pesos de enero por una Vez.......... 2315 2% D. Tomas Perez, de este comercio, por una vez.40000. 1 D. Ignacio Puchart, pintor, por una vez..... ......................... iqoo. D. Josef Sabauy canónigo de S: Isidro* á cuenta de 19 1$. por</t>
  </si>
  <si>
    <t>n jde la Torre, del comercio, jpresentd 8 j varas de paño en 3 retazos de diversos colores. . * .,f D. Tomas Perez, del comercio, cuyo extraordinario patriotismo y generosidad se ha acreditado en otros crecidos donativos que lia hecho para las urgencias y defensa común , ha pueste en poder del</t>
  </si>
  <si>
    <t>Pérez, Vicente</t>
  </si>
  <si>
    <t>Vicente Pérez</t>
  </si>
  <si>
    <t>...... . 6co* D. Calixto Perez, por una vez.................................... ................. 4°D. Vicente Perez , por una vez...... ..............•...................... 40. El marques de ios Llamos, gentilhombre de cantara de S. M., en vales reales, por una vez......... ............. «•••.</t>
  </si>
  <si>
    <t>Persch</t>
  </si>
  <si>
    <t>rís Mr. Bel loe, el encargado de negocios de Viena Mr. Gennote , el encargado de"negocios de Dresde Mr. Persch , el encargado de negocios de los Estados-Unidos Mr. Erving, el ministro plenipotenciario de Copenhague Mr. Bourke, el ministro plenipotenciario de Petersburgo barón de Strogonoff</t>
  </si>
  <si>
    <t>de Rodo^ írnikin, consejero de-: estaddr.de &gt; Jlusía * y tuvo una conferencia de algunas ■horas con Mr. Persch * comandante de la ciudad por S. M. ,ef Emperador de Austria. Hace ya 6 meses que se hallan cerca de Air. de Rodotinikii} 2 coroneles franceses ; ignoramos el objeto de su venida.</t>
  </si>
  <si>
    <t>Pertica, Manuel</t>
  </si>
  <si>
    <t>Manuel Pertica</t>
  </si>
  <si>
    <t>ndolos?recibido dicho "Sr, Pertica, el que supiere de su " paradero lo avisará en Cádiz al referido D. Manuel Pertica, en Durango á-D. Domingo de E 1 orriaga;■ y en Madrid á D; Bartolomé de Ánivarro. D. Juan Ramón de Udaeta ¿ vecino de Granada, remitió por el correo de 31de agosto próximo pasado</t>
  </si>
  <si>
    <t>Petra Muñoz</t>
  </si>
  <si>
    <t>la y Corona 2 libras de id. Doña María Valentina Bueno 3 libras id. Doña Ignacia Bueno 2 libras id. Doña Petra Muñoz libra y media de hilas, una de paños y 8 vendas. Doña Gavina López 4 libras de hilas, 13 docenas de paños y 260 vendas. Doña M. J. T. libra y media de hilas. Doña Agustina Ramírez</t>
  </si>
  <si>
    <t>Petra Pernia de Benavente</t>
  </si>
  <si>
    <t>nuel ' 1*'z;, .«**oo' dé Peralta...................................................... v¿aai * 3210 Doña Petra Pernia de Benavente..................... Bilbao...... . jeo 1743 Sres.. Llera., hermanos y compañía........ . Cádiz;.......... ; 3.00 459. D. J'osef Antonio y D. Césares de Leguerica.. Bilbao...,....</t>
  </si>
  <si>
    <t>Petti, Lord</t>
  </si>
  <si>
    <t>Lord Petti</t>
  </si>
  <si>
    <t>putársenos el derechd-de hacer aquello misino que se tolera en nuestros enemigos.’* &gt;c-vv;. t ,■ .» Lord Petti habló después casi en los mismos términos que lord Whítbread. Mr. Vindham dixo que la expedición de Copenhague no debía emprende rse, á no. tener • pruebas, manifiestas d¡e que la</t>
  </si>
  <si>
    <t>Peyro, Miguel</t>
  </si>
  <si>
    <t>Miguel Peyro</t>
  </si>
  <si>
    <t>.... Zaragoza. 500 2170 D. Vicente Fernandez Reguera........................ Coruña....... 500 2381 D. Miguel Peyro................................................. Zaragoza..... 300 47 D. Lorenzo Alonso Castillo, presbítero.......... Barcelona.... 500 2066 D. Eulogio del Rosal.................</t>
  </si>
  <si>
    <t>Pezron, Juan Francisco</t>
  </si>
  <si>
    <t>Juan Francisco Pezron</t>
  </si>
  <si>
    <t>.... 300 2011 Sr. Conde del Parque........................................ Cádiz.......... 300 2062 D. Juan Francisco Pezron................................. Cádiz.......... 150a 309 Manuel Robles de Nieto.................................... Málaga........ 600 1386 D. Fernando Esteban...................</t>
  </si>
  <si>
    <t>.... Madrid.... .300 1732 D Jul ian Negrete..................... ............. Cádiz...... 300 20^7 D. Juan Francisco Pezron..................... Cádiz...... 300 2266 D. Zacarías de Bolívar............... . Bilbao..... 15.co 23 5) D. Vicente Saldaña................ . Zaragoza.. ,39° 3'44 D. Pedro Alvar-</t>
  </si>
  <si>
    <t>Piaig, Pedro</t>
  </si>
  <si>
    <t>Pedro Piaig</t>
  </si>
  <si>
    <t>. ico. Doña Agustina Picón , id......I........................ ................................ 60. D. Pedro Piaig , médico, id.................. ........................ ........... . 938 1. D. Blas Rúes, jd.................. .............. ....................... .................... 26. p.</t>
  </si>
  <si>
    <t>Piamonti</t>
  </si>
  <si>
    <t>traba» jan á porfía en los atrincheramientos y demas obras de fortificación. Florencia 2$ de junio. Mr. Piamonti ha escrito en nombre del gobierno á los obispos de la Toscana una circular en que les previene que ha tenido noticias positivas y auténticas de las máximas que los curas párrocos</t>
  </si>
  <si>
    <t>Picardo, Benito</t>
  </si>
  <si>
    <t>Benito Picardo</t>
  </si>
  <si>
    <t>.... Barcelona.... 300 760 D. Tomas García Prieto y compañía............... Madrid....... 5 00 2036 D. Benito Picardo............................ ................. Cádiz.......... 5 00</t>
  </si>
  <si>
    <t>Pico y Gómez, Francisco</t>
  </si>
  <si>
    <t>Francisco Pico y Gómez</t>
  </si>
  <si>
    <t>Santander.... SCO 980 D. Pedro y D. Luis Cano.... ........................... Madrid..... 300 231&amp; D. Francisco Pico y Gómez............................. Cádiz.......... 500 2127 D. Juan Bautista Barber.................................... Zaragoza..... 300 849 D. Tomas Vilíareal.........................</t>
  </si>
  <si>
    <t>Pico, Ramón Antonio</t>
  </si>
  <si>
    <t>Ramón Antonio Pico</t>
  </si>
  <si>
    <t>.............. , D. Benito de la Piedra. En Cartagena....... D. Bernardo EJizalde. En Ciudad-Real.. D. Ramón Antonio Pico. En Córdoba............ Sres. Barcia, padre é hijo. En la Coruña........ D. Manuel Elzaurdi. En Cuenca.............. Sres. viuda de Escolar, Noriega é hijo. En Granada......... D.</t>
  </si>
  <si>
    <t>a Piedra. En Cartagena...... D. Bernardo de Elizalde. En Ceuta... D. Pedro Huguet. En Ciudad-Real.. D. Ramón Antonio Pico. En Córdoba...¿...... Sres. Barcia, padre é hijo. En la Cortina....... D. Manuel Elzaurdi. En Cuenca............ Sres. viuda de Escolar, Noriega á hijo* En (dranada........ D. Fra</t>
  </si>
  <si>
    <t>£nCpidad^Real.. D. Ramón Antonio Pico. . £n Córdoba Sres. Barcia, padre é hijo. £n la Cortina.,...... D. Manuel Blzaurdi. Cuenca........... Sres. v-iuda de Escolar, Noriega é hijo. £n Granada........ D. Francisco de U</t>
  </si>
  <si>
    <t>Picolas de Sierra</t>
  </si>
  <si>
    <t>Granada: el Sr. D. Gerónimo'Antonio Diez de los de las provincias de la corona de Aragón; y el Sr. D. Picolas de Sierra de los de las provincias del territorio de la chancillería de Valladolid. . ■ ' VENTAS JUDICIALES. Por providencia de D.Gines Romero López, juez comisionado regio en la diócesrde Almería, se ha</t>
  </si>
  <si>
    <t>Picos, Maria</t>
  </si>
  <si>
    <t>Maria Picos</t>
  </si>
  <si>
    <t>'Donativbr $$ tamisas'y otros efectos pata el exérctto de Aragén. ■ , ¿ Doña Maria Picos? 4 ¿camisas y unas D.'Manuel Redr uello 4. - • pocas de hilas. Doña Victoriana Caudévilla una ca-Doña Nicolasa del R^ÍU9^-C?.i)^í?as,...* ipisa. • ^ unaSpocas dé.liilás "y panos.</t>
  </si>
  <si>
    <t>Pie, Juan</t>
  </si>
  <si>
    <t>Juan Pie</t>
  </si>
  <si>
    <t>e Pesadilla , condesa misas;. " ’ 0 ' : • -"• t ’;i de Canillas, 24; :i • D. Damián de Isási una. r D. Juan Pie 4. * ‘ D. Ped ro Morerio1 Lombardo ti? Doña Casilda Mollinedoy Grijalba 2 D. N. 28 capotes de paño nuevos. y un pantalón. D. Joaquín Manrique 3 camisas. Doña N. N. una camisa. D.</t>
  </si>
  <si>
    <t>Pieronceli, Francisco</t>
  </si>
  <si>
    <t>Francisco Pieronceli</t>
  </si>
  <si>
    <t>rno del ramo de sali- tres, 6 id., pqr 2 meses.i.................. ........................ . 3 66. D. Francisco Pieronceli , maestr6*bordador, 6 id., por agosto... 186. D.-Juan Manuel de Murilias, abogado.del colegio, 6 id. du- * 12 *</t>
  </si>
  <si>
    <t>Pierson, Miguel</t>
  </si>
  <si>
    <t>Miguel Pierson</t>
  </si>
  <si>
    <t>.......... Capitán de granaderos. D. Guillermo Nasc, levemente. i (.Subteniente.................... D. Miguel Pierson. j.° Barcelona.. Subteniente.................... D. Josef Ortega , levemente. .Subteniente.......... ........ De la 3.a compañía de Cervera. Miqueletes..... (.Subteniente.........</t>
  </si>
  <si>
    <t>Pignarelli, Príncipe</t>
  </si>
  <si>
    <t>Príncipe Pignarelli</t>
  </si>
  <si>
    <t>división Lamarque, que tenia baxo sus órdenes á los generales de brigada Montseras, d ’Estrées y el Príncipe Pignarelli, y á los ayudantes comandantes Tomas y Chavardes. Las embarcaciones de transporte iban protegidas por una Taata, una corbeta, y 26 barcas cañoneras. La travesía fue corra y feliz.</t>
  </si>
  <si>
    <t>Pilar de Atristain, María</t>
  </si>
  <si>
    <t>María Pilar de Atristain</t>
  </si>
  <si>
    <t>a.... 39° *739 D. Dámaso Machuca........................................... Cádiz......... 600 2275 Doña María Pilar de Atristain............... ...... . Bilbao..... . 500 1078 D. Mateo de la Quintana............ ,...................... Madrid........ 500 1586 D. Gabriel Agustín de Orbegozo..................</t>
  </si>
  <si>
    <t>Pincknei</t>
  </si>
  <si>
    <t>Stuart ha partido para Malta, y lleva él mando de todas las tropas inglesas en el Mediterráneo. •'» Mr. Pincknei ha sido nombrado ministro dé América cerca de la corte de Londres. En el dia se cuentan en el Sund 4 navios de línea ingleses, 1 fragata y 3 bergantinés. Uno de los navios tiepe p</t>
  </si>
  <si>
    <t>Pinedo, Juan</t>
  </si>
  <si>
    <t>Juan Pinedo</t>
  </si>
  <si>
    <t>ado de S. Isidro. D. Pedro Querpo de Llano, diputado de Santiago. D. Josef Panlagua, alcalde de id. D. Juan Pinedo, diputado de id. D. Cayetano Aravaca , eclesiástico de id. D. Tomas Zapelena, diputado calle de Segovia. D. Manuel Medina, diputado id. D. Antonio Urandurraga, diputado del barrio</t>
  </si>
  <si>
    <t>Piñera, Bartolomé</t>
  </si>
  <si>
    <t>Bartolomé Piñera</t>
  </si>
  <si>
    <t>nsejero de Indias, por una vez....... .......... ............................................ iqoo. D. Bartolomé Piñera, médico de familia,'ademasde haber m andadodar en Ubeda 50 arrobas de aceite al.exército de Anda* lucía.....-V................ ........... í 320* D. Diego Panlagua, agente de Indi</t>
  </si>
  <si>
    <t>Pinero, María</t>
  </si>
  <si>
    <t>María Pinero</t>
  </si>
  <si>
    <t>... 3167 1^. D. Bernabé Nicolás Martínez, id,............... ............................... . 200. Doña María Pinero, sirviente, id............................ .................,..... 40. Di Valentín Francés Caballero, un vale de 150 pesos y 6 libramientos de-injtereses del año de 1800, id......</t>
  </si>
  <si>
    <t>Pinknei</t>
  </si>
  <si>
    <t>aunque no vayan convoyadas. Mr. Pinknei ha dado parte á su gobierno de estas proposiciones, que se han considerado como el ultimátum de la Inglaterra.—^_E1 Reiha enviado un mensage al parlamento, pidiendo que tratase de</t>
  </si>
  <si>
    <t>Pinknei'que</t>
  </si>
  <si>
    <t>es tienen actualmente otro lenguage con respecto á los Estados-Unidos de América; han hecho saber a Mr. Pinknei'que estaban dispuestos á hacer pasar una acta del parlamento, por la qual los americanos serian tratados como la nación mas fa:voreciJa , y que. gozarían;dé .todos los privilegios que e</t>
  </si>
  <si>
    <t>Pinkney</t>
  </si>
  <si>
    <t>ente á negocios de comercio, y que Mr. Levis es el qué trae los pliegos del general A rmstrong para Mr. Pinkney, los quales,se asegura, que son de la mayor importancia. Escriben de Riga que el gobierno ruso pone grandes dificultades sobre la liquidación de los créditos de ios súbditos de In</t>
  </si>
  <si>
    <t>Pintos, Manuel</t>
  </si>
  <si>
    <t>Manuel Pintos</t>
  </si>
  <si>
    <t>f Francl , Jtían Ignacio Terrada, D. Juan /Ramos, D. Bernabé San Martin, D. Bernardo Mateo Ximenez, D. Manuel Pintos’, y á D. Juan de Dios Dbzó , capitán y sargento mayor interino del referido cuerpo de patriotas, grado de teniente coronel de milicias urbanas. A los tenientes de dichas milicias D</t>
  </si>
  <si>
    <t>Piñuela y Alonso, Sebastián</t>
  </si>
  <si>
    <t>Sebastián Piñuela y Alonso</t>
  </si>
  <si>
    <t>e venido en nombrar para el empleo de mi secretario de estado y del despacho de gracia y justicia á D. Sebastian Piñuela y Alonso, mi secretario ae gracia y justicia de la cámara y estado de Castilla ; y para el de secretario de estado y del despacho de guerra al teniente general de mis reales exércitos D. G</t>
  </si>
  <si>
    <t>Piñuela, Santiago</t>
  </si>
  <si>
    <t>Santiago Piñuela</t>
  </si>
  <si>
    <t>...... . Valencia ■3C.°: 1534 D. Apolinar de Isuaz-an................, . -Bilbao»,.. .y., 3,00 2451 D. Santiago Piñuela............................. Zaragoza.* *■.. •. 300 286 Sánchez y compañía.............................. Málaga 300 2?✓ 2 D. Juan de Urruchi-...... ....................... BurgoSi</t>
  </si>
  <si>
    <t>Piñuela, Sebastián</t>
  </si>
  <si>
    <t>Sebastián Piñuela</t>
  </si>
  <si>
    <t>a para su cumplimiento. = Señalado de la real mano de S. M. en Aranjuez á 21 de febrero de i8c8.= A D. Sebastian Piñuela/’ S. M. se ha servido nombrar para la dignidad de arcediano de Sobrarve de la catedral de Huesca, vacante por muerte de D. Blas López Carilla, á D. Manuel Rubio y Vallejo, directo</t>
  </si>
  <si>
    <t>9 de abril de 1808</t>
  </si>
  <si>
    <t>Madrid 33 (extraord.)</t>
  </si>
  <si>
    <t>ABRIL..DE l8o8. &gt; .- .« ,il ^ 1S £ir;:.¡&lt;! , Ls¡U!ir¡: Confechade ayer* ha comunicada el Excmo. Sfi D. Sebastian Piñuela al Excinó. Sr. Presidente del Consejo la real drden siguiente: - „ E1 R$r nuestro Señoracaba dé tener noticias fidedignas de *que- su íntimo áfnigo y áugusto aliado él Emperador d</t>
  </si>
  <si>
    <t>una. Madrid 8 de mayo de 1808,= Está rubricado. Con fecha de 10 de mayo ha comunicado el Excmo. Sr. D. Sebastian Piñuela al limo. Sr. D. Arias Mon, decano del consejo y cámara , la real orden, cuyo tenor, y el de los documentos que en ella se expresan, es el siguiente: ,,limo. Sr.: Remito á V. L de</t>
  </si>
  <si>
    <t>ra se publica , y es del tenor siguiente: j v./ '• f ,,Gonfecha de hoi ha comunicado el Exento. Sr. D. Sebastian Piñuela 'al limo. Sr, IX Arias Mon, decano, del consejo y cámara, la real prden siguiente: ,,Ilmo. Sr./. Remita ¿ V. S.J.-de orden de S. A. I. y L el .adjunto decreto que el Sr. D. Carlos</t>
  </si>
  <si>
    <t>endido , y lo comunicareis á quienes corresponda.=En palacio á a dé junio de 1808. =Rübricado. == A D. Sebastian Piñuela.” v „Habiendo cóncedído-pof otro decreto con fecha de este dia al bailío Fr. D. Francisco Gil dé Lemus, secretarlo de Estado y del despacho de Marina, en atención á su quebrantada</t>
  </si>
  <si>
    <t>oclama que siguen: „ Consulta de la suprema junta de Gobierno, compuesta de los señores siguientes: D. Sebastian Piñuela, del consejo de Estado, secretario del despacho de Gracia y Justicia: D. Gonzalo O-Farríl, consejero de Estado, secretario del despacho de la Guerra: el marques Caballero, conseje</t>
  </si>
  <si>
    <t>do, y, jo comunicareis á quienes corresponda. =; En palacio á 4 de junio de 1808. = Rubricado. =, A D. Sebastian Piñuela. •. . ,-_TÍ~r : ( . En consecuencia de los deseos que siempre ha manifestado S. A. I. y de no. llegar á usar de^su- poder., $inó. después de haber tentado todos qu.anmedios de.,pa</t>
  </si>
  <si>
    <t>S. A. I. y R., comunicada al limo. Sr. D. Arias Mon, decano del consejo y cámara, por el Excmo. Sr. D. Sebastian Piñuela, en que después de insertar los referidos reales decretos, se dice lo siguiente: „ Habiendo S. A. I. y R. aceptado en debida forma dicho nombramiento de Lugar-Teniente General, se</t>
  </si>
  <si>
    <t>u secretaría. Tendráse entendido en el ministerio de la Justicial En Bayona á 7 de julio de i8o8.=A D, Sebastian Piñuela, Excmo. Sr.: El Rei se ha servido nombrar al Sr. D. Pedro Cevallos ¡ministro de Negocios extrangeros; al Sr, D. Gaspar Melchor de Jovellanos ministro del Interior; al Sr. D. Migue</t>
  </si>
  <si>
    <t>o se han de regir los dominios de España é Indias: y con fecha del 13 se comunicó por el Excmo. Sr. D. Sebastian Piñuela al timo. Sr. D. Arias Antonio Mon , decano del consejó, la real orden siguiente: „Ilmc. Sr. El Rei quiere que la impresión, publicación y circulación que S. M.. ha mandado hacer a</t>
  </si>
  <si>
    <t>29 de i8o8.=Excmo. Sr. = B. L. M. de V. E. su afecto capellán, Pedro obispo de Orense. sExcmo. Sr. D. Sebastian Piñuela.</t>
  </si>
  <si>
    <t>Esta tentativa tiene todos los inconvenientes que representé, contestando á la carta del Excmo. Sr. D. Sebastian Piñuela, participándome estar nombrado por la junta suprema de gobierno por uno de los diputados para el congreso de Bayona; y como esta se imprimió sin noticia mía, por haberse sacado un</t>
  </si>
  <si>
    <t>retario del mismo D. Bartolomé Muñoz, he leído á la pág, 96 un oficio pasado.á "V. S. I. por el Sr. D. Sebastian Piñuela, con fecha de 23 de julio, en el quaf.se hallan las siguientes expresiones.:. „ ya lo han hecho ( jurar á Josef Napoleón) ,,el consejo de Estado, el de las.Indias, los gefes de Pa</t>
  </si>
  <si>
    <t>Pió de Erran</t>
  </si>
  <si>
    <t>............................................................................................ 64360. D. Pió de Erran, id ................................................................... 60. D. Josef de Oroz y Gutiérrez, en un libramiento del fondo vitalicio, id................................</t>
  </si>
  <si>
    <t>Pió del Pino, Francisco</t>
  </si>
  <si>
    <t>Francisco Pió del Pino</t>
  </si>
  <si>
    <t>ruadálaxaru. D. Isidoro García Plaza. £n Jaén............. D. Ramón María Montoro. £n León....... . D. Francisco Pió del Pino. £n Málaga........... . D. Juan Ximeno. £n Mahon......... . Doña Catalina Germán y Hugalde. £n Murcia.............. Sres." Moreda y Ladalid. £n Oviedo.......... . D. Manuel Rubian</t>
  </si>
  <si>
    <t>Pío Vicente, Miguel</t>
  </si>
  <si>
    <t>Miguel Pío Vicente</t>
  </si>
  <si>
    <t>Rs. Mrs. D. Miguel Pío Vicente, oficial ctaTesorería- mayor ,1112 rs. en efectivo., y 12371 y 17 mrs.-en intereses:de vales reales de .1800, por una vez......................... ................................</t>
  </si>
  <si>
    <t>Pió, Príncipe</t>
  </si>
  <si>
    <t>Príncipe Pió</t>
  </si>
  <si>
    <t>que pretendía avasallarla. Se han armado muchas tropas , de la que es General en Xefe el Exmo. Sr. Príncipe Pió, quien desde luego ha destinado 2o9 hombres á tomar los puntos de Almansa y otros igualmente importantes. Se ha publicado igualmente aquí con esta fecha , de órden del mismo Sr. C</t>
  </si>
  <si>
    <t>juez 8 de octubre. El dia jo del pasado juró su plaza de diputado eñ la Junta central el Excmo. Sr. Príncipe Pió por Valencia. ? Por Navarra» eL 2 del corriente» los Sres. D. Miguel Balanza y D. Carlos Amatri. El mismo día» por Madrid» ios Excmos. Sres. marques de Astorga y D. Pedro de Silva</t>
  </si>
  <si>
    <t>s oficiales del cuerpo, la bendición de una bandera , que por acuerdo de nuestro gefe el Excmo. Sr. Príncipe Pió (antes de su partida) se.mandó hacer y costear entre los oficiales del cuerpo de milicias urbanas de esta plaza; presenciaron esta augusta ceremonia para hacerla mas completa el i</t>
  </si>
  <si>
    <t>Piquer y Pravia, María</t>
  </si>
  <si>
    <t>María Piquer y Pravia</t>
  </si>
  <si>
    <t>ibrería de Gómez , calle de las Carretas. ;Qué es héroe? y e*hortación á los jóvenes españoles, por Doña María Piquer y Pravia. Se hallará en la librería de Escribano, calis de las Carretas. Puede ir ea carta. GRABADO. Retrato de D. Fernando vn, dibuxado por Carnicero y grabado por Bruneti. Se hallará ilu</t>
  </si>
  <si>
    <t>Piquer, Andrés</t>
  </si>
  <si>
    <t>Andrés Piquer</t>
  </si>
  <si>
    <t>de D. Jaime Juan Falcó; una carta crítica del Br. de Fornoles en desagravio de la bueña memoria del Dr. Don Andrés Piquer, mancillada en ,el elogio de D.Í Josef Sever® López, por D. T. G. Suelto; unas reflexiones sobre la clasificación de los huesos fósiles de Mr. Cuvier, y utilidades de la anatomía</t>
  </si>
  <si>
    <t>Pisador, Benito Antonio</t>
  </si>
  <si>
    <t>Benito Antonio Pisador</t>
  </si>
  <si>
    <t>4 pares de calcetas y 2 libras de hilas. Doña Rafaela Martin de Alvarez 6 pares de calcetas nuevas. D. Benito Antonio Pisador 24 varas de coruña para 6 camisas. D. Antonio Rosales y Doña María Manuela Llopiz,.vecinos de la Cal</t>
  </si>
  <si>
    <t>Pisana, Luis</t>
  </si>
  <si>
    <t>Luis Pisana</t>
  </si>
  <si>
    <t>previene que el comprador podrá aprovechar dicha dehesa desde S. Miguel. . , •• Por providencia'de D. Luis Pisana^y Muñoz, juez comisionado regio en la dió* cesi de Cuenca, se ha señalado el dia o del presente para el remate de dos heredades sitas en término de la villa de la Almarcha , la un</t>
  </si>
  <si>
    <t>Pisón, Pedro</t>
  </si>
  <si>
    <t>Pedro Pisón</t>
  </si>
  <si>
    <t>a general,-60 id. id..... 60. D. Juan Bermudez, confitero, 10 id. por 2 meses...................... D. Pedro Pisón, oficial de la secretaría de Hacienda de Indias, 4$ rs. anuales: entrega.............................................................. . 1666 22f D. Vicente Sacristana, 3 rs. diar</t>
  </si>
  <si>
    <t>Pitt</t>
  </si>
  <si>
    <t>; y $1 participan de nuestros peligros , ¿por qué nothande participar también de nuestras ventajas? Mr. Pitt, aquél gran ministro, cuya autoridad y cuyo nombre solo será siempre del mayor peso, ninguna otra cosa.deseaba mas que aumentar los beneficios de la unión , y librar á los católic</t>
  </si>
  <si>
    <t>Pitt-para</t>
  </si>
  <si>
    <t>Como quiera, es fácil allanar todas es*tas dificultades, adoptando upa fórmula que habia discurrido Mr. Pitt-para reemplazar el juramento de supremacía, y que equivaldría á este sin ©fen-&gt; der la conciencia de los católicos. Tampoco debe hacerse mérito de las pretensiones de losStuart , porqu</t>
  </si>
  <si>
    <t>Piuofeft, Francisco</t>
  </si>
  <si>
    <t>Francisco Piuofeft</t>
  </si>
  <si>
    <t>chuyendo tíoñi el ¿mayor * desorden v del terció: de Grano 11 ers: los capí ne s D/; Juan Barber; y D. Francisco Piuofeft, y el tenicnteD- Joaquin Mureu ; del tercio de, Vich los capitanes vD. Francisco Planas, D. Pedro Munt y'D. Juan Pujol, y el teniente D. Segismun</t>
  </si>
  <si>
    <t>Pjerez Llanos, Pedro</t>
  </si>
  <si>
    <t>Pedro Pjerez Llanos</t>
  </si>
  <si>
    <t>edro de la Puente, arquitecto, 24 camisas nuevas. D. Manuel de Basualdo, corredor de cambios, 6 id. D. Pedro Pjerez Llanos 3 id. D. M. F. del C. 3 camisas y 3 pares de calcetas nuevas. La: viuda de D. Josef de Resa ¿camisas id., 12 pañuelos de faltriquera, 2 pares de medias grises de estambre y 13 var</t>
  </si>
  <si>
    <t>Placido Caballero</t>
  </si>
  <si>
    <t>. por una vez , y 60 anuales................................................................. * 80. D. Placido Caballero, por agosto á 20 rs. mensuales.................. 20 D. Benigno Arciniega, sirviente, id........... ................ ........ ......... 40. D. Francisco Ruiz de Mendoza, oficial de</t>
  </si>
  <si>
    <t>Plácido de Silva</t>
  </si>
  <si>
    <t>la Concepción de Chile al coronel D. Juan Clarkc, sargento mayor del mismo cuerpo; y esta resulta á D. Plácido de Silva, capitán del regimiento de infantería'de Murcia. En el regimiento provincial dé dragones de Mechoacan , en Nueva-España, se ha servido S. M. promover a capitana! teniente O. Josef</t>
  </si>
  <si>
    <t>Plácido López, Francisco</t>
  </si>
  <si>
    <t>Francisco Plácido López</t>
  </si>
  <si>
    <t>..W ^ 3*2 o.; 1^. husébio Pareja * portero de id..««•««««»»..**&lt;&gt;«....»..-««•«...«».,..«.i.- - léo. D. Francisco Plácido López, maestro sillero de la real caballeriza , en una boleta de gastos, -id....................................... 10990; D. Ignacio Sánchez, id. D. Ignacio Ortega, id 60; D. Mateo Mar</t>
  </si>
  <si>
    <t>Plácido Martín Sanz</t>
  </si>
  <si>
    <t>. Felipe Salcedo 2 camisas. D. Ramón de Aldai 48 pa res de cal* D.-Manuel María de Valdés 2. cetas. D. Plácido Martin Sanz una. D. J. J. B. R. 12 camisas. D. Martin 4e Olazabal 4.. D. Juan López y sú muger 6. D. Juan Lumbreras uñá/' • D. Gregorio Martínez de MollineD. Santiago .Gandedó Pelaez .4. do 2</t>
  </si>
  <si>
    <t>Plácido Ortiz de Eléialde</t>
  </si>
  <si>
    <t>■Santander.;.. loo 2254 D. Cándido Ramón de Meave............ ............ Bilbao......... 7^ 1026 D. Plácido Ortiz de Eléialde.................. ‘Madrid..... . C .**N 637 Excma. Sra. Doña Martina Castro................... Madrid......... 300 1783 D. Josef González de Bernedo.............. Cádiz...... too</t>
  </si>
  <si>
    <t>Plácido Zanon, Agustin</t>
  </si>
  <si>
    <t>Agustin Plácido Zanon</t>
  </si>
  <si>
    <t>utado. D. Josef Lamano, alcalde de id. D. Gregorio Sánchez, diputado. D. Antonio Rafael de la Peña, D. Agustin Plácido Zanon, D. Juan Ventura Apostegui, diputación del Carmen calzado. D. Juan Antonio Ruiz, cura de S. Mi Han. Fr.Juan Josef Capilla, presidente de S. Francisco. P. D. Francisco Lázaro del O</t>
  </si>
  <si>
    <t>Poazoti y Pía, María</t>
  </si>
  <si>
    <t>María Poazoti y Pía</t>
  </si>
  <si>
    <t>6. D. Juan Lumbreras uñá/' • D. Gregorio Martínez de MollineD. Santiago .Gandedó Pelaez .4. do 24. Doña María Poazoti y Pía 4. D. Francisco Asui 12. D. Juan de Madrid 6. .D, Antonio Sanz Ruiz 2. Doña Pascuala de la Plaza una. Doña :M. A. S. 12. Doña María' Leama y Seco;£&gt; s; A \ D* Ántonip Pereira 5. ,</t>
  </si>
  <si>
    <t>Población, Agustín</t>
  </si>
  <si>
    <t>Agustín Población</t>
  </si>
  <si>
    <t>100. D. Cayetano Montes, id........ ...... .......................................... ........ 20®. D. Agustín Población, en réditos, de 10. vales de 150 pesos de 1800, y en id. de 2 de 150 de.1808, id.................. . 1083. D. Pedro Gofin, criado de la duquesa del Arco, id........roo* D. Luis Ma</t>
  </si>
  <si>
    <t>Poíicarpo Algarra</t>
  </si>
  <si>
    <t>de OrdoVas; ayudantía al teniente, graduado de capitán, D. Gerardo Roberti; tenencia al subteniente D. Poíicarpo Algarra, y subtenencia de bandera al cadete D. Josef Valdés: en el de Valencia compañía al tememc de granaderos, graduado de capitán, D. Joaquín de Eguiarreta: en el de León compañía al c</t>
  </si>
  <si>
    <t>Poíuar, Juan</t>
  </si>
  <si>
    <t>Juan Poíuar</t>
  </si>
  <si>
    <t>battñ.v..*.. £oor 1967 D. PasCual Martin de Vídacar....................... Zaragoza,....; -500 1471 D. Juan Poíuar.........*........v.»*»..*..*....' Málaga........ 300 2295 D. Diego Fernandez Ximenez-.v.-.v.»&gt;....».....*..*»*i Cádiz.300 2074 D. Juan Pedro de Trigoyen............. .......... Cá</t>
  </si>
  <si>
    <t>Policarpo Gutiérrez</t>
  </si>
  <si>
    <t>lones, 6 varas; de saiga Manca y ^; arpijlerási D. Francisco Arévalo 21 varas y tercia de estameña. D. Policarpo Gutiérrez 40 pares de botines largos y 3 pantalones, todo de lienzo. D. Santiago Izquierdo 3 5 varas y media de paño pardo. D. Manuel Sánchez del Moral 20 varas de paño y,3 camisas. D. Juan</t>
  </si>
  <si>
    <t>Polo y Catalina, Juan</t>
  </si>
  <si>
    <t>Juan Polo y Catalina</t>
  </si>
  <si>
    <t>Normante, oficial de la secretaría de Hacienda ,po* tí-_. * agosto a ^ rs. diarics.',*....,* 1^^j u D. Juan Polo y Catalina, oficial.de. la..misma, secretaría,:ppr ú agosto á 4-rs. diarios.^.« D. Isidoro Gaspar-de Aranzaru , oficial de la secretaría del se- ; ñor infante-D. Pedro, por 2-meses a 4 rs* d</t>
  </si>
  <si>
    <t>Polo y Monge, Fernando</t>
  </si>
  <si>
    <t>Fernando Polo y Monge</t>
  </si>
  <si>
    <t>500 2134 D. Pedro Laño...................................................... Zaragoza..... 3°o 1874 D. Fernando Polo y Monge.............................. Zaragoza..... 300 1757 Doña María Martina de Herrea y Ripa.......... Cádiz........... 300 1340 D. Juan Bautista Carrera..............................</t>
  </si>
  <si>
    <t>Pomaré, Francisco</t>
  </si>
  <si>
    <t>Francisco Pomaré</t>
  </si>
  <si>
    <t>..................... ;■ 100. Doña María Josefa González, ,vinda, por una vez.................. 20. D. Francisco Pomaré, tesorero del duque de Frías, por una vez. 400. D. Francisco Antequera, oficial de utensilios de la corona de V Aragón , por uña vez..............................................*</t>
  </si>
  <si>
    <t>Pomareda, Antonio</t>
  </si>
  <si>
    <t>Antonio Pomareda</t>
  </si>
  <si>
    <t>.. 180$. D. Manuel Manzano, id......................... ............................. ......... 40. D. Antonio Pomareda, tapicero de la casa Real, en una boleta y 1 fQ;rs. efectivos, id.................................... .......... ............... 1210. D. Miguel Palomero, 20 rs. mensuales, por ag</t>
  </si>
  <si>
    <t>Pombo y Robledo, Julián</t>
  </si>
  <si>
    <t>Julián Pombo y Robledo</t>
  </si>
  <si>
    <t>.... . 200. D. M. A. F*, 30 id. por 2 meses........... ............ ........................... 60. D. Julián Pombo y Robledo, y su hijo D. Juan de Dios Mungnía, 10 rs. diarios,.por 5 meses..................... J......................... í53°. D. Juan Antonio de Yandiola, de la contaduría mayor de Cuenta</t>
  </si>
  <si>
    <t>Pombo, Julián</t>
  </si>
  <si>
    <t>Julián Pombo</t>
  </si>
  <si>
    <t>á la angosta de Majaderitos, núm. 20, quarto tercero. * aviso. En 3 de junio remitió por el correo D. Julián Pombo , vecino de esta corte , i I). Juan Ignacio Juille, del comercio de Cádiz, cinco vales reales de á 6 00 pesos* creación de i.° de mayo, nums. .388063,391007, 392918,393783 y 39423</t>
  </si>
  <si>
    <t>Pómsonbi, Jorge</t>
  </si>
  <si>
    <t>Jorge Pómsonbi</t>
  </si>
  <si>
    <t>omposas, ponderando la extensión de nuestros recursos y el aumento progresivo de nuestro comercio.” Mr. Jorge Pómsonbi sé quejó igualmente de que el mensage del Reí manifestaba pocas esperanzas de paz; y*en quanto á lo de Dinamarca dixo, que la expedición de Copenhague seria un borron eterno en lo</t>
  </si>
  <si>
    <t>Poniatouski, Príncipe</t>
  </si>
  <si>
    <t>Príncipe Poniatouski</t>
  </si>
  <si>
    <t>Soberano fue el i.° de este mes á visitar el arrabal de Prag, acompañado del mariscal Davoust,, del Príncipe Poniatouski, ministro de la guerra, y de muchos generales franceses y polacos. Alllegar S.-M* al puen~* te, la artillería hizo varias descargas, y el Reí pasó en seguida á exáminar' con la ma</t>
  </si>
  <si>
    <t>Pons</t>
  </si>
  <si>
    <t>de Gibraltar á Londres, y ha .sido cogido par el corsario la Princesa de Polqnia, capitán Altazin. Mr. Pons,! uno de nuestrosi astrónomos mas acreditados, y el primer* que descubrid el cometa que apareció en setiembre del año pasado, y de que .tanto se ha hablado en los papeles públicos</t>
  </si>
  <si>
    <t>a extensión del canal á rasión de 2 céntimas y media por tonelada, y por distancia de 5 kilómetros. Mr. Pons, de Ruap, ha presentado á la sociedad de aquella ciudad un modelo de una péndola superior á las de igu. Ies dimensiones , que puede hacerse por una quinta parte dé preJó menos que</t>
  </si>
  <si>
    <t>Pons, Francisco</t>
  </si>
  <si>
    <t>Francisco Pons</t>
  </si>
  <si>
    <t>yudantes , graduados de capitán, D. Joset Alvarez de Lara y D. Ignacio Palieja; tenencia al alférez D. Francisco Pons, y empleo de alférez al portaguión D. Antonio Jurado: en el de Numanciá compañía al ayudante D. Juan Lartigue; tenencia al alférez D. Nicolás Martínez empleo de Portaguión al sarg</t>
  </si>
  <si>
    <t>Pons, Pedro</t>
  </si>
  <si>
    <t>Pedro Pons</t>
  </si>
  <si>
    <t>adrid....... 500 253 D. F rancisco Antonio Rodríguez.................. ... Burgos........ 1506 2092 D. Pedro Pons.................................................... Cádiz.......... 500 2021 D. Pedro Laffore................................................ Cádiz.......... 300 2259 D. Joaquin L</t>
  </si>
  <si>
    <t>Ponsombi</t>
  </si>
  <si>
    <t>ataque. GKAN BRETAÑA. Londres 28 de febrero. En la sesión de la cámara baxa se explicó dias pasados Mr. Ponsombi en estos términos: ,, Los lores comisionados en el discurso de abertura, que á nombre del Rei dirigieron al parlamento, indicaron que había un nuevo tratado de subsidios con el Rei</t>
  </si>
  <si>
    <t>s ofrecidas á la Suecia, á pesar de las... reflexiones deMfn 'Vy ithbread, y de la eficacia con que Mr. Ponsombi quiso probar que este dinero iría á pasar á Petersburgo ó á París. - •‘ ' ‘ • 1 Dos fragatas francesas apresaron el 17 de marzo 6 buques de un convot nuestro que navegaban por el</t>
  </si>
  <si>
    <t>Ponsonbi</t>
  </si>
  <si>
    <t>al valor de 150® libras esterlinas (mas de 13 millones y medio de rs.) La elocuente arenga que hizo Mr. Ponsonbi en la cámara baxa contra la prohibición de exportar Ja quina ,110 produxo efecto alguno. ,,Es¿ providencia, dixo entre otras coras, está dictada por la barbarie mas atroz: ¿que pens</t>
  </si>
  <si>
    <t>Pont, Francisco</t>
  </si>
  <si>
    <t>Francisco Pont</t>
  </si>
  <si>
    <t>................. 960. D. .Manuel de la Torre y Brújula, por una vez.......................... 300. D. Francisco Pont, por una vez................. 80. ' D. Diego Hurtado , ppr una vez........................... 400. D. Eulogio Viliazan Herrera, agente de Indias, por úna vez... 1500. D. M. W. I.,</t>
  </si>
  <si>
    <t>Poole, Carlos</t>
  </si>
  <si>
    <t>Carlos Poole</t>
  </si>
  <si>
    <t>los sofismas de los parciales del almirantazgo, ni la decisión de la cámara podrán jamas, como notó Sir Carlos Poole, destruir la impresión que los hechos de esta naturaleza hacen necesariamente en los ánimos y en el espíritu público. Las cartas que se han recibido de Calcuta son de primeros de</t>
  </si>
  <si>
    <t>Porcel, Antonio</t>
  </si>
  <si>
    <t>Antonio Porcel</t>
  </si>
  <si>
    <t>el consejo y para su persona. El consejo supremo de las Indias ha remitido el testimonio siguiente: D. Antonio Porcel, caballero de la real y distinguida orden de Carlos ni, secretario del Rei nuestro Señor con exereicio de decretos,y secretario del consejo y cámara de Indias por lo perteneciente</t>
  </si>
  <si>
    <t>Poriier, Antonio</t>
  </si>
  <si>
    <t>Antonio Poriier</t>
  </si>
  <si>
    <t>contador de los Sres. Infantes.......... ........ 2 x cabezón. D. Manuel Lartiga , abogado......... D. Antonio Poriier......... ....... ......... i carro y d. m. p. c. ................ s D. Manuel Aguirre é hijos............. II { arreo. •' D. Salvador Paiomeque.........¡..... .</t>
  </si>
  <si>
    <t>Porlier, Antonio</t>
  </si>
  <si>
    <t>Antonio Porlier</t>
  </si>
  <si>
    <t>D. J.u an Perez Villamil...................... 1 El conde de Saceda............................. 1 D. Antonio Porlier , oficial de la se- cretaría de Estado............................ x ( Atalages Doña María Luisa Arroquia, viuda... &lt;de muías Ide coche. El conde de Salvatierra...................</t>
  </si>
  <si>
    <t>Porlier, Esteban</t>
  </si>
  <si>
    <t>Esteban Porlier</t>
  </si>
  <si>
    <t>nes primera, vanguardia y reserva’; y finalmente la quarta, que accidentalmente manda, el brigadier D. Esteban Porlier por enfermedad del marques del dPortago ¿. siguió su primera dirección á Valmaseda, aunque con advertencia de no atacar si encontraba fuerzas superiores. - i No sé á qiié atribuir</t>
  </si>
  <si>
    <t>Portalis</t>
  </si>
  <si>
    <t>res franceses que han fallecido en el discur-, so del año pasado se cuentan el general D’Hautpoult, Mr. Portalis, ministro de los cultos, Forfait, ministro que fue de la marina, Lenoir y Breteuil, ministros en el antiguo regimen, Válmont de Bomare, naturalista,. Lalande, astrónomo, Dottevill</t>
  </si>
  <si>
    <t>Porte</t>
  </si>
  <si>
    <t>niquéleles y tropa de línea. Sin embargo en el Diario de Barcelona del 4 , el xefe del estado mayor Mr. Porte, disfrazó esta acción, haciendo que resultase gloriosa á l&amp;s armas francesas , y afirmando que habían sido dispersan los rebeldes.. El conde de Caldagues dió cuenta de esta acción</t>
  </si>
  <si>
    <t>Porter, Pedro</t>
  </si>
  <si>
    <t>Pedro Porter</t>
  </si>
  <si>
    <t>......... 600 2351 D. Eugenio Sanz Calvo..................................... Zaragoza..,.. 300 864 D. Pedro Porter................................................. Madrid........ 300 283 D. Josef María Cortés, teniente coronel de ingenieros........................ ................. ...........</t>
  </si>
  <si>
    <t>Portral</t>
  </si>
  <si>
    <t>e ti que mandaba el Pali* nuro, de cuyo combate hemos dado cuenta en nuestro número 72. Se dice que Mr. Portral acaba de encontrar'un método para componer é imprimir cart¿ts geográficas con caraCtérés móviles.1 Este ingenioso descuBtimiento., que su‘autor confiesa estar todavía léjos ele la</t>
  </si>
  <si>
    <t>Pougens</t>
  </si>
  <si>
    <t>ciable periódico, con el que se ha reunido desde el 1.6 de febrero último la biblioteca francesa de Mr. Pougens, miembro del instituto bibliógrafo de S. M. el Emperador y Rei, y que es uno de los cooperarios, entre los quales se cuentan 25 individuos de la referida academia, la primera y la</t>
  </si>
  <si>
    <t>Power, Luis</t>
  </si>
  <si>
    <t>Luis Power</t>
  </si>
  <si>
    <t>sta corte á D. Alexandro de Amírola, agente del señorío de Vizcaya, ó en Bilbao al capitán retirado Don Luis Power. LIBROS. Tratado completo de las enfermedades sifilíticas ó venéreas de F. Svediaur, traducido con notas y adiciones por D. Bartolomé Colomar, médico de número de los reales exérc</t>
  </si>
  <si>
    <t>Power, Matías</t>
  </si>
  <si>
    <t>Matías Power</t>
  </si>
  <si>
    <t>iob'3 rentes acciones distinguidas que pedieran citarse , no puedo omitir la del primer teniente D. Matías Power, que con el sargento Mansioi y 15 soldados se arrojó sobre un escuadrón de caballería, y le obligó á huir.' El coronel del regimiento de infantería de Ordenes Militares D. Francis</t>
  </si>
  <si>
    <t>Poza, Manuel Vicente</t>
  </si>
  <si>
    <t>Manuel Vicente Poza</t>
  </si>
  <si>
    <t>... 6eo 138 D. Pascual Mora.............*..................................... Valencia..... 300 38 D. Manuel Vicente Poza y D. Pascual Duro. Barcelona.... 300 2106 D. Patricio Kearney... .......... ............................ Cádiz.......... 600 69 D. Manuel Dalmau.......................................</t>
  </si>
  <si>
    <t>Prado Castellano</t>
  </si>
  <si>
    <t>. D. Nicolás Cachapero, secretario del general en gefe, en Londres. El conde de Prado Castellano, coronel de milicias, agregado al estado mayor. D. Joaquín Laguna, vicario general. D. Josef González Dávila, teniente coronel del real cuerpo de ingenieros; y D. Pedro Hermosilla, subteni</t>
  </si>
  <si>
    <t>Prado, Benito</t>
  </si>
  <si>
    <t>Benito Prado</t>
  </si>
  <si>
    <t>isco Medina, capellán mayor de los naturales de S. Pedro. Fr. Eugenio Amoedo, abad de San Bernardo. D. Benito Prado, diputado de la nobleza. D. Juan Antonio Salcedo, cura de S Gines. D. Domingo Alvarez, presbítero beneficiado de Santiago. D. Alfonso Pastor, cura de S Josef. D. Diego Alderete, d</t>
  </si>
  <si>
    <t>Pras, Juan</t>
  </si>
  <si>
    <t>Juan Pras</t>
  </si>
  <si>
    <t>Rafael Lasa1* * capitán de Campo mayor ; el marques de Guardia Real, teniente coronel.de milicias; D. Juan Pras, ayudante de los tercios de Tejas; D. Juan dé la Puente, capitán de fragata; D. Josef Sanmartín, capitán agregado á Bórbon;. D.* Josef Mauri , capitán retirado; D. Antonio Moreno,</t>
  </si>
  <si>
    <t>Prendezgast, Dionisio</t>
  </si>
  <si>
    <t>Dionisio Prendezgast</t>
  </si>
  <si>
    <t>y Pantoja................................................................... Madrid..!.... 500 2083 D. Dionisio Prendezgast.................................... Cádiz......... . 500 241 D. Juan González de la Fuente........... ............ Burgos........ 500 214 Sres. D. Juan Rusheu y compañía..........</t>
  </si>
  <si>
    <t>presidente Cerní Jorge</t>
  </si>
  <si>
    <t>ajustar un tratado definitivo que corte de una vez todas las desavenencias.” El presidente Cerní Jorge respondió á nombre del senado, que esta oferta generosa del Gran Señor llegaba demasiado tarde; que la nación servia no podía ya tratar por sí sola con la subl</t>
  </si>
  <si>
    <t>presidente Cristóbal</t>
  </si>
  <si>
    <t>. -1*1 jdí enviada láé Póríugalí, Suecia yCerdená, y aí agenté de negocios del presidente Cristóbal. • ESTADO ECLESIASTICO. ” Roma i$ de enero. El duque dé Ghablafc y tío del Réi-de-Cerdena, ha fallecido én esta capital él • 44él corriente á la edad dé 67 año</t>
  </si>
  <si>
    <t>presidente Jefferson</t>
  </si>
  <si>
    <t>a navegación y comercio délos neutrales. A consecuencia de un mensage en que el presidente Jefferson expone varias reflexiones, y se queja amargamente de las fatales consecuencias de este decreto, el senado ha celebrado á puerta,cerrada uha junta para deliberar</t>
  </si>
  <si>
    <t>l de Madrid. ESTADOS-UNIDOS DE AMERICA. Vashington 26" de diciembre de 180y. EL presidente Jefferson ha escrito la carta siguiente á la asamblea de Pensilvania , que le había manifestado sus deseos de que consintiese en ser propuesto de nuevo para la presidenc</t>
  </si>
  <si>
    <t>a crisis , en que sepilan los asuntos interiores exteriores. - . 1 -.••• * - El presidente Jefferson ha dirigido un mensage á la cámara de los representantes para que mande exáminar ia conducta del general Vilkinson , contra^ quien hai sospechas de que fue paf</t>
  </si>
  <si>
    <t>presidente Stahle</t>
  </si>
  <si>
    <t>?$4 ... . . ■ edad «e ha retirado del ministerio. El v.ice-presidente Stahle es adjunto de Mr. de Zinzendorf.’' '• ’ ,, Los especuladores de esta ciudad , dice un diario, no han dexado últimamente de esparcir toda suerte de rumores para f</t>
  </si>
  <si>
    <t>Prieto, Carlos</t>
  </si>
  <si>
    <t>Carlos Prieto</t>
  </si>
  <si>
    <t>ag°sto á 20 rs.. diarios......... 6io. ri. (friocícoo Hopa» Hebero, por 2 meses a real diario. 61. D. Carlos Prieto, alquilador de coches, por 6 meses á 2 rs. diarjos............................................................................................ )6(. D. Diego Benito Gómez y D. Anto</t>
  </si>
  <si>
    <t>Prieto, Francisco</t>
  </si>
  <si>
    <t>Francisco Prieto</t>
  </si>
  <si>
    <t>. un tocador con 36 piezas de plata. D. Andrés de Villaldos , agente de negocios, por una vez. 300. D. Francisco Prieto, id............................... ....... .................. ipo. 200000. 120. D. Miguel Fernandez, id........................................................ ...... 500. Antonio</t>
  </si>
  <si>
    <t>Prieto, Nicolás</t>
  </si>
  <si>
    <t>Nicolás Prieto</t>
  </si>
  <si>
    <t>ento y Balanza, 250 id. id.................................................................... 250. D. Nicolás Prieto, portero de la tesorería general,-60 id. id..... 60. D. Juan Bermudez, confitero, 10 id. por 2 meses...................... D. Pedro Pisón, oficial de la secretaría de Hacienda de</t>
  </si>
  <si>
    <t>Primado, Príncipe</t>
  </si>
  <si>
    <t>Príncipe Primado</t>
  </si>
  <si>
    <t>hace diariamente, y ert esta noche ha habidoJluminacion y fuegos de artificio. . * . S. A. Erna, el Príncipe Primado ha expedido al señor conde deBeust, su ministro plenipotenciario, con una carta, felicitando al Rei nuestro Señor por su advenimiento'al trono de España » cuya nación generosa, gr</t>
  </si>
  <si>
    <t>RIN. Francfort j de julio* • El escultor Dannecker, que estaba encargado, como se ha dicho, por el Príncipe Primado de trabajar el monumento en honor de Kepler, acaba de hacer á sus expensas un magnífico busto colosal de mármol de su compatriota el célebre poeta trágico Schilíer. • El Príncipe Pri</t>
  </si>
  <si>
    <t>Primo de Ribera, Manuel</t>
  </si>
  <si>
    <t>Manuel Primo de Ribera</t>
  </si>
  <si>
    <t>ez Ximenez Cádiz......... * „ 50 q ¿ 1382 D. Toribio María de Arce...... . Burgos........ 30&lt;* 2041 D. Manuel Primo de Ribera.,..., Cádiz}........ í 00 1624 D. Ramón de Sta. Cruz y Gil.. Santander;.,&lt;; iOO, 1440 D. Pablo Antonio Caballero...... .• i• f»*y • 3°Q- : *9&gt;9 D. Manuel Centurión.............. J</t>
  </si>
  <si>
    <t>Procopio de Bassecourt, Juan</t>
  </si>
  <si>
    <t>Juan Procopio de Bassecourt</t>
  </si>
  <si>
    <t>tonio Fermín Perez; y la del fixo de Ceuta al teniente coronel agregado al de voluntarles de Estado D. Juan Procopio de Bassecourt: la comandancia del tercer batallón del de España aí sargento mayor del mismo de voluntarios de Estado, graduado de teniente coronel, D. Pedro López Hermoso ; y* Ja del de la Prin</t>
  </si>
  <si>
    <t>Prosorouski, Príncipe</t>
  </si>
  <si>
    <t>Príncipe Prosorouski</t>
  </si>
  <si>
    <t>-T .4 La gazeta ministerial dé hoi contiene el artículo siguiente de Turquía i &lt; „E1 feld-mariscal Príncipe Prosorouski salió de oucharest pira :&lt;J[assi el 2 de noviembre con ios. generales Tzizerew, Harting, Kuscnnikow y: Apraxin, comandante del cuerpo; de ¡tropas:jrusasr: que, ha venido últimamen</t>
  </si>
  <si>
    <t>y subordinados-á las órdenes de sus gefes. ■ - El embaxador de Francia ha recibido un correo que el Príncipe Prosorouski, general en gefe del exército ruso de Valaquia y Moldavia , le ha despachado desde el quartel general de Jassi. Djcese que e$te.&lt;#rreo ha^raido pliegos de la mayor importancia * a</t>
  </si>
  <si>
    <t>Prosorowski, Príncipe</t>
  </si>
  <si>
    <t>Príncipe Prosorowski</t>
  </si>
  <si>
    <t>El general turco, que manda á orillas del Danubio, Mustafá-Bairaktar, fue mui pronto sabedor, y el Príncipe Prosorowski contestó inmediatamente .que aunque n&lt;v se hallaba autorizado i prestar su consentimiento i tal estipulación,para probar quinto deseada que cesasen las hostilidades, se ofrecía i</t>
  </si>
  <si>
    <t>Próspero Ximenez</t>
  </si>
  <si>
    <t>............ IOO. D. Bernardo Salvatierra, por id. á 50 rs. id..^.............................. 50. D. Próspero Ximenez,, capiian retirado dél provincial de Toledo, 240 rs. ppr 4 meses a 60 rs. mensuales,........................ . 240. D. Miguel Calvo García., escribano de cámara de lá Sala, 500 rs</t>
  </si>
  <si>
    <t>Proust, Luis</t>
  </si>
  <si>
    <t>Luis Proust</t>
  </si>
  <si>
    <t>ular mención y elogio los ensayos y experiencias hechas en Madrid sobre esta importante materia por D. Luis Proust con el objeto de cristalizar el mosto , y reducirlo á verdadero azúcar: experiencias que han tenido el mejor éxito, y que se han repetido con 1a mayor felicidad en diferentes prov</t>
  </si>
  <si>
    <t>Prudencio de Inda, Juan</t>
  </si>
  <si>
    <t>Juan Prudencio de Inda</t>
  </si>
  <si>
    <t>ía....... Madrid...... 300 1423 Jayme Setta Loustaunau y compañía.......... Málaga........ 600 1385 D. Juan Prudencio de Inda.»........................... Burgos....,..* 300 614 D. Francisco de Bouligni.................................. Madrid....... 500 880 D. Celedonio y D. Francisco de López...... . M</t>
  </si>
  <si>
    <t>Prudencio de Olavarria, Antonio</t>
  </si>
  <si>
    <t>Antonio Prudencio de Olavarria</t>
  </si>
  <si>
    <t>........ 600 512 D. Ignacio María de Zavala.............................. Bilbao.......... 30® 1740 D. Antonio Prudencio de Olavarria............... Cádiz...... . 500 354 D. Guillermo Poibert........................................ Cádiz........... 600 1065 Doña Ventura María Sanz...............................</t>
  </si>
  <si>
    <t>Prudencio de Torres</t>
  </si>
  <si>
    <t>........ 3 00 2007 D. Pablo Dujourdain......................... ........ . Cádiz.......... 3°° 2096 D. Prudencio de Torres........................ ......... . Cádiz......... 2CO 1105 D. Juan Perez Bueno............ ....................... Madrid....... 300 819 D. Manuel Albuerne.........,¡............</t>
  </si>
  <si>
    <t>Prudencio Heínandez Sta</t>
  </si>
  <si>
    <t>misas, 12 vendas, 24 paños y 3 li- Doñ^ Josefa del Rio una chaqueta y bras de hilas, úii pantalón. D. Prudencio Heínandez Sta. Grjsz 6 D. Josef Lese 6 camisas, k; caminas. 1X o ‘ D. N. 2 libras déJiilás y uii-paño, tíoña M. J. G.‘ A camisas; f ; Doña Josefa Caballero una camisa. ? D.. Feiipe Ramirez 8,'</t>
  </si>
  <si>
    <t>Prudenció María de Berástegui</t>
  </si>
  <si>
    <t>.... 300 1016 D.. Sándalo. Mexía............................... ........... Madrid....... 1500 1833 D. Prudenció María de Berástegui..-..Vi......... Zaragoza..... 600 1521 Edificio de Astunduaga, .propio, de D. Lop»e Mazarredói............................................... ....... Bilbao......... 300 779 D. Pa</t>
  </si>
  <si>
    <t>Prudencio Murquiondo</t>
  </si>
  <si>
    <t>fantería, •con agregación á uno de ios regimientos de milicias de las provincias de Buenos-Aires, á D. Prudencio Murquiondo, en consideración ,á sus servicios, y al mérito que contraxo quando los ingleses fueron rechazados de aquel pais. Enterado el Reí de los servicios de D. Martin Alzaga, alcalde que</t>
  </si>
  <si>
    <t>Prudencio Valenzategui</t>
  </si>
  <si>
    <t>álaga. ..¡i.-. 300 2350 D. Ignacio Vázquez Somoza..................... . ... Zaragoza..... 500 1472 D. Prudencio Valenzategui............... -.......... ... Málaga........ 300 1537 D. Agustín de Olana..................... .................... Bilbao..... 300 233 D. Mateo Gonzalo del Rio.............. ...</t>
  </si>
  <si>
    <t>Prufy, Salvador</t>
  </si>
  <si>
    <t>Salvador Prufy</t>
  </si>
  <si>
    <t>e D. Gabriel Martínez y Aguilar : en Madrid en la de la viuda de Barco Jbopez: en Valencia en la de D. Salvador Prufy: en Badajoz en casa de D. Juan Patrón : en Salamanca en ia de D. Francisco de Toxar; en Valladoíid en ia de la viuda é hijos de Santanders en Zaragoza en la de D. Josef Yagüe: y e</t>
  </si>
  <si>
    <t>Pruna, Francisco</t>
  </si>
  <si>
    <t>Francisco Pruna</t>
  </si>
  <si>
    <t>nixillo, se “cita, llama.y emplaza'á quantos se consideren con derecho:al concurso de Acreedores}de D. Francisco Pruna, para que en el perentorio término de 8 meses se presenten á deducirlo, con los documentos comprobantes, Jbaxa prevención que de no haqerlo, los repartos verificados, y que se exe</t>
  </si>
  <si>
    <t>Pttdro Agus</t>
  </si>
  <si>
    <t>o a • n m. • e« ta ba; fnu.y. cerciorad»* del 7.eío , .paíribíUi».a y !¿6dtr'lá'd»d rque asrcéátfó. D. Pttdro Agus-;? tin E^htVirrj, desde los prirnei os momentos en que Ja perfidia de nuestros enemigas: n&amp; pudo desconocerse , y Citaba .igualmente fcierta del vatkQrydenuedo que había acreid i c</t>
  </si>
  <si>
    <t>Puchart, Ignacio</t>
  </si>
  <si>
    <t>Ignacio Puchart</t>
  </si>
  <si>
    <t>pesos de enero por una Vez.......... 2315 2% D. Tomas Perez, de este comercio, por una vez.40000. 1 D. Ignacio Puchart, pintor, por una vez..... ......................... iqoo. D. Josef Sabauy canónigo de S: Isidro* á cuenta de 19 1$. por una vez.......................... .......... ..............</t>
  </si>
  <si>
    <t>Puente, Vicente</t>
  </si>
  <si>
    <t>Vicente Puente</t>
  </si>
  <si>
    <t>........... Bilbao.... .... 3 00 ^790 Doña-Jesusa Martínez Luengo.-......... Madrid;...... 3 00 468 D. Vicente Puente menor....... ....U.' Bllbáb..’ .....¿ 60 D 93 5 D. Josef María- Mauri....................................... Madrid....... 3C’° 141 Sres; Viuda de Lasala é hijos, comerciantes.. V</t>
  </si>
  <si>
    <t>Puertolas y Escalonapresbítero, Juan</t>
  </si>
  <si>
    <t>Juan Puertolas y Escalonapresbítero</t>
  </si>
  <si>
    <t>.. 2321 28. D. Diego de Fuentes, del comercio, id..................... .................... icoo. •&lt;D. Juan Puertolas y Escalonapresbítero, id................. ............ loco. D. Agustín Quaresma, id............... .......................... ....... ........ 500. í D. Antonio Diez de lá Mata, id......... .........</t>
  </si>
  <si>
    <t>Pujol, Juan</t>
  </si>
  <si>
    <t>Juan Pujol</t>
  </si>
  <si>
    <t>tenicnteD- Joaquin Mureu ; del tercio de, Vich los capitanes vD. Francisco Planas, D. Pedro Munt y'D. Juan Pujol, y el teniente D. Segismun</t>
  </si>
  <si>
    <t>Pulido, Miguel</t>
  </si>
  <si>
    <t>Miguel Pulido</t>
  </si>
  <si>
    <t>arrasa , , sargento mayor del regimiento; ¿de infantería de. Cantabria. ’ En Linares, en poder -de' D. Miguel Pulido, capitán del batalío/i ;de iníaRtería ligera i de : Valencia se halla un . vale de 30.0.;-pe¿o^ creación *:da Mayo^n. favor de D. Tomas Urrut ¡a, á quien se . entregará;; tíéfcpif</t>
  </si>
  <si>
    <t>Puruaga, Vicente</t>
  </si>
  <si>
    <t>Vicente Puruaga</t>
  </si>
  <si>
    <t>rs. diarios, por 2 meses..... .................. .................................. ........ 122. ‘ D. Vicente Puruaga, uno id. id....,.......... ....... ................... 61. D. Manuel A moros .y, los Santos, uno id,* id.......... ...... ..... . 61, El cura párroco de Sevilla la nueva , uno id.</t>
  </si>
  <si>
    <t>Purvis</t>
  </si>
  <si>
    <t>es llegó aquí de la Martinica un cartel de desafio, que ha dado motivo á un duelo desgraciado entre Mr. Purvis, teniente del navio Belle-Isle, y el oficial que envió el cartel. El teniente Purvis hirió á 3 oficiales enemigos ; se ie ha formado consejo de guerra, y ayer fue depuesto de su e</t>
  </si>
  <si>
    <t>Purvis y Sir Cochrane</t>
  </si>
  <si>
    <t>y Thornborough, vice-almirante de la bandera blanca; Sir Pelev, -rice-almirante de la bandera &amp;zul; Sir Purvis y Sir Cochrane, contralmirantes de la bandera encarnada; Sir Sidnei Smith y Mr. Felipe de Aubergne, príncipe de Bouillon, contra-almirantes de la bandera blanca. El principe dé Gales ha nombrado</t>
  </si>
  <si>
    <t>Qaamaño, Joaquín</t>
  </si>
  <si>
    <t>Joaquín Qaamaño</t>
  </si>
  <si>
    <t>del príncipe de Pontecorvo. Teniente D. Josef de Prada, en id.: enfermo. Subteniente'de granaderos D. Joaquín Qaamaño, eñ id.: en el estado mayor del príncipe de Pontecorvo. Barcelona. Capitán D. Manuel Saliquet, en Hamburgo: para el citado convite. Real cuerpo de artillería. Comisario de guerra</t>
  </si>
  <si>
    <t>Qhaserot de Castro, Antonio</t>
  </si>
  <si>
    <t>Antonio Qhaserot de Castro</t>
  </si>
  <si>
    <t>cio áv6 rs. diarios........................................................................... 732* D. Antonio Qhaserot de Castro , del comercio, 500 rs. por una vez^ y 186 por agosto á 6 rs. diarios.........v......................... 686* Doña, Bernardina Costarramon,-viuda de Nebiet, guarnicionero. de las</t>
  </si>
  <si>
    <t>Qid, Mateo</t>
  </si>
  <si>
    <t>Mateo Qid</t>
  </si>
  <si>
    <t>García Cruz, alcalde del barrio de^la Huerta del Bayo. D. Juan Blesa, diputado eclesiástico de id. D. Mateo Qid , alcalde del barrio de Miralrio. D. Ramón de Victoria, del de S. Cayetano; D.. Gregorio de Aller, diputado del barrio* del Buen-suceso. D. Josef Gómez, diputado id. D. Ignacio Mu</t>
  </si>
  <si>
    <t>QrtÍz, Antonio</t>
  </si>
  <si>
    <t>Antonio QrtÍz</t>
  </si>
  <si>
    <t>... 20~ •. Doña Mánuetá ~erreros de Tejada, id.:&lt;.•• ~ .•.... : .•,........... ~ ..•....•. ~· 1000. D. Antonio QrtÍz. de Zárate 4400 r~. 3.Q uales, y ~()OO id.. ~ ..•....• 1001).,,... p. Jo~qt;!in 'Ezquerra~ -cátedráticQ en ~. Js.idro~ 20 'rs. mélJs~a; - .' ~ .. tes, por 2, ·tn'és.es,.·.....'~:~</t>
  </si>
  <si>
    <t>Quadrado, Blas</t>
  </si>
  <si>
    <t>Blas Quadrado</t>
  </si>
  <si>
    <t>.............. 4528 22. D. Josef Alonso, oficial de la contaduría de Juros, id................ 600. D. Blas Quadrado, id.......... ................................................................. 500. Doña M. R. M., id 331808788008 1500. D. Bartolomé Moratinos, maestro pasamanero, un vale de 15</t>
  </si>
  <si>
    <t>Quaresma, Agustín</t>
  </si>
  <si>
    <t>Agustín Quaresma</t>
  </si>
  <si>
    <t>............ icoo. •&lt;D. Juan Puertolas y Escalonapresbítero, id................. ............ loco. D. Agustín Quaresma, id............... .......................... ....... ........ 500. í D. Antonio Diez de lá Mata, id......... ..................... ................ 60# D.'Ptdro-deZavala, oficial</t>
  </si>
  <si>
    <t>Quaresma, Antonio</t>
  </si>
  <si>
    <t>Antonio Quaresma</t>
  </si>
  <si>
    <t>....................... 365. D. Josef Biilota, agente fiscal de Correos, á cuenta de 2200 id. 1080, D. Antonio Quaresma, maestro herrero y cerrajero, un reai diario, por 2 meses.................. ................................................. 61. D. Julián de Bárcenilla, arquitecto, 6 id. por 6</t>
  </si>
  <si>
    <t>Quaresma, Francisco Antonio</t>
  </si>
  <si>
    <t>Francisco Antonio Quaresma</t>
  </si>
  <si>
    <t>Juros............. 1 1 D. Manuel de Castro..................................................... 1 1 D. Francisco Antonio Quaresma................................. 1 1 D. Jacinto Sánchez Tirado........................................... 1 y un par de botas. El coronel D. Felipe Siere, ademas de una silla y br</t>
  </si>
  <si>
    <t>Quartero, Antonio</t>
  </si>
  <si>
    <t>Antonio Quartero</t>
  </si>
  <si>
    <t>de Bervrck y Alba ,T 500 ‘ rs. por,una vez, y 612 por 5 meses á 4 rs. diarios............... 2112. D. Antonio Quartero, ayo del duque de Abrantes, por agosto á 6 rs. diarios.................................. ............................................. 186. D. Pedro de Vecquis , mayordomo del con</t>
  </si>
  <si>
    <t>Quarto, Carlos</t>
  </si>
  <si>
    <t>Carlos Quarto</t>
  </si>
  <si>
    <t>mpieza baxo tan felices auspicios, se dan la enhorabuena át vivir baxo su augusto imperio.. Sr. Reí D. Carlos Quarto re sirvió expedir el real decreto sigurentg: „Como los achaques de que adolezco no me permiten soportar por mas tiempo el grave peso del gobierno de ñus reiopsj. y ine: sea precis</t>
  </si>
  <si>
    <t>Queipo de Llano, Fernando</t>
  </si>
  <si>
    <t>Fernando Queipo de Llano</t>
  </si>
  <si>
    <t>....... 40. Antonio Fernandez, 30 id. id..................................................... . 60. D. Fernando Queipo de Llano, 200 id. por agosto.................... 200. . D. Juan Ventura de Apeztegui, 500 rs. por una vez, y 1100 por 6 meses...............................................................</t>
  </si>
  <si>
    <t>Queipo de Llano, Francisco</t>
  </si>
  <si>
    <t>Francisco Queipo de Llano</t>
  </si>
  <si>
    <t>la secretaría de Hacienda , por £ meses adelantados á 4 rs. diarios......................... . 612. D. Francisco Queipo de Llano, por el mes de agosto á 2 rs. diarios......................................... ................................................ 62. Doña Ana de Zulueta, del comercio, por 4 meses</t>
  </si>
  <si>
    <t>Queipo de Llano, Pedro</t>
  </si>
  <si>
    <t>Pedro Queipo de Llano</t>
  </si>
  <si>
    <t>. Nicolás García Caballero, D. Juan Bautista Nieto, D. Pedro Marcelino Blanco , D. Miguel Martínez, D. Pedro Queipo de Llano, D. Juan Ruiz Dávila, D. Josef Bausá, D, Rafael Ricote, D. Josef Antonio CanosaD. Pablo Muñoz de la Vera y D. Miguel García Marín, diputados de parroquias; D. Nicolás Nicol y Josi</t>
  </si>
  <si>
    <t>Queroi, Esteban</t>
  </si>
  <si>
    <t>Esteban Queroi</t>
  </si>
  <si>
    <t>sin haber permitido se manEl marques de Echandia. chase el santuario de este Consejo con una acción D. Esteban Queroi; tan criminosa como inmoral. Con esta satisfacción D. Domingo Vengoa. * se pasó á realizar el solemne juramento que ahora previene la real orden; y en efecto, abierto el oratorio</t>
  </si>
  <si>
    <t>Querpo de Llano, Pedro</t>
  </si>
  <si>
    <t>Pedro Querpo de Llano</t>
  </si>
  <si>
    <t>eficiado de Santiago. D. Alfonso Pastor, cura de S Josef. D. Diego Alderete, diputado de S. Isidro. D. Pedro Querpo de Llano, diputado de Santiago. D. Josef Panlagua, alcalde de id. D. Juan Pinedo, diputado de id. D. Cayetano Aravaca , eclesiástico de id. D. Tomas Zapelena, diputado calle de Segovia. D.</t>
  </si>
  <si>
    <t>Quesada, Antonio</t>
  </si>
  <si>
    <t>Antonio Quesada</t>
  </si>
  <si>
    <t>. Tomas Martínez y D; Josef Magarola: y en él de Lusitania empleo de portaguión al sargento primero D. Antonio Quesada. -V 1 En América. S. Mb se ha servido nombrar para la dighidád de tesqrerO ide la catedral d.e la Puebla' de los'.’ Angeles , váqapté po? faH8¿íníiebt¡6&gt; dd nadar, á‘ 0. Jósef Ign</t>
  </si>
  <si>
    <t>Quesada, Miguel</t>
  </si>
  <si>
    <t>Miguel Quesada</t>
  </si>
  <si>
    <t>e sus hijas, 13 camisas. D. Antonio Lezaica, maestro de sombrerero, 200 sombreros redondos armados. D. Miguel Quesada 20 pares de zapatos. Doña Antonia Millano D* Pedro Yepes, vecinos de Arganda , 3 camisas cada uno. Doña María Í osefa Corral 6. Doña Juana de Abarrategui y Sagúes 6. Dia ir. Doña</t>
  </si>
  <si>
    <t>Quevedo de Bustamante, Manuel</t>
  </si>
  <si>
    <t>Manuel Quevedo de Bustamante</t>
  </si>
  <si>
    <t>id. 5co 2291 D. Blas Bascones................................................. Cádiz...... 3 00 745 D. Manuel Quevedo de Bustamante................ Madrid... 600 453 D. Lucas Escribano, administrador del correo. t&gt;:ii__ 500 2075 1). Juan Pedro de Irigoyen............................... Cádiz... 500 884 D. Anto</t>
  </si>
  <si>
    <t>Quevedo, Francisco</t>
  </si>
  <si>
    <t>Francisco Quevedo</t>
  </si>
  <si>
    <t>...... 300 984 Sres. Zorrilla hermanos............... .................. . Madrid........ 1000 1878 D. Francisco Quevedo....................................... Zaragoza..... 300 490 Doña María Josefa Moreno Romero............... Bilbao.......... 300 1110 D. Tomas Vallespin y Vallabriga..............</t>
  </si>
  <si>
    <t>Quevedo, Pedro</t>
  </si>
  <si>
    <t>Pedro Quevedo</t>
  </si>
  <si>
    <t>10X0 ESPAÑA. Orense 29 de mayo. Xa carta qne el limo. Sr. D. Pedro Quevedo, del consejo de S. M., oT&gt;ts« po de Orense , escribid con motivo de haber sido nombrado para asistir á la iámosa junta de Bayona, es mui digna de publicarse en la gazeta por el ze</t>
  </si>
  <si>
    <t>Quiñones y Medina, Juan</t>
  </si>
  <si>
    <t>Juan Quiñones y Medina</t>
  </si>
  <si>
    <t>a de D. Josef Márcos Reguera, se siguen autos de concurso de acreedores á ios bienes del presbítero D. Juan Quiñones y Medina, vecino que fue de dicha ciudad. Qualquierapersona que juzgue tener derecho á los bienes del citado presbítero, comparezca, en el término preciso de 15 días, en el referido juzgad</t>
  </si>
  <si>
    <t>Quintana, Juan Antonio</t>
  </si>
  <si>
    <t>Juan Antonio Quintana</t>
  </si>
  <si>
    <t>S. M., nn recibo ■ y de' acciones del real Empréstito, por una vez............................ 600. D. Juan Antonio Quintana , íejátor'del consejo de Ordenes , á cuenta de i© rs.............................................................. .............. uooo. D. Ped ro Lombardo, del comercio , id......</t>
  </si>
  <si>
    <t>Quintano, Juan</t>
  </si>
  <si>
    <t>Juan Quintano</t>
  </si>
  <si>
    <t>5 00. 9°y D. Julián Martínez Leganes.......................... _ — ^ r Madrid....... • 1 1 50a 1008 D. Juan Quintano..........,.............................. Madrid 500 2tS D. Mateo Sfct. María............ ............... ............. Alicante 30a ■237 D. Roque Gallo...............Burgos.. 3:0.</t>
  </si>
  <si>
    <t>Quintín Barands y Béjar</t>
  </si>
  <si>
    <t>uasón, capitán de milicias en Manila» por id./ y i 60 rs. id................................... 60. D. Quintín Barands y Béjar, por id. á 40 rs. id................ . 40. Francisco Fernandez, sirviente,, por 6 meses á 30 rs. mensuales. 180. D. Jacinto Marín Valle» casero general del Banco, por agosto á 4 r</t>
  </si>
  <si>
    <t>Quirico Puyo</t>
  </si>
  <si>
    <t>....... 6co 1971 Doña Antonia Catalá........................................ Zaragoza..... 300 2005 D. Quirico Puyo............................... 1............. Cádiz........... IOCO 2310 D. Juan Chatrusa*................. ........................... Cádiz........... 3C0 2395 D. Ramón Aguado..</t>
  </si>
  <si>
    <t>Quiróga, Manuel</t>
  </si>
  <si>
    <t>Manuel Quiróga</t>
  </si>
  <si>
    <t>dos meses á 20 rs. cada uno. 40* D. Francisco Martin, cirujano, por 2 meses á 10 rs. cada uno. 20. D. Manuel Quiróga , por 3 meses á 20 rs. cada uno................ 60. Manuel Isidoro Bleñy, á 30 rs. mensuales.................................. 30. D. Braulio Rodríguez, labrador , 30 rs. cada mes</t>
  </si>
  <si>
    <t>Quiros, Gregorio</t>
  </si>
  <si>
    <t>Gregorio Quiros</t>
  </si>
  <si>
    <t>coronado de &lt;'*!&lt;&gt;_ ria, se cuenta en el número de muertos al esforzado y bizarro m rbcuí de campo D. Gregorio Quiros, y entre los heridos al capitán gmeral ei Excmo. Sr. D. Vicente Ace vedo, al gefe de encuadra D. Cayetano Valdé.-,, v á los brigadieres conde de S. Román y D. Francisco Riquelme.</t>
  </si>
  <si>
    <t>Quistóte' de la Mancha</t>
  </si>
  <si>
    <t>ecutará la ópera en iin acto intitulada la prueba de Horacio y Curaéio, y el baile nuevo intitulado D. Quistóte' de la Mancha, ó las bodas de Camacko, composición del maestro Lefebre, exccutado por Fernanda y Alexo Lebrunier, con una decoración nueva, como igualmente el vestuario. En el de la Cruz, á las</t>
  </si>
  <si>
    <t>Quixote</t>
  </si>
  <si>
    <t>a sóbrela música del poeta español Inarte, ha ofrecido hacer una nueva edicion.de la traducción del D, Quixote por Jarvis, adornada de magníficas estampas, y ^compa-ñada de notas históricas, críticas y literarias, sacadas de los mejores comentadores ; añadiendo ál mismo tiempo algunas nota</t>
  </si>
  <si>
    <t>ta.----La moral del mas famoso escudero Sancho Panza^ con arreglo á la historia qué deí mas hidalgo D. Quixote escribió Cide líamete Benengeíi: un tomo en, 8.°, ár8*rs. en pasta y 7 en pergamino'. -_lLá moral de;D. Quixote, deducida de la historia que de sus gloriosas Eazahas escribió Cide H</t>
  </si>
  <si>
    <t>rá la ópera en ult acto.intitulada la prueba de los Horacios y Curados, y el baile nuevo intitulado D. Quixote, ó sean las bodas de Camacho, de la composición del maestro Lefebvre, y executado por Fernanda y Alexo Lebrunier, y demas bailarines y discípulos de la escuela, adornado de decora</t>
  </si>
  <si>
    <t>Quixote de la Mancha</t>
  </si>
  <si>
    <t>portal de Manguiteros. Historia del mas famoso escudero Sancho Panza , desde la gloriosa muerte de D. Quixote de la Mancha hasta el “último dia de su vida: 2 tomos en 8.°, á 16 rs. en pasta.----La moral del mas famoso escudero Sancho Panza^ con arreglo á la historia qué deí mas hidalgo D. Quixote escr</t>
  </si>
  <si>
    <t>R Josef María Pérez, Francisco</t>
  </si>
  <si>
    <t>Francisco R Josef María Pérez</t>
  </si>
  <si>
    <t>D.; Manuel Rentería , D* Hilario Santos Ramhfeá &gt; D. Ramón Acuenzaít jÓ^GÍndi4o Manuel §an Martin, D. Francisco R Josef María Perez^, D. Jo?ef M^tep Echevarría , D. Jaime Salas * E&gt;» .Salvador Ros v Antonio DyMnbncUco Bordqii i-.Xf-. Miguel Eelií*&gt; fe FededeoR&lt;^rííguea*f&gt;D*;Ramón Alcántara, D. Gerónimo Rabada,</t>
  </si>
  <si>
    <t>R' ID</t>
  </si>
  <si>
    <t>Num. 64. ^5 G A ZETA DE M ' A ‘ D R' ID} . DEL MIERCOLES 22 DE JUNIO DE 1808. En esta ¿azeta no hay ningún capítulo de oficio sino el de Madrid. RUSIA. - ^ Petersburgo f de mayo. ~ -■ ‘ El cónsejerb Mr. Koehler continúa</t>
  </si>
  <si>
    <t>Rabada, Gerónimo</t>
  </si>
  <si>
    <t>Gerónimo Rabada</t>
  </si>
  <si>
    <t>Ros v Antonio DyMnbncUco Bordqii i-.Xf-. Miguel Eelií*&gt; fe FededeoR&lt;^rííguea*f&gt;D*;Ramón Alcántara, D. Gerónimo Rabada, ,B» RáL mon Antonio Sanfuente, D. Josef Martin Ortega , D. Josef Antonio Aceval , I&gt;. Gerónimo Agüdélo, D. Aparicio Vidaurraga:, I&gt;. Manuel Rodrifuez Saludua, E). Josef María Rod</t>
  </si>
  <si>
    <t>Rabarco, Antonio</t>
  </si>
  <si>
    <t>Antonio Rabarco</t>
  </si>
  <si>
    <t>.. .................... . 20. . D. Alfonso Fernandez, por agosto á 20 rs.. mensuales........... 20. D. Antonio Rabarco, ayuda de la cocina, extraordinaria de SS. MM., por agosto á 60 rs. mensuales............... 1..................... 60. ; Josef Paz , tabernero, por agosto á 20 rs. mensuales.....</t>
  </si>
  <si>
    <t>Rabasa, Gerónimo</t>
  </si>
  <si>
    <t>Gerónimo Rabasa</t>
  </si>
  <si>
    <t>s de su color. , ' ■ A D. Salvador Ros, D. Antonio Costa,, D. Cayetano Sturla, D. Ramón Alcántara , D. Gerónimo Rabasa, D. Ramón Antonio San Fuertes, capitanes urbanos: D. Juan de la Vianca, D. Basilio Viola, D. Juan Viola, D. Pedro Nolasco Ximenez, D. Juan Jorge, D. Matías Cámara, tenientes urban</t>
  </si>
  <si>
    <t>Rabasa, Santiago</t>
  </si>
  <si>
    <t>Santiago Rabasa</t>
  </si>
  <si>
    <t>es............ 244. Un religioso mercenario, 4 id. por agosto........ ........ .................. 1 D. Santiago Rabasa, maestro sombrerero, 4 id. por agosto....... 124. D. Félix Alvarez del Villar, uno id. por 5 meses....................... 153. Doña N., viuda, por una vez.........................</t>
  </si>
  <si>
    <t>Rabé, Juan de Dios</t>
  </si>
  <si>
    <t>Juan de Dios Rabé</t>
  </si>
  <si>
    <t>cmos.. Sres. D. Gaspar de Jovelíanos, el Patriarca, el Arzobispo de Laodicea, D. Rodrigo Riquehn. y D. Juan de Dios Rabé : su secretario el Exorno. Sr, i). Benito Ramón de Hérmida. La sección de guerra con*tn Je ios Excmos. Sres..el marques de Campo-sagrado,. D* Francisco Palafox, el príncipe Pió ,</t>
  </si>
  <si>
    <t>Raboso, Andrés</t>
  </si>
  <si>
    <t>Andrés Raboso</t>
  </si>
  <si>
    <t>........ 4 D. Josef Raboso, vecino de Alcalá de Henares.......................................... I D. Andrés Raboso, id........................ 1 D. Juan Miguel González, vecino de Ajalvir....................................... i D. Roque García Maganto................. 1 I ' X D. Juan Josef Pe</t>
  </si>
  <si>
    <t>Rafaela Martín</t>
  </si>
  <si>
    <t>...... 1000 783 D. Baltasar de Andrade............ ......... ............... Madrid........ 3°° 812 Doña Rafaela Martin.......................... ........... Madrid........ 500 2°37 D. Juan de Mata Zuñiga...................... . Cádiz......... 3000 2190 D. Leopoldo de S. Vicente y Godoi............</t>
  </si>
  <si>
    <t>Rafaela Martín de Álvarez</t>
  </si>
  <si>
    <t>Moreno una camisa y 2 libras de hilas. Doña F. una camisa, 4 pares de calcetas y 2 libras de hilas. Doña Rafaela Martin de Alvarez 6 pares de calcetas nuevas. D. Benito Antonio Pisador 24 varas de coruña para 6 camisas. D. Antonio Rosales y Doña María Manuela Llopiz,.vecinos de la Cal</t>
  </si>
  <si>
    <t>Rafaela Martínez de Ariza</t>
  </si>
  <si>
    <t>óxo 6. D. Josef Maldonado 6. Doña A. y B. 2. D. Juan Gutiérrez 4. Doña Ana Rodríguez, sirvienta, 2. Doña Rafaela Martínez de Ariza 4. Doña María Ruiz 6. Doña Cándida Orejón 2. Una pobre sirvienta 4. D. Jaime Mateo 2 chaquetas y 2 gor-, La viuda de Espárza una sábana. ■ ras. D. Pascual Herrero 3 camisas. D. Lo</t>
  </si>
  <si>
    <t>Rafaela Ormaza</t>
  </si>
  <si>
    <t>ítero , 200 rs. María Montesein 8. .&lt; D.F.N.60. Pedro Tornero 8. D. Andrés Caballero 1821 rs. y. 24 Doña Rafaela Ormaza 8. mrs. en metálico , y 9161 y 16 María Sánchez 4 rs. y 16 mrs. mrs. en vales reales. D. Juan Jo^ef de la Presilla xoo. D Antonio Xavier de Herrera 2500, D. Manuel Rodriguen 40. D</t>
  </si>
  <si>
    <t>Rafaela y Gala Saltana</t>
  </si>
  <si>
    <t>...................... ioo. D. Blas del .Castillo y Escribano, del comercio de libros, id..... ioo. Doña Rafaela y Doña Gala Saltana, id............ ............................... 250. D. Gregorio de S. Juan,oficial de ia contaduría de Sisas, anualmente............. ................................... ........</t>
  </si>
  <si>
    <t>Rafapl Puente</t>
  </si>
  <si>
    <t>, diputado del barrio* del Buen-suceso. D. Josef Gómez, diputado id. D. Ignacio Muñoz, diputado id. D. Rafapl Puente, alcalde del barrio de id. D. Manuel Bernabla, diputado eclesiástico de S. Plácido. D. Domingo Mesa, alcalde del barrio de id. D. Antonio María, Perez, secretario. D. Manuel Rodrí</t>
  </si>
  <si>
    <t>Raigón y Díaz, Miguel</t>
  </si>
  <si>
    <t>Miguel Raigón y Díaz</t>
  </si>
  <si>
    <t>gnidad de tesorero de la catedral de Guadix, vacante por fallecimiento de D. Gabriel López Lorca, á D. Miguel Raigón y Díaz, canónigo de la colegiata del Salvador de Granada: para el beneficio simple del lugar de Montuenga en la diócesi de Sigiienza, vacante por promoción de D. Manuel Fernandez Blanco</t>
  </si>
  <si>
    <t>Raimundo</t>
  </si>
  <si>
    <t>Madrid 58 (extraord.)</t>
  </si>
  <si>
    <t>y del Arco. s F. el duque de Osuna. = Josef Colon. =*M. el conde de Santa Goloma y de Fuenclara. = D. Raimundo ’Ettenhart y Salinas. ±=Zenón Alonso.=Francisco A moros. — Pedro. Jd¿ Torres. = Igñacióde Tejada. = Pedro de Porras» == Andrés de Herrasti. Cristóbal de Góngora.== Luis Idiaquez.</t>
  </si>
  <si>
    <t>Raimundo de Alcántara</t>
  </si>
  <si>
    <t>asco 2 camisas y 14 varas de lienzo. D. Manuel Francisco del Castillo 88 pares de calcetas. Dia 20. D. Raimundo de Alcántara 41 varas de lienzo. Doña Ana Martin Caballero, muger de D. Alfonso Garrido , 100 camisas. EL Sr. D. Ignacio Abadía, del consejo de Ordenes, y contador general de las quatro milita</t>
  </si>
  <si>
    <t>Raimundo Girona</t>
  </si>
  <si>
    <t>ez Valdés; compañía al teniente dé granaderos D. Pedro Gotti; tenencia al subteniente de granaderos D. Raimundo Girona, y subtenencia de bandera al sargento primero D. Pascual Blanco: en el de la Princesa compañías á los ayudantes, graduados de capitán, D. Juan Gómez de Ostos y D. Benito Panigo; a</t>
  </si>
  <si>
    <t>Raimundo Glarasco</t>
  </si>
  <si>
    <t>....... ............. 30. D. Maiíuel Ballesteros, por agosto á 30 rs. mensuales................ 30; D. Raimundo Glarasco, por agosto...........*.... ......60. .o' D. Antonio Wiant, plumista de cámara, por 4 meses á 100 rs. en cada uno..................................................... 400* IX Juan</t>
  </si>
  <si>
    <t>Raimundo Gómez</t>
  </si>
  <si>
    <t>20 B». Mrs. D. Leandro López, por tina vez....*................................. roo. D. Raimundo Gómez, oficial de tirador de oro, por una vez.. 300. D. Juan Balboa, cirujano, por upa vez,...,.»........ .................. . 120. D. Juan López, geógrafo de S. M., á cuenta dé 300 rs.</t>
  </si>
  <si>
    <t>RaimundoMoiitecúcol, Príncipe</t>
  </si>
  <si>
    <t>Príncipe RaimundoMoiitecúcol</t>
  </si>
  <si>
    <t>illa; en Zaragoza en la de Polo', y en Murcia en la de Benedicto. ; Arte universal de la guerrá del Príncipe RaimundoMoiitecúcol?: üh tomó’áccfí modado para el bolsillo. Se hallará á 6 rs-, en-pasta en ks4ibrerfaá de!t^uíróga £ Burguillos, y de Castillo. .... . . . /.t El asalto terrible que dieron losraton</t>
  </si>
  <si>
    <t>Rairóra</t>
  </si>
  <si>
    <t>.................. 8. D~ Francisco Te mas B^nitez , pof id. á 180 rs.id................. ... 180. i Dona Rairóra ;Garcia- de Benitez, su&gt; muger, id................ ...... 120. « D. Juan Francisco Benitez, su hijo,,, id , 60.. B. Fulgencio Rubín de;,Celis,,.por agosto á 3 rs. diarios.,,..*...</t>
  </si>
  <si>
    <t>Raíz Apodaca, Juan</t>
  </si>
  <si>
    <t>Juan Raíz Apodaca</t>
  </si>
  <si>
    <t>española,, ha publicado dos cartas dej sus diputados en Londreslos Excmos.. Sres.. Adrián Jácorne y D. Juan Raíz Apodaca, en que se manifiestan todas las honras con que la ha. distinguido el Exemo. Sr. marques de la Romana, general de las. tropas españolas en Dinamarca; y todo el empeño de los* Excm</t>
  </si>
  <si>
    <t>Ramcn Serrano</t>
  </si>
  <si>
    <t>aba con la mayor complacencia este espectáculo. Madrid ié de febrero. S. M. se ha servido nombrar á D. Ramcn Serrano para la dignidad de capiscol mayor de la catedral de Gerona , vacante por promoción de Don N arciso Cotí y Prat al arzobispado de Caracas: á I). Josef Maimir para el beneficio seg</t>
  </si>
  <si>
    <t>Ramírez Calvo, Gregorio</t>
  </si>
  <si>
    <t>Gregorio Ramírez Calvo</t>
  </si>
  <si>
    <t>i desa.............................................. .................... Bilbao........ . 3.00 35 D. Gregorio Ramírez Calvo............................. Barcelona»» 300 220,' D. Isidoro Arias................................................. Coruña....... 500 1704 D. Francisco Luis de Lara y Noriga.....</t>
  </si>
  <si>
    <t>Ramírez de Arellano, Alexandró</t>
  </si>
  <si>
    <t>Alexandró Ramírez de Arellano</t>
  </si>
  <si>
    <t>........ 361. 1 tln“religioso de esta corte, en vales reales, id......................... 2267 vi8. D. Alexandró Ramírez de Arellano, id................................ . 100. El conde de Canillas, á cuenta de 6® rs. anuales,,.....:......... . „ ifoo. Mariano Asmandia, maestro de obra prima, 20 rs. mensuales, 2</t>
  </si>
  <si>
    <t>Ramírez de Arellano, Ángel</t>
  </si>
  <si>
    <t>Ángel Ramírez de Arellano</t>
  </si>
  <si>
    <t>... . Cádiz........... 6co 1797 D. Esteban Tuquien y D. Juan Montapan.... Cádiz........... 6co 1885 D. Angel Ramírez de Arellano......................... Zaragoza..... 600 185 D. Vicente Abadía....... ................... ................ Alicante...... 300 1430 Josef Barrau..................... ■•••••......</t>
  </si>
  <si>
    <t>Ramirez de Briones, Felipe</t>
  </si>
  <si>
    <t>Felipe Ramirez de Briones</t>
  </si>
  <si>
    <t>su tasación á pagar en vales. Quien quisiere mejorarlas, lo executará por |a escribanía que exerce D. Felipe Ramirez de Briones. , Por providencia del barón del Solar de Espinosa, subdelegado en el departamento de Xerez de los Caballeros, en la.diócesi de Badajoz, se ha señalado el día' 8 del corriente par</t>
  </si>
  <si>
    <t>Ramirez de Loáis, Ramón</t>
  </si>
  <si>
    <t>Ramón Ramirez de Loáis</t>
  </si>
  <si>
    <t>...... Burgos....... 500 406 D. Francisco Barrio Joven........u............ ' Coruña.»uu„ -300 2399 D. Ramón Ramirez de Loáis*........................ . Zaragoza.»» 300 2183 D. Víctdriiy Ortuño y Viñador Coruña.....60b 491 D. Josef de&gt; "Gabriel y Estenoz Bilbaov».». J 5.06 666 D.-Nicolás de la Iglesia Le</t>
  </si>
  <si>
    <t>Ramírez de Luque, Fernando</t>
  </si>
  <si>
    <t>Fernando Ramírez de Luque</t>
  </si>
  <si>
    <t>r de la cofeccion de santos mártires , confesores y varones venerables del clero secular , su autor D. Fernando Ramírez de Luque , cura de Xucena , se hallarán en la librería de Castillo, frente á las gradas de S. Felipe; en Barcelona en la de Sierra, en Valencia en la de Márquez, en Sevilla en la de Caro,</t>
  </si>
  <si>
    <t>Ramírez Delor, Gonzalo</t>
  </si>
  <si>
    <t>Gonzalo Ramírez Delor</t>
  </si>
  <si>
    <t>Cabailías, D. Juan María Maestre, Caballeros maestrantes de la Real de Caballería de esta Ciudad , D. Gonzalo Ramírez Delor , Comisario Ordenador , y D, Pedro Pedresa, Marques de Dos-hermanas. Todos están bien provistos de armas; y de estas como de las demas municiones y peltrechos se hacen continuas r</t>
  </si>
  <si>
    <t>Ramírez, Antonio</t>
  </si>
  <si>
    <t>Antonio Ramírez</t>
  </si>
  <si>
    <t>ría de Soto, en Santiago en la imprenta y librería de Vila, y en Lugo en casa del sargento retirado D. Antonio Ramírez. Puede ir en carta. GRABADO. Estampa en papel de marca del retrató á caballo de nuestro augusto Sobranó el Sr. D. Fernando vii, Rei ds España. Se hallará en las librerías de Escri</t>
  </si>
  <si>
    <t>Ramirez, Felipe</t>
  </si>
  <si>
    <t>Felipe Ramirez</t>
  </si>
  <si>
    <t>. Madrid.. 500 2277 D. Francisco de Atristain................................. Bilbao..-.. 6co 2116 D. Felipe Ramirez..................................... Zaragoza • •••• 600 244 5 Doña Luisa Latovre de Peñalver............ . Zaragoza . 500 1880 Sr. Marques de Zafra...... ........................</t>
  </si>
  <si>
    <t>Ramírez, Felipe</t>
  </si>
  <si>
    <t>Felipe Ramírez</t>
  </si>
  <si>
    <t>inúan los donativos y ofertas voluntarias que constan en el banco ‘ nacional de S. Carlos. Rs. Mrs. D. Felipe Ramírez, corredor de cambios * y cobrador del Banco, 400 rfr. por una vez, y 360 por 6 tneses á 60 rs. mensu,ales. • •• •••*•*&gt; ••••*••*** * • f •• •••,• * * « J»* ■•¿y* #• *.*•*•• «•••••</t>
  </si>
  <si>
    <t>etazos para lo mismo. La Sra. marquesa de Pesadilla , condesa de Canillas, presentó 24 camisas. , , D. Felipe Ramírez 8¡ camisas nuevas. D. Manuel García Montenegro, procurador de los rea* les consejos, 2 camisas nuevas. D. Francisco Xavier Martínez Remon 2 camisas id. Doña M. A. S 12 camisas id.</t>
  </si>
  <si>
    <t>Ramírez, Juan</t>
  </si>
  <si>
    <t>Juan Ramírez</t>
  </si>
  <si>
    <t>á las escuelas pias, y los restantes por la sociedad. Concluida lá repartición, el joven prdmiadi* D. Juan Ramírez recitó una letrilla dando graeias á nombre de todos süti compañeros; y Dóñá María Motera y Ganlét dixo ¿na oda á nombte dé las niñas. Continuó el diréc.tor del real jardín botánic</t>
  </si>
  <si>
    <t>Ramírez, Manuel</t>
  </si>
  <si>
    <t>Manuel Ramírez</t>
  </si>
  <si>
    <t>....... 300 23 23 D. Pablo Josef de Loysaga................................. Cádiz......... 500 814 D. Manuel Ramírez............................................ Madrid....... 300 1383 D. J uan de Basas...;...................................... Burgos....... 30Ó &lt; SORTEO DEL DIA 6 DE ABRIL , EN E</t>
  </si>
  <si>
    <t>Ramírez, Ramón Blas</t>
  </si>
  <si>
    <t>Ramón Blas Ramírez</t>
  </si>
  <si>
    <t>. -Les Sres. Timmermans Ravellay compañía, del comercio de Barcelona, en 10 de febrero remitieron á D. Ramón Blas Ramírez, del de Madrid, tres vales de á 600 pesos, creación de enero, núms. 397145, 390274, 378659, y otro de á 300, de la misma creación, núm. 482096* Se da este aviso para que el ¿pie l</t>
  </si>
  <si>
    <t>Málaga......... 300 293 Angela Curioni ..... .... •v........ •• • ........ ■ Málaga........ 300 5*7 D. Ramón Blas Ramírez................................ Bilbao.......... 'SOO D. Manuel Sala.y Piran.,.............. ......... . Madrid......... 500 2446 D. .Vicente Camacho^.............................</t>
  </si>
  <si>
    <t>Ramom Alsorre</t>
  </si>
  <si>
    <t>goza..... coo 239° D. Pedro Castillo, presbítero............................ Zaragoza..... 500 2179 D. Ramom Alsorre............................................... Coruña....... 500 2443 Sres. D.í Pablo Fernando ,y D. Juan Manuel de Peralta. ..¿...................................................</t>
  </si>
  <si>
    <t>Ramomdel HoMb</t>
  </si>
  <si>
    <t>í..^.;.;i;.¿.iá¿¿i...'., í6. D.. Jaime Ferrer, por^M&amp;es^ák¿o^fói^iíi'énlüále^.^i.l.tfíVv.*-»** 360. D. Ramomdel HoMb?é-fe&amp;eriÓ}? jjóf ag&amp;^fó i*s.-'meñVtíalés....:. 6. D.. CayetanoObregon....... 10. D. Pedro Josef Echenique/ ;tfista de^Gorreos, por agostó á 80 rt»? mensuales........... ¿. ...i.iv</t>
  </si>
  <si>
    <t>Ramón'Prieto y Ortega</t>
  </si>
  <si>
    <t>viudas 2. ¡ un pantalón dé paño. - J D. Andrés'!Pcr¿zG¿rrt¡ca 4. D. Santiago Fernandez una ¿ámrsa. D. Ramón'Prieto y Ortega 12. D. Jacebo Obispó, una. / Btyñi Fyancíica Márquez una i Doña María-Margarita Llprde 2l 4 D. Juan Antonio Gironda 2* D. Francisco .Antonio de Rivacobay D. Manuel «de íaHóz 2. Gd</t>
  </si>
  <si>
    <t>Ramona</t>
  </si>
  <si>
    <t>.......... Madrrd\../.í. :i Soo 62 j D. Dpminjgb Fernandez de Espina......¡Madrid!.../.!. ,300 2293 Doña Ramona. AyUez..; Cádiz.,¿.„.i. 300 200 Sres, í^íovéHa padre é Mj,o ; Alicante...»,!. 1500 375 D., Jósef-Fr^yle.c&gt;.Cádiz.../....J. , qpo 10 B., SarítiaglbL A.l.dato.a##»»• *«/&lt;«v..,.j ¡.</t>
  </si>
  <si>
    <t>Ramona Cabañas</t>
  </si>
  <si>
    <t>&lt; «Comisionados. 1460 D. Josef Lizalde,..,,................... ................ / a....... '500 373 Doña Ramona Cabañas................................ Cádiz......... 341 D. Tomas.de Urrutia...,,..,....... Cádiz.,,...... * l oo 1854 D.. Josef Ventura García. Herrero..'....... ........ : Zaragoza.,</t>
  </si>
  <si>
    <t>Ramona Castelis</t>
  </si>
  <si>
    <t>.... 3000 353 D. Tomas Josef de Vilches.... ................... Cádiz.................... . 30® 861 Doña Ramona Castelis.... 1................................ Madrid ....... IOO® 2128 D. Juan Antonio López y Glavería...... ......... Zaragoza..... 300</t>
  </si>
  <si>
    <t>Ramona de Parada</t>
  </si>
  <si>
    <t>..... 300 1701 D. Joiséf Bóútet....................................... . Cádiz......... . 300. 1802 Doña Ramona de Parada............................ Zaragoza..... 30.0 2107 Sres. Vienne yLarue............................................ . Cádiz............ 1700 228 L D. J uan Henrique Conrad........</t>
  </si>
  <si>
    <t>Ramona del Castillo</t>
  </si>
  <si>
    <t>Cervera 45 acciones del banco nacional de S. Cirios, núms. 33775 á 33819» llenas á favor de la Sra.Doña Ramona del Castillo, su esposa. Si alguna persona supiere del paradero de estas acciones, se servirá dar noticia de él al mismo señor conde» residente en la ciudad de Huete y en Madrid en la secretar</t>
  </si>
  <si>
    <t>Ramona Navarro</t>
  </si>
  <si>
    <t>riel Gómez , ayuda de gefe del ramillete de S. M., id... ico. Doña María Teresa Vázquez y su criada Doña Ramona Navarro, id.;..... ............................................ .................................... 180. Francisco Antonio Muñoz, mayoral del abasto de carnes, id.... 120. D. Domingo de</t>
  </si>
  <si>
    <t>Ramona Pérez Esteban</t>
  </si>
  <si>
    <t>es de calcetas. camisas. Doña N. una casaca, una chupa y 2 Doña Josefa Perez Esíéban 6. cinturones. Doña Ramona Perez Esteban 6. D. M. B. 4 camisas y unas hilas. D. Cayetano de la I ana y su criada D. Andrés de Tejada 6 camisas. Isabel García 6. D. Antonio García Roa 12. Doña R. F. L. 2. D. Francisco Ign</t>
  </si>
  <si>
    <t>Ramona Tapies y Muya</t>
  </si>
  <si>
    <t>, 6 pares de calzones, 2 chaquetas y 2 pantalones pardos. Doña Josefa de Elosua y Leiva una camisa. Doña Ramona Tapies y Muya 2. £1 Excmo. Sr. marques de; Montealegre, conde de Oñate, 48. D. Manuel García Serralde 2. La condesa de S. Rafael 36. D. Josef Ortega y sus dos hijas 2. D. Mariano Sancho, admini</t>
  </si>
  <si>
    <t>Ramona y Vicenta Martínez Vállelo</t>
  </si>
  <si>
    <t>.... Bilbao......... 500 j 220 D. Indalecio Moreno Montenegro de Velasco.. Bilbao......... 300 14 5 Doña Ramona y Doña Vicenta Martínez Vállelo...... ............. ............................. . Valencia..... 360 553 D. Castor García de Castro.............. •......... . Madrid........ Jóo 2370 D. Santiago Arnedo.........</t>
  </si>
  <si>
    <t>Ramona, María</t>
  </si>
  <si>
    <t>María Ramona</t>
  </si>
  <si>
    <t>g 12. D. Manuel Martínez de Aedo y Do­ Doña Cándida Irueta, sirvienta, una. ña Bernarda Arnaiz una. Doña María Ramona deAguirre 100. Sres. Santibañez y Ximeno 20. Doña María del Pilar Martínez de Doña Saturnina Mexia 2. Murga 50. Doña María Josefa de Ladalid 2. D. Evaristo Perez de Castro 6 id. y D.</t>
  </si>
  <si>
    <t>Ramos y Pereda, Ramón</t>
  </si>
  <si>
    <t>Ramón Ramos y Pereda</t>
  </si>
  <si>
    <t>clesiástica, en intereses de vales reales de 1800 id.............................. ......... . 631, D. Ramón Ramos y Pereda, agente de Indias, id................ . 500. D. Manuel Cosido, comisionado de reales Provisiones, en intereses de vales reales del año de 1800 id......... . .....................</t>
  </si>
  <si>
    <t>Ramos Zafra, Manuel</t>
  </si>
  <si>
    <t>Manuel Ramos Zafra</t>
  </si>
  <si>
    <t>enuderos; D; Francisco Galvez de Quirós, D. Manuel González Rodríguez, D. Pedro Gorron de Cisneros, D. Manuel Ramos Zafra, D. Angel de Sata y Zubiria, D. Manuel de Negueruela, D. Andrés de Larreta y D. Joaquín de Romaña; D. Diego García de Millar, Manuel Alonso Gómez, del gremio de botilleros; Santia</t>
  </si>
  <si>
    <t>Ramos, Antonio</t>
  </si>
  <si>
    <t>Antonio Ramos</t>
  </si>
  <si>
    <t>Manuel Sánchez, dePalencia, de 2# años. Premios segundos. Medallas de plata de j onzas. Pintura : á*D. Antonio Ramos, de Madrid, de 19 años. Escultura: á I). Télesfóro Dumandre, del real sitió deí'S. Ildefbnsói'dé 2i Janos. Arquitectura : á D; Manuel Rodríguez, de Madrrd^ dé ^-Ufúés.'CrraBado rd</t>
  </si>
  <si>
    <t>Ramos, Francisco</t>
  </si>
  <si>
    <t>Francisco Ramos</t>
  </si>
  <si>
    <t>...,............. 15. D. Sebastian López Olivares, mensualmente................................ 20. D. Francisco Ramos, mensualmente.............................................. 20. Pedro de Uria, peluquero, mensualmente.................................... 60. D. J. G. U. , mensualmente..........</t>
  </si>
  <si>
    <t>Ramos, Henrique</t>
  </si>
  <si>
    <t>Henrique Ramos</t>
  </si>
  <si>
    <t>ea y de Orea. Elementos ó primeros conocimientos de la enseñanza y disciplina de la infantería: por D. Henrique Ramos, primer teniente en el regimiento de guardias Españolas. Contiene la elección de los reclutas, y de su enseñanza: las formaciones hechas de varios modos: los fuegos en formaciones</t>
  </si>
  <si>
    <t>Ramos, Juan</t>
  </si>
  <si>
    <t>Juan Ramos</t>
  </si>
  <si>
    <t>tín el Amigo fiel, registro de comercio, procedente de Montevideo, en 71. dias de viage. Su maestre D. Juan Ramos, dice salió de dicho puerto despachado por la Junta de gobierno establecida en el con pasaporte ingles y pliegos para esa suprema Junta, que conduce el diputado D* Josef Raymuiido</t>
  </si>
  <si>
    <t>Ramos, Luis María</t>
  </si>
  <si>
    <t>Luis María Ramos</t>
  </si>
  <si>
    <t>onsía dé la catedral de Mondoñedo, vacantes por fallecimiento de D. Juan Andrés Yebra y Rio? mol, á D. Luis María Ramos, canónigo de la de Salamanca; para esta re-, sulta á D. Andrés Castaúon Rodríguez, pomo haber teñido efecto el nombramiento que S. M. tuvo á bien hacer en él para otra canongía de</t>
  </si>
  <si>
    <t>Randall</t>
  </si>
  <si>
    <t>hecho ya alambres de este metal, que se h¿ tenido hasta ahora por una de las sustancias mas duras. Mr. Randall, vecino de la propia ciudad, ha hecho cubrir su casa con planchas de zinc. Parece que los gastos de la fabricación no suben á mucho. HOLANDA. Utrecht _9 de junio, . . Habiendo S.</t>
  </si>
  <si>
    <t>Ranero, Francisco</t>
  </si>
  <si>
    <t>Francisco Ranero</t>
  </si>
  <si>
    <t>otacén de Madrid , por una vez»,................... ....................................... .. $00. D. Francisco Ranero, presbítero y relator del consejo de la Inquisición, por una vez.».»..»................ ...........................i..». Iloo» D. Antonio Saez de Zaldua, oficial de la tesorería m</t>
  </si>
  <si>
    <t>Rañier, Benito</t>
  </si>
  <si>
    <t>Benito Rañier</t>
  </si>
  <si>
    <t>160. M. G. V., id............. ..................... ......................................... 500. D. Benito Rañier, id......... ...... 240. D. Juan y Doña María Duque , en recibos del Fondo vitalicio, id.............. ............................................................................</t>
  </si>
  <si>
    <t>Ranz Romanillos, Antonio</t>
  </si>
  <si>
    <t>Antonio Ranz Romanillos</t>
  </si>
  <si>
    <t>Miguel de Azanza, ministro de Hacienda. El Sr. D. Mariano ‘ Luis de Urquijo, consejero de Estado, y D. Antonio Ranz Romanillos^ del consejo supremo de Hacienda, "han desempeñado las funciones de secretarios. La asamblea, después de haber procedido á la verificación de los poderes de bada uno dé'sus miembr</t>
  </si>
  <si>
    <t>sempeñando, las funciones de secretarios el Sr. D. Mariano Luis de IJrquíjo, consejero de Estado, y D. Antonio Ranz Romanillos, del supremo de Hacienda, se procedió á la verificación de los poderes de cada uno de sus miembros, y se leyó un decreto publicado por el consejo real, que contiene la cesión de S</t>
  </si>
  <si>
    <t>Soto , á D. Josef García de León y Pizarro, á D. Ignacio Martínez de Villela, á D. Manuel Romero, á D. Antonio Ranz Romanillos, á Don Estanislao de Lugo, á D. Pablo de Arribas, á D. Francisco Angulo, á D. Juan Antonio Llórente, y á D. Antonio de la Cuesta y Torre^Mi ministro secretario de Estado queda enc</t>
  </si>
  <si>
    <t>Ranzón García de Meneses</t>
  </si>
  <si>
    <t>ia. Por providencia de D. Josef Montemayor, juez de lo civil en la ciudad de Cádiz, y escribanía de D. Ranzón García de Meneses, se ha mandado citar y emplazar á los acreedores no comparecientes ó desconocidos que lo sean y estimen tener derecho á los bienes de la testamentaría de D. Josef Ignacio de Leque</t>
  </si>
  <si>
    <t>Raya, Juan</t>
  </si>
  <si>
    <t>Juan Raya</t>
  </si>
  <si>
    <t>nte el Sr. D.Tórquató Antonio Collado, teniente corregidor de esta villa, y escribanía de número de D. Juan Raya, el dia 12 del corriente de doce á una. j ■ AVISO. ;............ -- ■ . ,En 23 «ñero remitió: D. Ignacio de Epalzar, vecino de la villa de Orozco, señorío de Vizcaya, á D. Pablo A</t>
  </si>
  <si>
    <t>a ante el Sr. D. León de Sagasta, teniente corregidor de esta villa, por la escribanía numeraria de D. Juan Raya, dentro de dicho término contado desde el 15 de febrero próximo pasado. En. virtud de providencia del Sn D. León de Sagasta, teniente corregidor de esta villa, y escribanía del nú</t>
  </si>
  <si>
    <t>Raygada, Manuel</t>
  </si>
  <si>
    <t>Manuel Raygada</t>
  </si>
  <si>
    <t>....... Valencia. IOOO 2173 Sr. Conde de Medina Contreras....................... Coruña... 600 1830 D. Manuel Raygada........................................... Zaragoza. 500 2170 D. Vicente Fernandez Reguera........................ Coruña....... 500 2381 D. Miguel Peyro..........................</t>
  </si>
  <si>
    <t>Real de BaVierá, Príncipe</t>
  </si>
  <si>
    <t>Príncipe Real de BaVierá</t>
  </si>
  <si>
    <t>viéra casará con nuestro Príncipe heredero, y uña de íás hermariás deí Emperador de Ru-* sia con el Príncipe Real de BaVierá. / ¿ O J ’:í ! r¿ La guarnición francesa de Braunaií evacuarla plaza él io del corriente á las 8 de la mañana. Sus enfermos quedarán en el hospital de Passau. SAXONIA. Varsovia^ 4</t>
  </si>
  <si>
    <t>Real de Dinamarca, Príncipe</t>
  </si>
  <si>
    <t>Príncipe Real de Dinamarca</t>
  </si>
  <si>
    <t>marcha ae las tropas que están acantonadas eñ estas inmediaciones. Aquí se cree generalmente que el Príncipe Real de Dinamarca ha venido de incógnito á esta ciudad, y que ha tenido una conferencia con el Príncipe de Pontecorvo. ,, PRUSIA. Breslau 20 de febrero. Acaba de publicarse áqui de oficio lo siguie</t>
  </si>
  <si>
    <t>Real de Viirtemberg, Príncipe</t>
  </si>
  <si>
    <t>Príncipe Real de Viirtemberg</t>
  </si>
  <si>
    <t>nuestros Soberanos acompañados del Príncipe Real, del Príncipe Carlos y de la Princesa Carlota. El Príncipe Real de Viirtemberg ha pasado por aquí y porUlma.de incógnito, y ahora estará ya en Munich. Se asegura que el Rei de Baviera se propone elevar ¿ muchos condes de su reino á la clase de príncipes. REI</t>
  </si>
  <si>
    <t>Real, Antonio Luis</t>
  </si>
  <si>
    <t>Antonio Luis Real</t>
  </si>
  <si>
    <t>yetano González de Loriga, sirviente...................... ........... . 40. P. Antonio Luis Real, teniente general de la real armada, un' vale de 150 pesos de enero, por una vez..........2316 D. Francisco Antonio de Cosío, contador jubilado de temporalidades de^Indias;....í..A..v..v..i</t>
  </si>
  <si>
    <t>Rebolledo de Pal, Francisco</t>
  </si>
  <si>
    <t>Francisco Rebolledo de Pal</t>
  </si>
  <si>
    <t>e tiempo*, pues, carecían absolutamente de arbitrios para, subsistir.. Madrid a o. de' Septiembre'. D. Francisco Rebolledo de Pal&amp;fox y Melci, segundo' general del exército de Aragón9 y diputado» nombrado- por</t>
  </si>
  <si>
    <t>Recio, Mateo</t>
  </si>
  <si>
    <t>Mateo Recio</t>
  </si>
  <si>
    <t>...... 15 00. D. Ciríaco Martin de la Peña, id................................................ 160. D. Mateo Recio , id...................................................................... 300. F1 marques de Melgarejo, id...................................... ................. 500. Doña Domin</t>
  </si>
  <si>
    <t>Recio, Miguel</t>
  </si>
  <si>
    <t>Miguel Recio</t>
  </si>
  <si>
    <t>as entregas de los donativos á la patria. En Almagro......... D. Bartolomé Flore*. En Ciudad-Real.. D. Miguel Recio. En Cuenca....... . Los Sres. viuda de Escolar y Noriega. En Toledo............ D. Juan Cruz Sanz de la Torre. En Avila.............. D. Fernando Echepare y sobrinos* En Quadalaxa</t>
  </si>
  <si>
    <t>Recio, Pablo</t>
  </si>
  <si>
    <t>Pablo Recio</t>
  </si>
  <si>
    <t>Vera, gobernador de Madrid.... .......................... x ir El Sr. D. Francisco Gil de Lemos. 2 D. Pablo Recio, sumiller de cortina. l............ El marques de Alcañices................. .......r El marques de Bendaña........ . %■ D. Andrés Julián, subteniente de la partida de descubierta</t>
  </si>
  <si>
    <t>Redin, Joaquín</t>
  </si>
  <si>
    <t>Joaquín Redin</t>
  </si>
  <si>
    <t>.. . 3 00 1950 D. Josef María Jalor.................... ...... ........... . Zaragoza..... óoo 1314 D. Joaquín Redin, comerciante...................... . Valenda.... 600 L318 D. Diego Bordehore y compañía.................. Valencia.... 300 1180 Conde de la Estrella...............................</t>
  </si>
  <si>
    <t>Rediog, General</t>
  </si>
  <si>
    <t>General Rediog</t>
  </si>
  <si>
    <t>125 Noticias de oficio del exércit*. La vanguardia del General Rediog, ai mando del Brigadier Veiiogas, encontró en Mengibar ai enemigo la mañana del 14, que no se atrevió á oponérsele. La división entera de Reding, compuesta de 9'}. hombres de buen</t>
  </si>
  <si>
    <t>Redruelio, Manuel</t>
  </si>
  <si>
    <t>Manuel Redruelio</t>
  </si>
  <si>
    <t>nci pal ¡de-las obras, reales* por una vez.................................................... 300. D. Manuel Redruelio, almacenista de carbón, por unq vez...... 500. Ignacio Alvarcz, hosterero, por una vez.............................. 200. D. Baltasar García^iayudadeJarfurriera de S. M.,,por una</t>
  </si>
  <si>
    <t>Reed</t>
  </si>
  <si>
    <t>ueiad. ?. ■■ V. Con el Sr. Reding ha venido un ingles, edecán de su hermano el gene-. ral , llamado Mr. Reed. Este joven, enviado por su padre para aprender ho-» nór, valor y patriotismo en las trppas españolas, ha sido uno de los espectáculos mas tiernos que ?e han presentado entre los</t>
  </si>
  <si>
    <t>de suizos de Reding con i3. plazas, y su coronal el brigadier D. Narciso Reding , con el qual viene Mr. Reed , edecán de 911 hermano el general de este nombre, joven qüe ha venido'á España enviado por su pádre, para aprender eñ la</t>
  </si>
  <si>
    <t>caminando 200. hombres para unirse con el de Oalicia y las cartas que; ha.; recibido de Inglaterra Mr. Reed aseguran que vienen, otros ao¿). hombres para unirse, con el. exército. español, situado ep el, norte*. Kioh. io.. de: Noviembre* „ Hemos tenido delante de Barcelona ,1a. acción m</t>
  </si>
  <si>
    <t>Reembolt</t>
  </si>
  <si>
    <t>ínea el Tigre, de 74 , y algunos «tros han recibido orden de partir para el Mediterráneo. El famoso Mr. Reembolt, antiguo encargado de negocios de Inglaterra en Hamburgo, falleció en Memel el 15 de diciembre último. El almirante Sir Bariov Marren reemplaza al almirante Berkíey en eí mando de</t>
  </si>
  <si>
    <t>Regalado del Campo, Pedro</t>
  </si>
  <si>
    <t>Pedro Regalado del Campo</t>
  </si>
  <si>
    <t>Madrid...»» 600 1865 ^Doña Tomasa Cruzado................................. . Zaragoza..... 500 2030 D. Pedro Regalado del Campo......................... Cádiz........... 3°° 836 D. Fermín Carnerea Vela................. ..........¿». Madrid....... 500 1211 D. Juan Josef Villodas Bilbao....... ..............</t>
  </si>
  <si>
    <t>Regalado González, Pedro</t>
  </si>
  <si>
    <t>Pedro Regalado González</t>
  </si>
  <si>
    <t>gos y vacante por promoción de D. Joaquín Bustámantey Alh marza á canongía de la propia Iglesia, á; D. Pedro Regalado González , teniente behéficíádb de la parroquia dé Sta. María' de la 'villa dé Gúmíel de Izan en el obispado deOsma; y para el benefició sacristía dél ^ú^át dé1 Malpartida de Cáceres, en l</t>
  </si>
  <si>
    <t>Regente de Portugal, Príncipe</t>
  </si>
  <si>
    <t>Príncipe Regente de Portugal</t>
  </si>
  <si>
    <t>siguientes son dignos de mención. —.Por el Rei.—Por Fer.N4.ndo vii.—Por el Rei de Suecia.__ Por el Príncipe Regente de Portugal. — Por la et rna amistad y unión entre Espayña é Inglaterra.—-Por SS. EE. los diputados españoles, y feliz éxito de sus esfuerzos.-_Por Keats y su* escuadra, libertadora de las tr</t>
  </si>
  <si>
    <t>vo el nH mor de que la Martinica se halla en nuestropoder*í r: ’; : s ?dí El 1.° de mayo publico el Príncipe Regente dé Portugal «tí su corte de Rio-Janeiro un manifiesto, en que después de detallar las violencias*yactos de injusticia que contra S. A. y sus dominios ha cOihetido el gobierno ¿ramees, declara</t>
  </si>
  <si>
    <t>Regente del Brasil, Príncipe</t>
  </si>
  <si>
    <t>Príncipe Regente del Brasil</t>
  </si>
  <si>
    <t>de los bayliages de Goopéide y Opsen. GRAN BRETAÑA, J : 1 Londres 9. de Junio. • ' Por decreto del Príncipe Regente del Brasil, dado 01* %%• de Enero, se permite la libre salida de los productos de aquél páis, exceptuando el palo de tinte, diamantes y oro en' polyo. $e permite ja importación, de todo gene</t>
  </si>
  <si>
    <t>Regidor Florez, Juan</t>
  </si>
  <si>
    <t>Juan Regidor Florez</t>
  </si>
  <si>
    <t>ró presidente de ella y coronel del cuerpo al Excmo. Sr. duque de Alba, y en su nombre y ausencia á D. Juan Regidor Florez, su administrador de aquel estado, á quien se le dio la graduación de coronel, la de teniente coronel á D. Manuel de Coca , y la de sargento mayor del mismo á D. Miguel Gómez, r L</t>
  </si>
  <si>
    <t>Regnaud de St</t>
  </si>
  <si>
    <t>ecretarios. Motivos del senadoconsulto sobre la conscripción del año /8op. Discurso pronunciado por Mr. Regnaud de St.-Jean-d'Angelí, ministro de estado. ,,Senadores: Quando vuestra prudencia puso sobre las armas ¿ foseaos^ critos del año de 1808, el objeto de vuestros deseos era la paz, preparad</t>
  </si>
  <si>
    <t>Reguero, Benito</t>
  </si>
  <si>
    <t>Benito Reguero</t>
  </si>
  <si>
    <t>■M44D. Antonio María Izquierdo 500. D. Benito Reguero 180 rs. 17 mrs. Doña María Perez, sirvienta, 20. en id. D. M. 40. Df V. para las viudas de los defenDonar Agustina Picos 80. sores de; Zaragoza 190c» en metáli* Doña Ines Ramírez</t>
  </si>
  <si>
    <t>Reí, Miguel</t>
  </si>
  <si>
    <t>Miguel Reí</t>
  </si>
  <si>
    <t>onel del de España, graduado de coronel; y capitán de granaderos en el suizo de Reding número 3.0 á D. Miguel Reí, capitán segundo del propio cuerpo. En el regimiento de infantería de Ñapóles se ha servido el Reí conceder subtenencia de bandera al sargento primero D. Lorenzo Combé. Para una p</t>
  </si>
  <si>
    <t>Reina Isabel</t>
  </si>
  <si>
    <t>ca en aquel reino en tiempo de la' Reina Doña María-la reversión al cisma de lá Reina Doña Isabel ,hija del mismo Hénrique vili ; y la prisión y muerte de María, Keina de Escocia, por mandado de Isabel: un tomo en 4.0-l»Poésc» sagrada: himnos dei breviario romano, traducidos al cast</t>
  </si>
  <si>
    <t>Reinhard</t>
  </si>
  <si>
    <t>recibir en esta ocasión de parte del Emperador. La dieta ha votado después el que se den gracias á Mr. Reinhard, landaman en el año anterior, y que envió dicha embaxada; i Mr. Wattenwil, enviado extraordinario á París, y á Mr. Mousson, con</t>
  </si>
  <si>
    <t>Reinoso, Domingo</t>
  </si>
  <si>
    <t>Domingo Reinoso</t>
  </si>
  <si>
    <t>........................ 100. D. Juan Antonio Meco, sacristán de dicho oratorio, id............ 80. D. Domingo Reinoso, boticario, id........................................... . 400. El alcalde de barrio de las Descalzas, id......... ............... 520. Francisco López, mozo de compra, id.......</t>
  </si>
  <si>
    <t>Rejón de Silva, Diego</t>
  </si>
  <si>
    <t>Diego Rejón de Silva</t>
  </si>
  <si>
    <t>erti. En 4.0 marquilla: traducido é ilustrado con algunas notas, y adornado con buenas estampas por D. Diego Rejón de Silva: en pasta 42 rs. , y en papel 34. .• 1 Gramática; ingina y castellana. Por el P. Fr, Tomas Connelli, á 13 rs* en papel, y 17 en pasta. Nueva y completa gramática italiana; por D,</t>
  </si>
  <si>
    <t>Remoñ, Francisco</t>
  </si>
  <si>
    <t>Francisco Remoñ</t>
  </si>
  <si>
    <t>pendiente de su casa, por id. á 180 rs., id., 180. D. Lorenzo Serrano, id¿ de id., por ahora 1© rs. D. Francisco Remoñ, abogado, en cuenta de 3© rs. por una vez, 1©. Juan Rodríguez, por agosto 6 rs. D. Josef Company, oficial de la secretaria de Hacienda, por ahora 1 joo rs. D. Juan Aran , por una</t>
  </si>
  <si>
    <t>Rengel, Juan</t>
  </si>
  <si>
    <t>Juan Rengel</t>
  </si>
  <si>
    <t>a servido conferir el regimiento de infantería inmemorial del Rei al teniente coronel del de Aragón D. Juan Rengel: él de Zamora al teniente coronél del mismo cuerpo, graduado de coronel, D. Antonio Da#¿ court;: el de Saboya al teniente coronel del de Zaragoza, graduado de&lt; coronel , D. Josef</t>
  </si>
  <si>
    <t>lada 7 oficiales, de quienes se cree pasaron al exército de Aragón. El resto, compuesto del coronel D. Juan Rengel, sargento mayor D. Ramón Gómez, capitán D. Luis Aifaráz, tenientes D. Gerónimo Ríos , D. Marcos Arnaiz, D. Rafael León, subteniea</t>
  </si>
  <si>
    <t>Rengel, Miguel</t>
  </si>
  <si>
    <t>Miguel Rengel</t>
  </si>
  <si>
    <t>r del real cuerpo de artillería; D. Ignacio Martínez Valiejo, coronel de voluntarios de Castilla; y D. Miguel Rengel, coronel del real cuerpo de ingenieros, primeros ayudantes generales. D. Josef O-Donel!,. comandante del tercer batallón de voluntarios de la Corona, en Londres; y D. Juan de la V</t>
  </si>
  <si>
    <t>Requejo, Domingo</t>
  </si>
  <si>
    <t>Domingo Requejo</t>
  </si>
  <si>
    <t>rs. anuales............................... ......................... ........................ 550. D. Domingo Requejo , 320 id. en intereses de vales, y pico en efectivo.......................................... ............................................ 220 17. D Camiio González Perea, 2 rs. d</t>
  </si>
  <si>
    <t>Requejo, Gerónimo</t>
  </si>
  <si>
    <t>Gerónimo Requejo</t>
  </si>
  <si>
    <t>una ración de la catedral de Cuenca., vacante ¡por fallecimiento de D. Patricio Sánchez Hidalgo , í D, Gerónimo Requejo, medio-racionero de la misma iglesia; y para la media-ración que este dexa, á X). Miguel Felipe Briz:</t>
  </si>
  <si>
    <t>Reúaga, Juan Benito</t>
  </si>
  <si>
    <t>Juan Benito Reúaga</t>
  </si>
  <si>
    <t>........ 600 69 D. Manuel Dalmau............................................ Barcelona.... 300 1903 D. Juan Benito Reúaga.................................... Zaragoza..... 600 .297 Luis Antonio García............................................ Málaga......... I fOO 1324 D. Pascual Camps.............</t>
  </si>
  <si>
    <t>Revuelta, Andrés</t>
  </si>
  <si>
    <t>Andrés Revuelta</t>
  </si>
  <si>
    <t>marzo, cada úna de 933 rs. y 11 mrs.: la otrá del mes de marzo de 533 rs. y 11 mrs. Se entregarán á D. Andrés Revuelta, sacristán mayor del Buen-suceso. Quien se haya encontrado un borrico rucio mediano de 4 años, que se perdió en las inmediaciones del portillo de Valencia el día 28 de julio, lo e</t>
  </si>
  <si>
    <t>Revuelta, Juan Antonio</t>
  </si>
  <si>
    <t>Juan Antonio Revuelta</t>
  </si>
  <si>
    <t>.................................................................................. ........ 180 17. D. Juan Antonio Revuelta, 300 rs. por 5 meses á 60 mensualmente,' y ademas una acción de 4® rs. del real Empréstito, id.. 43oq. Josef de Úrisabel, id................................... ............. .....</t>
  </si>
  <si>
    <t>Reynaite, Rafael</t>
  </si>
  <si>
    <t>Rafael Reynaite</t>
  </si>
  <si>
    <t>Caños del Peral. El señor corregidor, barrios de la Encarnación y Doña María de Aragón. El regidor D. Rafael Reynaite la de los barrios de la puerta de Scgovia y Sacramento. Quartel del Barquillo. El alcalde D. Manuel María Junco hará la de los barrios de S. Pascual, Mercenarias y~€apuctrinos deia^PffereAc</t>
  </si>
  <si>
    <t>Ri, Tadeo</t>
  </si>
  <si>
    <t>Tadeo Ri</t>
  </si>
  <si>
    <t>.,..... 6. D. Pedro de Eliceche,. 2 rs. diarios, por agosto 62. D. Sebastian. .Eri.che, 2, Id?, 62. D. Tadeo Ri,qo, Arnedo,,,3.id. id.... . 93D. Antonio .tlgnipa, pfidal.de Ja contaduría de los, señores. Inr fardes, 8 id*, id»».•••■ v , 248. Doña Francisca .Xaviera de Garai, viuda, 6; id. p</t>
  </si>
  <si>
    <t>Riaño, Francisco</t>
  </si>
  <si>
    <t>Francisco Riaño</t>
  </si>
  <si>
    <t>po de la acción. El exento D. Josef Puig, los cadetes D. Juan Bóveda y Ignacio Mora, y les guardias D. Francisco Riaño * Josef Ggvantes, D. Josel Sóstoa, D. Manuel Zt rraquin y Don Felipe Luengo, serán eternamente nombres mui apreciables, que nos recordarán unos de los defensores mas seguros y val</t>
  </si>
  <si>
    <t>Ribas, Juan Antonio</t>
  </si>
  <si>
    <t>Juan Antonio Ribas</t>
  </si>
  <si>
    <t>cer postura, lo executará por la escribanía que desempeña Claudio Constanzo, _ » Por providencia de D. Juan Antonio Ribas, subdelegado en el departamento de la ciudad de Mérida en la diócesi de Badajoz, se ha señalado el dia id del presente para el remate de 2 dehesas nombradas las Raposeras y Sequer</t>
  </si>
  <si>
    <t>Ribera, Andrés</t>
  </si>
  <si>
    <t>Andrés Ribera</t>
  </si>
  <si>
    <t>.......... 300 374 D. Juan Manuel de Peralta.............................. Cádiz........... 600 382 D. Andrés Ribera, canónigo de Santiago...... Coruña.......... 300 1892 D. León de Galarza.......................................... Zaragoza.... 300 1682 D. Manuel de Éraña...... .................</t>
  </si>
  <si>
    <t>Ribera, Antonio</t>
  </si>
  <si>
    <t>Antonio Ribera</t>
  </si>
  <si>
    <t>2 camisas. D. Dámaso Santos Martínez 2. Doña Micaela Ramona Nicolasa 2. Doña Clara Sexti y Badan 6. Don Antonio Ribera 6 camisas de coruña. Las religiosas de las Vallecas 10. D. Josef Benitez 6. Doña Gertrudis Padella de Cano una. Doña María Ricarte 2. Día 27. D. Manuel González Peral 2 camisas. U</t>
  </si>
  <si>
    <t>................... 60. D. Pedro Morales Pastor, abogado del Colegio, id.................... . 200. D. Antonio Ribera , cincelador, en intereses de vales reales, id. 361. D. Antonio María Izquierdo, capellán de honor de $. M., id... 1500. D. P. J. M., id...........................................</t>
  </si>
  <si>
    <t>Ribera, Manuel</t>
  </si>
  <si>
    <t>Manuel Ribera</t>
  </si>
  <si>
    <t>arez de Labraría, D. Juan Tornáguera, D. Manuel-Vidal; D. Bernardo Ansoategui, D. Antoni© Cruz; y á D. Manuel Ribera, comandante del cuerpo de maestranza establecida en la fortaleza, yD. Francisco Cottia , capitán de dicho cuerpo de maestranza , grados de capitán de milicias urbanas: á los subte</t>
  </si>
  <si>
    <t>Ribera, Salvador</t>
  </si>
  <si>
    <t>Salvador Ribera</t>
  </si>
  <si>
    <t>d ............ 300 2140 D. Josef'Angel de Recacochea........................ Zaragoza*.... 500 2211 D. Salvador Ribera é hijos....»......................... Coruña........ 300 1016 D.. Sándalo. Mexía............................... ........... Madrid....... 1500 1833 D. Prudenció María de Berástegu</t>
  </si>
  <si>
    <t>Ribero, Pedro</t>
  </si>
  <si>
    <t>Pedro Ribero</t>
  </si>
  <si>
    <t>anuel Morales y Espinosa.:?Por acuerdo de la Junta, Antonio Baldcmero Aguilera, secretario. = Sres. D. Pedro Ribero y D. Josef Manuel Careta dela Tere. ' y ' * Antonio Baldomcro Aguilera, escribano del Rei nuestro Señor, público del número, y mayor del ilustrísimo ayuntamiento de esta imperial ciud</t>
  </si>
  <si>
    <t>Ric, Pedro María</t>
  </si>
  <si>
    <t>Pedro María Ric</t>
  </si>
  <si>
    <t>y demás documentos, pa'ra acreditar el parentesco, en el perentorio término de 30 dias, ante el Sr. D. Pedro María Ric, caballero de la real y distinguida orden española de Cárlos ni-, del consejo de S.M., s¡u regente de la real audiencia del reino de Aragón, y juez de la comisión militar del mism</t>
  </si>
  <si>
    <t>Ricarde, Pedro</t>
  </si>
  <si>
    <t>Pedro Ricarde</t>
  </si>
  <si>
    <t>......... 300 J052 D. Francisco García de Trevilla....... ............. * Madrid .....i.* 500 *2339 D. Pedro Ricarde.............................. ......... Zaragoza.. je© 1325 D. Josef Serrano y Monzon............................. Valencia.....' 5#© 1942 Sra. Condesa viuda de Bureta............</t>
  </si>
  <si>
    <t>Ricarte, María</t>
  </si>
  <si>
    <t>María Ricarte</t>
  </si>
  <si>
    <t>coruña. Las religiosas de las Vallecas 10. D. Josef Benitez 6. Doña Gertrudis Padella de Cano una. Doña María Ricarte 2. Día 27. D. Manuel González Peral 2 camisas. Una señora viuda de un militar 2. Doña María del Rosario Alarcon 2. D. Diego Alarcon 4. Doña María Teresa Fernandez Delgado 3. Doña</t>
  </si>
  <si>
    <t>Richelieu</t>
  </si>
  <si>
    <t>amente del interior de Rusia muchos trenes de artillería y carros con municiones. ..... r ......- ^ Mr. Richelieu ha ido á Petersburgo, y su viage tiene por objeto, según dicen , recibir instrucciones para la próxima campaña. El gran visir y los t»axaes con dificultad podrán reunir un exércit</t>
  </si>
  <si>
    <t>Rico Villa, Domingo</t>
  </si>
  <si>
    <t>Domingo Rico Villa</t>
  </si>
  <si>
    <t>meses....... D. Luis? Ximenez, 2 id., por 2 meses.......;................. .................. 122. D. Domingo Rico Villa de»Moros, abogado del colegio, 6 id., por agosto^......... ..................................................... ................. ........ 186. D. C. S. B., 2 id., por 3 meses......</t>
  </si>
  <si>
    <t>Rico y Arnedo, Tadeo</t>
  </si>
  <si>
    <t>Tadeo Rico y Arnedo</t>
  </si>
  <si>
    <t>. Juan Bautista de Aguirre.... 3°o 1728 D. Joaquín Rodríguez................. .. Cádiz......... 664 D. Tadeo Rico y Arnedo.......... .. Madrid....... 300 1282 Excmo. Sr. D. Félix Berenguer .. Valencia...., 3 00 2167 D. Juan Hilario Rodríguez...*.. Coruña...;*.* 30 0</t>
  </si>
  <si>
    <t>Rico, Antonio</t>
  </si>
  <si>
    <t>Antonio Rico</t>
  </si>
  <si>
    <t>ciencia ,*■ i d•».................. i v... &amp; 2 3040 j. * i María Martin de Eugenio, sirviente, id. D. Antonio Rico, del ÍOp » . tres pein.es de plata. ' i: , nv . D. Román Sa.nz , 4,rs. diarios,. por. tres meses.........................i ..368*1 Ci D. Martin de S. Martin Navarrete, cura propio</t>
  </si>
  <si>
    <t>Ricote, Rafael</t>
  </si>
  <si>
    <t>Rafael Ricote</t>
  </si>
  <si>
    <t>rcelino Blanco , D. Miguel Martínez, D. Pedro Queipo de Llano, D. Juan Ruiz Dávila, D. Josef Bausá, D, Rafael Ricote, D. Josef Antonio CanosaD. Pablo Muñoz de la Vera y D. Miguel García Marín, diputados de parroquias; D. Nicolás Nicol y Josipf González, por el gremio de menuderos; D; Francisco G</t>
  </si>
  <si>
    <t>Rider</t>
  </si>
  <si>
    <t>I.” Monitor. El Emperador Alexandro ha debido darse por ofendido de la nota que Mr. Canning pasó á Mr. Rider, diciendo que estaba cierto de que la Rusia preservaría á la Dinamarca del justo enojo de la Francia ¿ si después de haber sido privada de su independencia, y dexádose llevar su e</t>
  </si>
  <si>
    <t>Riega, Bernardo</t>
  </si>
  <si>
    <t>Bernardo Riega</t>
  </si>
  <si>
    <t>allero ,-del de Hacienda, con .honores y antigüedad:-del de Castilla.; habiend© manifestado.el, Sr. D. Bernardo Riega, individuo de este último’ Consejo,que por estar citado á él para el mismo objeto y á la misma hora, no podía concurrir ai, tribunal de esta.combaría ; pero quetse tuviese por hec</t>
  </si>
  <si>
    <t>Riera, Francisco Xavier</t>
  </si>
  <si>
    <t>Francisco Xavier Riera</t>
  </si>
  <si>
    <t>el del regimiento de húsares Españoles; D. Josef Agustín de Llano, capitán de dragones de Numancia; D. Francisco Xavier Riera, id. de húsares Españoles; y D. Julio O-Neill, id. de milicias de Puerto-Rico, ayudantes de campo del general en gefe. D. Estanislao Salvador, capitán del regimiento de la Princes</t>
  </si>
  <si>
    <t>Riesch, Rafael</t>
  </si>
  <si>
    <t>Rafael Riesch</t>
  </si>
  <si>
    <t>Real cuerpo de artillería. Comisario de guerra D. Juan Gorriz, en Hamburgo: con licencia. Teniente D. Rafael Riesch, en id.: para él citado convite. Subteniente D. Josef Zacares: fue á llevar pliegos á los cuerpos del Jutland para que se uniesen á la división, y se recela ajue los daneses lo ar</t>
  </si>
  <si>
    <t>Riga, Antonio</t>
  </si>
  <si>
    <t>Antonio Riga</t>
  </si>
  <si>
    <t>...... 4500. La marquesa de Fontanar, en iJ. id.......................................... . . 2700* D. Antonio Riga, id.................. .......... ......... i............................ . 100. , D. E. D., en vales reales, y un recibo de intereses, id............. 2354 l9• D. F. J. S. C. , en</t>
  </si>
  <si>
    <t>Rigo</t>
  </si>
  <si>
    <t>el Emperador Napoleón el voto unánime de la nación por la reunión de la Liguria al imperio francés. Mr. Rigo, discípulo de las escuelas de Roma y de Paris, tuvo el honor de acompañar al Emperador en Egipto. En cumplimiento del decreto imperial de 19 de febrero de 1806 se ha celebrado hoi</t>
  </si>
  <si>
    <t>Rigo, Miguel</t>
  </si>
  <si>
    <t>Miguel Rigo</t>
  </si>
  <si>
    <t>orriente se venderá en Vannes el rico cargamento del navio el Constante, procedente de Puerto-Rico. Mr. Miguel Rigo, pintor de historia , está actualmente trabajando en Genova un cuadro que representa al Dux , al Arzobispo y á la diputación del senado de Génova, ofreciendo á S. M. el Emperador</t>
  </si>
  <si>
    <t>Riguarf, Salvador</t>
  </si>
  <si>
    <t>Salvador Riguarf</t>
  </si>
  <si>
    <t>**'***•# . Zaragoza...;. 5 60 P, Andrés de Angula.y. compañía............. Madrijd*»;..*;/ 500. 44 D. Salvador Riguarf» Barcelona. 300 34/ Junta degobierno de la. real ..compañía. de la</t>
  </si>
  <si>
    <t>Rincón, Julián</t>
  </si>
  <si>
    <t>Julián Rincón</t>
  </si>
  <si>
    <t>. . 40, Juan Francisco Castro, id............ ..........¿...... ............................ . 400. D. Julián Rincón, maestro dorador á fuego, id........................... 300. D. Bernardo Florez, confitero, id................................. ................... 600. D. (gemente Reguero, médic</t>
  </si>
  <si>
    <t>Rincón, Pablo</t>
  </si>
  <si>
    <t>Pablo Rincón</t>
  </si>
  <si>
    <t>Valencia 30 de. setiembre de 1808. = De orden de la junta suprema de gobierno = Pablo Rincón, secretario vocal. = Narciso Rubio, secretario vocal. Sermo. Sr.: Con la de V. A. S. de i.° del corriente be recibido el do* cumeñto-que lá acompaña , él que me dexa enterado de la instalació</t>
  </si>
  <si>
    <t>Ríos, Gerónimo</t>
  </si>
  <si>
    <t>Gerónimo Ríos</t>
  </si>
  <si>
    <t>uesto del coronel D. Juan Rengel, sargento mayor D. Ramón Gómez, capitán D. Luis Aifaráz, tenientes D. Gerónimo Ríos , D. Marcos Arnaiz, D. Rafael León, subteniea</t>
  </si>
  <si>
    <t>Riquelme, Francisco</t>
  </si>
  <si>
    <t>Francisco Riquelme</t>
  </si>
  <si>
    <t>Vicente Ace vedo, al gefe de encuadra D. Cayetano Valdé.-,, v á los brigadieres conde de S. Román y D. Francisco Riquelme. Madrid de noviembre. La suprema Junta central gubernativa del reino se ha servido expedir á todos los Consejos, con fecha . de 14 del corriente , el real decreto o-ae sigue ,, De</t>
  </si>
  <si>
    <t>Risel, Ramón</t>
  </si>
  <si>
    <t>Ramón Risel</t>
  </si>
  <si>
    <t>......... 30. D. Miguel de Corres, mensualmente............ ..........................i...... ,32o. D. Ramón Risel, 300 id. por 5. meses...... .............................. ....... ^500. D. Antonio Becerrll , administrador de tabaco en, la ¡villa dfe Budi a , un i eal -diaa 10, * .por. 2: n j</t>
  </si>
  <si>
    <t>Ríst</t>
  </si>
  <si>
    <t>nuestra corte, ha venido aquí .desde.Kielí-' j ;j,i .¿'-‘ti-.&gt; i: .¡i :v El 17 llegó á esta ciudad Mr. Ríst, último, encargado de negocios de Dinamarca en la corte de Londres. ~ Las cartas particulares de Suecia aseguran que está convocada ya la dieta .general de aquel reino. r * : _ &gt;</t>
  </si>
  <si>
    <t>Rist</t>
  </si>
  <si>
    <t>los medios de que se valen los ingleses para llegar á sus fines. Núm. i.° Fragmento de una carta de Mr. Rist, encargado de negocios de Dinamarca en Inglaterra, al ministro de estado conde de Bcrns— t°rff. Londres 2 j de setiembre de 180/. .........Para aumentar el peso de estas considera</t>
  </si>
  <si>
    <t>Mr. Rist, último encargado de negocios de la corte de Copenhague en Londres, ha sido nombrado en la misma calidad cerca de la ciudad de Hamburgo. Las cartas de la Crimea de i.° de marzo úl</t>
  </si>
  <si>
    <t>Rita de Ibargtiéñ, María</t>
  </si>
  <si>
    <t>María Rita de Ibargtiéñ</t>
  </si>
  <si>
    <t>b Juan Ahtopk) de Urraza 6 camisas. D. Gregorio Azpeltia y su5 hijo 4.: « D. J uan Bu rruezo 4. ‘ ' Doña María Rita de Ibargtiéñ úna. D. Diego Panlagua 6. i.rr -i.; D. Angel de Urriidhi 4 T D. Silvestre y D. Pélayo Diez Mar- Doña Ines Delgado\ Sirvienta7,1 tinez 2. •r-•* • J'; : J íDoña N. 6*- * ^ 'di ti'«</t>
  </si>
  <si>
    <t>Rita López</t>
  </si>
  <si>
    <t>r de la: escribanía de cámara de Castilla,’ por una.vez • •»•»***•**•• « «^»41 *,M «A*■•«••••♦ 640. Doña Rita López . Corona &gt; su,. mnger, por una 320. Doña Tabel Miguel de García, su hija, por una vez**#•*■* V** *.#*•** . 200 Doña María Josefa de Luna., viuda de D. Pedro González Cal* 3 ■■</t>
  </si>
  <si>
    <t>Rivacoba y Gorbea, Manuel</t>
  </si>
  <si>
    <t>Manuel Rivacoba y Gorbea</t>
  </si>
  <si>
    <t>agosto á 6 rs. diarios por dicho tiempo, 3186. D. Francisco Ignacio de Iturmendi por una vez 4© rs. D. Manuel Rivacoba y Gorbea, cambiante, por una vez 20© rs. D. Francisco García de la Vega, del comercio, por medio año á 6 rs. diarios durante la guerra , 1095. D. Luis Ducós, presbítero, por agosto á 2 rs;</t>
  </si>
  <si>
    <t>Rivafiecha, Joaquín</t>
  </si>
  <si>
    <t>Joaquín Rivafiecha</t>
  </si>
  <si>
    <t>genio Sanz, maestro vidriero, id............................ 100. D. J. A. V. y G., id....... 1000. D. Joaquín Rivafiecha, id. Mk-*. 300.</t>
  </si>
  <si>
    <t>Rivas, Juan Antonio</t>
  </si>
  <si>
    <t>Juan Antonio Rivas</t>
  </si>
  <si>
    <t>re hacer postura, acudí á la escribanía de D. Pedro Boix, en la expresada villa. Por providencia de D. Juan Antonio Rivas, juez comisionado regio en la diócesi de Bajaioz, se ha señalado el día 8 de febrero'próximo para el remate dé las lincas siguientes: la dehesa de las Macillas, sita en término* d</t>
  </si>
  <si>
    <t>postura io executará por la escribanía del cargo de D. Diego Manuel de Lesarri. Por, providencia de D. Juan Antonio Rivas, juez comisionado regio en la dúv cesis de Badajoz, se ha señalado el dia 7 de febrero próximo para el remate de di fuertes de tierra labrantía, sitas en término de la ciudad de M</t>
  </si>
  <si>
    <t>isiere hacer postura acuda á la escribanía que desempeña D. Josef Antonio Godoy. Por providencia de D. Juan Antonio Rivas, juez comisionado regio en la diócesi de Badajoz, se ha señalado el dia 13 del que rige para el remate de 2 suertes de tierra labrantía,sitas en término de la ciudad deMérida,y si</t>
  </si>
  <si>
    <t>Rivero, Pedro</t>
  </si>
  <si>
    <t>Pedro Rivero</t>
  </si>
  <si>
    <t>ado destinó á los Excmos. Sres.. El conde de Altamira, el marques del Villar, el marques de Viilel, D. Pedro Rivero y D. Manuel Avalle, siendo su secretario, el ExcrwvSr. D.. Pedro Cevallos. La sección de Hacienda se compone de los Excmos. Sres. D. Martin Garay, D. Lorenzo Calvo, D. Félix Ovalíe,.</t>
  </si>
  <si>
    <t>Rizor, Manuel</t>
  </si>
  <si>
    <t>Manuel Rizor</t>
  </si>
  <si>
    <t>iordur. También se ha servicio S. M.. cónrérir el régini'ienfp efe dragones de Sagúnfio, al coronel D. Manuel Rizor téménte coronel* del dé Nurnancrayelde húsares Españoles: al coroneí</t>
  </si>
  <si>
    <t>Roberto</t>
  </si>
  <si>
    <t>4 llingwood; la segunda de 6 navios á las del almirante Thornborough, y la tercera de 7 mandada por Sir Roberto ■Strachan. A pesar de esto sé asegura que la escuadra española de Cartagena, compuesta de 5 ñavíos de linea , una fragata y un bergantín, salió al mar el $ de febrero ; que despué</t>
  </si>
  <si>
    <t>Roberto Michél</t>
  </si>
  <si>
    <t>mismas medallas que á los do igual clase de pintura y esadtura. GRABADO. de laminas. El retrato de D. Roberto Michél, que posee su hermano D. Pedro, director de escultura en la academia.dibuxará en una Ímartilla de papel regular j y de este tamaño se grabará á buril en una amina de cobre. Los op</t>
  </si>
  <si>
    <t>Roberto Strachan</t>
  </si>
  <si>
    <t>e amargamente Mr. Calcraft de! almirantazgo y de su omisión en suministrar víveres á la escuadra de Sir Roberto Strachan, de cuyas resultas se vio este almirante obligado á retirarse. Ponderó la ineptitud y aun la incapacidad de los individuos de que se compone el almirantazgo, y concluyó pidiendo s</t>
  </si>
  <si>
    <t>Roberto y Guilleímo Dale</t>
  </si>
  <si>
    <t>calcetas; ‘^ ^ • Doña Ignacia Vellido 12; L- D. N., carpintero, upa camisa. D. Santiago Gonzalo 2. D. Roberto y Guilleímo Dale, inD. Márcos González 6," ' gles , 12. \ Doña Ines Martínez una. D. Antonio Nuñez 2. D. Nicolás Lamiel y Venegas 4. ' Doña Mariana Obregon 3 libras de D. Manuel de Ureta 4. hilas</t>
  </si>
  <si>
    <t>Robira, Juan</t>
  </si>
  <si>
    <t>Juan Robira</t>
  </si>
  <si>
    <t>iuda,dellníantadpi!62^2 D. Josef Badan 1442 en efectos de rs. 17 mrs. en;ÍU ; ■ o . ,:¡ .-o estado. D. Juan Robira 60. Doña Francisca Muñoz 180 rs., 17 JD. T-. B. zop.r, ,r - -;t : ; ;5 - , -&gt;• ■ ■■ mrs. .enlidi-..¿ ¿-■ •':tt: -J,,D.-R&lt;;.-A oh r'á Donativos de camisas y otros efectos,para ej e</t>
  </si>
  <si>
    <t>Robledo, Juan</t>
  </si>
  <si>
    <t>Juan Robledo</t>
  </si>
  <si>
    <t>* _ r La condesa duquesa de Benavente..... 13 D. León Perate........... ......................... 1 D. Juan Robledo............................... 1 1 x El conde de Cantillana.............. . 2 La condesa de Gliemes........ ........ . 2 El marques de Camarasa..................... 2 El conde de</t>
  </si>
  <si>
    <t>Robledo, Luis</t>
  </si>
  <si>
    <t>Luis Robledo</t>
  </si>
  <si>
    <t>do.' " "¿V,.. D. Manuel Gutiérrez de Rozps 30Q. Doña Francisca Pueyo .íGO iS1.;en i¿. ] '' u- A ';• D. Luis Robledo 1,60» ; , s , ¡¡0,1 . i; *TT.- i a Z, C , ‘ ;■ i ^ SL. ¿1 ---l* D. Juan Mata Ribera 320. St'contmúafd* - -" • í * ■ V •, t ú</t>
  </si>
  <si>
    <t>Roblejo, Francisco</t>
  </si>
  <si>
    <t>Francisco Roblejo</t>
  </si>
  <si>
    <t>... 2 •' P. 'Gervasio Hernández Izquierdo.... 1 &lt; p. Antonio Vázquez......................... 1 1 1 D. Francisco Roblejo......... ................. 1 1 1 icabezad. D. Nicolás Apezteguia y Lozano...... 1 El gremio de menuderos......... ........ . 4 P. Francisco Bermejo.......... .............. 1 P. R</t>
  </si>
  <si>
    <t>Roblejo, Vicente</t>
  </si>
  <si>
    <t>Vicente Roblejo</t>
  </si>
  <si>
    <t>. Madtídi..,U 660 . 79 D. Pablo Nadal y Rens.............................. Barcelona.... ' 600 1855 D. Vicente Roblejo.........AA.......................... Zaragoza..... 500 2126 D. A ntonio Satórras.... .7...... .V. .7.. . . .......: Zaragoza.; A. loco 25° ‘D7 Bernardo Gótiíez.........•...... .AA</t>
  </si>
  <si>
    <t>Robustiano Martínez, Manuel</t>
  </si>
  <si>
    <t>Manuel Robustiano Martínez</t>
  </si>
  <si>
    <t>................ 6000. D. Julián Gallego , artífice dorador, id............ ................ . 300. D. Manuel Robustiano Martínez, id................................................ iodo. D. Antonio de Laiseca, en vale.sjreales, id.........i.. 2324 28I D. Ignacio López Sosoaga, dependiente del almacén de cur</t>
  </si>
  <si>
    <t>Roca y Juan de Orihuela, Juan</t>
  </si>
  <si>
    <t>Juan Roca y Juan de Orihuela</t>
  </si>
  <si>
    <t>ente general......................................... ...................... Madrid....... 300 1372 D. Juan Roca y Juan de Orihuela;.;.,.......... Alicante...... 300 1778 D. Juan Manuel de Peralta............. .................. Cádiz.......... 500 1729 Sres. Mansanecu hermanos............i. Cádiz.............</t>
  </si>
  <si>
    <t>Roca y Juan, Juan</t>
  </si>
  <si>
    <t>Juan Roca y Juan</t>
  </si>
  <si>
    <t>... Coruña........ 300 2252 D. Cándido Ramón de Meave.................. . Bilbao........ . 500 1373 D. Juan Roca y Juan, de Orihuela............... Alicante...... 600 499 D. Juan Francisco de Abrisquieta................... Bilbao........ 300 1988 D. Juan Lurbe...,............. .....................</t>
  </si>
  <si>
    <t>z.......... 500 2103 D. Miguel Chambobet....................................... Cádiz...... 600 229 D. Juan Roca y Juan........................................ Alicante...... 300 1750 D. Juan Francisco Muro......................... .......... Cádiz........ .. 600 2324 Herederos de Doña Francisca Ro</t>
  </si>
  <si>
    <t>Roca, Pedro</t>
  </si>
  <si>
    <t>Pedro Roca</t>
  </si>
  <si>
    <t>rid....... 3 00 2172 D. Josef Mendez de Vigo................. .............. Coruña....... 300 1846 D. Pedro Roca..................................................... Zaragoza..... IOOO 1560 D. Apolinar de Iguazan....;...................... ......... Bilbao......... 300 J077 D. Joaquín Ibañez</t>
  </si>
  <si>
    <t>......... Madrid 300 93i D. Francisco Xavier Balmis......................... Madrid...... 500 2459 D. Pedro Roca.................................. ......... . . Zaragoza..... 600 2294 D. Juan Manuel Fernandez de Mier...... , Cádiz ...... . 500 66 D. Pedro Normande............................</t>
  </si>
  <si>
    <t>»«*....................... 24o&gt;. D. Antonio Paño*,.plateropor 6 meses á 60 rs. mensuales...... 360^ D. Pedro Roca del .consejo de Hacienda, y contador dé data de la -tesorería .mayor , 6 503 rs. 25 mrs. por una vez en me. tilico sin perjuicio de 180 rs. mensuales desde 1* de setiembre.......... .</t>
  </si>
  <si>
    <t>do.. . .. ■ .» Di Jgnacio. del Villar 300. ¡ D. P. Y. 275 en id. . . í í Josef Nieto 6bo encédulas. D. Pedro Roca, del consejo de S. M. i DiíPedrOrVelaund^ 2ó. : ;-■; 4©..r Di. Andrés de Andar* y i Sancho 23 2.3 D. Antonio Martínez. Alonso! y su -xisfeff&amp;i mrsiremvales reales. ; muger 128. D.</t>
  </si>
  <si>
    <t>Rocha, Francisco</t>
  </si>
  <si>
    <t>Francisco Rocha</t>
  </si>
  <si>
    <t>..... Zaragoza..... 1 oco ,1546 Sres. Mena, López, Ai-auguren y Pozüeta.... Bilbao........ 500 2393 D. Francisco Rocha....... ....................................... Zaragoza..... 600 317 Juan Bautista Mirasol..—.................................... Málaga....... 300 390 I)., Josef María de Andrade</t>
  </si>
  <si>
    <t>Roché, Felipe</t>
  </si>
  <si>
    <t>Felipe Roché</t>
  </si>
  <si>
    <t>{Diarios de Málaga números 100 y roí.:), Medina de Riese-co j 8 de setiembre. El caballero coronel D. Felipe Roché, de nación ingles, y comisionad# del gobierno Británico, entró ayer en esta ciudad en medio de repetidos vivas y aclamaciones con que le recibió el pueblo, demostrando la gratitud</t>
  </si>
  <si>
    <t>Rodcliníkin</t>
  </si>
  <si>
    <t>ene que están á punto de efectuarse mudanzas de gran consideración, con arreglo al plan formado por Mr. Rodcliníkin; y entre tanto les manda usar en todos los actos de su gobierno del título de Tribunal provisional 3 Magistrado provisional &amp;c. Viena 20 de febrero. , La gazeta de esta ciudad ha</t>
  </si>
  <si>
    <t>Rodofínikin</t>
  </si>
  <si>
    <t>ue los ejércitos esten prontos á marchar al primer aviso. Sin embargo , el consejero de estado ruso Mr. Rodofínikin se dirigid como mediador á lps, baxaes de Bulgaria, de Bosnia y de Albania, y les hizo intimar seriamente que, con respecto al nuevo armisticio, suspendiesen todo movimiento de tr</t>
  </si>
  <si>
    <t>Rodofinikin</t>
  </si>
  <si>
    <t>su publicación en Belgrado., Schabatz, Semendria, y en otras .muchas aduanas de poca consideración. Mr. Rodofinikin, consejero de estado de S. M. el Emperador de Rusia, ha vuelto el 30 de octubre de Topola á Belgrado. Se ha juntado nuevamente en Belgrado el consejo servio; y en el dia se ocupa</t>
  </si>
  <si>
    <t>Rodoftnikin</t>
  </si>
  <si>
    <t>enviado del gran Señor tuvo el 2 5 de febrero su última conferencia con el consejero de estado ruso Mr. Rodoftnikin, y el 26 con el senado servio. Al dia siguiente salió para Constantinopla con el intérprete el secretario de la Puerta y toda su comitiva. El senado servio ha mandado establecer a</t>
  </si>
  <si>
    <t>Rodrigo Calderón</t>
  </si>
  <si>
    <t>ve Domingo Alvares, el que dará razón de dicho sugeto. libró. Nacimiento, vida, prisión y muerte de D. Rodrigo Calderón, marqués de Siete-iglesias, conde de la Oliva &amp;c., por D. Gerónimo Gascón de Tor</t>
  </si>
  <si>
    <t>Rodrigo de Pozas</t>
  </si>
  <si>
    <t>de la cójnpañía de Filipinas, en 3 vales reales de 150 pesos de enero, por ahora......... 6949 24» D. Rodrigo de Pozas, confitero, por una vez..... ........................ 960. D. .Manuel de la Torre y Brújula, por una vez.......................... 300. D. Francisco Pont, por una vez.............</t>
  </si>
  <si>
    <t>Rodrigo Ri-</t>
  </si>
  <si>
    <t>s mismas leyes; y finalmente Por Granada todo lo que conduzca al bien y felicidad general de El Sr. D. Rodrigo Ri- estos reinos, y mejoría de sus costumbres, guardan* o quelme,. ^ ¡ , do^ecretoi eú ;lo.que fuere de. guardar , apartando El .Sr. D¿Luis Qines: de 4c ellostpdon)al„ y persiguiendo á</t>
  </si>
  <si>
    <t>Rodrigo Riquehn</t>
  </si>
  <si>
    <t>a se compone de los Excmos.. Sres. D. Gaspar de Jovelíanos, el Patriarca, el Arzobispo de Laodicea, D. Rodrigo Riquehn. y D. Juan de Dios Rabé : su secretario el Exorno. Sr, i). Benito Ramón de Hérmida. La sección de guerra con*tn Je ios Excmos. Sres..el marques de Campo-sagrado,. D* Francisco Pal</t>
  </si>
  <si>
    <t>Rodrigo Rocas</t>
  </si>
  <si>
    <t>to Ruiz Gamez 4. La Sra. de Siles una. Doña Felipa Estuaila y Doña Rita Vada 3. D. Ventura López 2. Don Rodrigo Rocas 6 camisas, hilas y paños. D. Antonio Chevarria 18 vendas. El alcalde del barrio de las descalzas Reales 8 camisas finas. Doña Felipa Pascual una libra de hilas. Las niñas de Legaf</t>
  </si>
  <si>
    <t>Rodrigo Rodríguez</t>
  </si>
  <si>
    <t>D. Josef MaríaGutierrez de Teran D. Juam Aran 2083 rs. i x mrs. en h -Jj *::■ efectos dé estado. . D. Rodrigo Rodríguez 40. D. Fermín Celayeta 2&lt;¡ 5 o en id. Ifcr Lorenzo Cisneros y Toledo 3 20. D, Josef Francisco de Lema 60. 1^. Ai S. 30. ,t, D. Jaime Ferrer y Ribas 320. / vt D¿ Aléxd)Guardia I *</t>
  </si>
  <si>
    <t>... IOOO. D. Lorenzo de la Torre, id.......................................................... 6 6. D. Rodrigo Rodríguez, portero de la secretaría de la .junta de Comercio y Moneda, id......................... ................. 49. D. Manuel Ortiz, superintendente de la casa de Moneda, en un recibo</t>
  </si>
  <si>
    <t>Rodrigo y Río de Ama, Manuel</t>
  </si>
  <si>
    <t>Manuel Rodrigo y Río de Ama</t>
  </si>
  <si>
    <t>aragoza..... 300 I9I9 *985t Sra. Condesa de Rio-Molino....................... Zaragoza..... 500 266 D. Manuel Rodrigo y Río de Ama.ya........ . Burgos • ¡ * * •*% 300 1015 D. Joaquín de Osma y Tricio............... . Madrid....... 300 498 D. Mariano de Ibarreta...... Bilbao • ••• »• 6oó .1772- Doña Isabel Bar</t>
  </si>
  <si>
    <t>Rodrigo Zorrilla y Monroy</t>
  </si>
  <si>
    <t>.............. ...... .. 200* Doña Rosa Lemí y Betarini, viuda, por una vez......».....»»..... 240* D. Rodrigo Zorrilla y Monroy, consejero de Hacienda, por : -</t>
  </si>
  <si>
    <t>Rodrigo, Carlos</t>
  </si>
  <si>
    <t>Carlos Rodrigo</t>
  </si>
  <si>
    <t>0 rs. D. Matías. Robles, arcediano de Toledo, por sí y su familia por agosto á 10 rs. diarios, 310. D. Carlos Rodrigo, por una vez 60 rs. D. Josef Francisco Lema, por 6 meses á 30 rs., 180. D. Lorenzo Garcia Robredo, por una vez 1100 rs. D. Santiago Gancedo Pelaez, id. 300 rs. D. Vicente Monteneg</t>
  </si>
  <si>
    <t>Rodrigo, Juan Antonio</t>
  </si>
  <si>
    <t>Juan Antonio Rodrigo</t>
  </si>
  <si>
    <t>etes................. Zaragoza...... 300 187? D. Gerónimo Bueno............ Zaragoza...». 1500 1958 D. Juan Antonio Rodrigo....................... [Zaragoza.. ... 1500 1741 Doña Josefa González y Baez................* Cádiz ......... . 3 00 1796 D. Fernando Saenz de S. Vicente.......... Cádiz..........</t>
  </si>
  <si>
    <t>Bilbao.... .71. r *300 2347 Excmo. Sr. Marques de Villafranea............. Zaragoza.;.1.. 300 19^7 D. Juan Antonio Rodrigo............................ . Zaragoza.!.1.. ,560 2082 D. Josef María Gadeyne.....¿.....7. ■ Cádiz..,. .•. t&gt; 'qoo ' 806 D. Juan Sevilla y Navarro........................;. Ma'dri</t>
  </si>
  <si>
    <t>Rodrigo, Juan Francisco</t>
  </si>
  <si>
    <t>Juan Francisco Rodrigo</t>
  </si>
  <si>
    <t>...... 300 27Ó D. Bernardo Orodea.......... .............................. Burgos........ 200 18 50 D. Juan Francisco Rodrigo........ ....... ............. Zaragoza.... ÓOO 484 Doña, María Antonia de Labiesca................... Bilbao........ . 300 299 Josef Arana yCacioni................................</t>
  </si>
  <si>
    <t>tes.. Valencia..... 1000 828 D.- Juan Ruiz Alvarez y compañía..;.....i..;.. Madrid....... 60 o 1851 D. Juan Francisco Rodrigo............. ...1.*...... ' Zaragoza..!/. róóo 232 Doña Ruperta Gonzalo del Rio.1..!£..■•».... Burgos. ..... 3:-° 892 D. Miguel Martínez y ‘Nudez............... Madrid.!..... 300</t>
  </si>
  <si>
    <t>co varas D. Angel Abril, tesorero honorario de lienzo» de exércitó, 6. D. Pedro de Prado 3 camisas. D. Juan Francisco Rodrigo 6. D. Francisco de las Barreras 50 pares D. Femando Vázquez Ttllez 12. de calcetas. Doña María Vacas una libra de hilas. Lá Excma. Sra. condesa de Castél- D. Josef Antonio de Alca</t>
  </si>
  <si>
    <t>Rodrigo, Manuel</t>
  </si>
  <si>
    <t>Manuel Rodrigo</t>
  </si>
  <si>
    <t>...................... 1000,? D. Juan Antonio García Zorrilla , del comercio , por una vez... 1100* D. Manuel Rodrigo, por áhorá,..*»» ................... *00, D. Antonio Rubio, por ahora....................................... .............. 200. D. Francisco&gt; Xavier Perez, por una vez...........</t>
  </si>
  <si>
    <t>Rodriguen, Manuel</t>
  </si>
  <si>
    <t>Manuel Rodriguen</t>
  </si>
  <si>
    <t>y 16 mrs. mrs. en vales reales. D. Juan Jo^ef de la Presilla xoo. D Antonio Xavier de Herrera 2500, D. Manuel Rodriguen 40. D. Pedro de la Riva 60. D. Pablo Muñoz de la (Vega 122 rsi El conde de N. 270 rs. y 25 § mrs. y 7 mrs. en efectos de estado. Doña Luisa Benito'80. D. Angel de Aragón y Alvarez</t>
  </si>
  <si>
    <t>Rodrigues de Riras, Ignacio</t>
  </si>
  <si>
    <t>Ignacio Rodrigues de Riras</t>
  </si>
  <si>
    <t>leon de Beramendi, D. Bernardo Febrer, y Dos Francisco Eugenio Carrasco t el secretario de millones D. Ignacio Rodrigues de Riras, y el certificante, no pudieron executarló, y lo han verificado igual en todo al de los demas señores ministros. Y á fin de que conste este acto, de acuerdo del propio Consejo doi</t>
  </si>
  <si>
    <t>Rodríguez Bustamante, Juan</t>
  </si>
  <si>
    <t>Juan Rodríguez Bustamante</t>
  </si>
  <si>
    <t>; tenencia -ai subteniente de granaderos D. Ignacio de la Villa, y subtenencia de bandera al cadete D. Juan Rodríguez Bustamante. El Reí: se ha servido nombrar maestro mayor examinador de armas blanc’as de la real fabrica* de Toledo: á D. Andrés Alberdi, maestro armero exáv minadór dé Ja real fábrica de fus</t>
  </si>
  <si>
    <t>Rodríguez Campománes, Francisco</t>
  </si>
  <si>
    <t>Francisco Rodríguez Campománes</t>
  </si>
  <si>
    <t>é, en 4 vales • reales d£ 150 pesos y pico en efectivo , id.................. .............. 10000. D. Francisco Rodríguez Campománes, id............... ........................ 500. D. F. C., id.,........... .............................................. ................................... 20. D. JoseYGomez, id</t>
  </si>
  <si>
    <t>Rodríguez de Campománes, Francisco</t>
  </si>
  <si>
    <t>Francisco Rodríguez de Campománes</t>
  </si>
  <si>
    <t>didos, v .. - y ■ Han prestado ,tacto, pectore y coñ la solemnidad ref-rida, el juramento prescrito D. Francisco Rodríguez de Campománes , con honores del consejo de Ordenes, y D- Jbaquiñ de Ibarra, ñscal de la colecturía de Espolióse refiriéndose» el fiscal D^Diego.AlarcQuLQEíinQ'al quehabia hecho en, el tribunal</t>
  </si>
  <si>
    <t>Rodríguez de Castro, Manuel</t>
  </si>
  <si>
    <t>Manuel Rodríguez de Castro</t>
  </si>
  <si>
    <t>ero de la lotería, 3® rs. por una vez , y 1100 por medio año á 6 rs. diarios................. 4100. D. Manuel Rodríguez de Castro, almacenista de papel, por 3 meses á 3 rs. diarios........................ ................ ......................... . 184. D. Domingo García Fernandez, ministro de la junta de c</t>
  </si>
  <si>
    <t>Rodríguez de la BuHa, Pedro</t>
  </si>
  <si>
    <t>Pedro Rodríguez de la BuHa</t>
  </si>
  <si>
    <t>;... fideo 282 D. Ildefonso de Marios.................................... Má laga....... 3 00 : 548 D. Pedro Rodríguez d,e la BuHa,....... Madrid.....i. 360 3039 D. Manuel'Segundó'Martínez'. Madrid...-.^.. yoo 587 D. Felipe Martíñe'z'de 'Viergol. Madrid,..;... 6bo 39 2 D. Josef de Irriberri y oidor; Coruña;..</t>
  </si>
  <si>
    <t>Rodríguez de la Buria, Pedro</t>
  </si>
  <si>
    <t>Pedro Rodríguez de la Buria</t>
  </si>
  <si>
    <t>ncias meridionales-—— En 26 de febrero último fue promovido á teniente general el mariscal de campo D. Pedro Rodríguez de la Buria; y á brigadieres D. Cárlcs de Reding , marques de Casa-Palacio, y D. Carlos de rreux, coroneles el 1* y 3.° de los regimientos suizos de sus apellidos, y el 2.0 del de voluntarios</t>
  </si>
  <si>
    <t>Rodríguez de la Huerta, Francisco</t>
  </si>
  <si>
    <t>Francisco Rodríguez de la Huerta</t>
  </si>
  <si>
    <t>ntinúan los donativos y ofertas voluntarias que constan en el banco nacional de S. Carlos. Rs. Mr*. D. Francisco Rodríguez de la Huerta, aposentador Honorario de palacio, por una vez...... .................................................................. 300. Juan López, id........................................</t>
  </si>
  <si>
    <t>Rodríguez de Moya, Carlos</t>
  </si>
  <si>
    <t>Carlos Rodríguez de Moya</t>
  </si>
  <si>
    <t>señor alcalde de la real casa y corte D. Antonio Alcalá Galiano, por la escribanía de provincia de D. Carlos Rodríguez de Moya. En la villa de Navalcarnero se venden 4 casas juntas ó separadas, la una grande, inmediata á la plaza; otra en la calle de S. Cosme, y otras 2 en la calle del Mal Guisado. Quien</t>
  </si>
  <si>
    <t>Rodríguez de QuesaJa, Manuel María</t>
  </si>
  <si>
    <t>Manuel María Rodríguez de QuesaJa</t>
  </si>
  <si>
    <t>asada en jo,400 rs. Quien quisiere hacer postura lo executará por la escri-‘ bánía que cíesempeií.i D. Manuel María Rodríguez de QuesaJa. Por providencia de D.Pablo Antonio de Arlzpé, juez comisionado regió en 1$ diócesi de Calahorra, se ha señalado el día‘3'de febrero próximo para el remate de la casería de Bcdona</t>
  </si>
  <si>
    <t>Rodríguez del Pino, Diego</t>
  </si>
  <si>
    <t>Diego Rodríguez del Pino</t>
  </si>
  <si>
    <t>l señor conde de Altamira, por 4 meses á 2 rs. diarios........................................ 144. D. Diego Rodríguez del Pino, ,catedrático del .real colegio de S. Carlos, á cuenta de 4 rs. diarios........................................... 5°°» D. Domingo García Fernandez ,. ministro de la junta general</t>
  </si>
  <si>
    <t>Rodríguez Iglesias, Vicente</t>
  </si>
  <si>
    <t>Vicente Rodríguez Iglesias</t>
  </si>
  <si>
    <t>icio simple servidero de S. Roque en él campo de Gibraltar, diócesi de Cádiz, vacante por muerte de D. Vicente Rodríguez Iglesias, y no haber tenido efecto el nombramiento que tuvo á bien S. M. nacer para él en D. Pedro Díaz Palacios por decreto de n de enero próximo pasado, á D. Gerónimo Caballero, vicario</t>
  </si>
  <si>
    <t>Rodríguez Maqueda, Francisco</t>
  </si>
  <si>
    <t>Francisco Rodríguez Maqueda</t>
  </si>
  <si>
    <t>............. 100. Doña Xaviera de Ochoa y Amat............................................... 320. D. Francisco Rodríguez Maqueda.................................................. 320. D. Josef García............................................................................ , oco. D. Celedonio de Lope.....</t>
  </si>
  <si>
    <t>Rodríguez Martín, Francisco</t>
  </si>
  <si>
    <t>Francisco Rodríguez Martín</t>
  </si>
  <si>
    <t>villa Don Diego Nieto Zorrilla, y los que se hallen en esta corte los podrán entregar al apoderado D. Francisco Rodríguez Martin, challe de Juanelo, núms. 20 y 21, quarto segundo. ¡ ■ CONTINÜÁ</t>
  </si>
  <si>
    <t>Rodríguez Palómequé, Salvador</t>
  </si>
  <si>
    <t>Salvador Rodríguez Palómequé</t>
  </si>
  <si>
    <t>....................................................... ............. .................... 2269 28. D. Salvador Rodríguez Palómequé, 918 rs por 5 meses, á 6 diarios, y 500 id..................................... .................................. 1418. D. Josef López Cándano, id...................... .........</t>
  </si>
  <si>
    <t>Rodríguez Rama, Antonio</t>
  </si>
  <si>
    <t>Antonio Rodríguez Rama</t>
  </si>
  <si>
    <t>oza..... 500 i 51? Dv Prudencio de Lafuente.;. ......... Bureos........ ... "“‘5^,........ 6co 2416 D. Antonio Rodríguez Rama....... Zaragoza..... 3co 2Í7Í D. Josef Mendez de Vigo........... . ... Coruña........ 300 360 D.- Manuel dé Irazaval...»............ . ... Cádiz........... 600 265 6 Doña Máríá Ca</t>
  </si>
  <si>
    <t>Rodríguez Valdés, Alonso</t>
  </si>
  <si>
    <t>Alonso Rodríguez Valdés</t>
  </si>
  <si>
    <t>tonio de Paz: en el de América la tenencia coronela al comandante del tercer batallón del de Málaga D. Alonso Rodríguez Valdés; compañía al teniente dé granaderos D. Pedro Gotti; tenencia al subteniente de granaderos D. Raimundo Girona, y subtenencia de bandera al sargento primero D. Pascual Blanco: en el</t>
  </si>
  <si>
    <t>Rodríguez, Agustín</t>
  </si>
  <si>
    <t>Agustín Rodríguez</t>
  </si>
  <si>
    <t>.......... .......... 182. D. Antonio Soria , 4 id. durante 6 meses, por agosto............... 124. D. Agustín Rodríguez, portero del departamento del Fomento y Balanza, 4 id. por 6 meses.................................................. 244* Antonio Landaluee, dependiente del comercio, por una vez.</t>
  </si>
  <si>
    <t>Rodríguez, Ana</t>
  </si>
  <si>
    <t>Ana Rodríguez</t>
  </si>
  <si>
    <t>Baquero 2. , D. Joaquín Antonio Sóxo 6. D. Josef Maldonado 6. Doña A. y B. 2. D. Juan Gutiérrez 4. Doña Ana Rodríguez, sirvienta, 2. Doña Rafaela Martínez de Ariza 4. Doña María Ruiz 6. Doña Cándida Orejón 2. Una pobre sirvienta 4. D. Jaime Mateo 2 chaquetas y 2 gor-, La viuda de Espárza una sába</t>
  </si>
  <si>
    <t>Rodríguez, Antonio</t>
  </si>
  <si>
    <t>Antonio Rodríguez</t>
  </si>
  <si>
    <t>or juegos. • . . . - _ ; ,¡ Estampaj en quartlll;a de. marca imyor deS. Antonio Abad , dibuxada por Don Antonio Rodríguez y grabada por D. Manuel Albuerne. Véndese; en las librerías de Escribano, calle de las Carretas, y de Esparza, puerta del Sol, a 3 rs... .. MUSICA. En el almacén, general de papeles</t>
  </si>
  <si>
    <t>..... . • Madrid 500 D. Fdrmif/Carnerea Vela.............................¿.7 Madrid......;. 500 755 D. Antonio Rodríguez y compañía.......... ........ Madrid ..!../ 300 1041 D. Juan Antonio Menguez..........................i...... Madrid../...;, iboo 24 él D. Pedro Cbrnel • Zaragoza.../ 21 $7 D. Juan</t>
  </si>
  <si>
    <t>os, del comercio de lienzos, 4 vales reales de 300 pe* sos de mayo por una vez, 18284 rs. y 20 mrs. D. Antonio Rodríguez, por una vez 60 rs. D. Antonio Zavala, por una vez 320 rs. D. Francisco Xavier Garcia Plaza, por una vez 300 rs. D. Wenceslao de Argumosa, abogado del colegio, por una vez 6© rs.</t>
  </si>
  <si>
    <t>r agosto á'4 rs.* *, ' MárCÓs Perez , tahonero , por -y meses á real diarió...»'...'.;/!...^;.. 92» D. Antonio Rodríguez y por agosto á 4 rs. diarios.....124. Josef Moreno , maestro--vidriero, por id. á 6 rs. id .................. • i.8&lt;jí# " D. Miguel Fernandezypor 6 meses á 2 rs. diarios.-.*..¿ 3fc</t>
  </si>
  <si>
    <t>s.............................................................. ...................*..... . 9^)^* ~ D. Antonio Rodríguez , 4 rs. diarios, por agosto................. ...... 124. D. E. R. V., á cuenta de 200 rs. por una vez......................... . 100. Una comunidad de religiosos de esta cor te, i</t>
  </si>
  <si>
    <t>. D. Sebastian de Haegui, secretario de la de S. Andrés. D. Fermín del Rio, diputado de la Comadre. D. Antonio Rodríguez, eclesiástico. D. Antonio Rovillár, id. D. Francisco Perez y Velazquez, D. Gregorio Guerra Zorrilla, D. Josef Babea, D. Gregorio Dorado, diputación de las Descalzas. D. Benito Alf</t>
  </si>
  <si>
    <t>Rodríguez, Benigno</t>
  </si>
  <si>
    <t>Benigno Rodríguez</t>
  </si>
  <si>
    <t>........ 800. Doña María Saez , id.......................................................... . 360. D. Benigno Rodríguez, id............................ ............ ..................... 200. - Vicente Palacios, id................................................. ...................... 40. D. Pedro</t>
  </si>
  <si>
    <t>Rodríguez, Carlos</t>
  </si>
  <si>
    <t>Carlos Rodríguez</t>
  </si>
  <si>
    <t>ante el fir. 0. Antonio Alcalá Galiano, alcalde de casa y Icente, por la escribanía de provincia de D. Carlos Rodríguez :de Moya. En virtud de providencia del Sr. 0. Torquato Antonio Collado., teniente c-or.ne-&gt; «gidor. de esta villa, .sé vende una pasa de campo sita«xtramiiTDs.de la puerta defiaii</t>
  </si>
  <si>
    <t>ienca del Sr. D. Antonio Alcalá Galiano, alcalde de casa y corte, por la escribanía de provincia de D. Carlos Rodríguez de iVto^a. AVIEOS. En virtud de decreto del real consejo de las Ordenes, de 27 de febrero líltimo, se han mandado volver á sacar nuevamente i publica subasta los frutos y remas de la</t>
  </si>
  <si>
    <t>Rodríguez, Esteban</t>
  </si>
  <si>
    <t>Esteban Rodríguez</t>
  </si>
  <si>
    <t>ntonio Saenz de Rozas, de vidriado; Manuel Guerra , de la parroquia de S. Lorenzo. Entraron después D. Esteban Rodríguez , del barrio de Guardias Españolas; D. Clemente Uribarren, id. D. Francisco, Redondo y D. Pedro Barcenas, id. Juntos asi en las casas consistoriales, sien—1 do la hora de la una ,</t>
  </si>
  <si>
    <t>Rodríguez, Francisco</t>
  </si>
  <si>
    <t>Francisco Rodríguez</t>
  </si>
  <si>
    <t>eran hacer su solicitud, acudirán á I2 calle de Juanclo, oúirn. 20 y 21, quarto segundo, en casa de D. Francisco Rodríguez, apoderado de la citada villa, y á D. Diego Nieto Zorrilla, escribano de su número y ayuntamiento. En la ciudad de Santander está vacante la plaza primera de cirujano latino y com</t>
  </si>
  <si>
    <t>. Vicente Tercilla, secretario. D. Angel de Diego , diputado de id. D. Diego Uriondo , diputado id. D. Francisco Rodríguez ¿ diputado del Ave María. D. Manuel Onofre Martínez, diputado de la Encarnación. D. Antonio Cucarella, diputado de S. Ildefonso. D. Tomas Sanz de Ibarrola, de id. Don Ramón Royo P</t>
  </si>
  <si>
    <t>Rodríguez, Gerónimo</t>
  </si>
  <si>
    <t>Gerónimo Rodríguez</t>
  </si>
  <si>
    <t>......... .120. D. Josef Pastor de Cáceres, 90 id. id..........................*............... 90. D. Gerónimo Rodríguez, pintor, 30 id. id...,...,........ ................ 30. D. Manuel González, 20 id. id........... ............20.</t>
  </si>
  <si>
    <t>Rodríguez, Joaquín</t>
  </si>
  <si>
    <t>Joaquín Rodríguez</t>
  </si>
  <si>
    <t>D. Angel Abril »• Madrid» ; 500 ,. Bilbao...,;... 300 &gt;&gt;39 D. Juan Bautista de Aguirre.... 3°o 1728 D. Joaquín Rodríguez................. .. Cádiz......... 664 D. Tadeo Rico y Arnedo.......... .. Madrid....... 300 1282 Excmo. Sr. D. Félix Berenguer .. Valencia...., 3 00 2167 D. Juan Hilario Rodrígue</t>
  </si>
  <si>
    <t>Rodríguez, Juan</t>
  </si>
  <si>
    <t>Juan Rodríguez</t>
  </si>
  <si>
    <t>*i D. Antonio &lt;¿e Palacio , id................................................................ ico. D, Juan Rodríguez , id....................... .............................. . - 20. i. D. Pedro I.opez I.abrana , id..31 ~ D. Pedros Jose.f López de. Para £* $jpQ*;.,.b D. Josef de A.mayo y .Luna</t>
  </si>
  <si>
    <t>Rodríguez, Manuel</t>
  </si>
  <si>
    <t>Manuel Rodríguez</t>
  </si>
  <si>
    <t>al edel archivo de; rentas, por- una vez..... ............ .....i,.....;......*..;............ 3C0. D. Manuel Rodríguez, portero de la secretaría de Gracia y Jus«... ticia, .por una vez........................ ............................ ......... 1000* D. Pedro López MoaaStdrio &gt; e n un recibo de</t>
  </si>
  <si>
    <t>Rodríguez, ManueL</t>
  </si>
  <si>
    <t>ManueL Rodríguez</t>
  </si>
  <si>
    <t>ica en el coliseo del Príncipe, 60 rs. mensuales, por setiembre....,........................... 60. D. ManueL Rodríguez, 30 id. por 2 meses................................ 60. Federico Marión, 30 id. por agosto............................................... %o. . O. Francisco Barbero y Castro, abog</t>
  </si>
  <si>
    <t>D. Antonio Toma ti, id............... .................................... ............... .. 200. D. Manuel Rodríguez, oficial de la real Imprenta, 3 rs. diarios, por un mes..:..é...u....... ............ .......................... . . 93. D. Manuel de Itnirizaldu, gefe de la oficina de Renovación</t>
  </si>
  <si>
    <t>tico de S. Plácido. D. Domingo Mesa, alcalde del barrio de id. D. Antonio María, Perez, secretario. D. Manuel Rodríguez , presbí-, tero r diputado de S. Nicolás. D. Agustín Michel, diputado de la Huerta del Bayo. D. Andrés Grande, diputado id. D. Francisco Carreño , alcalde del &gt; barrio del Amor de</t>
  </si>
  <si>
    <t>Rodríguez, Manuel María</t>
  </si>
  <si>
    <t>Manuel María Rodríguez</t>
  </si>
  <si>
    <t>ra á qualesqulera de dichas fincas, acuda ante el referido comisionado reííio, por la escribanía de D. Manuel María Rodríguez de&lt; Quesadaj' previniéndose que se han de rematar el día i.° dé febrero próximo. ^c ^ Por providencia del Sir, D.-Torqüato^AntóAio Collado ¡ teniente corregidor de esta villa, se h»</t>
  </si>
  <si>
    <t>Rodríguez, María</t>
  </si>
  <si>
    <t>María Rodríguez</t>
  </si>
  <si>
    <t>a 2. Doña Juana Prieto 2. Monjas de Sta. Clara 2. Doña Francisca Laliga 1. Doña Nicolasa Montero 2. Doña María Rodríguez 1. El colegio de S. Antonio 3. Doña Faustina Bustarviejo 3. Doña Catalina Villa 3. Doña Joaquina Alberto de Zülueta 2 camisas y 2 pares de calcetas. Dia 13. Doña María. Petra Past</t>
  </si>
  <si>
    <t>Rodríguez, Nicolás</t>
  </si>
  <si>
    <t>Nicolás Rodríguez</t>
  </si>
  <si>
    <t>. Josef Padrós , id.............................................. .......................... . 120. D. Nicolás Rodríguez, id............................. ................... ............... l6o. D. Josef de Alba Mazariegos , procurador de los reales Consejos, en intereses de vales reales de 1800, id</t>
  </si>
  <si>
    <t>Rodríguez, Pedro</t>
  </si>
  <si>
    <t>Pedro Rodríguez</t>
  </si>
  <si>
    <t>............ . 50.: D. Josef Alguacil, reloxero, por una vez..........................»...l 160.. , D. Pedro Rodríguez, por una vez..........»..*............... ....... 2006. D. Pedro Antonio Echeverría, oficial de una de las escribanías de cámara de Castilla, por una vez..................... ....</t>
  </si>
  <si>
    <t>Rodríguez, Rafael</t>
  </si>
  <si>
    <t>Rafael Rodríguez</t>
  </si>
  <si>
    <t>da la viuda de Hidalgo y Sobrino..zz .En Cádiz en la de D. Victoriano Pajires : en Córdoba en la de D. Rafael Rodríguez : en Málaga en ¡a .de O. Francisco Martínez y AguiSar: en Granada en la de D. Gabriel Martínez y Aguilar : en Madrid en la de la viuda de Barco Jbopez: en Valencia en la de D. Sal</t>
  </si>
  <si>
    <t>Rodríguez, Vicente</t>
  </si>
  <si>
    <t>Vicente Rodríguez</t>
  </si>
  <si>
    <t>........................... . 60, Alexo Manso, carruagero, por agosto á 60 rs. mensuales....... 6o* D. Vicente Rodríguez, boticario, por agosto á 60 rs. mensuales.......... ................................................ ................................. 6o* D. Telesforo Sánchez, oficial de la cont</t>
  </si>
  <si>
    <t>Roell</t>
  </si>
  <si>
    <t>y aun se asegura que han recibido ya el nombramiento de príncipes el mariscal-almirSTte de Vinter, Mr. Roell, ministro de negocios extrangeros, y Mr. Schimmelpenninck, gran pensionario que fue de Holanda. Se habla también de un viage de S. M. á París, que se supone será mui en breve. El</t>
  </si>
  <si>
    <t>Roggieri</t>
  </si>
  <si>
    <t>mas que esta se ha hecho mas en grande , y con mayor cuidado que la primera. Mastricht jo de junio. Mr. Roggieri, prefecto del departamento del Mosa inferior, estuvo á visitar el dia 4 del corriente las obras del canal navegable que debe alimentar el punto de división de una parte del gran c</t>
  </si>
  <si>
    <t>Roldan, Antonio</t>
  </si>
  <si>
    <t>Antonio Roldan</t>
  </si>
  <si>
    <t>i$6$ uno de aquellos fue pasado por la espada del alférez de la Fuensanta Don Antonio Roldan: sin mas novedad quedó todo el trigo en nuestro poder y en almacenes de este quartel general de la división de mi mando ; debiendo añadir que hasta los 105 robos que los franceses</t>
  </si>
  <si>
    <t>s disposiciones, el valor é intrepidez de las tropas, y particularmente del alférez de la Fuensanta D. Antonio Roldan, y resuelto que en la orden del dra se haga saber al exército que S. M. tendrá mui presente el mérito de este oficial para premiarle en ocasión oportuna. Y deseando dar*una prueba</t>
  </si>
  <si>
    <t>Roldan, Pedro</t>
  </si>
  <si>
    <t>Pedro Roldan</t>
  </si>
  <si>
    <t>e acto. Sr. corregidor. Regidores: D. Nicolás de los Heros. D. Juan de Castañedo. D. Diego del Rio. D. Pedro Roldan. D. -Francisco Taona. D. María-* no Blancas. D. Julián* de ¥uenté$¡' Dij&gt;ütados: D. Manuel Montaos. D., Juan * Madrid Dávilá. D. Matías Bayo. í). Fránciséo-Villa;' D* Juan Ramón M</t>
  </si>
  <si>
    <t>Rolland, Luis</t>
  </si>
  <si>
    <t>Luis Rolland</t>
  </si>
  <si>
    <t>su augusta real Persona y familia ; por todo lo qual será siempre grata su memoria. ' ■ • ' AVISO. D. Luis Rolland , fabricante de instrumentos militares de música en esta corte, los construye á los precios siguientes: clarinetes de befa, guarnecidos de marfil, con pieza de aíamire y 2 boquill</t>
  </si>
  <si>
    <t>Román de Arrayan y Castilla</t>
  </si>
  <si>
    <t>ara una capellanía dé la real capilla de S. Fernando de la ciudad de Sevilla, vacante por muerte'de D. Román de Arrayan y Castilla,áDon Josef Andujar, teniente de la capilla real, con obligación de residiría ^para el beneficio simple de Cilleruelo de arriba, en la diócesi de Burgos, vacante por fallecimiento</t>
  </si>
  <si>
    <t>Román de Haro</t>
  </si>
  <si>
    <t>.........................i,.,....... 114. Dona Matea Cerrillo, por dos meses á un real diario - 61. D. Román de Haro, portero del archivo general de Rentas» por agosto á 2 rs. diarios......................................... ...................... 6c. N., por 2 meses á 12 rs. diarios......... ..</t>
  </si>
  <si>
    <t>Román Fernández</t>
  </si>
  <si>
    <t>................ 524. D. J. de I., en un recibo del real Empréstito, id..................... . 600. D. Román Fernandez, id.......................................... ....................... 1000. Julián López, cochero de la casa real, en un recibo de intereses dé vales, id................ .........</t>
  </si>
  <si>
    <t>Román Galindo, Francisco</t>
  </si>
  <si>
    <t>Francisco Román Galindo</t>
  </si>
  <si>
    <t>onvento del Rosario. D. Tomas Cordero, diputado de la, puerta de Toledo. D. ^Manuel de Ribacoba id. Don Francisco Román Galindo, eclesiástico de dicha. D. Tomas del Cano Goicochea, secretario del barrio del Hospicio. D. Mauro López, diputado id. D. Manuel Benaya id. D. Pedro López Conche, de id. D. Blas de</t>
  </si>
  <si>
    <t>Román Sa</t>
  </si>
  <si>
    <t>a Martin de Eugenio, sirviente, id. D. Antonio Rico, del ÍOp » . tres pein.es de plata. ' i: , nv . D. Román Sa.nz , 4,rs. diarios,. por. tres meses.........................i ..368*1 Ci D. Martin de S. Martin Navarrete, cura propio de la iglesia. ..J parroquial de Mo.rata, 4 id. por 12 mese</t>
  </si>
  <si>
    <t>Romanzou</t>
  </si>
  <si>
    <t>as validas) en 2 cartas dirigidas y escritas á Mr. Canning, la una por Mr. Champagni, y la otra por Mr. Romanzou. Lo que contienen en substancia es, que el Emperador de Rusia y Bonaparte, igualmente ansiosos de poner fin á las calamidades de la guerra, han encargado á sus ministros de negoci</t>
  </si>
  <si>
    <t>Romanzou, Nicolás</t>
  </si>
  <si>
    <t>Nicolás Romanzou</t>
  </si>
  <si>
    <t>ridad para asegurar de que no son propiedades inglesas. A proposición del conde Nicolás Romanzou, ministro* de negocios extrangerOs y del comercio, se establecerá aquí una escuela de construccioá de buques para -zc alumnos de la dase de los comerciantes: S. M. ha aprobado este establec</t>
  </si>
  <si>
    <t>Romera, Fernando</t>
  </si>
  <si>
    <t>Fernando Romera</t>
  </si>
  <si>
    <t>e la calle de Cañizares, vulgo del Olivar, id............................................... . 109. D. Fernando Romera, id. id..... ....................................................... i©o. D. Juan García, id. id...................... .............................. ................ 100. D. Cirí</t>
  </si>
  <si>
    <t>Romeral, Manuel</t>
  </si>
  <si>
    <t>Manuel Romeral</t>
  </si>
  <si>
    <t>....................... icoo. D. Leoncio Carralon, dependiente del real oficio de furriera, id. 40. D. Manuel Romeral, director de niños, id....................... ........... 240. D. Nicolás Albelo, dependiente de la Lotería, id.................. 60. D. Andrés Caballero, del comercio, 3650 rs. p</t>
  </si>
  <si>
    <t>Romero Valdés, Andrés</t>
  </si>
  <si>
    <t>Andrés Romero Valdés</t>
  </si>
  <si>
    <t>que acudiese á usar de su derecho dentro del término que se le asignase; y por providencia del Sr. D. Andrés Romero Valdés, de 28 de abril de este año, que por ausencia de su compañero dicho Sr. D. Amonio Cano Manuel despachaba su juzgado, se han señalado 15 dias de término á Don Pedro Ignacio de Arme</t>
  </si>
  <si>
    <t>s hijos y demas; y aprobada quanto ha lugar en derecho por el señor alcalde de la real casa y corte D. Andrés Romero Valdés, .juez del referido asunto, se há mandado anunciar al-público para inteligencia de, todos, y que cada acreedor acuda á la casa tienda que tenia Llaguno. en las quatro calles, esqu</t>
  </si>
  <si>
    <t>Romero Valdes, Andrés</t>
  </si>
  <si>
    <t>Andrés Romero Valdes</t>
  </si>
  <si>
    <t>Doña María Collado y hermanas presentaron 2 baúles para la conducción de hilas ai exército. El Sr. D. Andrés Romero Valdes , alcalde de la real Casa y Corte. 24 pares de zapatos nuevos para la tropa. D. Eustaquio Sanz un par de pistolas. D. Juan Muriarti un par id. La Excma. Sra. duquesa viuda del Inf</t>
  </si>
  <si>
    <t>Romero y Valdés, Andrés</t>
  </si>
  <si>
    <t>Andrés Romero y Valdés</t>
  </si>
  <si>
    <t>or una vez, y 3 diarios..................... ................................................ 1000* D. Andrés Romero y Valdés, alcalde de corte, 1500 rs. por una vez , y 558 por agosto á 18 rs. diarios............................. 2058. D. Francisco Ignacio Taranco, secretario y contador del marques de V</t>
  </si>
  <si>
    <t>Romero, Andrés</t>
  </si>
  <si>
    <t>Andrés Romero</t>
  </si>
  <si>
    <t>....... 61. Pablo García, 2 id. por agosto..................................................... 62. D. Andrés Romero, 2 id. por 6 meses...................................... 365. D. Manuel Romero, uno id. id............................. .......... .......... 182. D. Antonio Soria , 4 id. durante</t>
  </si>
  <si>
    <t>Romero, Fernando</t>
  </si>
  <si>
    <t>Fernando Romero</t>
  </si>
  <si>
    <t>lasa García una y 2 pares vecina de Méritrida ,6. - • de calcetas. El Sr. D. Pedro de Mora y Lomas, D. Fernando Romero t sábanas, un corregidor de esta villa,'una silla capote, una casaca y una manta. nueva completa. D. Angel González 3 eamisas. El marques de Campo-Villar 12 caD, Antonio Martínez</t>
  </si>
  <si>
    <t>Romero, Francisco Xavier</t>
  </si>
  <si>
    <t>Francisco Xavier Romero</t>
  </si>
  <si>
    <t>2 f de setiembre hasta 4? de octubre, : w" '■ . j ; , VENTAS JUDICIALES. , Por providencia del Lie. D. Francisco Xavier Romero, subdelegado en el de-’ partamento de la villa de Zafra del juez comisionado regio en la diócesi de, Badajoz, se ha señalado el dia *5 del corriente para el remate de 2 huertas co</t>
  </si>
  <si>
    <t>Romero, Joaquín</t>
  </si>
  <si>
    <t>Joaquín Romero</t>
  </si>
  <si>
    <t>al nominado Escalante , sustituyendo en su lugar al Coronel del Regimiento de Caballería de Evspaña D. Joaquín Romero. Se informa por personas fidedignas , que había llegado ayer por la tarde un Emisario de la Junta de Cartagena con el objeto de proclamar al Rey; mas el referido Capitán General l</t>
  </si>
  <si>
    <t>Romero, Manuel</t>
  </si>
  <si>
    <t>Manuel Romero</t>
  </si>
  <si>
    <t>. Ramón de Posada y Soto , á D. Josef García de León y Pizarro, á D. Ignacio Martínez de Villela, á D. Manuel Romero, á D. Antonio Ranz Romanillos, á Don Estanislao de Lugo, á D. Pablo de Arribas, á D. Francisco Angulo, á D. Juan Antonio Llórente, y á D. Antonio de la Cuesta y Torre^Mi ministro</t>
  </si>
  <si>
    <t>................ 62. D. Andrés Romero, 2 id. por 6 meses...................................... 365. D. Manuel Romero, uno id. id............................. .......... .......... 182. D. Antonio Soria , 4 id. durante 6 meses, por agosto............... 124. D. Agustín Rodríguez, portero del depa</t>
  </si>
  <si>
    <t>gos,.con fecha de 17 del corriente, y firmadas por D. Josef Miguel de Azanza,Don Gonzalo O-Farrill, D. Manuel Romero, Don Mariano Luis de Urquijo, D. Pablo Arribas , y el conde de Cabarrus. Estos hombres ilusos, vendidos por ambición al enemigo, siguen en sus cartas el camino trillado ya de pond</t>
  </si>
  <si>
    <t>Romero, Ramón</t>
  </si>
  <si>
    <t>Ramón Romero</t>
  </si>
  <si>
    <t>a..... 300 ' 1949 D. Francisco de Nestarez......... ,....................... Zaragoza..... 600 5.68 D. Ramón Romero................. ........................... Madrid........ 300 477 Sres. Martínez, Callejo, Muñoz y Ibarrola... Bilbao......... JOO 1133 D. Antonio Gibanel.......................</t>
  </si>
  <si>
    <t>Romero, Vicente</t>
  </si>
  <si>
    <t>Vicente Romero</t>
  </si>
  <si>
    <t>s,'©. Josef. de Ror|-; res y Silva , D. Rafael del1 Pino y Vera ,¡ D. oAutonip r A&amp;XP&lt; :'y,:JJinci, D. Vicente Romero y: Cepeda &gt;íD;. Ignacio; López** nuet La-fita y Porras, Dr Mrni&amp;eLEspeyéTy Daeñafe ^J&gt;ínVicentáflez Yebra y Vaca Domingo TJlzamní ybPeráltd ManuelSandlm* y Arjona y Vargas, D. Josef</t>
  </si>
  <si>
    <t>s infantes, por id. 320 rs. Doña Agustina Lozano, por una vez 100 rs. D. Mateo Cerrillo, id. 60 rs. D. Vicente Romero, oficial de la secretaría de Hacienda de Indias , por agosto á 300 rs. mensuales durante la guerra, 300. p. Simón de Ansótegui, por agosto á 12 rs. diarios, id., 372.~\ D. Josef R</t>
  </si>
  <si>
    <t>4. - D. V. M. 8 varas de lienzo. D. Antonio Sánchez Trapero 2. D. Jorge López 6camisas y 8 vendas. D. Vicente Romero 6. D. Gerónimo Gambon 2 camisas. D. Benito Uit de Miiins 3. Doña María Ximenez de Traporcr, Doña Nicolasa García una y 2 pares vecina de Méritrida ,6. - • de calcetas. El Sr. D. P</t>
  </si>
  <si>
    <t>Romilli</t>
  </si>
  <si>
    <t>ediación de Langeland na bergantín y tres fragatas. ;jy GRAN BRETAÑA. Londres 23 de mayo. El día 19 Sir Romilli expuso en la cámara baxa la propuesta que había anunciado sobre las leyes criminales de Inglaterra. ,,Un estudio, conti'nuado por espacio de muchos faños, me ha:-conyecido , dixo ,</t>
  </si>
  <si>
    <t>Romo y Gamboa, Francisco</t>
  </si>
  <si>
    <t>Francisco Romo y Gamboa</t>
  </si>
  <si>
    <t>odos los oficiales de su nación que se hallaban con la tropa desarmada, y entregándola al brigadier Don Francisco Romo y Gamboa, coronel de la primera división de granaderos provinciales, dixo: ,,Os devuelvo las armas qúe no habéis perdido en campaña &gt;'y que soló'disteis por sorpresa á los mas pérfidos ene</t>
  </si>
  <si>
    <t>uestra Patria: ven* cer ó morir. Verificado que fué el armamento con esta solemnidad , el brigadier D. Francisco Romo y Gamboa, coronel de la primera división de^granaderos Provinciales , hizo tocar un largo redoble, mandó presentar ías armas á toda la tropa,y les dixo 1 Españoles ¡ y (i estamos librest n</t>
  </si>
  <si>
    <t>Roque Antonio de Lema</t>
  </si>
  <si>
    <t>o Uriondo, S. isidro; D. Juan Bautista Elasa , San Gerónimo ; D. Tomas Sanz Ibarrola , Maravilla- ; D. Roque Antonio de Lema, Afligidos ; D. Bernardo Orozco, Barquillo; D. Tadeo Fón , San Martin. Diputación por el cuerpo de vecinos honrados de las parroquias de Madrid. D. Pedro Gorron de Cisneros, D. Es</t>
  </si>
  <si>
    <t>Roque Cobo, Pedro</t>
  </si>
  <si>
    <t>Pedro Roque Cobo</t>
  </si>
  <si>
    <t>, secretario. Don Félix Abrarez dei Villar, diputado dé S. Francisco. D. Lúeas Escolar, secretario. D. Pedro Roque Cobo, diputado $le S- Justo. D. Domingo del Valle, secretario de dich;í. D Juan Bautista Nieto, diputado de id. Dan Lázaro Sanz, alcalde. D. Francisco Criado, diputado id. D. Andrés Be</t>
  </si>
  <si>
    <t>Roque de Avila</t>
  </si>
  <si>
    <t>ado, por id. á 50 rs. id............................................................•&lt;••••• V5Q-. &gt; D. Roque de Avila, oficial de la Consolidación, por id. £ &lt;30 tú: id..... ...........................................................................-...-..y............ !&gt; ' . 60. 7 D. Josef de Ig</t>
  </si>
  <si>
    <t>Roque Ferro</t>
  </si>
  <si>
    <t>viente una camisa. Doña Pauia Huete una. Dqña Rafaela Marín y Alvarez 6 pares de calcetas. Dia 2 8. D. Roque Ferro 4 camisas. Doña A anilina Jesusa Cuevas 6. * Algunos vecinos de Mirafiores de la Sierra 6 id. .-as, 2 usadas* 2{ pares</t>
  </si>
  <si>
    <t>Roque Gallo</t>
  </si>
  <si>
    <t>... Madrid 500 2tS D. Mateo Sfct. María............ ............... ............. Alicante 30a ■237 D. Roque Gallo...............Burgos.. 3:0.0 '240 D. Juan González de Lafuente,&gt;,........... ......... Burgos.. ‘3'°a 5 86 D. Antonio Freyse......... .................................... Madrid/.</t>
  </si>
  <si>
    <t>Roque García Maganto</t>
  </si>
  <si>
    <t>............. 1 D. Juan Miguel González, vecino de Ajalvir....................................... i D. Roque García Maganto................. 1 I ' X D. Juan Josef Perez, vecino de Fuente el Saz...................................... x D. Julián López Zerna, vecino de Velez-rubio...................... 1</t>
  </si>
  <si>
    <t>Roque Laurel</t>
  </si>
  <si>
    <t>guel Mugra, D. Vicente Bordas, D. Juan Bautista Viton, D. Julián Corbera, D. Juan Pedro Macharen! , D. Roque Laurel, D. Ramón Urien , D. Angel Ubac; á los cadetes del expresado cuerpo de patriotas , con grado de subteniente, D. Juan Jo— sef Ferrer, D. Josef Beruti , D. Josef Zerero; á D. Franci</t>
  </si>
  <si>
    <t>Roque Manuel del Bustio y Lastra</t>
  </si>
  <si>
    <t>................ .......... 61. D. Francisco Xavier de Enebra, un libramiento de vales de 1800. 270 D. Roque Manuel del Bustio y Lastra, oficial de la secretaría de la junta de Comercio, en un libramiento contra la pagaduría general de Juros, por una vez................................................ 727 32 Doña</t>
  </si>
  <si>
    <t>Roque Pérez Gómez</t>
  </si>
  <si>
    <t>del co* snercio de Aideico se ha servido S. M. promover á capitán de granaderos al teniente coronel D. Roque Perez Gómez, capitán de granaderos agregado», al "propio cuerpo; -áb tenientes al subteniente, de. granaderos D. Josef Ai i re íes. yrítl dé fusileros -D, Pedro Cortes; á subteniente de grana</t>
  </si>
  <si>
    <t>Roque Rosado</t>
  </si>
  <si>
    <t>res , 50 varas de paño azul y pardo y 50 camisas. Dia 21. D. Manuel de Salazar y Vallejo 4 camisas. D. Roque Rosado 2. María Moreno, latonera, viuda, una olla de campaña de cobre. Dia 22. D. Francisco del Campo, en nombre de su muger Doña Micaela Roseílon , 24 camisas y 6 sus criados. Doña Jose</t>
  </si>
  <si>
    <t>............. 440. D. Miguel Antonio Torrent, en vales reales, id......................... 2263 28. D. Roque Rosado, en intereses de vales de 1800, id.............. .. 361. Doña Sinforiana de Roa, en intereses de vales reales, id........... 180 17. D. Francisco Xavier Alvarez, oficial dé la con</t>
  </si>
  <si>
    <t>Roque Suárez</t>
  </si>
  <si>
    <t>os vales reales de 150 pesos, creación de i.° de enero, núms. 293413 y 258826, endosados á favor de D. Roque Suarez, los que dirigió por Lugo á la villa de Chantada, reino de Galicia: y rio habiendo llegado á su destino, el que supiere de sfe paradero los dirigirá á dicho Roque Suarez á Santiag</t>
  </si>
  <si>
    <t>Roque Verodia</t>
  </si>
  <si>
    <t>................... i773D. Antonio Alvarez, conductor de Correos, id................... ...... 500. D. Roque Verodia, id.................................................................. 40. D. Josef González, en un recibo del real Empréstito, id.......... 200. Josef María Pagani, id............</t>
  </si>
  <si>
    <t>Roquelias, Francisco</t>
  </si>
  <si>
    <t>Francisco Roquelias</t>
  </si>
  <si>
    <t>* 31.; D. Ignacio Sainz de Rozas , oficial des archivo general dé Rentas, por agosto; 4 rs. diarios D. Francisco Roquelias ,.músÍco de los teatros, por td.;á 2 rs. id., •• 02.. , r D. Julián de Cáceres ,, oficial de la cámara de Castilla,, por id* á 2 rs. diarios.......................................</t>
  </si>
  <si>
    <t>Ros, Salvador</t>
  </si>
  <si>
    <t>Salvador Ros</t>
  </si>
  <si>
    <t>Gama,rMiguel AlmítndQg /"Antonio Daban, grado de teniente dé milicias urbanas de su color. , ' ■ A D. Salvador Ros, D. Antonio Costa,, D. Cayetano Sturla, D. Ramón Alcántara , D. Gerónimo Rabasa, D. Ramón Antonio San Fuertes, capitanes urbanos: D. Juan de la Vianca, D. Basilio Viola, D. Juan V</t>
  </si>
  <si>
    <t>Rosa Aguado</t>
  </si>
  <si>
    <t>oco. D. Celedonio de Lope..................................................................... 640. Doña Rosa Aguado ae Larena........................................................ 500. D. Antonio Guardia......................................................................... 40. D. Diego Gar</t>
  </si>
  <si>
    <t>Rosa de Sanabrja</t>
  </si>
  <si>
    <t>yarj^s de dienzo, pa» S2S^- * r , -• , 1 , , 1 &gt;' ■ ' f f * ■.k ~; j ; i r ■' ’ v ’ •) K , ; ' í * Doña Rosa de Sanabrja 6 camisas nuevas. 1 D. Julián de Vivanco 8 id. D. ^Francisco Fernandez, García 18 camisas .nuevas? con igual número,d®2pares¿de medias,] ; r , r&gt; Doña María Guadalupe de Bañuelos</t>
  </si>
  <si>
    <t>Rosa del Cano</t>
  </si>
  <si>
    <t>onde Galvez 3. 0. Diego Erran 1. 0. Simón Ortiz 2. Doña Pascuala Trijueque 2. Doña Teresa Moreno 1. Doña Rosa del Cano 2. Doña BÍasa Ramiro 2. Doña Paula Fuentes 1. LaSra. de Carranza 2. Marquesa del Valle de la Paloma 1. Doña Josefa Semolinos 4. Doña Francisca Villa 2. Doña Juana Prieto 2. Monjas</t>
  </si>
  <si>
    <t>Rosa Fernández Ay</t>
  </si>
  <si>
    <t>s............................. Zaragoza..... 300 1469 P. Juan Manuel de Soldevilla,,...... 3 00 151 Doña Rosa Fernandez Ay ala....... . Valencia...... 50a *749 D. Juan Francisco Muro................. .......... Cádiz............ 300 1818 Doña Ana Albani............................... •.......... Zarag</t>
  </si>
  <si>
    <t>Rosa Lemí y Betarini</t>
  </si>
  <si>
    <t>v....í»..í.»-» 300. D. Juan Carnicero,-confitero, por una vez....................... ...... .. 200* Doña Rosa Lemí y Betarini, viuda, por una vez......».....»»..... 240* D. Rodrigo Zorrilla y Monroy, consejero de Hacienda, por : -</t>
  </si>
  <si>
    <t>Rosa Marco</t>
  </si>
  <si>
    <t>álaga........ 300 48 D. Angel García y Romero....... ....................... Barcelona.... 300 1909 Doña Rosa Marco................................................ Zaragoza..... 3 00 1611 D. Nicolás de Sarachaga..................................... Bilbao...... 500 2049 D. Francisco Xavier Cast</t>
  </si>
  <si>
    <t>Rosa Rico Pablo</t>
  </si>
  <si>
    <t>. . Málaga......... 300 p 27 marques de Amarillas........................... Zaragoza..... 30® 1064 Doña Rosa Rico Pablo............................. Madrid......... 300 1620 D. Miguel Antonio de Yaniz......... ........ Bilbao..J...i. 500 1986 Doña Antonia Cabré................ ........ . Zaragoza..</t>
  </si>
  <si>
    <t>Rosa Ruiz y Aguilar</t>
  </si>
  <si>
    <t>D* Ántonip Pereira 5. ,r ‘Doña Maríá) Nidolasa de; Arquero.s 4. D. Fernando Martínez de Viérgol 18. Doña Rosa Ruiz y Aguilar una. Doña Teresa Rodríguez 2. D. Josef del Corral 6. Doña Rosalía Santos ?.</t>
  </si>
  <si>
    <t>Rosa Salvador</t>
  </si>
  <si>
    <t>drid»»». -■ 300 1040 D. Josef Antonia Menguez............i................. Madrid.....;. '500 1330 Doña Rosa Salvador....................................... .... -Valencia;.... 600 *339 D. Miguel Cehrian, del comercio...... í..... ».w. -Valencia..... 300 159 D. Vipente Haedo Pico».»».............</t>
  </si>
  <si>
    <t>Rosa Taboala y Mondragós</t>
  </si>
  <si>
    <t>o de Gereda. Ma'dridi...'.;. &lt;5 300 ' '607 Sr. Marques de la Ensenada. A Madrid.!../.;. 8 300 217 ó Doña Rosa Taboala y Mondragós..'..V.'..í¿;.ui;' * ‘CóriíñáL.-.U. *-300 s 2 2 D. Josef Dupuy y sobrinos......... Bilbao, i..:.;. 300 1889 Doña Ursula Marimon....... ................................ Zaragoza....</t>
  </si>
  <si>
    <t>Rosa Trota</t>
  </si>
  <si>
    <t>ejon, todo entregado por el teniente cura y alcalde. Doña M. A. M. 2 camisas. Un criado de S. M. 3. Doña Rosa Trota 2. La C. L. 15 pares de fundas de pistolas usadas.. La Exenta. Sra. marquesa de Aicañizas 144 camisas, 18 vendas y media arroba de hilas. Dia 12. D. M. A. I. 10 camisas. D. Jaime</t>
  </si>
  <si>
    <t>Rosa Ventura de Alcedo y Las Casas</t>
  </si>
  <si>
    <t>ander.... IOOO 4*4 D. Victoriano Gallardo.................................... La Coruña.. 3co 15 78 Doña Rosa Ventura de Alcedo y Las Casas. Bilbao......... 1 jco 1907 D. Félix Alvarez de Alvarez............................ Zaragoza..... 300 1050 D. Pedro Leseusne.............................................. Madrid..</t>
  </si>
  <si>
    <t>Rosa'Bárbara-Pérez</t>
  </si>
  <si>
    <t>ran.,.•• ■ ■ • •• • •» Cádiz:.;......; oco 404 D, Juan Antonio Bar ric.......Coruña....... 300 99 ) Doña Rosa'Bárbara-Perez. Labrador.............v.: Madrid....... 500 1034 D. Josef de Lapaz........... ........................ ....... . : Madrid........ 300 1619 D. Lorenzo de Solieta Balzplav....,.....</t>
  </si>
  <si>
    <t>Rosa'Laffbre</t>
  </si>
  <si>
    <t>ionados. Rs. vn.‘ '62 D-.,-Antonio Alberto Tomas Casas- • •*««**V»**k*tfi* ■ Bárcelona.:.. ^00 2018 Doña Rosa'Laffbre.v.v ......... i Cádiz....... »;. 500 534 D.--Josef Uñahederra.. V.'.V.V.V. ••HtkUlílx «rr‘.v.,.«&lt;4 Madrid;...... 300 T04 ‘D.-5 JoSef López • Sobrev ¡ñaS.',-.. ¿V. *... J ¿ */«¿. /</t>
  </si>
  <si>
    <t>Rosales y María Manuela Llopiz, Antonio</t>
  </si>
  <si>
    <t>Antonio Rosales y María Manuela Llopiz</t>
  </si>
  <si>
    <t>de Alvarez 6 pares de calcetas nuevas. D. Benito Antonio Pisador 24 varas de coruña para 6 camisas. D. Antonio Rosales y Doña María Manuela Llopiz,.vecinos de la Cal</t>
  </si>
  <si>
    <t>Rosalía Carnerero</t>
  </si>
  <si>
    <t>y 12 vendas con ,.su$ cabezales. Dona María dé Sierralta 2 libras de hilas y una docena'de vendas. Doña Rosalía Carnerero 3 libras de hilas y una y media de cabezales..</t>
  </si>
  <si>
    <t>Rosalía Santos</t>
  </si>
  <si>
    <t>rtínez de Viérgol 18. Doña Rosa Ruiz y Aguilar una. Doña Teresa Rodríguez 2. D. Josef del Corral 6. Doña Rosalía Santos ?.</t>
  </si>
  <si>
    <t>Roscoe</t>
  </si>
  <si>
    <t>a legua de Altona V del que hará parte la guarnición de Hamburgo, GRAN BRETAÑA. Londres aj de mayo. Mr. Roscoe, historiador célebre por su vida de Lorenzo de Médicts, llamado el magnífico, y mas aun por la de León x, acaba de publicar un folleto sobre l¿is causas, objeto y consecuencias de</t>
  </si>
  <si>
    <t>Rose</t>
  </si>
  <si>
    <t>• $ZuevatYí?r.ck: j8i¿le, diciembre de, 180/. Acaba de llegar de Inglaterra á bordo de la Estatira Mr. Rose, También ha llegado,Mr.-Monroé* .y ha traido 'consigo él decreto de 11 de noviembre» expedido por elí gábiAete. íbritáftico sobre la navegación y comercio délos neutrales. A conse</t>
  </si>
  <si>
    <t>ero á pesar de esto fue aprobada por pluralidad de votos. CAMARA BAXA. ' Sesión del 2 8 de enero* ' Mr. Rose pide que la cámara se forme en junta secreta para tratar sobre el acta de la última sesión, en la que sé estableció el reglamento para el comercio entre la Inglaterra y los Estado</t>
  </si>
  <si>
    <t>antos Mr. Clinton. Este último fue elegido unánimemente para la vice-presidencia» El enviado ingles Mr. Rose ha propuesto que antes de darse principio á la negociación se revoque el embargo puesto sobre los buques ingleses; pero el presidente de los Estados ha desechado con indignación e</t>
  </si>
  <si>
    <t>es y fábricas de aguardientes y rosolis. : . Los diarios ministeriales aseguran que nuestro enviado Mr. Rose ha sido mui bien recibido en América; pero las voces que se han esparcido sobre haberse levantado el embargo en los puertos americanos, y suspendido el acta que prohibía la introd</t>
  </si>
  <si>
    <t>tinada á cooperar con un cuerpo de tropas del Ilrasil á una empresa contra la América española. 1 ■ Mr. Rose, nuestro enviado extraordinario en América, ha venido á bordo del Statira, en compañía de nuestro ministro Mr. Erskine¡. Mr. Rose ha dado al gobierno de los Estados-Unidos las exp</t>
  </si>
  <si>
    <t>en dias pasados una nota que les pasó el ministerio, dándoles parte del Tesultado de la comisión de Mr. Rose. El presidente de los Estados se ha negado á revocar la proclama contra las embarcaciones inglesas, á pesar de que se le ha ofrecido reparar como corresponde el agravio cometido p</t>
  </si>
  <si>
    <t>so la correspondencia que ha habido entre el secretario de estado Mr. Maddison y el ministro ingles Mr. Rose , coya publicación excita la atención del público. Es preciso traer á Ja memoria el atentado cometido el año último por el navio ingles el Leopardo contra la fragata americana la</t>
  </si>
  <si>
    <t>e haya un tratado preliminar convenido para la reparación del insulto hecho al pabellón americano. —Mr. Rose replica á Mr. Madlison en oficio de 17 de marzo, en que explica nuevamente los principios que han dictado la conducta del gobierno británico, y los motivos de la que mismo debe te</t>
  </si>
  <si>
    <t>de altanar todas las dificultades que había entre las dos naciones. El resultado de la comisión de Mr. Rose no es un secreto. Sus notas de oficio , en lugar de ofrecer indemnización por lo pasada y seguridad pa~ ira'la venidero x exigía la revocación del decreto que prohibía la entrada</t>
  </si>
  <si>
    <t>Rose-escribió</t>
  </si>
  <si>
    <t>n el presidente de los Estados-Unidos sobre aquel asunto, y de proponer los medios de conciliación. Mr. Rose-escribió una carta á Mr. Maddison, fecha en Washington el *8 de enero de 1808, en que principia exponiendo que le estaba enteramente. prohibido por sus instrucciones entrar en ninguna -neg</t>
  </si>
  <si>
    <t>Rosendo de Paa, Manuel</t>
  </si>
  <si>
    <t>Manuel Rosendo de Paa</t>
  </si>
  <si>
    <t>448 Las perdonas que quieran teper parte en tan laudable buena obra, acudirán i D. Manuel Rosendo de Paa, habilitado del regimiento num. i, de voluntarios de Sevilla, á quien entregarán Jas "piezas4 qué' güsten , ' en inteligencia de que en su día se publicarán . todas las donaciones</t>
  </si>
  <si>
    <t>Rosendo Saturío</t>
  </si>
  <si>
    <t>Blanco 6 camisas. Doña Manuela Martínez Carranza 6* D. Félix Manzaneda 6. Doña Isabel Ilarranza 2. D. Rosendo Saturío 2. D. J. B. 3. Doña Micaela Fourdiniez y sus dos D. Agustín Sanz 2. hijas 4. D. J. Q. 2. D. Josef de la Torre 4. D. Pedro Arnaiz una. Doña Isabel Andrea Huésterlíng 12. D. Manuel</t>
  </si>
  <si>
    <t>Rosendo Villalain</t>
  </si>
  <si>
    <t>resuzgo de S. Quirce, en el arzobispado de Burgos, vacante por fallecimiento de D. Diego Cabezón, á D. Rosendo Villalain, canónigo de la colegiata de Covarrubias , en el mismo arzobispado de Burgos ;, y para el préstamo de la parroquia del lujar de Avellanóla , en la abadía de Lerma, vacante por mue</t>
  </si>
  <si>
    <t>Rosiliy, Almirante</t>
  </si>
  <si>
    <t>Almirante Rosiliy</t>
  </si>
  <si>
    <t>. La oficialidad de la esquadra francesa permanece prisionera á bordo de nuestros navios, y solo al Almirante Rosiliy se le ha devuelto su espada. Quando fué conducida la marinería á la Carraca, se registraron sus crecidos equipages por si ocultaban algunas armas, y se les halló bastante plata, a</t>
  </si>
  <si>
    <t>Rosse</t>
  </si>
  <si>
    <t>bierno británico manifiesta en la nota de ofició remitida por Mr. ErsJcihe después de la llegada de Mr. Rosse, enviado extraordinario de Inglaterra, el embargo sigue con vigor en nuestros puertos, que permanecen cerrados á las caricias y á las amenazas británicas. * El congreso se ¡untará</t>
  </si>
  <si>
    <t>s EstadosUnidos.” Se ve también en los mismos oficios el motivo y el resultado de la comí-* sron de Mr. Rosse, ministro extraordinario , enviado por la Inglaterra á América. A pesar de esto, los americanos continúan su embargo, y observan una exacta neutralidad. CONFEDERACION DEL RIN. Fra</t>
  </si>
  <si>
    <t>Rossel, Esteban</t>
  </si>
  <si>
    <t>Esteban Rossel</t>
  </si>
  <si>
    <t>2 meses, á 6 diarios... "3447. D. F. T . , 305 rs. por 2 meses á 5 diarios, y joo por una vez. 8oj. D. Esteban Rossel-, en libramientos del Pondo vitalicio, por una vez,.................. ................ ................................................... 1080. D. Manuel Ramón de los Heros, id...</t>
  </si>
  <si>
    <t>Rossi, Gabriel</t>
  </si>
  <si>
    <t>Gabriel Rossi</t>
  </si>
  <si>
    <t>........ icco.: D. Juan Fernandez Fálbina, id............................................ .. . 600. D. Gabriel Rossi, id.................................................................... 240. D. Josef Sánchez, profesor de Farmacia , id................................ 200. D. Francisco Xavier d</t>
  </si>
  <si>
    <t>Rotaeta, Manuel</t>
  </si>
  <si>
    <t>Manuel Rotaeta</t>
  </si>
  <si>
    <t>entqi*a; el empleó' dé segundo ayudante al teniente D. Demetrio O-Dáli ; y tenencia' al subteniente D. Manuel Rotaeta. Asimismo ha promovido S. M. á subteniente de. pandera en el regimiento de infantería de Zaragoza al cadete D. Antonio Sopranis. j S.M. se ha servido conferir el gobierno de Vilta</t>
  </si>
  <si>
    <t>Rousille, Francisco</t>
  </si>
  <si>
    <t>Francisco Rousille</t>
  </si>
  <si>
    <t>.... Málaga........ 300 442 D. Francisco Antonio de Rucabado............;... Santander.... 3°° 1911 D. Francisco Rousille................... ................. . Zaragoza.... ¿ 3 00 524 D. Manuel de Mazon Carrea.......................... Bilbao........ . 000 869 D. Ventura Fita........................</t>
  </si>
  <si>
    <t>Rousílle, Francisco</t>
  </si>
  <si>
    <t>Francisco Rousílle</t>
  </si>
  <si>
    <t>...., ••'•«i •300 2362 D: Joaquín Escudero. ........................... Zaragoza. ... * i :3°° i9I4 D. Francisco Rousílle.■.....•......... Zaragoza'. X 5CC0 i34 D. Pedro Broca, comerciante............. Valencia. 500 368 D. Francisco de- Mier y Teran............. Cádiz ..... 300 '7 &gt;6 D. Juan Esteban</t>
  </si>
  <si>
    <t>Rouyer</t>
  </si>
  <si>
    <t>Después se ha deliberado acerca de varias notas comunicadas por el encargado de negocios41e Francia Mr. Rouyer: en una de ellas, relativa al reemplazo de lós regimientas suizos, convida á la dieta á tomar las resoluciones necesarias-para completar dichos regimientos, mediante haber demostr</t>
  </si>
  <si>
    <t>Rovillár, Antonio</t>
  </si>
  <si>
    <t>Antonio Rovillár</t>
  </si>
  <si>
    <t>de la de S. Andrés. D. Fermín del Rio, diputado de la Comadre. D. Antonio Rodríguez, eclesiástico. D. Antonio Rovillár, id. D. Francisco Perez y Velazquez, D. Gregorio Guerra Zorrilla, D. Josef Babea, D. Gregorio Dorado, diputación de las Descalzas. D. Benito Alfaya, diputado de S. Márcos. 35. Lui</t>
  </si>
  <si>
    <t>Rovíra, Luis</t>
  </si>
  <si>
    <t>Luis Rovíra</t>
  </si>
  <si>
    <t>o militar; y los comendadores de la orden de S. Juan de Jerusalen, comandantes natos de este punto, D. Luis Rovíra , teniente de navio retirado, y D. Francisco Albornoz, capitán retirado de caballería, llamaron mucho la atención y el aprecio-per sus disposiciones respectivas, por su acierto y</t>
  </si>
  <si>
    <t>Rovira, Melchor</t>
  </si>
  <si>
    <t>Melchor Rovira</t>
  </si>
  <si>
    <t>que no me incomoda*' réis con pliegos, cuya fecha, no sea de. ¿jtockohno, ESPAÑA. Reus 6. de Julio* D. Melchor Rovira, capitán del primero.de voluntario!; de Barcelona, ha llegado aquí, fugitivo de Fjouia, ha sido nombrado comandante del segundo tercio de iniquelé* tes de los 40$. que hay aquí le</t>
  </si>
  <si>
    <t>Roxo, Ana</t>
  </si>
  <si>
    <t>Ana Roxo</t>
  </si>
  <si>
    <t>................ 3 * El conde de los Corvos.................. 2 El marques de las Hormazas, hijo. 1 Doña Ana Roxo, 6 hijos de D. Julián Ruiz, vecinos de esta corte. 4 Oaiwía, maestro de postas de Santa Cruz de Retamar........ * Juan Moreno, guarda del Pardo, por sí y á nombre de todos los sob</t>
  </si>
  <si>
    <t>Roxo, Francisco</t>
  </si>
  <si>
    <t>Francisco Roxo</t>
  </si>
  <si>
    <t>... ......... 4°9D. Josef Clemente Zabarte, médico, idT................ *................ •••• 600. D. Francisco Roxo, id................................... ••............................•* IOOi* D. Antonio Baylo , del comercio de libros, id................... . icoo. . D. Blas Ametller , grabado</t>
  </si>
  <si>
    <t>Royo Pueyo, Ramón</t>
  </si>
  <si>
    <t>Ramón Royo Pueyo</t>
  </si>
  <si>
    <t>e la Encarnación. D. Antonio Cucarella, diputado de S. Ildefonso. D. Tomas Sanz de Ibarrola, de id. Don Ramón Royo Pueyo, alcalde. D. Luis Naranjo, diputado de la Latina. Don Cristóbal Olmedo, de id. D. Pedro Acevedo id. D. Rafael Guerra, eclesiástico de dicha. D. Juan Hermoso Dara,-alcalde. D. Bern</t>
  </si>
  <si>
    <t>Royo, Antonio</t>
  </si>
  <si>
    <t>Antonio Royo</t>
  </si>
  <si>
    <t>........ 300 465 D. Meliton de Cafranga.................!....?........... Bilbao......... 00o. 1337 D. Antonio Royo, del comercio..................i. Valencia..... 500 1209 D. Manuel de Náxera Represa y Mena df 1 •" ^ ^ * Benavente......... ...... .................................. . Bilbao....</t>
  </si>
  <si>
    <t>Rranibn López Lozano</t>
  </si>
  <si>
    <t>pico..en efectivo* foco. El marques defVrillafráñcay 50^, rs¿.mensuales, .por un mes..,..,i 50PCO. D. Rranibn López Lozano, 1.5 id. por 3 meses.....,,.45. Z. J. de F.,‘3© id. por 2¡ id................................................. ¿o, D. Dámaso López, un real, diario, por 2 meses..,.......-,.......</t>
  </si>
  <si>
    <t>Ruano, Antonio</t>
  </si>
  <si>
    <t>Antonio Ruano</t>
  </si>
  <si>
    <t>........ 1 1 El coronel'D. Felipe Sicre............................ 1 1 í). Manuel de Beja..... 1 1 D. Antonio Ruano, exento de reales guardias de Corps..................................... i 1 ' _ „ .. f* cabezadas D. Ramón Caedlas........................................ 1 &lt; y 3 pares de \ * l</t>
  </si>
  <si>
    <t>Rubiano y Nieto, Manuel</t>
  </si>
  <si>
    <t>Manuel Rubiano y Nieto</t>
  </si>
  <si>
    <t>Doña Catalina Germán y Hugalde. En Murcia............. Sres. Moreda y Ladalid. En Oviedo......... . D. Manuel Rubiano y Nieto. En Palenda.... D. Josef María Calonge. En Palma....... . D. Martin Mayol. En Pamplona........ Sres. viuda de Barbería é hijo. En Salamanca..... Sres. Urrero y Casaseca. , En Sant</t>
  </si>
  <si>
    <t>oña Catalina Germán y Hugalde. En Murcia............ Sres. Moreda y Ladalid. En Oviedo............. D. Manuel Rubiano y Nieto. En Patencia.......... D. Josef María Calonge. En Palma............. D. Martin Mayol. En Pamplona....... Sres. viuda de Barbería é hijo. En Salamanca..... Sres. Urrero y Casaseca.</t>
  </si>
  <si>
    <t>a Catalina Germán y Hugalde. £n Murcia.............. Sres." Moreda y Ladalid. £n Oviedo.......... . D. Manuel Rubiano y Nieto, F JEPatencia........... D. Josef María Caíonge. £n Palma............ D. Lorenzo Gibert. . £n Pamplona........ Sres. viuda de Barbería é hijo. £n Salamanca...... Sres. Urrero y Ca</t>
  </si>
  <si>
    <t>Rubín, Cayetano</t>
  </si>
  <si>
    <t>Cayetano Rubín</t>
  </si>
  <si>
    <t>etiembre, la cantidad de. icooo. El limo. Sr. obispo de Caristo , auxiliar de Madrid... 640. El Sr. D. Cayetano Rubín , inquisidor de corte......... 320. El Sr. E). Antonio M^ría de; Gaíarza* id....................... 320. JD. Rafael Hernández, cura párroco de S. Sebastian.. 300. I&gt;. Gregorio Mar</t>
  </si>
  <si>
    <t>Rubio de Albarran, Lorenzo</t>
  </si>
  <si>
    <t>Lorenzo Rubio de Albarran</t>
  </si>
  <si>
    <t>o dél colegio, por una vez...... 200. D. Tadeo Bravo de Ribero, por una vez............. i... iboo. D. Lorenzo Rubio de Albarran, alguacil mayor jubilado, por una vez..................... .......................................................... ...... . 100. Los Sres. Douat, hermanos y compañía, por una v</t>
  </si>
  <si>
    <t>Rubio Escudero, Andrés</t>
  </si>
  <si>
    <t>Andrés Rubio Escudero</t>
  </si>
  <si>
    <t>l presente mes igual cantidad. D. Juan Antonio Ruiz, cura párroco de S. Millan................ 300. D. Andrés Rubio Escudero........................................................ 200. El Sr. D. Josef de Metzger, director de la real lotería......... 100. El Sr. inquisidor D.( Juan Martínez Nubla.......</t>
  </si>
  <si>
    <t>Rubio Escudero, Gregorio</t>
  </si>
  <si>
    <t>Gregorio Rubio Escudero</t>
  </si>
  <si>
    <t>120. D. Domingo de Acha, id........... ..................................................... 1100. D. Gregorio Rubio Escudero, dependiente de la real fábrica de sombreros de S. Fernando, en un libramiento del Fondo vitalicio y efectivo, id........................... ......................................</t>
  </si>
  <si>
    <t>Rubio y Vallejo, Manuel</t>
  </si>
  <si>
    <t>Manuel Rubio y Vallejo</t>
  </si>
  <si>
    <t>d de arcediano de Sobrarve de la catedral de Huesca, vacante por muerte de D. Blas López Carilla, á D. Manuel Rubio y Vallejo, director de la real casa de pages, con retención de este destino: para la canongía de la metropolitana de Zaragoza, vacante por fallecimiento de D. Joaquín Hidalgo, á D. Tomas Se</t>
  </si>
  <si>
    <t>Rubio, Agustín Antonio</t>
  </si>
  <si>
    <t>Agustín Antonio Rubio</t>
  </si>
  <si>
    <t>6ó Rs. ' Mrs. D. Agustín Antonio Rubio, contador de la factoría de loza de Aicora, por una vez........................................ ............................... 240. D. Francisco Diaz Molina, abogado'de-1 colegio</t>
  </si>
  <si>
    <t>Rubio, Andrés</t>
  </si>
  <si>
    <t>Andrés Rubio</t>
  </si>
  <si>
    <t>ovalada, y una sortija ó anillo de . poleones,37 rs. y 17 mrs. oro. . Doña Vicenta San Román 60 rs. D. Andrés Rubio 120. Vippiita'Garqía icú o Doñá María García 60.. Balt^sai de los Santos 20. I Doña Paula López 40. D» Ju-^n An.tonid de Ibar 10. : ¡ D. Andrés .Perez de Gracia 120. Fr nciseo Xav</t>
  </si>
  <si>
    <t>Rubio, Antonio</t>
  </si>
  <si>
    <t>Antonio Rubio</t>
  </si>
  <si>
    <t>a , del comercio , por una vez... 1100* D. Manuel Rodrigo, por áhorá,..*»» ................... *00, D. Antonio Rubio, por ahora....................................... .............. 200. D. Francisco&gt; Xavier Perez, por una vez..................................... 1 jo. D. Bernardo de Inarte, del</t>
  </si>
  <si>
    <t>o Iturmendi, diputado de S. Martin. D. Francisco Xavier de Eli— pe, id. D. Tomas Busto González id. D. Antonio Rubio, de S. Isidro. D. Fernando del Sorribo, diputado de S. Cayetano. D. Inocencio Pastrana, coadjutor del Caballero de Gracia. D. Sebastian de Haegui, secretario de la de S. Andrés. D</t>
  </si>
  <si>
    <t>Rubio, Juan</t>
  </si>
  <si>
    <t>Juan Rubio</t>
  </si>
  <si>
    <t>.......... . 200. D. Francisco Alonso Fernandez , botillero, id...... ........................ 120. D. Juan Rubio, id. id....... ................................... ........................ 1000. . • (Se continuará,*)......... EN LA IMPRENTA REAL. ¿</t>
  </si>
  <si>
    <t>Rubio, Pedro</t>
  </si>
  <si>
    <t>Pedro Rubio</t>
  </si>
  <si>
    <t>1203 Rs. Mrs. D. Julián de Fuentes, regidor de Madrid............... 1000. D. Pedro Rubio, del comercio.................... .................. 2000. D. Manuel de Yarritu , id................... ........... ................ 1000. D. Manuel González de Lobera, id........</t>
  </si>
  <si>
    <t>de las Descalzas. D. Benito Alfaya, diputado de S. Márcos. 35. Luis Bautró, diputado de S. Plácido. D. Pedro Rubio, director de los cinco gremios mayores. D. Vicente Ambrosio Águirre, director, su compañero. Fr. Ildefonso Paz, prior del convento del Rosario. D. Tomas Cordero, diputado de la, p</t>
  </si>
  <si>
    <t>. Eusebio María de los Heros , D. Benito de Prado y Ulloa. Diputación de los cinco gremios mayores. D. Pedro Rubio , D. Vicente Ambrosio de Aguirre. Por las 6~4 diputaciones de los barrios que componen los ro quarteles de Madrid. D. Silverio Perez. por el quarrel de Avapies; D. Juan de Mata Il</t>
  </si>
  <si>
    <t>Rubro Abarran, Lorenzo</t>
  </si>
  <si>
    <t>Lorenzo Rubro Abarran</t>
  </si>
  <si>
    <t>ara el esdrcito de Aragón. D. Juan Francisco Agües 2 camisas. Dona María Pastor 38 varas de lienzo. D. Lorenzo Rubro Abarran 2. Doña Jacoba Atíenza de Durango una Doña FerÚiinaCálculi 2 y 2paresde camisa. ■■.■-‘■.••J:.. ‘ zapatós. ^ • s D. Manuel Escudero f., tinas hilas y D. Blas 'Menertdé¿ ¿Ccartri&amp;s.</t>
  </si>
  <si>
    <t>Rueda, María</t>
  </si>
  <si>
    <t>María Rueda</t>
  </si>
  <si>
    <t>tonia Cano 2 camisas de coruña. Los señ res condes de Gausa 12. D. Josef Mariscal 4. Una viuda una. Doña María Rueda 2. Doña Ignacia Rodríguez 2. D. M. C. 6. Doña M. C. una. Doña María Felipa Falcon y Rutiman 4. Cristina Bueno una. Dia 29. Doña JCaviera Escudero 4 camisas. D. Juan Luque 6. Un re</t>
  </si>
  <si>
    <t>Rúes, Blas</t>
  </si>
  <si>
    <t>Blas Rúes</t>
  </si>
  <si>
    <t>... 60. D. Pedro Piaig , médico, id.................. ........................ ........... . 938 1. D. Blas Rúes, jd.................. .............. ....................... .................... 26. p. Férñandcr Fopt, ayuda de la real Sausería, una boleta de... pasa real, 412 17. Plácido Zar</t>
  </si>
  <si>
    <t>Rufino de Aranguren</t>
  </si>
  <si>
    <t>z.......... 600 1706 D. Juaix Manuel de Peralta.,.......*...;........... Cádiz.......... . 300 1573 D. Rufino de Aranguren y D. Manuel Silvestre de Echevarría...................... ...................... Bilbao.......... 600 2404 D. Josef Antonio de Torres.............................. Zaragoza...... lOOO</t>
  </si>
  <si>
    <t>Rufino de Aranguren, Antonio</t>
  </si>
  <si>
    <t>Antonio Rufino de Aranguren</t>
  </si>
  <si>
    <t>ópez......... Madrid 500 1568 D. Josef Manuel de Urterte.......................... Bilbao., 300 513 D. Antonio Rufino de Aranguren............. . Bilbao., 500 65 5 Doña Antolina Francisca de S". Peláyo........... Madrid IOOO 287 D. Genaro Rezabal , teniente coronel............ . Málaga........ 600 1937 Juan M</t>
  </si>
  <si>
    <t>Rufino Fernández</t>
  </si>
  <si>
    <t>d.......... 10000. D. Cesáreo Bastarrechea, 20 rs. mensuales............ ...................... 20. D. Rufino Fernandez, 15 rs. mensuales, por 2 meses................ 30. D. Francisco Valdivielso y Varona, mayordomo del conde de Oñate, 40 id. por agosto...... .......................................</t>
  </si>
  <si>
    <t>Rufo Agustín Martínez</t>
  </si>
  <si>
    <t>...... 40. D. Isidro Ardura, 20 id. id......................................................... 40. D. Rufo Agustín Martínez, 2 rs. diarios, por un año................ 730. D. Tosef Féy'joo, en boletas dé Casa Real, y pico en efectivo, porv una vez........................................................</t>
  </si>
  <si>
    <t>Rufo de Zorrilla, Juan</t>
  </si>
  <si>
    <t>Juan Rufo de Zorrilla</t>
  </si>
  <si>
    <t>defecto á los hijos, de Don Josef Pió Muxica, capitán comandante, D. Eustaquio Cabieces, teniente-, D. Juan Rufo de Zorrilla, ayudante maycír, graduado de capitán, y á Juan de Dios Campuzáno, capitán retirado, y Pedro Isica, subteniente, que fueron muertos en la defensa de Buenos-Aires.,', se les ¡consi</t>
  </si>
  <si>
    <t>Rufon, Manuel</t>
  </si>
  <si>
    <t>Manuel Rufon</t>
  </si>
  <si>
    <t>na ves. loo* Andrés de Oña, pasamanero, id........................ ............................ 20. D. Manuel Rufon, id...................................................................... 160. D. Miguel de Amandi, del comercio de joyería, 2© rs. en efectivo, y 722 en intereses de. vales,del a</t>
  </si>
  <si>
    <t>Rui, Juan</t>
  </si>
  <si>
    <t>Juan Rui</t>
  </si>
  <si>
    <t>los donativos y ofertas voluntarias que constan en el banco - nacional-de S. Carlos. ' r' ' R*. Mn. D. Juan Rui* Atvarez, por agosto á 3 rs. diarios............... . 93. D. Antonio García, maestro carpintero, por agosto á 4 rs. diario*.............. ——......*................................</t>
  </si>
  <si>
    <t>Ruia Huidobro, Ventura</t>
  </si>
  <si>
    <t>Ventura Ruia Huidobro</t>
  </si>
  <si>
    <t>s con destino al ramo de Hacienda á los Sres. D. Vicente Casajus, Secretario de esta Intendencia, y D. Ventura Ruia Huidobro , Escribano mayor de este Ayuntamiento. Con superior permiso. EN LA IMPRENTA DE LA VIUDA DE HIDALGO Y SOBRINO.</t>
  </si>
  <si>
    <t>Ruibamba, Ambrosio</t>
  </si>
  <si>
    <t>Ambrosio Ruibamba</t>
  </si>
  <si>
    <t>resados. Comisionados. Rs. vn. 439 D. Antonio del Piélago y Castro.......... Santander.... 30Q i8c6 D. Ambrosio Ruibamba................................... Zaragoza..... 500 571 D* Francisco Bouligni....................................... Madrid....... 300 1902 D. Josef García Alvarez...............</t>
  </si>
  <si>
    <t>Ruiz Apódaca, Juan</t>
  </si>
  <si>
    <t>Juan Ruiz Apódaca</t>
  </si>
  <si>
    <t>para que se pueda cultivar esta, destinando, por ahora como encargado de negocios á la de Londres á D. Juan Ruiz Apódaca, gefe de escuadra de la real armada • que se halla en aquella ciudad * hasta que se acuerde con aquella corte el carácter y circunstancias recíprocas de k&gt;s! que hayan de represen</t>
  </si>
  <si>
    <t>Ruiz Dávila, Juan</t>
  </si>
  <si>
    <t>Juan Ruiz Dávila</t>
  </si>
  <si>
    <t>, D. Juan Bautista Nieto, D. Pedro Marcelino Blanco , D. Miguel Martínez, D. Pedro Queipo de Llano, D. Juan Ruiz Dávila, D. Josef Bausá, D, Rafael Ricote, D. Josef Antonio CanosaD. Pablo Muñoz de la Vera y D. Miguel García Marín, diputados de parroquias; D. Nicolás Nicol y Josipf González, por el g</t>
  </si>
  <si>
    <t>Ruiz de Amoraga, Pedro</t>
  </si>
  <si>
    <t>Pedro Ruiz de Amoraga</t>
  </si>
  <si>
    <t>postura, Jo executará por la escribanía que desempeña D. Claudio Constando. ; / Por providencia de D. Pedro Ruiz de Amoraga, juez comisionado regió en el Obispado dé Cqrdoba, se ha señalado el dia $0 del corriente para el remate de dos cortijos que nombran (a Magdalcnica y el Rubio, situados en el térm</t>
  </si>
  <si>
    <t>Ruiz de Gamiz, Benito</t>
  </si>
  <si>
    <t>Benito Ruiz de Gamiz</t>
  </si>
  <si>
    <t>z............................. . 320. La marquesa dc Villa verde ,por una. vez............. . 1500. D. Benito Ruiz de Gamiz , por una. vez........ ............ .................. 60. AngelGomez, maestro pasamanero, por una vez....................... 46. Doña María Josefa Salazar, viuda del Sr. Acevedo,</t>
  </si>
  <si>
    <t>Ruiz de Mendoza, Francisco</t>
  </si>
  <si>
    <t>Francisco Ruiz de Mendoza</t>
  </si>
  <si>
    <t>......... 20 D. Benigno Arciniega, sirviente, id........... ................ ........ ......... 40. D. Francisco Ruiz de Mendoza, oficial del archivo general de Consolidación,- 300 rs. por una vez, y 36 y 24. mrs. por el 8. por ciento de su sueldo correspondiente á agosto................... 336 24. D. Franc</t>
  </si>
  <si>
    <t>Ruiz de Morales, Manuel</t>
  </si>
  <si>
    <t>Manuel Ruiz de Morales</t>
  </si>
  <si>
    <t>, 30 id., por agosto.............................................................. ................ D. Manuel Ruiz de Morales, 60 id. id............................................ D. Ignacio-López Corona, oficial de Tesorería general, y tesorero honorario de exército, 50 id. id..........................</t>
  </si>
  <si>
    <t>Ruiz de Salazar, Juan Manuel</t>
  </si>
  <si>
    <t>Juan Manuel Ruiz de Salazar</t>
  </si>
  <si>
    <t>ionados. -Rs. vn. 960 D. Francisco López Nuñez.............................. Madrid........ 300 826 D. Juan Manuel Ruiz de Salazar.................... .Madrid....... 300 49) D- Antonio Mames de Epalza é Iruegas......... Bilbao.......... 300 1313 D. x\gustin de Ubeda, comerciante.......... ...... Valencia.....</t>
  </si>
  <si>
    <t>Ruiz de Sorzano, Tomás</t>
  </si>
  <si>
    <t>Tomás Ruiz de Sorzano</t>
  </si>
  <si>
    <t>ntonio Caballero...... .• i• f»*y • 3°Q- : *9&gt;9 D. Manuel Centurión.............. JOZ^.S., 600 I751 D. Tomas Ruiz de Sorzano....... Cádiz • ••»i»- ^00 1883 D. Manuel Mareen.... . Zaragoza....* 500 1463 D. Josef Lizalde....................................... 3 00 2371 D. Mariano Osorio, capitán..........</t>
  </si>
  <si>
    <t>Ruiz del Burgo, Manuel Fernando</t>
  </si>
  <si>
    <t>Manuel Fernando Ruiz del Burgo</t>
  </si>
  <si>
    <t>á la suprema junta central de! reino, donde dice Sr. D. Manuel Fernandez del Burgo, debe decir Sr. D. Manuel Fernando Ruiz del Burgo. ■ .......................... AVISOS. El gefe de la oficina de vales reales se halla con noticias ciertas de haberse extraviado varios paquetes de vales de 600 y de 300 pesos de i</t>
  </si>
  <si>
    <t>Ruíz Duran, Domingo</t>
  </si>
  <si>
    <t>Domingo Ruíz Duran</t>
  </si>
  <si>
    <t>licante...... 500 901 D--Antonio de Palacio......... ........................ Madrid./..;. 300 1790 D. Domingo Ruíz Duran.,.•• ■ ■ • •• • •» Cádiz:.;......; oco 404 D, Juan Antonio Bar ric.......Coruña....... 300 99 ) Doña Rosa'Bárbara-Perez. Labrador.............v.: Madrid....... 500 1034 D. Josef d</t>
  </si>
  <si>
    <t>Ruiz Qonzalcz, Antonio</t>
  </si>
  <si>
    <t>Antonio Ruiz Qonzalcz</t>
  </si>
  <si>
    <t>JUDICIALES. Por el juzgado del corregidor de la villa de Hellin, Teino de Murcia, y escrir hanía de D. Antonio Ruiz Qonzalcz, á virtud de despacho del Sr. D. Torquatp Antonio Collado, teniente corregidor de Madrid, y para pago de acreedores , se lia mandado sacar á pública subasta una hacienda én él tér</t>
  </si>
  <si>
    <t>Ruiz, Bernardo</t>
  </si>
  <si>
    <t>Bernardo Ruiz</t>
  </si>
  <si>
    <t>.vez,............ 240., Peda® Navarro, por ahora....»i t u f • » • a.» ••••••«&gt;••• mi^Ím * • r ZOO* D. Bernardo Ruiz, cirujano, .en.intereses de vales de i.® de&lt;? mayo de 808, por unaí:ve¿i...;¿í..'¿..v............ ................ . V 361.,; Juan-Rodríguez, por una, vez...... ............... ..</t>
  </si>
  <si>
    <t>Ruíz, Joaquín</t>
  </si>
  <si>
    <t>Joaquín Ruíz</t>
  </si>
  <si>
    <t>Villaraal, so¡» los alféreces de fragata D. Joaquín Ruíz, D; Juan María de Miguel, y D. Gabriel Claudio Sequeira; y en general el comandante , oficiales y tropa de marina del apostadero de Ayamonte han manifestado un zúo y patriotismo d</t>
  </si>
  <si>
    <t>Ruiz, Juan Antonio</t>
  </si>
  <si>
    <t>Juan Antonio Ruiz</t>
  </si>
  <si>
    <t>................................... 400. El mismo ofreció para fin del presente mes igual cantidad. D. Juan Antonio Ruiz, cura párroco de S. Millan................ 300. D. Andrés Rubio Escudero........................................................ 200. El Sr. D. Josef de Metzger, director de la re</t>
  </si>
  <si>
    <t>.. 240. Juan Bautista Gasparoli, 60 id....................... ................................ 120. D. Juan Antonio Ruiz, contador de la caxa de la Tesorería mayor de S. M., 2© id. por 6 meses........... ................................. 12000. Miguel del Campo, artífice platero, 30 id. por 2 id....</t>
  </si>
  <si>
    <t>ael de la Peña, D. Agustin Plácido Zanon, D. Juan Ventura Apostegui, diputación del Carmen calzado. D. Juan Antonio Ruiz, cura de S. Mi Han. Fr.Juan Josef Capilla, presidente de S. Francisco. P. D. Francisco Lázaro del Ortal, prepósito dei Salvador. Fr. Ignacio de Cantapino, guardián de Capuchinos d</t>
  </si>
  <si>
    <t>Ruiz, Juan Manuel</t>
  </si>
  <si>
    <t>Juan Manuel Ruiz</t>
  </si>
  <si>
    <t>za..... 500 -1438 D. .Antonio Santa Ana.......................... -........... Málaga.»»... 300 940 D. Juan Manuel Ruiz..........................•«»»»» Madrid i...... ' oco IJ99 D. Josef Plunas. y Molut...........»»4.»............. Barcelona.... 6co 97i D. Josef Manuel de Ainz»........ ...... .....</t>
  </si>
  <si>
    <t>Ruiz, Julián</t>
  </si>
  <si>
    <t>Julián Ruiz</t>
  </si>
  <si>
    <t>nde de los Corvos.................. 2 El marques de las Hormazas, hijo. 1 Doña Ana Roxo, 6 hijos de D. Julián Ruiz, vecinos de esta corte. 4 Oaiwía, maestro de postas de Santa Cruz de Retamar........ * Juan Moreno, guarda del Pardo, por sí y á nombre de todos los sobreguardas y guardas de dich</t>
  </si>
  <si>
    <t>Ruiz, Manuel</t>
  </si>
  <si>
    <t>Manuel Ruiz</t>
  </si>
  <si>
    <t>enta de ioS&gt; rs. por una vez.................. .................................. ........... 5000. D. Manuel Ruiz, dorador á fuego, por una vez........... ............. 400. Francisco González, maestro cerragero, á cuenta de .60 rs. por una vez.................. ..............................</t>
  </si>
  <si>
    <t>Ruiz, María</t>
  </si>
  <si>
    <t>María Ruiz</t>
  </si>
  <si>
    <t>A. y B. 2. D. Juan Gutiérrez 4. Doña Ana Rodríguez, sirvienta, 2. Doña Rafaela Martínez de Ariza 4. Doña María Ruiz 6. Doña Cándida Orejón 2. Una pobre sirvienta 4. D. Jaime Mateo 2 chaquetas y 2 gor-, La viuda de Espárza una sábana. ■ ras. D. Pascual Herrero 3 camisas. D. Lorenzo Cisneros Tole</t>
  </si>
  <si>
    <t>Ruiz, Mateo</t>
  </si>
  <si>
    <t>Mateo Ruiz</t>
  </si>
  <si>
    <t>...... 300 193 D. Juan Gil, presbítero.......................... ;........ Alicante......' 300 2400 D. Mateo Ruiz............................ Zaragoza».» 600 2361 D. Antonio Terrer................... »...... i................ . Zaragoza...» 500 1328 D. Juan Blot...... ........................</t>
  </si>
  <si>
    <t>Ruiz, Pedro</t>
  </si>
  <si>
    <t>Pedro Ruiz</t>
  </si>
  <si>
    <t>aría de Alabanza, diócesi de Falencia» vacante por renuncia que hizo de .ella IX Genaro Clemente, á D. Pedro Ruiz; y para una ración de la colegial de Covarrubras, en el arzobispado de Burgos, va-» canté por-; falleciíñíénto de IX Máriüel Ibánez ,’ d D; FaustrnO' déSta. María,. El-Reí se ha S</t>
  </si>
  <si>
    <t>.. .............................................. ...................................... . 2230 19. D. Pedro Ruiz, id................ .................................................. ..... 500. D. ‘Tomas Toíijano /anualmente...................... ........................... 500. D. Pedro Ez</t>
  </si>
  <si>
    <t>Ruiz, Ramón</t>
  </si>
  <si>
    <t>Ramón Ruiz</t>
  </si>
  <si>
    <t>. AoJtonic Mplenrllo12 id* por-'4id.......í,,,ttoo. D. Pablo Mateb,’po'r1 tíña ............ &gt;• 700V D. Ramón Ruiz-, portero-de la secretaría-de-Guerra, id,........W ^ 3*2 o.; 1^. husébio Pareja * portero de id..««•««««»»..**&lt;&gt;«....»..-««•«...«».,..«.i.- - léo. D. Francisco Plácido López, maest</t>
  </si>
  <si>
    <t>Ruperta Gonzalo del Rio</t>
  </si>
  <si>
    <t>adrid....... 60 o 1851 D. Juan Francisco Rodrigo............. ...1.*...... ' Zaragoza..!/. róóo 232 Doña Ruperta Gonzalo del Rio.1..!£..■•».... Burgos. ..... 3:-° 892 D. Miguel Martínez y ‘Nudez............... Madrid.!..... 300 800 D. Tomas Cervantes -y- Famada.......... Madrid......; 300 Í427 Josef Garrido</t>
  </si>
  <si>
    <t>Ruperto de Mugabazu</t>
  </si>
  <si>
    <t>ñía y D. Francisco Monsalve................................................. Málaga^...... 30a 1585 D. Ruperto de Mugabazu.................................. Wiu-r" Xíi i- •••••••» 500 207 Doña María Concepción Royo...„!!:::;¡¡ii........ A t:__ jiiitaiac...... 3 00 142 Sra. viuda de Bague y Llano......</t>
  </si>
  <si>
    <t>Rusheu, Juan</t>
  </si>
  <si>
    <t>Juan Rusheu</t>
  </si>
  <si>
    <t>diz........ 500 2368 D. Francisco Fernandez García......................... Zaragoza....... 300 212 D. Juan Rusheu................................. ............... Alicante........ 300 358 D. Manuel de Irazabal............... ....................... Cádiz........... 300 818 X&gt;. Manuel Albuerne</t>
  </si>
  <si>
    <t>...... . 500 241 D. Juan González de la Fuente........... ............ Burgos........ 500 214 Sres. D. Juan Rusheu y compañía.................. Alicante...... 503 914 D. Manuel de Llano y compañía*........... ....... Madrid ...... 1 oco 463 D. Josef de Irunclaga..................................</t>
  </si>
  <si>
    <t>ragoza..... 300 2325 Doña María Magdalena Ulloa....................... .... Cádiz.......... 300 210 D. Juan Rusheu.......*......................................... Alicante...... 500 298 Andrés Mor'at............................ ...................... ... Málaga....... 300 1584 Doña María TJrz</t>
  </si>
  <si>
    <t>* Lores cié Ihs en aciones.; ■'•.•Hombres de los interesados. » - Comisionados. Ps. Vil. 21) S.res. D. Juan Rusheu.y compañía............. Alicante..... . I y OO 1.4 3c Ramón Garrido, Josef de Alcázar y. Je I , Pedro Gorria............... »............................. Málaga....... JCO 1099 D</t>
  </si>
  <si>
    <t>.....*.» Bilbao......... 30© 216 D. Liberato Martínez.....*.................Alicante...... 300 21 I D. Juan Rusheu.^.Alicante...... 300 365 D. Bernardo de Nueve-Iglesias Cádiz......... . 300 3*4 Teodoro Reding...... Málaga.......»1 3Qor Se concluirá»</t>
  </si>
  <si>
    <t>Saavedra Faxardo, Diego</t>
  </si>
  <si>
    <t>Diego Saavedra Faxardo</t>
  </si>
  <si>
    <t>a servir de continuación á la precedente: un tomo en 8.° á 12 rs. en pasta.¿«República literaria de D. Diego Saavedra Faxardo, adornada con muchas y buenas viñetas: un tomo en 8.° marquilla á 24 rs. en pasta. Se hallarán en la librería de Cerro, portal de Manguiteros. .... Descripción del fenómeno de los</t>
  </si>
  <si>
    <t>Saavedra, Francisco</t>
  </si>
  <si>
    <t>Francisco Saavedra</t>
  </si>
  <si>
    <t>on Torquato Truxillo , guardia de Corps de la compañía Italiana, y* ayudante de campo del brigadier D. Francisco Saavedra, se ha distinguido por su buena disposición y extraordinaria bizarría. Los regimientos de infantería de la Reina, Irlanda, Jaén, de línea,Barbastro, tercios de Tejas y cazadores d</t>
  </si>
  <si>
    <t>de Guerra al Sr. D. Antonio Cornel; del de Marina al Sr. D. Antonio Escaño; del de Hacienda, al Sr. D. Francisco Saavedra; y por secretario de Estado y general de la misma junta en propiedad á su vocal el Sr. D. Martin de Garai. En estas elecciones, ademas de dar un testimonio de sus deseos dél bien,</t>
  </si>
  <si>
    <t>gubernativa de lo* Reynos tenido á bien nombrar por ministro de la Real Hacienda al Serenísimo Sr. D. Francisco Saavedra» presidente de la Suprema de esta Ciudad ; esta, comervendo á dicho Serenísimo Señoreo la propiedad de su presidencia^ ha elegido por su vioe presidente, por término de dos meses</t>
  </si>
  <si>
    <t>s de Funes, D.. Sebastian.de Jocano, D. Francisco de Paula Castañeda : su secretario el Exorno. Sr. D. Francisco Saavedra. La sección de Gracia y' Justicia se compone de los Excmos.. Sres. D. Gaspar de Jovelíanos, el Patriarca, el Arzobispo de Laodicea, D. Rodrigo Riquehn. y D. Juan de Dios Rabé : su</t>
  </si>
  <si>
    <t>esta Suprema Junta del 20. de Diciembre. Habiendo hecho presente nuestro Serenísimo Sr. presidente D. Francisco Saavedra , de que el Serenísimo Señor conde de Floridablanca, presidente de la Suprema Centra!, le había manifestado que deseaba venir personalmente, en nombre de la misma Suprema Central,</t>
  </si>
  <si>
    <t>Sabas Hernández de Padilla</t>
  </si>
  <si>
    <t>r, oficial mayor del archivo general de ■* rentas, por medio año á 3 rs. diarios........... 447 17, D. Sabas Hernández de Padilla, abogado del colegio, por una n, vez ademas de 20 rs. mensuales............. ................ 200* D. Manuel ttilarió ^Zapatero, secretario contador interinó del monté pió de ofic</t>
  </si>
  <si>
    <t>Saber Bernete, Francisco</t>
  </si>
  <si>
    <t>Francisco Saber Bernete</t>
  </si>
  <si>
    <t>. 600 557 D. Josef Merlo................................................. . Madrid........ 300 2175 D. Francisco Saber Bernete........................... . Coruña........ oco 233 5 D. Juan Gregorio Gil de Santibanez............... Zaragoza..... 500 429 D. Josef González de Ribera..........................</t>
  </si>
  <si>
    <t>Sabino de Acosta, Miguel</t>
  </si>
  <si>
    <t>Miguel Sabino de Acosta</t>
  </si>
  <si>
    <t>López de Arriaga, curas propios de las parroquiales de S. Marcos, Sta. María Magdalena y S. Martin; D. Miguel Sabino de Acosta, contador de exército, y principal de esta provincia; D. Juan Manuel de Cea y Escudero, canónigo de la santa iglesia de Mondonedo, é inquisidor del tribunal de esta ciudad; D. Jos</t>
  </si>
  <si>
    <t>Sacken</t>
  </si>
  <si>
    <t>ibre ya de los negocios, se propone Mr. Beime dedicarse enteramente á ia literatura. Se asegura que Mr. Sacken, consejero de hacienda que ha ido áfKónigsberg, hace causa común con Mr. Beime. El ministro Mr. de yoss, que había venido aqui para tratar con el gobernador de esta ciudad; en lug</t>
  </si>
  <si>
    <t>Sacristán, Tomás María</t>
  </si>
  <si>
    <t>Tomás María Sacristán</t>
  </si>
  <si>
    <t>asualdo, corredor de camjbios, por 2 meses á 4 ■ rs. id ...... • • • ••.........,.4*•*•••*.&lt;^. *44&lt; D. Tomas María Sacristán, clérigo menor,, por agosto 4o2r,s» ídVl 62. '? D. Pascual.Román, contador de Jgro^,por-:id*: á 6&gt;rs. jd.it...i. -I 186. •./ D. Josef de la Peña Rodrigo, del comercio&gt;;por ?una ve</t>
  </si>
  <si>
    <t>Sacristana, Vicente</t>
  </si>
  <si>
    <t>Vicente Sacristana</t>
  </si>
  <si>
    <t>s, 4$ rs. anuales: entrega.............................................................. . 1666 22f D. Vicente Sacristana, 3 rs. diarios, por 2 meses................ . 183. D. Juan de Dios de la Peña, abogado del colegio, 3 id. id..... 183. D. Manuel de la Quintana y Gardoqui, 30 id. id..............</t>
  </si>
  <si>
    <t>Saenr, Antonio</t>
  </si>
  <si>
    <t>Antonio Saenr</t>
  </si>
  <si>
    <t>puebJLo de Canelones en aquel obispado. " : 1 - i ’ . . , VFNTAS ; JüDlCTAIfES.r Por providencia de D, Antonio Saenr de; Vizmarcos» ]\sq%,comisionado regicr en la diócesi de Coria, se ha señalado el dja;*|£ del corriente para ej,refpate de las dos terceras partes de la dehesa de Trabaquartós, su ca</t>
  </si>
  <si>
    <t>Sáenz Azofira, Andrés</t>
  </si>
  <si>
    <t>Andrés Sáenz Azofira</t>
  </si>
  <si>
    <t>........i... 2316 a. El cura párroco de.......... ............................. ..... ........ 400. D. Andrés Saenz Azofira, por-una vez*¿,...v........*.....v...;.,..u.;;¿..;. j 3000» D. Joan Bautista Yoldi, oficial de la secretaría del Refugio, por r una ........ 200. Mari* Peral, sirviente , por una</t>
  </si>
  <si>
    <t>Sáenz de Hermua, Domingo Matías</t>
  </si>
  <si>
    <t>Domingo Matías Sáenz de Hermua</t>
  </si>
  <si>
    <t>............. 2348 ii, D. Francisco Espiera, diamantista, por una vez........... ............. 72°. D. Domingo Matías Saenz de Hermua, por uña vez........... . 400. D. Marías Novella , por una vez............ ............................... ........ 60. D. Miguel Cabrero, confitero, por.agosto á 20 rs. mensuales</t>
  </si>
  <si>
    <t>Sáenz de Santa María, Juan</t>
  </si>
  <si>
    <t>Juan Sáenz de Santa María</t>
  </si>
  <si>
    <t>...... 3 co 1 80 D. Gil FaBra y Baznola...... ............................. Barcelona.... 0 0 : 803 D. Juan Saenz de Santa María.......................... Madrid........ 500 r25 5 D. Diego Antonio Cabezón, prior y canónigo. Burgos. ...... 600 •'394 •D. Josef Becerra, del comercio........................ Cor</t>
  </si>
  <si>
    <t>drid....... 500 809 D. Josef Antonio de Ibarzola........ ................... Madrid....... 3 00 834 D. Juan Saenz de Santa María............. ............ Madrid....... 500 1788 D. Josef Alonso Caballero................................ Cádiz.......... 500 2069 D. Manuel Gallardo.............................</t>
  </si>
  <si>
    <t>Sáenz de Vízmanos, Antonio</t>
  </si>
  <si>
    <t>Antonio Sáenz de Vízmanos</t>
  </si>
  <si>
    <t>dehesas y diferentes-partes de otras, sitas en el partido de la ciudad de Coria, por providencia de D. Antonio Saenz de Vízmanos, juez comisionado regio en su diócesi, se ha señalado el día 24 del corriente para él remate de ellas en las casas consistoriales de dicha ciudad, desde las 10 de ía mañana en ade</t>
  </si>
  <si>
    <t>Sáenz del Prado, Manuel</t>
  </si>
  <si>
    <t>Manuel Sáenz del Prado</t>
  </si>
  <si>
    <t>ta, D. Francisco Iriarte, D. Pedro Zubiaga , herederos de D. Francisco Maria de Retes y Bustamante, D. Manuel Saenz del Prado y D. Ramón de Vasualdo, individuos de la compañia de longistas, 30 piezas de paños negros con 861 varas. D. Tómas Perez 3! piezas de paños con 1108 varas. Las comendadoras de Santiago</t>
  </si>
  <si>
    <t>Sáenz Diez, Juan</t>
  </si>
  <si>
    <t>Juan Sáenz Diez</t>
  </si>
  <si>
    <t>......... ico 1384 D. Vicente Escudero......................................... Burgos......... 600 D. Juan Saenz Diez y ;compañía..................... Madrid....... 6go Sres. D. Nicolás de Sarachaga y compañía..... Bilbao.......... 300 415 D. Victoriano Gallardo....................................</t>
  </si>
  <si>
    <t>Sáenz Diez, Martín Diego</t>
  </si>
  <si>
    <t>Martín Diego Sáenz Diez</t>
  </si>
  <si>
    <t>álaga........ 390 1623 D. Ramón de Sta. Cruz y Gil........ ............... Santander.... 20000 1096 D. Martin Diego Saenz Diez* tesorero de ios ■ ’• y.L .&lt; ¡ ' : gremios. Mad rid........ 1 ©do 186 D. Vicente Abadía.....................................;...... Alicante...;.. fóo 593 D. Felipe Martínez Vierg</t>
  </si>
  <si>
    <t>Sáenz López, Joaquín</t>
  </si>
  <si>
    <t>Joaquín Sáenz López</t>
  </si>
  <si>
    <t>... 200. D. Juan Mercat, id....... ........................................................... 500. D. Joaquín Saenz López, del comercio, anualmente................... 3000. D. Antonio -Rodríguez de Amandi, por medio año...... ............... 182. D. Donato Aríahz, por medio año............. 120. D. M</t>
  </si>
  <si>
    <t>Sáenz Ruiz, Francisco</t>
  </si>
  <si>
    <t>Francisco Sáenz Ruiz</t>
  </si>
  <si>
    <t>12 rs. diarios.............................................................................. 2190. D. Francisco Saenz Ruiz, medio año á 12 rs. diarios................ 2190. D. Josef Martínez Moscos», abogado del colegio, 4 meses á 6 5</t>
  </si>
  <si>
    <t>Sáenz, Antonio</t>
  </si>
  <si>
    <t>Antonio Sáenz</t>
  </si>
  <si>
    <t>Valencia..... 3 00 75.8 Francisco Martínez, de Hoz........................ Madrid........ 500 2025 D. Antonio Saenz......................................... Cádiz.......... 300 J^ 1781 D. Juan Manuel de Peralta....................... Cádiz.......... 500 412 P. Jo¡sef Francisco Odria de Escoriaz</t>
  </si>
  <si>
    <t>Sáenz, Pedro Matías</t>
  </si>
  <si>
    <t>Pedro Matías Sáenz</t>
  </si>
  <si>
    <t>.............. 33Antonio Merino, maestro vidriero, id......................................... 100. D. Pedro Matías Saenz, interventor en la puerta de Atocha , id. 640. D. A. P. R., ¡d............................................................................ 300. B. M. G. H., id....................</t>
  </si>
  <si>
    <t>Saez de la Fuente, Juan</t>
  </si>
  <si>
    <t>Juan Saez de la Fuente</t>
  </si>
  <si>
    <t>. óoo.w D. Francisco Antonio de Pando, id........................... ..................... . 200®. D. Juan Saez de la Fuente, oficial de la contaduría general de Espolios y .Vacantes * id..................1.............................................. 5 00. D. Angel dé Abril;, administrador del Tabaco</t>
  </si>
  <si>
    <t>Saez de Parayuelc, Tomás</t>
  </si>
  <si>
    <t>Tomás Saez de Parayuelc</t>
  </si>
  <si>
    <t>etiembre último 'falleció en el lugar de Pozuelo, comarca de Madrid , á la edad de 5-3 años, el Sr, D. Tomas Saez de Parayuelc, del consejó de S, M. en el supremo de Hacienda: apreciado siempre por la dulzura de sus cóstumbres por su inalterable Justificación, por su laboriosidad y, profundos conocimiento</t>
  </si>
  <si>
    <t>Saez de Parayuelo, Tomás</t>
  </si>
  <si>
    <t>Tomás Saez de Parayuelo</t>
  </si>
  <si>
    <t>s ni concurrieron al cumplimiento los señores ministros de dicho consejo D. Pantaleon de Reramendi, Don Tomas Saez de Parayuelo., D. Sancho de Llamas y D. Manuel de Echeverría.; los señores fiscales de él D. Josef de Ibarra, D. Tadeo Segundo Gómez y D. Manuel de Torres Cónsul, y el secretario de millones D</t>
  </si>
  <si>
    <t>co Lorenzo, sacristán del monte de Piedad, mensualmente........................................ 40. D. Tomas Saez de Parayuelo, del consejo .de Hacienda , m«nsualmente....................................................... ....... ....................... 1 ao. D. Luis Carbonero, por agosto á 15 rs. mensua</t>
  </si>
  <si>
    <t>Saez de Zaldua, Antonio</t>
  </si>
  <si>
    <t>Antonio Saez de Zaldua</t>
  </si>
  <si>
    <t>onsejo de la Inquisición, por una vez.».»..»................ ...........................i..». Iloo» D. Antonio Saez de Zaldua, oficial de la tesorería mayor, por una vez.......,»»,,.».»..,.»»........ ....,».............. ,......í».....»v....í»..í.»-» 300. D. Juan Carnicero,-confitero, por una vez........</t>
  </si>
  <si>
    <t>Saez de Zuazola, Vicente</t>
  </si>
  <si>
    <t>Vicente Saez de Zuazola</t>
  </si>
  <si>
    <t>M. se ha servido npmbrar maestro armero examinador de la real fabrica de armas de chispa d^Oviedo Á D. Vicente Saez de Zuazola, maestro mayor armero de la maestranza de artillería de la Coruña. En América. El Reí se ha servido conceder la comandancia del batallón de la Concepción de Chile al coronel D. Ju</t>
  </si>
  <si>
    <t>Saez López, Joaquín</t>
  </si>
  <si>
    <t>Joaquín Saez López</t>
  </si>
  <si>
    <t>I 204 puerto de casaca, chapa y calzones, y una chaqueta y pantalón de estopa. Dia 1$. D. Joaquín Saez López 70 varas de crea. Doña Luisa Cortijo 12 de lienzo. D. Domingo Ábriel un caxorí con iiJ Sombreros paral sargento, armados con galón de seda, presilla ^y escarapela , y 60 para sóld</t>
  </si>
  <si>
    <t>Saez Ruiz, Francisco</t>
  </si>
  <si>
    <t>Francisco Saez Ruiz</t>
  </si>
  <si>
    <t>aga........ 300 310 Francisco Xávier Ubadingo............................ . Málaga........ 300 1076 D. Francisco Saez Ruiz................ .................. Aladr id........ 500 1782 Doña. Josefa Morales......................................... Cádiz........... C ani 2147 D. Pedro de *la Riba,Andrés.</t>
  </si>
  <si>
    <t>Saez, Antonio</t>
  </si>
  <si>
    <t>Antonio Saez</t>
  </si>
  <si>
    <t>fectivo, ¡d..’....'...v..v.v.v.*..'...*.........¿.v..-....¿.................................. 5000. D. Antonio Saez* id.......»....;...... ............ ...... ...... ............................ IOO. D. Manuel Sainz , id...;............ ........................... .....................i........</t>
  </si>
  <si>
    <t>Saez, María</t>
  </si>
  <si>
    <t>María Saez</t>
  </si>
  <si>
    <t>¿........... 500. Doña R. B., un recibo del Empréstito, id........................ ........... 800. Doña María Saez , id.......................................................... . 360. D. Benigno Rodríguez, id............................ ............ ..................... 200. - Vicente Palaci</t>
  </si>
  <si>
    <t>Sagarna y Urien, Francisco Antonio</t>
  </si>
  <si>
    <t>Francisco Antonio Sagarna y Urien</t>
  </si>
  <si>
    <t>le de Cilleruelo de arriba, en la diócesi de Burgos, vacante por fallecimiento de D. Pedro Calvo, á D. Francisco Antonio Sagarna y Urien; y para el beneficio simple servidero de S. Roque en él campo de Gibraltar, diócesi de Cádiz, vacante por muerte de D. Vicente Rodríguez Iglesias, y no haber tenido efecto el nomb</t>
  </si>
  <si>
    <t>Sagaseta de Ilurdoz, Manuel</t>
  </si>
  <si>
    <t>Manuel Sagaseta de Ilurdoz</t>
  </si>
  <si>
    <t>.... 600 823 Sres. Sierra y Casao.................................... ....... Madrid....... 300 108 D. Manuel Sagaseta de Ilurdoz........................ Tudela........ 500 1066 D. Manuel Silvestre Izquierdo......................... Madrid....... 300 345 Junta de gobierno de la real compañía de la Havana....</t>
  </si>
  <si>
    <t>Sagastuy, Alexo</t>
  </si>
  <si>
    <t>Alexo Sagastuy</t>
  </si>
  <si>
    <t>... 600 1680 D. Josef Ibarra................. . .............. ............. S. Sebastian. 500 2073 D. Alexo Sagastuy.............................................. Cádiz.......... 300 380 D. Tosef de Velasco y Caleso.......................... Cádiz........... 500 1212 D. Ildefonso María de Castej</t>
  </si>
  <si>
    <t>Sagot</t>
  </si>
  <si>
    <t>que fueron convidados el general Barbazan, comandante de la ciudad, Mr. Guis, comisario de marina, Mr. Sagot, comandante del puerto, Mr. Leveux, cónsul de los Estados-Unidos en Calais, y otros muchos empleados y personages principales. Como la casa en que se ha celebrado la fiesta está s</t>
  </si>
  <si>
    <t>Sagra, Juan</t>
  </si>
  <si>
    <t>Juan Sagra</t>
  </si>
  <si>
    <t>ía. D* Ventura López, alcalde del barrio Je Sta. María. D. Manuel Négueruela% secretario de S Juan. Don Juan Sagra , alcalde de los Caños. D. Andrés Luis, secretario de dicha. D. Josef López Braña, eclesiástico de dicha. D. Manuel Taraayo, diputado</t>
  </si>
  <si>
    <t>Sagués, Rafael</t>
  </si>
  <si>
    <t>Rafael Sagués</t>
  </si>
  <si>
    <t>................ ’.m. í. 4 « . ...........«..¿....r...... v v * * ' 1 ■' ‘ • 1 IOO. \L f.. ' 80. .* D. Rafael Sagués, ,id«...................1000. Dona Antonia Landeyro, id.&lt;40. D. Vicente Ibañez, guarda almacén cíe la renta del Plomo, y su hijo D. Ignacio Ibañez , á cuenta de 840 rs. por una ve</t>
  </si>
  <si>
    <t>Sahun y Palacin, Pablo</t>
  </si>
  <si>
    <t>Pablo Sahun y Palacin</t>
  </si>
  <si>
    <t>s........ $co 979 D. Nicolás de Apezteguia.................................. Madrid....... 300 1135 D. Pablo Sahun y Palacin................................ Zaragoza..... |oo 1181 Mr. de Fraguies................................................... Barcelona.... 300 793 D. Pedro de Llano..................</t>
  </si>
  <si>
    <t>Sains-Loys</t>
  </si>
  <si>
    <t>una faxa ó plano del mismo arco se lee la inscripción siguiente: Madame la Royjie B1anche viere de Monsieur Sains-Loys. Decoran en fin este mausoleo .por-la parte mas alta 3 estatuas de mármol blanco, que representará la Vírge,n,.S. Marcos y á S. Juan evangelista, y otros muchos &gt; adornos ,por el</t>
  </si>
  <si>
    <t>Saínt-Omer</t>
  </si>
  <si>
    <t>le primeras letras que, acredite su aplicación y conocimiento &lt;en la grafométría de la escritura de Mr. Saínt-Omer, ó sea método de escribir por medió del círculo y de la elipse: anuncio que se hizo también en el día 4 de. noviembre de 1806 , sin que hasta ahora haya habido aspirantes. __ Por</t>
  </si>
  <si>
    <t>Sainz de Baranda, Pedro</t>
  </si>
  <si>
    <t>Pedro Sainz de Baranda</t>
  </si>
  <si>
    <t>rada y demas pueblos quemados por los franceses , de las quales se dará otra separada mas adelante. D. Pedro Sainz de Baranda por sí y su padre por una vez En efectivo............................ ..................... ................. 15000......% En un vale de 600 pesos de mayo...;.....................</t>
  </si>
  <si>
    <t>............. 8 Las reales caballerizas por orden del Sr. caballerizo mayor.................. 14 10 D. Pedro Sainz de Baranda............ 1 D. Manuel Sainz de*Baranda, cadete del regimiento de caballería de Madrid ................................... 1 1 1 Tres sugetos, cuyos nombres no constan...........</t>
  </si>
  <si>
    <t>Saínz de Baranda, Simón</t>
  </si>
  <si>
    <t>Simón Saínz de Baranda</t>
  </si>
  <si>
    <t>......i.... ... Madrid....... 600 1219 D. Indalecio Moreno Montenegro. ... Bilbao......... 500 1910 D. Simón Saínz de Baranda........... ... Zaragoza..... 300 lOjS D. Manuel de Palomera............... .. Alad rid........ 500 1814 D* Tomas Lo]pez Arízmendi......... .. Zaragoza ............. 30 0 IS52 D» A</t>
  </si>
  <si>
    <t>Sainz de Baranda, Vicente</t>
  </si>
  <si>
    <t>Vicente Sainz de Baranda</t>
  </si>
  <si>
    <t>........ 300 636 D. Josef Aznarez......................................... . Madrid ....... 300 791 D. Vicente Sainz de Baranda..................... . Madrid....... 300 2251 D. Francisco Salvador de Estarta................... Bilbao......... 3°° 2065 D. Juan Manuel de Peralta........... ................. C</t>
  </si>
  <si>
    <t>Sainz de Rozas, Antonio</t>
  </si>
  <si>
    <t>Antonio Sainz de Rozas</t>
  </si>
  <si>
    <t>nte, por una;vez4;..^.;........'.4.............. 80. Alexandro Soblechero, por urja vez..*....,1*0. D. Antonio Sainz de Rozas dependientedeí cornereio , por una ^ ¿ u4,/¡ V CZm'í» ••*••••*•#•• ■ ••'dé éMM •’f ^fSoO*. . P. Lazaro de*R^ada^-por *una-vez./ ^ ■ D. B. R. pér^ una v¿z4^L.;¿..;;.U./;v¿¿:;iíi3¿..nu</t>
  </si>
  <si>
    <t>J. 6 id. 12 vendas, unos caDoña M. L. F. 2. bezales y 2 libras de hilas. D. Josef García Alvarez 6. D. Antonio Sainz de Rozas 6, D. Josef Matiuste 2 id. y 1 2 vendas. Se continuara. Avrscs. El Excmo. Sr. conde de Fuenfeblanca ha* cedido para atender á las urgencias de la defensa de la patria una. huerta,</t>
  </si>
  <si>
    <t>Sainz de Rozas, Ignacio</t>
  </si>
  <si>
    <t>Ignacio Sainz de Rozas</t>
  </si>
  <si>
    <t>a 2 rs.- diarios..... 368, D. Antonio Celma ,. agente de negocios , por agosto á reai diario* 31.; D. Ignacio Sainz de Rozas , oficial des archivo general dé Rentas, por agosto; 4 rs. diarios D. Francisco Roquelias ,.músÍco de los teatros, por td.;á 2 rs. id., •• 02.. , r D. Julián de Cáceres ,, oficial</t>
  </si>
  <si>
    <t>Sainz de Villegas, Manuel</t>
  </si>
  <si>
    <t>Manuel Sainz de Villegas</t>
  </si>
  <si>
    <t>ederos que se conocen, por ausencia de D. Pablo Ortiz, en el juzgado deí alcalde mayor de Cartagena D. Manuel Sainz de Villegas. Se publica para que si alguien supiere del paradero del mencionado D. Pablo Ortiz, lo avíse á D. Ignacio Morlius.' Se hallan vacantes los partidos de médico y cirujano de la vill</t>
  </si>
  <si>
    <t>Sainz, Fernando</t>
  </si>
  <si>
    <t>Fernando Sainz</t>
  </si>
  <si>
    <t>que ocupa en su destino. Darán razón en la calle de los Jardines, núm. $4, tienda de carpintería de D. Fernando Sainz. Una cocinera, soltera, de edad de 38 años, solicita su colocación: sabe guisar á la francesa 7 española. Darán razón en la calle de la Reina, frente á las niñas de Leganés, núm.</t>
  </si>
  <si>
    <t>Sáinz, Francisco</t>
  </si>
  <si>
    <t>Francisco Sáinz</t>
  </si>
  <si>
    <t>a emplazar á qualquiera que tenga derecho al concurso universal de acreedores á la testamentaría de D. Francisco Sáinz, que fue del comercio de aquélla ciudad, para que en el término de un año contado desde dicho día comparezcan á deducir su derecho, con los documentos comprobantes; previniéndose</t>
  </si>
  <si>
    <t>Sainz, Francisco Antonio</t>
  </si>
  <si>
    <t>Francisco Antonio Sainz</t>
  </si>
  <si>
    <t>Rivero hechura de 24 vestidos completos. D. Lucas Urrea 600 gruesas de botones de ballena labrados. D. Francisco Antonio Sainz 164 varas y media de estopa. D. Santiago Colominas 20 pares de zapatos. Doña Isabel Cantora 12 camisas de vivero. Dia 14. Ds Libinio Stuyck y Vandergoten 189 varas de lienzo de va</t>
  </si>
  <si>
    <t>escribiente pensionado de la secretaría de Gracia y Justicia, por medio año á real diario..... 183. D. Francisco Antonio Sainz,.por .una vez.............. ......... ,........... 5°°* D. Juan Colomer ,iid.......... .1................................... ............. ......... 4°9D. Josef Clemente Zabarte,</t>
  </si>
  <si>
    <t>Sainz, Manuel</t>
  </si>
  <si>
    <t>Manuel Sainz</t>
  </si>
  <si>
    <t>por orden del Sr. caballerizo mayor.................. 14 10 D. Pedro Sainz de Baranda............ 1 D. Manuel Sainz de*Baranda, cadete del regimiento de caballería de Madrid ................................... 1 1 1 Tres sugetos, cuyos nombres no constan......................................... 3</t>
  </si>
  <si>
    <t>D. Antonio Saez* id.......»....;...... ............ ...... ...... ............................ IOO. D. Manuel Sainz , id...;............ ........................... .....................i........ 500. D. Manuel Manz de Moles, en intereses de vales reales, íd...... 722. D. Josef Padrós , id.....</t>
  </si>
  <si>
    <t>Sainz, Miguel</t>
  </si>
  <si>
    <t>Miguel Sainz</t>
  </si>
  <si>
    <t>. Fernando Vázquez y Tellez........ 1 1, El teniente coronel D. Alfonso de Cortes».. 1 : 1 nueva. ? D. Miguel Sainz, empleado en la oficina de ¿s alcabalas............ ........... ...................... ......... 6 6 D. Francisco Balómares................................. 1 - ; , O. Juan Ignaci</t>
  </si>
  <si>
    <t>nso Gómez, del gremio de botilleros; Santiago Rulica, del gremio de sombrereros; D. Josef de Liona, D, Miguel Sainz , Ángel Josef de la Cruz y Jacinto Majolero, del gremio de peluqueros; Inocencio Beaojos y Jacinto Puvillers, del gremio de latoneros; Juan García Vacas y Antonio Gómez, del gremi</t>
  </si>
  <si>
    <t>Sala, Manuel</t>
  </si>
  <si>
    <t>Manuel Sala</t>
  </si>
  <si>
    <t>Málaga........ 300 5*7 D. Ramón Blas Ramírez................................ Bilbao.......... 'SOO D. Manuel Sala.y Piran.,.............. ......... . Madrid......... 500 2446 D. .Vicente Camacho^.................................. . Zaragoza..... 6co 475 D. Nicolás de Ochazan de Castro........</t>
  </si>
  <si>
    <t>Salamon, Juan</t>
  </si>
  <si>
    <t>Juan Salamon</t>
  </si>
  <si>
    <t>D. Juan Salamon, por una vez......................................................... 40. Doña Francisca de Torres, un vale de 150 pesos id................... 2323 19. D. Rafael Pascual y Bayot,</t>
  </si>
  <si>
    <t>Salazar, Juan Bautista</t>
  </si>
  <si>
    <t>Juan Bautista Salazar</t>
  </si>
  <si>
    <t>. . Cádiz.......... JOOO 1504 D. Mariano de Egea, tesorero general de rentas. Valencia..... 600 775 D. Juan Bautista Salazar......................... ......... Madrid....... 300 2305 R. P. Fr. Andrés Arguelles de S. Juan de Dios. Cádiz.......... 500 2103 D. Miguel Chambobet..............................</t>
  </si>
  <si>
    <t>Salcedo, Blas</t>
  </si>
  <si>
    <t>Blas Salcedo</t>
  </si>
  <si>
    <t>chos pertrechos de guera^a para- el exercito que manda el Sr. Bluke, adonde ha pasado el comandante D, Blas Salcedo^para tratar con dicho gefe'de su descarga. El i o entró una fragata del cónvoi ingles, que conduce nuestro exército del Norte, con 240 hombres, y el 11 llegó un bergantín con 133,</t>
  </si>
  <si>
    <t>Salcedo, Felipe</t>
  </si>
  <si>
    <t>Felipe Salcedo</t>
  </si>
  <si>
    <t>ionados. Rs. vn. 554 D. Castor García de Castro...... ....................... Madrid.....í, 300 769 D. Felipe Salcedo y compañía.......................... Madrid....... JOO 24 )S D. Carlos García Velarde................................. Zaragoza...., lOOO 1296 D. Vicente Gil de Arias...............</t>
  </si>
  <si>
    <t>ta una. D. Agustín de Landa 6 id. y 2 libras D. Josef García Cater, su muger y de hilas. hermano 6. D. Felipe Salcedo 2 camisas. D. Ramón de Aldai 48 pa res de cal* D.-Manuel María de Valdés 2. cetas. D. Plácido Martin Sanz una. D. J. J. B. R. 12 camisas. D. Martin 4e Olazabal 4.. D. Juan López y</t>
  </si>
  <si>
    <t>Salcedo, General</t>
  </si>
  <si>
    <t>General Salcedo</t>
  </si>
  <si>
    <t>rnando Vil , cuyo pendón tremolaron por las calles con la música militar que había en la Ciudad. El General Salcedo se hallaba con órdenes para que volviese á tornar el mando de la esquadra que se hallaba en aquel puerto , y la conduxese á Tolon ; mas se impidió semejante operación , depositand</t>
  </si>
  <si>
    <t>Salcedo, Juan Antonio</t>
  </si>
  <si>
    <t>Juan Antonio Salcedo</t>
  </si>
  <si>
    <t>les de S. Pedro. Fr. Eugenio Amoedo, abad de San Bernardo. D. Benito Prado, diputado de la nobleza. D. Juan Antonio Salcedo, cura de S Gines. D. Domingo Alvarez, presbítero beneficiado de Santiago. D. Alfonso Pastor, cura de S Josef. D. Diego Alderete, diputado de S. Isidro. D. Pedro Querpo de Llano, d</t>
  </si>
  <si>
    <t>Salcedo, Miguel</t>
  </si>
  <si>
    <t>Miguel Salcedo</t>
  </si>
  <si>
    <t>os brigadieres D. IJlises Albergotti, D. Francisco Mendieta , D. Ramón de Carvajal, D. Félix Jones, D. Miguel Salcedo, D. Pedro Adorno, Don Josef de Vargas y D. Cárlos Luxan , coroneles de los regimientos de infantería de Ñapóles , Rei, España, Irlanda, Zamora, Sabnya, Soria y-Jaén. S. M. se ha s</t>
  </si>
  <si>
    <t>Salceto, Domingo</t>
  </si>
  <si>
    <t>Domingo Salceto</t>
  </si>
  <si>
    <t>r3°? cámara del Emo. Sr. cardenal presidente ; D. Domingo Salceto ¿ regidor perpetuo; D. Eusebio Josef Rodríguez y D. Manuel Bernardo Roldan, diputados de este común; D. Manuel de Huertas, D. Bruno Francisco de Acosta, D. Julián Manuel dé Valver</t>
  </si>
  <si>
    <t>Saldaña, Vicente</t>
  </si>
  <si>
    <t>Vicente Saldaña</t>
  </si>
  <si>
    <t>.............. Cádiz...... 300 2266 D. Zacarías de Bolívar............... . Bilbao..... 15.co 23 5) D. Vicente Saldaña................ . Zaragoza.. ,39° 3'44 D. Pedro Alvar-ez y- Fabrega. ...... Cádiz...... 500 2385 D. Alonso Fernandez de Lkncres. Zaragoza..,,. • •• . 300</t>
  </si>
  <si>
    <t>Saldueña, Joaquín</t>
  </si>
  <si>
    <t>Joaquín Saldueña</t>
  </si>
  <si>
    <t>.. 300 1086 D. Pedro del Rio............................................. . Madrid........ 300 1877 D. Joaquín Saldueña......................................... Zaragoza..,.. 1000 1007 D. Josef Martin Herrera................................... Madrid........ 300 1970 D. Ramón La Rapa...............</t>
  </si>
  <si>
    <t>Salgado, Antonio</t>
  </si>
  <si>
    <t>Antonio Salgado</t>
  </si>
  <si>
    <t>con el regimiento, al que no siguieron, ocultando su resolución. Idem dragones de Almansa. Teniente D. Antonio Salgado; cirujano D. Manuel Gómez, en Altona: enfermos. Alférez D. Josef Perez; portaguión D. Diego Gamacho, en Mompeller, id. Idem de Villavkiosa. Capitán D. Luis Bouch; teniente D. Vent</t>
  </si>
  <si>
    <t>Salgado, Francisco</t>
  </si>
  <si>
    <t>Francisco Salgado</t>
  </si>
  <si>
    <t>á 2200 en ca*- \ da uno ^ y é© por una ............................... ..................... I^OCO. D. Francisco Salgado, presbítero, id....................... .................. . 30. D. J. A., á-cuenta de 1500 rs. id.......................................... . 500. D. Diego Panlagua, id...........</t>
  </si>
  <si>
    <t>Salgado, Ignacio</t>
  </si>
  <si>
    <t>Ignacio Salgado</t>
  </si>
  <si>
    <t>o, valor lntegro.de....................................... *................. ......... 2327... 28. D. Ignacio Salgado en un libramiento vencido de réditos del real fondo vitalicio , valor de................................................... *35°. D. Fermín María de Úria Nafarrondo en un vale real</t>
  </si>
  <si>
    <t>Salicetti</t>
  </si>
  <si>
    <t>poder del propietario baxo la condición de no mutilarlos ni dexarios extraer á países extrangeros.” Mr. Salicetti, ministro de policía , y su hija la duquesa dé Lavello estan ya fuera ¡de peligro. Todavía no se. han descubierto los autores dei abominable proyecto que se había formado de volar</t>
  </si>
  <si>
    <t>Salinas, Francisco</t>
  </si>
  <si>
    <t>Francisco Salinas</t>
  </si>
  <si>
    <t>Nrim?rap Lotes de las" en acciones. Nombres de los interesados. Comisionados. Rs. va. 1442 D. Francisco Salinas...................................... . Málaga........ 500 78 D. Cayetano Font y Closas........................ . -Barcelona.... 3°o 366 Doña Angela de Mellet.....................</t>
  </si>
  <si>
    <t>Salm, Príncipe</t>
  </si>
  <si>
    <t>Príncipe Salm</t>
  </si>
  <si>
    <t>eneral de Tarragona 30 de agosto de t8o8.=Marques del Palacio. = Sr. U. Juan Smith, gobernador.” El Príncipe Salm^Kirbóúrg, prisionero, sé halla encasa dei Sr. Deaq, con habitación mui decente , y mesa tan huerta.como la pudiera tener entre los suyos , lo qué hice resaltar mas la vV. ingratit</t>
  </si>
  <si>
    <t>Salustiano Embité</t>
  </si>
  <si>
    <t>egaló la suprema junta de Granada á esta de Murcia, con dirección á Madna, para entregar al capitán D. Salustiano Embité, encargado de remitirlos á nuestro exército; y los lleva con la correspondiente escolta D. Pablo Iniesta, sargento retirada del regimiento de caballería de nuestra 5ra. de la Euen</t>
  </si>
  <si>
    <t>Salvatella, Pedro</t>
  </si>
  <si>
    <t>Pedro Salvatella</t>
  </si>
  <si>
    <t>en la parroquia de Torruella de Montgri,obispado de Gerona, vacante por muerte de D. Jaime Martí, á D. Pedro Salvatella. El Reí se ha servido nombrar para la canongía de la metropolitana de Toledo, vacante por fallecimiento de D. Manuel Perez Hernández, á Doa</t>
  </si>
  <si>
    <t>Salvatierra, Bernardo</t>
  </si>
  <si>
    <t>Bernardo Salvatierra</t>
  </si>
  <si>
    <t>príncipe Pió, por agosto á 100 rs. mensuales.....................I........................... IOO. D. Bernardo Salvatierra, por id. á 50 rs. id..^.............................. 50. D. Próspero Ximenez,, capiian retirado dél provincial de Toledo, 240 rs. ppr 4 meses a 60 rs. mensuales,.................</t>
  </si>
  <si>
    <t>Samaniego, Benito</t>
  </si>
  <si>
    <t>Benito Samaniego</t>
  </si>
  <si>
    <t>.....: 300 1104 Doña Tomasa Zaldo........................................... Madrid....... doo 2202 D. Benito Samaniego...................... ................... Coruña....... 50a 2442 Sres. D. Pablo Fernando, y D. Juan Manuel : de Peralta, hermanos........... ....-.i.;..¿............ Cádiz..»’..»»</t>
  </si>
  <si>
    <t>Samaniego, Pablo</t>
  </si>
  <si>
    <t>Pablo Samaniego</t>
  </si>
  <si>
    <t>marzo. El Reí se ha servido conferir en el regimiento de infantería de Toledo compañías al teniente D. Pablo Samaniego y al ayudante D. Manuel dé Goya , ambos graduados de Capitán'; ayudantía al teniente , graduado de capitán, D. Diego Carta; tenencias á los subtenientes dé granaderos f). Roque y D.</t>
  </si>
  <si>
    <t>Samper, Antonio</t>
  </si>
  <si>
    <t>Antonio Samper</t>
  </si>
  <si>
    <t>ros, plazas y fronteras: y satisfecho el Reí de los buenos servicios y mérito del mariscal de campo D. Antonio Samper». ha resuelto que despache los asuntos del real cuerpo de ingenieras mientras que la Romana toma el mando de él. A consecuencia de lo prevenido en el suplemento á la gazeta del 12</t>
  </si>
  <si>
    <t>Samper, Francisco</t>
  </si>
  <si>
    <t>Francisco Samper</t>
  </si>
  <si>
    <t>se ha distinguido en los campos de Córdoba un oficial, bien conocido en esa capital de Extremadura. Don Francisco Samper, teniente de voluntarios de Valencia, se hallaba á las 2 de la noche la víspera de San Juan con sa partida de descubierta en un olivar distante 3 quartos de legua de los enemigos.</t>
  </si>
  <si>
    <t>Sampier, Gaspar</t>
  </si>
  <si>
    <t>Gaspar Sampier</t>
  </si>
  <si>
    <t>go Cerro, y Zamudie, &gt;. Biego Estanislaor Imaces, Xbr josef fiaría; AgU&amp;tini,! D, Gaystano Stairla, D. Gaspar Sampier; y á los capitanes del cuerpo de patriotas 0. Mi</t>
  </si>
  <si>
    <t>Samuel Auchmuty</t>
  </si>
  <si>
    <t>lgunos transportes con el regimiento 18. de dragones. Se cree qué van á, Portugal. Ei mayor general Sir Samuel Auchmuty ha obtenido permiso para aumentar su cuerpo (que es el 9.0 batallón de guarnición), hasta formar una legión para el servicio de los patriotas de España. Kitigron en Jamayca, 23. d</t>
  </si>
  <si>
    <t>Samuel Hood</t>
  </si>
  <si>
    <t>á iCbuyres &gt; sin habey entrado en Calais. ' b ’ br-i , La esquadra mandada por el contra-almirante Sir Samuel Hood salió el5 día 3 de la bahía de Cowsand. Se compone do quatro. navíos de ^¡eañfl»-. nes, y quatro fragatas, que ■ lleyan^ bordo el regí miento 11de infantéría¿ Se presumei que. est</t>
  </si>
  <si>
    <t>dias orientales. Las fuerzas que han salido á las ordenes del general Beresford, con la esquadra de Sir Samuel Hood, llegan á 3794 hombres efectivos, y ademas van dos compañías de artillería de 244 hombres. El gobierno hace pasar grandes acopios de granos á Irlanda, donde la escasez y carestía,</t>
  </si>
  <si>
    <t>ulación á un destacamento de las fuerzas dé S. M. y á la esquadra. mandad a por, el vice&lt;-almi¿ante Sir Samuel Hood. sr Castleredgk. Ei conde de Stáremberg, embaxador de Austria en está cípitál \ sal-\ drá de ella esta noche , d’á.mas tardar mañana,,á consecuencia de las órdenes terminantes que</t>
  </si>
  <si>
    <t>ntre el. fgqb.ernadór y capitán general P?aro Jjagttndes d'Antes, y Meneses, y el xojitra-almirante Sir Samuel Hood. , . .. / : Art: i.® ' Inmediatamente que se firme la presente capitulación,: se entre-a garán. á.flas fuerzas; de; Si M. británica la; isla de Madera y sus dependencias^ para que</t>
  </si>
  <si>
    <t>da de nue-, vo por la mayoría de 105 votos contra 44. \ . La escuadra irá ai Báltico en divisiones. Sir Samuel Hood, que monta é1 Centauro, mandará á las órdenes del almirante Saumarez. f En el numero de las tropas que el gobierno ¿nvia á Suecia se cuenta^ la legión alemana, 6$ hombres de guard</t>
  </si>
  <si>
    <t>nte de Lisboa con 11 navios; y á Madera se había enviado otra división de 4 navios á las órdenes de Sir Samuel Hood. El sistema de bloqueo fatiga mucho á nuestros marinos. ¿Y;será esta una razón para abandonarlo?” Son notables estas expresiones de Mr. Valpole : prueban no. solo que es imposible</t>
  </si>
  <si>
    <t>3° 7 üavíos rasos de línea y. el Centauro é Implacable de la f escuadra de Sir Samuel Hood, que dexando la sueca muy á Sotavento, cortaros, abordaron y apresaron el Lewalof de 74, que era el mas á popa de los enemigos. Baró .después, y tuviéron ios ingleses que incendia</t>
  </si>
  <si>
    <t>un combate en el Báltico entre 9 navios rusos de línea y el Centauro é Implacable de la escuadra de Sir Samuel Hood, que dexando la sueca mui á sotavento, cortaron, abordaron y apresaron el Lavalof de 74, que era el mas á popa de los enemigos. Baró después, y tuvieron los ingleses que incendiar</t>
  </si>
  <si>
    <t>Samuel Hpód</t>
  </si>
  <si>
    <t>406588 rs, vn.). Es regular que -esta' obra ino tárde en darse á la luz publica. ■•■■y di eésé qüj¿ Sir Samuel Hpód se haT dirigido cóñ su esquadra á las islas Cabanas, con áiiimo dé ’átaéár la. dé Tériériféé Lord Nelson , que intentó igual empresa,.perdró én ella fih brazo y casi todas las tro</t>
  </si>
  <si>
    <t>San Fuertes, Ramón Antonio</t>
  </si>
  <si>
    <t>Ramón Antonio San Fuertes</t>
  </si>
  <si>
    <t>A D. Salvador Ros, D. Antonio Costa,, D. Cayetano Sturla, D. Ramón Alcántara , D. Gerónimo Rabasa, D. Ramón Antonio San Fuertes, capitanes urbanos: D. Juan de la Vianca, D. Basilio Viola, D. Juan Viola, D. Pedro Nolasco Ximenez, D. Juan Jorge, D. Matías Cámara, tenientes urbanos; y D. Manuel de los Ríos, s</t>
  </si>
  <si>
    <t>San Juan, Benito</t>
  </si>
  <si>
    <t>Benito San Juan</t>
  </si>
  <si>
    <t>l Munarriz.=:Sr. D. Guillelmo de Vargas. Sr. D. Juan Josef Polo. = Sr. D. Josef Joaquin Martí.=rSr. D. Benito San Juan.=Sr. D. Ramón de Villalba. =r Sr. D. Francisco Bucheli. = Sr. Don .Francisco Diz. Excmo. Sr.=r Habiendo hecho presente esta macana .en el ¿qonsejq de Indias la real, orden que V.</t>
  </si>
  <si>
    <t>San Martín Silico, Francisco</t>
  </si>
  <si>
    <t>Francisco San Martín Silico</t>
  </si>
  <si>
    <t>.. Cádiz........* '500 2288 D. Antonio García del Rio.................... . Cádiz......... IOOO 178 D. Francisco San Martin Silico................ ... Valencia..... IOOO1295 D. Vicente Gil de Arias............................... . Valencia..,.. 300 741 D. Josef María de Urrutia...............................</t>
  </si>
  <si>
    <t>Sanche, Juan</t>
  </si>
  <si>
    <t>Juan Sanche</t>
  </si>
  <si>
    <t>ntas, 6 id. por agosto........................................................................ 186. D. Juan Sanche? Crespo, del comercio, 10 id. por 2 meses..... 610. D. Agustín Gutiérrez, 4 recibos de intereses de 1800, que importan 1173 rs. y .8 mrs., y ademas 3 rs. diarios desde i.° de seti</t>
  </si>
  <si>
    <t>Sánchez Aljcfrin, Miguel</t>
  </si>
  <si>
    <t>Miguel Sánchez Aljcfrin</t>
  </si>
  <si>
    <t>ioseco otras 2 acciones del propio banco , núms. * 23386 y 87» pertenecientes á la testamentaría de D. Miguel Sánchez Aljcfrin, y llenas á este, que existían en poder de los Sres. viuda de Sánchez é hijo,de aquélla ciudad. Quien sepa su paradero se servirá dar aviso de él á los expresados señores, y en Ma</t>
  </si>
  <si>
    <t>Sánchez Badillo, María</t>
  </si>
  <si>
    <t>María Sánchez Badillo</t>
  </si>
  <si>
    <t>sas. Isabel García 6. D. Antonio García Roa 12. Doña R. F. L. 2. D. Francisco Ignacio de Arríeta 6. Doña María Sánchez Badillo 2 id. y Doña Francisca Ramirez una. una. libra de hilas. Doña Joaquina Blanco una. D. Mariano Blanco 6 camisas. Doña Manuela Martínez Carranza 6* D. Félix Manzaneda 6. Doña Isabel</t>
  </si>
  <si>
    <t>Sánchez de Aguilera, Rafael</t>
  </si>
  <si>
    <t>Rafael Sánchez de Aguilera</t>
  </si>
  <si>
    <t>....................... ......... . 4joo. D. Casimiro Izquierdo, fiel dei abasto de carnes, id 500. D. Rafael Sánchez de Aguilera, librero, id............. . 60. Eugenio Sanz, maestro vidriero, id............................ 100. D. J. A. V. y G., id....... 1000. D. Joaquín Rivafiecha, id. Mk-*. 300.</t>
  </si>
  <si>
    <t>Sánchez de la Peña, Luis</t>
  </si>
  <si>
    <t>Luis Sánchez de la Peña</t>
  </si>
  <si>
    <t>tenencia al subteniente D. Joaquín Morales : en el de Africa tenencia al subteniente de granaderos D. Luis Sánchez de la Peña*, en el de Zamora compañía al teniente,graduado de capitán,Don Miguel Bolangéro; tenencia al subteniente de granaderos D. Josef Romero, y subtenencia de bandera al sargento primer</t>
  </si>
  <si>
    <t>Sánchez de María, Francisco</t>
  </si>
  <si>
    <t>Francisco Sánchez de María</t>
  </si>
  <si>
    <t>..... Cádiz........ .. 600 2324 Herederos de Doña Francisca Rosa Ulloa..... Cádiz....... . 3000 256 D. Francisco Sánchez de María........................ Burgos........ 300 2024 D. Melchor García Duran................................ Cádiz........... 600 512 D. Ignacio María de Zavala........................</t>
  </si>
  <si>
    <t>Sánchez de Tejada, Ignacio</t>
  </si>
  <si>
    <t>Ignacio Sánchez de Tejada</t>
  </si>
  <si>
    <t>ones, de que no se da razón por no anticipar sobre el resultado de la opinión de la junta. El señor D. Ignacio Sánchez de Tejada ^ diputado, por el nuevo reino de Granada, pronunció un discurso manifestando los medios que podrán emplearse para conservar unidas á la metrópoli las posesiones españolas de Amér</t>
  </si>
  <si>
    <t>Sánchez del Carpió, Manuel</t>
  </si>
  <si>
    <t>Manuel Sánchez del Carpió</t>
  </si>
  <si>
    <t>..... ....................... 120. Juan Antonio Fernandez, 10 id. durante un año, por 6 meses.. 6*. D. Manuel Sánchez del Carpió ¿ dfitial de la contaduría de Correos, 60 id, por 6 meses:::......... •••., 360. D. Josef Maldonado ,120 id. por 2 meses........... 240* D. G. de C., 60 id. por agosto............</t>
  </si>
  <si>
    <t>Sánchez del Moral, Manuel</t>
  </si>
  <si>
    <t>Manuel Sánchez del Moral</t>
  </si>
  <si>
    <t>tines largos y 3 pantalones, todo de lienzo. D. Santiago Izquierdo 3 5 varas y media de paño pardo. D. Manuel Sánchez del Moral 20 varas de paño y,3 camisas. D. Juan Santana 12 varas de paño pardo/ D. Nicolás [Reguera: ¿ varas de paño. D&lt; Ramón López una chaqueta de: paño, 6 pantalones de cotonía y 2 pares</t>
  </si>
  <si>
    <t>Sánchez del Valle, Manuel</t>
  </si>
  <si>
    <t>Manuel Sánchez del Valle</t>
  </si>
  <si>
    <t>00 rs. por una vez, ? y é rs. id. por f id..... .......... ................................ . 3418. D. Manuel Sánchez del Valle , 500 rs. por una vez, y 6 diarios, por 3 meses............................................................................... 1052. D. Pedro Arnaiz, presbítero, por una vez......</t>
  </si>
  <si>
    <t>Sánchez Heredia, Juan Antonio</t>
  </si>
  <si>
    <t>Juan Antonio Sánchez Heredia</t>
  </si>
  <si>
    <t>...... Oddiz*«« «•••*« 300 2059 Doña María Josefa Vasquéz y Adorna....... • • ■ Oíiciiz* • IOOO 773 D. Juan Antonio Sánchez Heredia.................. Madrid ............ 300 2140 D. Josef'Angel de Recacochea........................ Zaragoza*.... 500 2211 D. Salvador Ribera é hijos....».........................</t>
  </si>
  <si>
    <t>Sánchez Izquierdo, Agustín</t>
  </si>
  <si>
    <t>Agustín Sánchez Izquierdo</t>
  </si>
  <si>
    <t>.. 300 2113 D. Pedro Abric.................................................. Zaragoza..... 500 1043 D. Agustín Sánchez Izquierdo......................... Madrid........ 300 161 Sra. Condesa de Toreno................................... Valencia..... 500 3755 D. Josef María Suarez.............................</t>
  </si>
  <si>
    <t>Sánchez Liaño, Antonio</t>
  </si>
  <si>
    <t>Antonio Sánchez Liaño</t>
  </si>
  <si>
    <t>rias, según los últimos experimentos del azogue, y método de suministrarlas á los enfermos: por Fr. Don Antonio Sánchez Liaño, del hábito de S. Juan. Se hallará en las librerías de Castillo, ds.* Bengoechea y de Orea. Elementos ó primeros conocimientos de la enseñanza y disciplina de la infantería: por D</t>
  </si>
  <si>
    <t>Sánchez Pavón, Pedro</t>
  </si>
  <si>
    <t>Pedro Sánchez Pavón</t>
  </si>
  <si>
    <t>ernandez, y D. Manuel de Abad; gefes de trozo D. Manuel Ferrando, D. Sebastian Fernandez Navarrete, D. Pedro Sánchez Pavón, Di Pablo línda , Di Bonifacio Otiveuda, D. Francisco; Martínez , y D. Pablo Ferrando, cadéte déí regimiento* de infantería de Soriaf seminaristas D. Josef María Carrillo D - Eugé</t>
  </si>
  <si>
    <t>uel de la Cámara, D. Josef Ramón Fernandez y D. Manuel de Abbad; gefes de trozo D. Manuel Ferrando, D. Pedro Sánchez Pavón y D. Pablo Unda; seminaristas D. Matías Oiivencia,D. Josef María Carrillo, D. Félix GHman, cadete de reales guardias Valonas, D. Félix Palacios, D. Manuel Entramfbasaguas, D. Pedro Ce</t>
  </si>
  <si>
    <t>Sánchez Puertas, Blas</t>
  </si>
  <si>
    <t>Blas Sánchez Puertas</t>
  </si>
  <si>
    <t>n real diario, por 2 meses................................................ .................... 61. D. Blas Sánchez Puertas, 2 id. id..-............... ............ .................. 122, D. Andrés del Peral, -8 ii; por 5 id............................................. 1224, IX Tomas Perez Campos, 2 i</t>
  </si>
  <si>
    <t>Sánchez Reciente</t>
  </si>
  <si>
    <t>Dios de la justicia. Quien supiere del destine de las herederas de D, finge nU Sánchez Reciente, impresor que ftté en esta Ciudad, acuda á la imprenta de esta'Giaz&amp;ta^ donde se les comunicarán asuntos de importancia* CON SUPERIOR PERMISO. EN LA IMPRENTA DE LA VIUDA DE , HIDALGO Y SOBR</t>
  </si>
  <si>
    <t>Sánchez Soldeviiia, Domingo</t>
  </si>
  <si>
    <t>Domingo Sánchez Soldeviiia</t>
  </si>
  <si>
    <t>e cera, en vales reales, en un recibo de intereses de esta moneda, y pico en efectivo, id. 2538 27. D. Domingo Sánchez Soldeviiia, id................................. ........... 40. D. Josef Herrero, en intereses de vales, id.............. ................... 180 17. Doña A. G. , id............... .........</t>
  </si>
  <si>
    <t>Sánchez Tirado, Jacinto</t>
  </si>
  <si>
    <t>Jacinto Sánchez Tirado</t>
  </si>
  <si>
    <t>............................ 1 1 D. Francisco Antonio Quaresma................................. 1 1 D. Jacinto Sánchez Tirado........................................... 1 y un par de botas. El coronel D. Felipe Siere, ademas de una silla y brida ya anunciadas, entregó 24 pares de estribos y 2 carabinas.</t>
  </si>
  <si>
    <t>Sánchez Toscano, Manuel</t>
  </si>
  <si>
    <t>Manuel Sánchez Toscano</t>
  </si>
  <si>
    <t>ación en Madrid, 500 rs. por una vez , y 186 por agosto a 6 rs. diarios........................ 68&amp; D. Manuel Sánchez Toscano cambiante , 1© rs. por una. vez, y. 3 72 P°.r agosto á 12 rs. diarios ••*******•••*•*••••••••••!•••«•••••*« D. Joaquín Gómez ? oficial de la contaduría de pósitos, por agosto á 2</t>
  </si>
  <si>
    <t>............. . 1000. El Sr. D. Luis Gonzalo del Rio*.........¿i...................... 5000. Ei Sr. D. Manuel Sánchez Toscano.............................. 5000. El Sr. D. Andrés de Aransai , capellán de honor de S. M., en un vale real de 300 pesos de mayo, por su íntegro valor hasta el día de la entrega</t>
  </si>
  <si>
    <t>Sánchez Trapero, Antonio</t>
  </si>
  <si>
    <t>Antonio Sánchez Trapero</t>
  </si>
  <si>
    <t>z 12, D. Francisco y Doña María Corche- D. Manuel de Salazar 2. ro 4. - D. V. M. 8 varas de lienzo. D. Antonio Sánchez Trapero 2. D. Jorge López 6camisas y 8 vendas. D. Vicente Romero 6. D. Gerónimo Gambon 2 camisas. D. Benito Uit de Miiins 3. Doña María Ximenez de Traporcr, Doña Nicolasa García una y 2 p</t>
  </si>
  <si>
    <t>Sánchez Trapero, Pedro</t>
  </si>
  <si>
    <t>Pedro Sánchez Trapero</t>
  </si>
  <si>
    <t>........ 6l. D. F. F. de V., 2 id. por 2 id...... ............... ........... .............. . 122. D. Pedro Sánchez Trapero, 8 id. por agosto...................... .......... 248. D. Marcial Nazar, escribano del honrado concejo de la Mesta, uno id. por 3 meses.................. .................... ...</t>
  </si>
  <si>
    <t>Sánchez Viilaloa, Francisco</t>
  </si>
  <si>
    <t>Francisco Sánchez Viilaloa</t>
  </si>
  <si>
    <t>......... . 180. Antonio Montero, uno id; por 2 id.........................;...... ............ 61. D. Francisco Sánchez Viilaloa, uno id. id......*.............. ............ 61* Josef Zamorano, uno id. id......................................................... 61. D. Narciso de Arrieta, notario oficial ma</t>
  </si>
  <si>
    <t>Sánchez Zúñiga, Bernardo</t>
  </si>
  <si>
    <t>Bernardo Sánchez Zúñiga</t>
  </si>
  <si>
    <t>' servidero de la parroquia del lugar de HerVás en la diócesi' de Plasencia , Vacante por muerte de D. Bernardo Sánchez Zúñiga, á D. Tomas López. En el batallón de voluntarios de Catnpomayor se ha servido el Re i conferir el empleo de capitán primero a'l ’cápifaú segundo. Di1 Mariüel.Tóbralba; esta resalt</t>
  </si>
  <si>
    <t>Sánchez, Agustín</t>
  </si>
  <si>
    <t>Agustín Sánchez</t>
  </si>
  <si>
    <t>niente coronel del referido &lt;de Sagunto v la tenencia coronela del de Lusitania al teniente coronel D. Agustín Sánchez, sargento mayor delde Pavía; y la del de cazadores de OI i vene ¡a al teniente coronel D. Geróninio Puig de Amigó, sargento mayor del de cazadores voluntarios de España: en el de</t>
  </si>
  <si>
    <t>Sánchez, Andrés</t>
  </si>
  <si>
    <t>Andrés Sánchez</t>
  </si>
  <si>
    <t>s,^graduado de capitán, D. Ramón Doinenech: en el de Valencia tenencia al subteniente de granaderos D. Andrés Sánchez; y en el de Navarra tenencia al subteniente de granaderos Don Ignacio Gueróla , y subtenencias de bandera at cadete D. Joseph María Ladoux, y al sargento primero D. Ramón Alisoga.</t>
  </si>
  <si>
    <t>Sánchez, Antonio</t>
  </si>
  <si>
    <t>Antonio Sánchez</t>
  </si>
  <si>
    <t>D. Francisco Josef Ofer, diputado del Amor de Dios. D. Francisco Perez de las Muelas, diputado id. D. Antonio Sánchez, diputado del barrio del Hospital. D. Silverio Perez id. id. D. Diego de Castro, secretario de la dir i cha .diputación. D. Andrés del Peral, diputado de id. D. Josef Carranza, «</t>
  </si>
  <si>
    <t>Sánchez, Francisco</t>
  </si>
  <si>
    <t>Francisco Sánchez</t>
  </si>
  <si>
    <t>los vastos dominios qué el Rei ha confiado á sú mando. IIBRO. Principios de retórica y poética, por D. Francisco Sánchez: un tomo eñ 8.* marquida. Se hallará en rústica y pasta en la librería de Cerro, calle Mayor, portal de Manguiteros. " EN LA IMPRENTA REAL.</t>
  </si>
  <si>
    <t>Sánchez, Francisco Xavier</t>
  </si>
  <si>
    <t>Francisco Xavier Sánchez</t>
  </si>
  <si>
    <t>.... 3°° 2020 D. Pedro Darracq........................................... . Cádiz.......... 300 163 D. Francisco Xavier Sánchez....................... . Valencia..... 300 1071 D. Juan Andrés Fascio............................ Madrid....... 500 306 Rafael Medina y Lafita................................... M</t>
  </si>
  <si>
    <t>Sánchez, Gregorio</t>
  </si>
  <si>
    <t>Gregorio Sánchez</t>
  </si>
  <si>
    <t>Antonio Lema, diputado de .Mosteases. D. Alfonso Luceño, diputado. D. Josef Lamano, alcalde de id. D. Gregorio Sánchez, diputado. D. Antonio Rafael de la Peña, D. Agustin Plácido Zanon, D. Juan Ventura Apostegui, diputación del Carmen calzado. D. Juan Antonio Ruiz, cura de S. Mi Han. Fr.Juan Josef</t>
  </si>
  <si>
    <t>Sánchez, Ignacio</t>
  </si>
  <si>
    <t>Ignacio Sánchez</t>
  </si>
  <si>
    <t>de la real caballeriza , en una boleta de gastos, -id....................................... 10990; D. Ignacio Sánchez, id. D. Ignacio Ortega, id 60; D. Mateo Martínez, corredor de la real Aduanaid.......6000# Florencio Polo, id •••••••••***•«•••*••«••• • * *üV**í&gt; • *• SéV* *'••*# • •’**■*** • *</t>
  </si>
  <si>
    <t>Sánchez, Joaquín</t>
  </si>
  <si>
    <t>Joaquín Sánchez</t>
  </si>
  <si>
    <t>Juan Leída, id............................................................................... 320. D. Joaquín Sánchez, en recibos de réditos de 1800 y pico en metálico , id................................. .................................................... 600. D. Clemente López Miranda , id...</t>
  </si>
  <si>
    <t>del Carmen y Doña María de la Concepción Carretero y Vaca, vecinas de la villa de Orgaz, 6 camisas. D. Joaquín Sánchez ha pagado la hechura de 24 casacas de infantería. Noviembre 2. Una señora una camisa. Una niña de 10 años una. Doña María Tomasa Aíarcon 6. La Sra. marquesa de Perales 6. Doña Mar</t>
  </si>
  <si>
    <t>Sánchez, Juan</t>
  </si>
  <si>
    <t>Juan Sánchez</t>
  </si>
  <si>
    <t>:: . 'Zaragoza./.:, ,j:3?o D. Francisco Tóiiias;Be ni tez A.\ .no Madrid......'. '■|5 06 : 049 *745 D. Juan Sánchez dél Corral.... Cádiz,.:.. A!. ' ’3 oó 383 D. Isidro de Ponte y‘Andrade, Coruña....... * 3do 794 D. Pedro del L'ano.................. Madrid....;.. 300 2001 13. Cristóbal Cxárcia» Cád</t>
  </si>
  <si>
    <t>•*•■••«# ^ó. ^ Doña Librada Romero, loid. id• •vw*v**v**v*v* **v»* * *•••*-* •••••!••••••••••• X O# D. Juan Sánchez, 60 id. por'2 meses*........................................... 120. D. Pedro de la Viaña , 60 id. por 3 meses..*...,,........... 180. * D. Gregorio de la Huerta, 20 id. por agost</t>
  </si>
  <si>
    <t>Sánchez, Manuel</t>
  </si>
  <si>
    <t>Manuel Sánchez</t>
  </si>
  <si>
    <t>á capitán al teniente D. Ignacio As.tegui; á teniente al alférez D. Bernardo García, y á alférez á D. Manuel Sánchez , vecino de la demarcación del regimiento. ■ —1 v " j wi 1 -• ■" ■ ........ - - -i ■ ■ VENTAS JUDICIALES. Por.providencia de D. Sandalio de Orúe y Garai, subdelegado del departame</t>
  </si>
  <si>
    <t>, de Madridj de1 18 años. Escultura: á D. Josef Giorgi........ de id., de 21 años. Arquitectura : á D. Manuel Sánchez, dePalencia, de 2# años. Premios segundos. Medallas de plata de j onzas. Pintura : á*D. Antonio Ramos, de Madrid, de 19 años. Escultura: á I). Télesfóro Dumandre, del real sitió d</t>
  </si>
  <si>
    <t>.................. 12000. Miguel del Campo, artífice platero, 30 id. por 2 id.................. 60. D. Manuel Sánchez, oficial de la recibiduría de S. Juan en Madrid, 2 rs. diarios durante 6 meses, á cuenta......................... 182. Juan de Allonca y Ron, oficial de coches, un real diario, po</t>
  </si>
  <si>
    <t>Sancho de Llamas</t>
  </si>
  <si>
    <t>nto los señores ministros de dicho consejo D. Pantaleon de Reramendi, Don Tomas Saez de Parayuelo., D. Sancho de Llamas y D. Manuel de Echeverría.; los señores fiscales de él D. Josef de Ibarra, D. Tadeo Segundo Gómez y D. Manuel de Torres Cónsul, y el secretario de millones D. Ignacio de Rivas. VENTA.</t>
  </si>
  <si>
    <t>Bridas. - ' casitas................. ............................................ ■ ,2 ■. &amp; El Sr. D. Sancho de Llamas, ministro del consejo de Hacienda.............. .......... ......... 2 2 El Sr. D. Fernando Vázquez y Tellez........ 1 1, El teniente coronel D. Alfonso de Cortes».. 1 : 1 nueva.</t>
  </si>
  <si>
    <t>&lt;. ..v -....... .11 oo. 4 D. Josef Villasante ,-propietario, pop agosto- á óo rs. mensvules.. ^ 60; D. Sancho dé Llamas ,-deí consejó detiacienda\ mensuáilmen^b.:^.¡0206. Xi D. Juan Menini, cirujano hernista, mensual mente................ .100. ' (Se continuará.) F EN LA IMPRENTA REAL. - -..i</t>
  </si>
  <si>
    <t>Sancho Larrea, Miguel</t>
  </si>
  <si>
    <t>Miguel Sancho Larrea</t>
  </si>
  <si>
    <t>................................... 100. D. Nicolás de Apezteguia, agenté de la consolidación. 300. D. Miguel Sancho Larrea, en un vale de 300 pesos de mayo, el valor de............... .................... .............. 4589... 22. D. Miguel de Nixerá Bazares, agente de Indias......... 300* D. Juan An</t>
  </si>
  <si>
    <t>................ .to, Francisco González, maestro sastre, id............................... . 1000. D. Miguel Sancho Larrea, del comercio, id........ ........................ 1000. D. Pedro de. la. Puente., arquitecto,Id......................................... 2000. D, Santiago Trabajo, portero de Ren</t>
  </si>
  <si>
    <t>Sancho, Manuel</t>
  </si>
  <si>
    <t>Manuel Sancho</t>
  </si>
  <si>
    <t>e él dia 16 de mayo próximo pasado, y á las 11 y media de la mañana del propio día cupo la suerte á D. Manuel Sancho, administrador del .real Pósito, residente en el mismo, como consta del asiento hecho en el libro 3.°, al folio 30. Lo que se anuncia al público para su inteligencia. * El acredit</t>
  </si>
  <si>
    <t>r una vez:.......... 3 20. D. Alberto Gremadélfe, oficial de la lotería, por una vez......... 3 20* D. Manuel Sancho, oficial de la .administración del real* pósito, 1 oor g. _ una véz.............................................................. .................. 120. D. Francisco Sejoman, age</t>
  </si>
  <si>
    <t>é . . . I24T ra: á D. Antonio Mercar, de Madrid rde 20 añós. Escultura: á D. Manuel Sancho, de id., de 13 años. Arquitectura? á D. Francisco Bermndez, de Torrelaguna, arzobispado de Toledo, de 25 años. Tercera clase. Premios primeros. Medallas de plata de $ onzas. Pintu</t>
  </si>
  <si>
    <t>Sancho, Miguel Ángel</t>
  </si>
  <si>
    <t>Miguel Ángel Sancho</t>
  </si>
  <si>
    <t>s. Doña Felipa Pascual una libra de hilas. Las niñas de Legaftes 6 libras de hilas, paños y verdas. D. Miguel Angel Sancho , D. Antonio Yarretu , Doña Josefa de Olavarrieta y su hijo D. Francúco, Doña Ana Zulueta, D. Francisco Iriarte, D. Pedro Zubiaga , herederos de D. Francisco Maria de Retes y Bust</t>
  </si>
  <si>
    <t>os Holtz , maestro antera, por una vez...................... . 400. D. Baltasar Untoria, mancebo de D. Miguel Angel Sancho, por un año anticipado......».»;.»».,»..»».,»»»»...... . 6co. D. Alfonso Gómez, del comercio, por una vez ••a•••••••••«••*••••••• 200. D. Josef de Valgoma, oficial de la contadurí</t>
  </si>
  <si>
    <t>Sancho, Vicente</t>
  </si>
  <si>
    <t>Vicente Sancho</t>
  </si>
  <si>
    <t>isco Bacarini, por un mes , 20. D. Josef María* de Macuso, del comercio , por un mes.......... 500. D. Vicente Sancho ¿ arquitecto, por un mes......... .............. ...... 320. D. Cárlos Holtz , maestro antera, por una vez...................... . 400. D. Baltasar Untoria, mancebo de D. Miguel A</t>
  </si>
  <si>
    <t>Sandalio de Arias y Costa, Antonio</t>
  </si>
  <si>
    <t>Antonio Sandalio de Arias y Costa</t>
  </si>
  <si>
    <t>s. cada tomo en, rústica. Cartilla elemental de agricultura, acomodada á nuestro suelo y clima, por Don Antonio Sandalio de Arias y Costa, jardinero mayor del real convento de señoras de la Encarnación de esta córte. La real sociedad económica de Madrid tiene bien manifestada la necesidad que hai de reducir á princi</t>
  </si>
  <si>
    <t>Sandalio de Orúe y Garai</t>
  </si>
  <si>
    <t>n del regimiento. ■ —1 v " j wi 1 -• ■" ■ ........ - - -i ■ ■ VENTAS JUDICIALES. Por.providencia de D. Sandalio de Orúe y Garai, subdelegado del departamento de la villa de Pedraza en la diócesi de Segovia, se ha señalado el dia lo del presente para el remate de un prado de pasto y siego, poblado de encina</t>
  </si>
  <si>
    <t>Sanjueso, Ramón</t>
  </si>
  <si>
    <t>Ramón Sanjueso</t>
  </si>
  <si>
    <t>es. D. Mariano Ibargnen. D. Ventura Mandujo, eclesiástico, D. Francisco Escarlati, Don Angel Tadei, D. Ramón Sanjueso, secretario, diputación del barrio de Doña María de Aragón. D. Juan Soto, alcalde de id. D. Melchor Gómez de la Torre, diputado id. P. D. Vicente Chiríbella, prepósito de S. Felip</t>
  </si>
  <si>
    <t>Santa María, Alexo</t>
  </si>
  <si>
    <t>Alexo Santa María</t>
  </si>
  <si>
    <t>na camisa y un pac de, calcetas.,Doña Vitoria Camarero una camisa. D. Pedro García de Lia-, nps 2.. D. Alexo Santa María una sábana. D. Fernando Ibirrola, 6 camisas., I). Ramón de Sandra, vecino de Almería , 6. D. Francisco Moreno 12. D. Pantaleon de Castro una. El gremio de caldereros 16 ollas gran</t>
  </si>
  <si>
    <t>Santa María, Antonio</t>
  </si>
  <si>
    <t>Antonio Santa María</t>
  </si>
  <si>
    <t>dé Aragón. D. Rafael Chartea, diputado de Santa Isabel. D. Rafael Pascual, diputado de S. Plácido» D. Antonio Santa María, alcalde de dicho. D. Fe ipe Duró, presbítero , diputado de S. Basilio. D. Juan Manrique de Lara, diputado id. D Tomas Condé, eclesiástico, diputado de los Angeles. D. Mariano Iba</t>
  </si>
  <si>
    <t>Santana, Juan</t>
  </si>
  <si>
    <t>Juan Santana</t>
  </si>
  <si>
    <t>zquierdo 3 5 varas y media de paño pardo. D. Manuel Sánchez del Moral 20 varas de paño y,3 camisas. D. Juan Santana 12 varas de paño pardo/ D. Nicolás [Reguera: ¿ varas de paño. D&lt; Ramón López una chaqueta de: paño, 6 pantalones de cotonía y 2 pares de botines de paño. D. Manuel de Salas 70 par</t>
  </si>
  <si>
    <t>Santaná, Pedro</t>
  </si>
  <si>
    <t>Pedro Santaná</t>
  </si>
  <si>
    <t>pitán de,granaderos , graduado de teniente coronel, D. Juan Aldrete; á esta resulta al de fusileros D. Pedro Santaná ;á, capí tan de.fusileros al teniente de granaderos .Di- Andres Sartorio ;’ á‘teniente1,de granaderos al de fusileros D¿ Josef María Chiari $- á;e¡sta resulta al/subtenieníe D. 'M</t>
  </si>
  <si>
    <t>Santiago Alonso</t>
  </si>
  <si>
    <t>que; le dieronque el dia que salió de Aranda habían entrado allí los enemigos, envió á si*&lt; edecán D. Santiago Alonso, espitan de la compañía de cazadores de uion-j</t>
  </si>
  <si>
    <t>Santiago Gonzalo</t>
  </si>
  <si>
    <t>res misas. '■ ■ . /: de calcetas; ‘^ ^ • Doña Ignacia Vellido 12; L- D. N., carpintero, upa camisa. D. Santiago Gonzalo 2. D. Roberto y Guilleímo Dale, inD. Márcos González 6," ' gles , 12. \ Doña Ines Martínez una. D. Antonio Nuñez 2. D. Nicolás Lamiel y Venegas 4. ' Doña Mariana Obregon 3 libras</t>
  </si>
  <si>
    <t>Santiago Vicente</t>
  </si>
  <si>
    <t>eses á, fca. diariosí... 2464. i D. Manuel déla» Heras,porun ajío i 4 rs. diarios..*............. J D. Santiago Vicente de. Ja;Lomba, maestrode cantero, por' agosto á 3 rs. diarios........... ................... ................................ . 93. D. Manuel de Basualdo, corredor de camjbios, por 2</t>
  </si>
  <si>
    <t>Santiago’ Ayala</t>
  </si>
  <si>
    <t>**** Zaragoza...... 500 1767- D.- Bartolo' Angel*........... .. • *»•■* •- Cádiz. •..*•.». 3©©* 280 D. Santiago’ Ayala...............----- Burgos.-....,. 500 2016 D. Ramón y D. Manuel Lafforé. Cádiz'......... 5'üp30 D» Manuel de Irribarxen Zaragoza..... 300</t>
  </si>
  <si>
    <t>Santias y Cortaciñ, Alberto</t>
  </si>
  <si>
    <t>Alberto Santias y Cortaciñ</t>
  </si>
  <si>
    <t>ificio de Astunduaga, propio de D. Lope M'azazudo................... Bilbao• %••• • • • ' 3&lt;*&gt; 2118 D. Alberto Santias y Cortaciñ........ Zaragoza..... ? 300 ‘461 D. Juan Antonio Aguirre y D. Josef Agus­ ' 'i, . /. * ; tín de Buitrón..................... ................4.... Bilbao.... .71. r *300 2347 Excm</t>
  </si>
  <si>
    <t>Santibáñéz, Domingo</t>
  </si>
  <si>
    <t>Domingo Santibáñéz</t>
  </si>
  <si>
    <t>Castáñeda. En América, o. M. se ‘ha servido nombrar auditor dé guerra de la pla¿a* dé“Ia “Havana a D. Domingo Santibáñéz abogado de los" f¿ales'contéjos y del colegio de Cáidiz; á quién se ha dignado S. M. al mismo tiempo conceder honores de oidor de la audiencia dé Puerto Príncipe. Navegando por el</t>
  </si>
  <si>
    <t>Santibañez, Manuel</t>
  </si>
  <si>
    <t>Manuel Santibañez</t>
  </si>
  <si>
    <t>ara, por una vez 640 rs. D. Cárlos Malagon, mozo de oficio de la real sausería, por una vezNy2o rs. D. Manuel Santibañez, abogado del colegio, por agosto á 40 rs. mensuales durante la guerra, 40. D. Josef Figueras, tesorero de la real compañía de Filipinas, por una vez 1500 rs. Manuel González, port</t>
  </si>
  <si>
    <t>Santos de Allende</t>
  </si>
  <si>
    <t>..... 1000 2397 I)*. Matías Perez , presbítero.............. • •• ••••*• •Zaragoza..*-.. 300 g-31?4 D, Santos de Allende....*...... . . Coruña............. 300 1018 D. Manuel Asuaga......... Madrid............. .300 1942 p. Francisco RousJUe................ Zaragoza..... 500 753 Éjccmo. Sr. T)u,q«e</t>
  </si>
  <si>
    <t>Santos de la Vega</t>
  </si>
  <si>
    <t>favorece aquella nación á los españoles. Se hospedó en la casa del regente de la real jurisdicción D. Santos de la Vega , de quien pretendió dicho comisionado la convocatoria de la junta de armamento y defensa; y en ella hizo ver los vivos deseos que animan al Reí su amo y vasallos de contribuir co</t>
  </si>
  <si>
    <t>Santos de Pando</t>
  </si>
  <si>
    <t>ería del duque de San Cárlos,id............................................................... loo* D. Santos de Pando, dependiente del Banco nacional, id........... 120* El bailíó Fr. D. Francisco Gil y Lemus, en vales reales, y 29796 rs. en efectivo, id........................ ................ .</t>
  </si>
  <si>
    <t>Santos Fernández</t>
  </si>
  <si>
    <t>ión titulada de la capilla deSV‘Márcelo, Tifa ~éñ Ta cátedra! de León, vacante por fallecimiento de D. Santos Fernandez ,’y renuncia de D. Andrea Rodríguez Mate, á quien M. sé sirviónoi^brar'para ella á consulta de la cámara por résplñqioq do 7 jjdó Jgprqro ' del'-.'ano - próximo pasado, á DV Manue</t>
  </si>
  <si>
    <t>Santos García</t>
  </si>
  <si>
    <t>uerpo D. Miguel de los Ríos. ‘ En:el regimiento de la Corona fué herido igualmente el 16 el capitán D. Santos García. Los tenientes del regimiento de Irlanda D. Juan Monet y D. Josef Moreno, con ei subteniente del mismo cuerpo -D. Francisco Carmelet, lo haa sido también el dia 19 del corriente..</t>
  </si>
  <si>
    <t>Santos Sánchez</t>
  </si>
  <si>
    <t>les..... 20. f Josef Estevez, tahonero, por id. á ico rs. id....................... .......... IOO. D. Santos Sánchez, por agosto á 100 rs. id.................................... . IOO. D. Josef Hidalgo, tesorero interino del Monte pío de oíicinas, por agosto á 60 rs. id......*...................</t>
  </si>
  <si>
    <t>Santos Sánchez Molero</t>
  </si>
  <si>
    <t>Ayesa &lt;*&gt;. : un par de calzones de mahon, uñó D. Manuel Perez 2. \ ' dicho de paño negror un par de D. Santos Sánchez Molero 2. medias botas nuevas , y un par de D. Manuel González Salmón 6. calzones. ■ Doña Isabel Perez de Cifuentes 12. D; Josef Navarro' y Márcos 6 ca­ D. Zacarías Velázquez 2 y 6 pares</t>
  </si>
  <si>
    <t>Santos, Francisco</t>
  </si>
  <si>
    <t>Francisco Santos</t>
  </si>
  <si>
    <t>agoza..... 500 443 D. Josef de Escalante.................................... . Santander... 600 164 D. Francisco Santos........................ ................... Valencia..... 300 1551 D. Pedro Antonio Sobrado............................... Bilbao......... 5 00 1095 D. Josef Cabrera..............</t>
  </si>
  <si>
    <t>Sanz de Ibarrola, Tomás</t>
  </si>
  <si>
    <t>Tomás Sanz de Ibarrola</t>
  </si>
  <si>
    <t>.................3°°* ■4 3X Benito Loarte, registrador de sisas, poruña vez...........c..v.. ido. 1 D. Tomas Sanz de Ibarrola, archivero del duque de Ábran tes ? nr;.:i por una vez...—.... ..................................¿¿.«u../.; ; -;4oüh;4 IX Josef de Ballerna, armero mayor de S. M., un vale de 150</t>
  </si>
  <si>
    <t>Manuel Onofre Martínez, diputado de la Encarnación. D. Antonio Cucarella, diputado de S. Ildefonso. D. Tomas Sanz de Ibarrola, de id. Don Ramón Royo Pueyo, alcalde. D. Luis Naranjo, diputado de la Latina. Don Cristóbal Olmedo, de id. D. Pedro Acevedo id. D. Rafael Guerra, eclesiástico de dicha. D. Juan H</t>
  </si>
  <si>
    <t>Sanz Ibarrola, Tomás</t>
  </si>
  <si>
    <t>Tomás Sanz Ibarrola</t>
  </si>
  <si>
    <t>ía Ximenez , San Francisco; D. Gregorio Uriondo, S. isidro; D. Juan Bautista Elasa , San Gerónimo ; D. Tomas Sanz Ibarrola , Maravilla- ; D. Roque Antonio de Lema, Afligidos ; D. Bernardo Orozco, Barquillo; D. Tadeo Fón , San Martin. Diputación por el cuerpo de vecinos honrados de las parroquias de Ma</t>
  </si>
  <si>
    <t>Sanz Ruiz, Antonio</t>
  </si>
  <si>
    <t>Antonio Sanz Ruiz</t>
  </si>
  <si>
    <t>.Gandedó Pelaez .4. do 24. Doña María Poazoti y Pía 4. D. Francisco Asui 12. D. Juan de Madrid 6. .D, Antonio Sanz Ruiz 2. Doña Pascuala de la Plaza una. Doña :M. A. S. 12. Doña María' Leama y Seco;£&gt; s; A \ D* Ántonip Pereira 5. ,r ‘Doña Maríá) Nidolasa de; Arquero.s 4. D. Fernando Martínez de Vié</t>
  </si>
  <si>
    <t>Sanz Valles, Isidoro</t>
  </si>
  <si>
    <t>Isidoro Sanz Valles</t>
  </si>
  <si>
    <t>por un año................ 730. D. Alonso Bayo, 500 rs. por una vez, y 6 diarios, por 2 meses. 866, D. Isidoro Sanz Valles, 4 id................ ........... 284. D. Juan Antonio García de García, 2 id. por 2meses............. 122. D. Camilo Ruiz, 20 rs. mensuales, por 2 meses....................... 40</t>
  </si>
  <si>
    <t>Sanz, Agustín</t>
  </si>
  <si>
    <t>Agustín Sanz</t>
  </si>
  <si>
    <t>eda 6. Doña Isabel Ilarranza 2. D. Rosendo Saturío 2. D. J. B. 3. Doña Micaela Fourdiniez y sus dos D. Agustín Sanz 2. hijas 4. D. J. Q. 2. D. Josef de la Torre 4. D. Pedro Arnaiz una. Doña Isabel Andrea Huésterlíng 12. D. Manuel Martínez de Aedo y Do­ Doña Cándida Irueta, sirvienta, una. ña Be</t>
  </si>
  <si>
    <t>Sanz, Claudio</t>
  </si>
  <si>
    <t>Claudio Sanz</t>
  </si>
  <si>
    <t>D. Torquato Antonio Collado, teniente corregidor de ésta villa, por ante el escribano de sii número D. Claudio Sanz. ‘ El señor intendente de ésta-provincia, por su decreto de 21 de diciembre próximo pasado, ha aprobado él remate de tina tierra sita en el arroyo AbroñigaÍ,de caber i§ fanega, va</t>
  </si>
  <si>
    <t>Torquato Antonio Collado, teniente corregidor de esta villa, y por ante el escribano de sti número D. Claudio Sanz, se venden diferentes fincas y heredades , que con distín-, cion de cada una , y términos dondese. hallan sitas, son las siguientes: VMlamievá de la Fuente, provincia de la Mancha</t>
  </si>
  <si>
    <t>perentorios, contados desde esta publicación , acudan ante dicho señor por el oficio del número de Don Claudio Sanz, por medio de procurador, con suficiente poder, á deducirle y exponerle; apercibidos de que pasado dicho término, sin mas citarles, llamarles ni emplazarles, se procederá á la dec</t>
  </si>
  <si>
    <t>Sanz, Pedro Martín</t>
  </si>
  <si>
    <t>Pedro Martín Sanz</t>
  </si>
  <si>
    <t>o de monjas 2. Juan Hoy, zapatero , 5 pares de zapatos. Esteban Forcada, id. 8. D. F. N. 6 camisas. Don Pedro Martin Sanz.20 pares de botines de lienzo. El mayordomo y 3 criadas de la Sra. marquesa de Villaverde 12 camisas. Continúan los donativos de monturas para el exéreito de Castilla la vieja ent</t>
  </si>
  <si>
    <t>Sanz, Ventura María</t>
  </si>
  <si>
    <t>Ventura María Sanz</t>
  </si>
  <si>
    <t>.. . 500 354 D. Guillermo Poibert........................................ Cádiz........... 600 1065 Doña Ventura María Sanz............................... Madrid....... 300 988 D. Miguel Amandi............................................. Madrid....... 500 762 D. Tomas García Prieto y compañía.........</t>
  </si>
  <si>
    <t>Saravia, Diego</t>
  </si>
  <si>
    <t>Diego Saravia</t>
  </si>
  <si>
    <t>za..... 3 00 934 Sra. Condesa de Jaruco.................................... Madrid....... 3 00 2004 D. Diego Saravia.............. ................. .............. Cádiz........... 300 1764 D. Vicente Arroyuelo............... ...................... Cádiz........... 500 1200 D. Agustín 'Alegrin..</t>
  </si>
  <si>
    <t>Saravia, Juan Nepomuceno</t>
  </si>
  <si>
    <t>Juan Nepomuceno Saravia</t>
  </si>
  <si>
    <t>omor ver á teniente, al subteniente D. Manuel Mendéz Benegasi; y á'subteniente de bandera al cadete D. Juan Nepomuceno Saravia. . En América. En el regimiento provincial de infantería de Toluca se ha servido el Reí promover á capitán al teniente de granaderos D. Juan de Dios Ortega: á teniente ds granader</t>
  </si>
  <si>
    <t>Sardén, Joaquín</t>
  </si>
  <si>
    <t>Joaquín Sardén</t>
  </si>
  <si>
    <t>.. r,'.r{:\I* ¡i oza...:,r • * ¡. &lt; i. "f 1891 D. Juan García, regidor de Guridáia'JuráA/AA 300 362 D. Joaquin Sardén, sargento mayor............! GádiZii. 5 00 ?7.4 D. Josef Joaquin 'López.......... ...A....y/ Madrid....:.. ICOO 106 D. Manuel María dé‘ Qyáiiarté.^. A A AAi/.V.A. A''0Tudelá‘. 'I'</t>
  </si>
  <si>
    <t>Sastinet</t>
  </si>
  <si>
    <t>pueblos de aquel virreynato: que el citado dia 12. de Agosto llegó á Montevideo un francés llamado Mr. Sastinet , el que en clase de diputado de Napoleón para reducir aquellas provincias al reconocimiento de ia ¡nueva dinastía , que decía gobernaba la España, había sido conducido en el berg</t>
  </si>
  <si>
    <t>Sastre, Antonio</t>
  </si>
  <si>
    <t>Antonio Sastre</t>
  </si>
  <si>
    <t>ntinúan los donativos y ofertas voluntarias que constan en el banco nacional de S* Cárlos. Rs. Mr*. D. Antonio Sastre, 6 rs. diarios * por 6 meses.............................. noo. D. Félix Onaza, 3 id. por 2 id..................................................... 183. Benito Garrido, 4 id. por</t>
  </si>
  <si>
    <t>Satini, Jüan Matías</t>
  </si>
  <si>
    <t>Jüan Matías Satini</t>
  </si>
  <si>
    <t>Montaos. D., Juan * Madrid Dávilá. D. Matías Bayo. í). Fránciséo-Villa;' D* Juan Ramón Maf-1 tú te. D. Jüan Matías Satini, Óí Jtrán Josef de Dringas, prdcúrad&amp;f&gt;géñefai^ D. Felipe Somóz*, diputado del barrio del Ambr de Dios. El guardián de</t>
  </si>
  <si>
    <t>Sáturio-Fernández de Roxas</t>
  </si>
  <si>
    <t>.......... 300. D. Fernando Selma, grabador de. cámara,, id..... ............................ 1500. D. Sáturio-Fernandez de Roxas, oficial de correos, id............... 200. D.-Jósef Izquierdo-, un par- de hebillas de plata-, y 40 rs. id.... 40; Felipe del Váller idu............... .............. ...........</t>
  </si>
  <si>
    <t>Saturnino de Atueha</t>
  </si>
  <si>
    <t>.. . Zaragoza..*.'. 500 17 77 D. Juan Josef Sánchez......... .*.**........ Cádiz.......... 500 1617 D. Saturnino de Atueha. ...v..v....Bilbattñ.v..*.. £oor 1967 D. PasCual Martin de Vídacar....................... Zaragoza,....; -500 1471 D. Juan Poíuar.........*........v.»*»..*..*....' Málaga........</t>
  </si>
  <si>
    <t>Saturnino Feal</t>
  </si>
  <si>
    <t>cisco Martínez Abad, diputado eclesiástico de id. D. Juan Francisco Fernandez Haro , se** cretario. D. Saturnino Feal, diputado eclesiástico de S. Justo. Fr. Calixto Nuñez, abad de'S. Basilio. P. Juan Guerra, prepósito del Espíritu Santo. P. Francisco Pis, prepósito de Porcacefi. Fr. Manuel de la</t>
  </si>
  <si>
    <t>Sauz, Isidoro</t>
  </si>
  <si>
    <t>Isidoro Sauz</t>
  </si>
  <si>
    <t>Córuña;.,/... '. 300 2148 D. Juan Fernandez Bobad i i la....; v.¿r. • CorüñáL.Í... -aoo *2210 Sres. D. Isidoro Sauz y compañeros........... . Cortina. • .. ■ ■ 300 2379 D. Francisco Soler y Solanes y compañía....... Zaragoza..... ' 407 D. Pedro de Barric........................ Coruña* ...1L . '3</t>
  </si>
  <si>
    <t>Scheílemberg</t>
  </si>
  <si>
    <t>demarcación de límites entre sus estados:£y íos del Reí ae Prusia. No ha mucho tiempo que un cierto Mr. Scheílemberg había publicad® en algunos diarios alemanes que poseía el secreto de un placer, que en nada cedía á los demas placeres sensuales; y que todo el que quisiese suscribirse para ser p</t>
  </si>
  <si>
    <t>Schenker</t>
  </si>
  <si>
    <t>poco avanzada, hubiéramos tenido urna Flora-augustana, pues tenia ya reunidos todos los materiales. Mr. Schenker&gt;hofer tenia correspondencia con todos los sabios de la Europa. ............ Ulma 21 de marzo. Todo el comercio de la Alemania meridional se resiente del nuevo sistema de aduanas,</t>
  </si>
  <si>
    <t>Schimmelpenninck</t>
  </si>
  <si>
    <t>miento de príncipes el mariscal-almirSTte de Vinter, Mr. Roell, ministro de negocios extrangeros, y Mr. Schimmelpenninck, gran pensionario que fue de Holanda. Se habla también de un viage de S. M. á París, que se supone será mui en breve. El dia 25 se celebró en Amsterdam eí cumpleaños de la fundaci</t>
  </si>
  <si>
    <t>Schrank</t>
  </si>
  <si>
    <t>ato;Mr.Schelling, filósofo célebre; Mr.Schilchtegroll,se-, cretario de la academia de las ciencias; Mr. Schrank, escritor de economía política; Mr. Sommering, anatómico; Mr. Vestenrieder, historiógrafo; Mr. Viebeking, arquitecto hidráulico &amp;c. &amp;c. La nueva orden del Mérito civil se llamará</t>
  </si>
  <si>
    <t>Scio, Felipe</t>
  </si>
  <si>
    <t>Felipe Scio</t>
  </si>
  <si>
    <t>los que tengan el mismo plano, que se dio en tamaño mayor con la Biblia, traducida por el limo. Sr. D. Felipe Scio, á 10 rs. en pasta. Se hallará en la librería de Burguillos , frente al cementerio de S. Sebastian. ' Estampa en pliego de marca mayor, que representa al patriarca S. Benito entre</t>
  </si>
  <si>
    <t>anos. Los suscriptores á la Biblia vulgata latina y castellana, traducida y anotada por el limo. P. D. Felipe Scio, acudirán i recoger el tomo 6.° y adelantar el importe del 7.0 á Ja portería de las escuelas pías del Avapies de esta corte f asimismo está dispuesta para darse la entrega de lámi</t>
  </si>
  <si>
    <t>Sd Hilaire, Henrique</t>
  </si>
  <si>
    <t>Henrique Sd Hilaire</t>
  </si>
  <si>
    <t>00 1787 D. Rafael Patero........ ......................................... Cádiz.......... 500 2412 D. Henrique Sd Hilaire...................................... Zaragoza 600 3448 » - ■ D. Francisco Borja de Larreandi.................... Zaragoza 500</t>
  </si>
  <si>
    <t>Sdrazabal, Juan Bautista</t>
  </si>
  <si>
    <t>Juan Bautista Sdrazabal</t>
  </si>
  <si>
    <t>l»Poésc» sagrada: himnos dei breviario romano, traducidos al castellano en rigurosa consonancia por D. Juan Bautista Sdrazabal, canónigo de la colegial de Sta. María; de la Redonda de la ciudad de Logroño. Añádese el. ritmo de Sto. Tomas de A quino á la .sagtada' Eucaristía , y la oración del PápaMrbano v</t>
  </si>
  <si>
    <t>Sebastiana Gil, María</t>
  </si>
  <si>
    <t>María Sebastiana Gil</t>
  </si>
  <si>
    <t>un uniforme de paño blanco, 1 camisas y un par de calcetas. Doña Manuela Farinos 2 camisas. Dia ir. Doña María Sebastiana Gil una camisa., Varios vecinos de Torrejon de Ardoz lo siguiente: D. Francisco López Sanguino, alcalde, 2 camisas. Leandro Salazar, alcalde, 2. Ines Esteban López 4. Doña Marcela Cab</t>
  </si>
  <si>
    <t>Secilia, Pedro Antonio</t>
  </si>
  <si>
    <t>Pedro Antonio Secilia</t>
  </si>
  <si>
    <t>............ . Madrid....*.. 600 179 Doña Vicenta Guitarty Rabinezde Andren. Valencia..... 500 1944 D. Pedro Antonio Secilia, contador de correos de.i............................................. . Zaragoza..... 300 2340 0. Pedro Ricarde................ i........................ . Zaragoza...., 300 747</t>
  </si>
  <si>
    <t>Seco, Felipe</t>
  </si>
  <si>
    <t>Felipe Seco</t>
  </si>
  <si>
    <t>e Nueva España* por 5 meses á 60 rs. en cada uno............................... ............ . 300. D. Felipe Seco, por 2 meses á 40 rs....... ........................ ........ 8ó. i IX Toribio Alvarez Carro, director de la real fábrica de azúcar refinado, por agosto á 30 rs. mensuales.... ...</t>
  </si>
  <si>
    <t>Sedaño, Manuel</t>
  </si>
  <si>
    <t>Manuel Sedaño</t>
  </si>
  <si>
    <t>bon 2 camisas, Ún súgeto bienhechor rió libras dé Fr. A. F. t). M.IÍ. 2. quina y 22 id. de bálsamo. D. Manuel Sedaño y. sus hijos 6. D, Manuel de Sampelayo 5ó cambas. D. Juan Ignacio de Berriozabal 24. D; Añtomó Gáircía . 'cárpjritero dé D. Nicolas' de Araus 12. :kS."M.,:i4r'r: v' ‘ D. M. B, 3.' -</t>
  </si>
  <si>
    <t>Sedaño, Pedro</t>
  </si>
  <si>
    <t>Pedro Sedaño</t>
  </si>
  <si>
    <t>dicción de Villaverde. Quien quisiere tratar de su compra todo junto 6 cada finca suelta, acudirá á D. Pedro Sedaño, calle de la Encomienda, casa num. 2 , quarto 2.0, sobre el juego de villar. AVISOS. ,* Por providencia de D. Joaquín Juan de Flores, oidor honorario de la real audiencia de. Sevi</t>
  </si>
  <si>
    <t>consejero de Indias, un vale real de 300 pesos, id............... ...... ..í.................. 4643 D. Pedro Sedaño, agente de-negocios r en vales realés, id......... 9167 1 o. Gaspar Eisarrega, id...........................^ ................... . 80. D. Josef Martínez de Bustos, 200 xsv mensua</t>
  </si>
  <si>
    <t>Seezen</t>
  </si>
  <si>
    <t>rero. , La gazeta de esta ciudad ha publicado una noticia sucinta del viage que ha hecho al Oriente Mr. Seezen, enviado por S. A. S. el duque de Saíxonia Gotha. El 18 de mayo de 1807. llego este sabio viagero al Cairo , desde donde escribió el 23 de setiembre al barón de Zach, remitiéndole</t>
  </si>
  <si>
    <t>Segismun</t>
  </si>
  <si>
    <t>el tercio de, Vich los capitanes vD. Francisco Planas, D. Pedro Munt y'D. Juan Pujol, y el teniente D. Segismun</t>
  </si>
  <si>
    <t>Sejoman, Francisco</t>
  </si>
  <si>
    <t>Francisco Sejoman</t>
  </si>
  <si>
    <t>g. _ una véz.............................................................. .................. 120. D. Francisco Sejoman, agente de negocios, por una vez......... 40. D. Ramón Cacerradá, carpintero, por una vez............. ............. 100. D. Francisco-Rodríguez Maqueda, abogado del colegio, por</t>
  </si>
  <si>
    <t>Selma, Fernando</t>
  </si>
  <si>
    <t>Fernando Selma</t>
  </si>
  <si>
    <t>id......... IOO. D. Alfonso* Garrido,-di rector, de. pintura de id.,. id'..................... 300. D. Fernando Selma, grabador de. cámara,, id..... ............................ 1500. D. Sáturio-Fernandez de Roxas, oficial de correos, id............... 200. D.-Jósef Izquierdo-, un par- de hebilla</t>
  </si>
  <si>
    <t>Sendis, Tomás</t>
  </si>
  <si>
    <t>Tomás Sendis</t>
  </si>
  <si>
    <t>ara la canongía de la metropolitana de Zaragoza, vacante por fallecimiento de D. Joaquín Hidalgo, á D. Tomas Sendis, presbítero , rectcr.de la villa de Cretas, en Aragón: para una ración de la parroquial de la villa de Benavarre, diócesi de Lérida, á D. Francisco Cosíais: para el beneficio segu</t>
  </si>
  <si>
    <t>Sensevé y Fon, Francisco</t>
  </si>
  <si>
    <t>Francisco Sensevé y Fon</t>
  </si>
  <si>
    <t>encia..,.. 300 741 D. Josef María de Urrutia............................... Madrid........ 300 1943 D. Francisco Sensevé y Fon.......... .................V Zaragoza.....* 300' •656 D.■-JosefLáínorv................ Madrid. r j o&lt;sr 667 D. Juan Andrés Gomenge............... Madrid....... 300 23 23 D. Pablo</t>
  </si>
  <si>
    <t>Séptimo, Fernando</t>
  </si>
  <si>
    <t>Fernando Séptimo</t>
  </si>
  <si>
    <t>nda. Dado en Aranjuez á 19 de marzo de i8o8.=Yo Elrei. = A D. Pedro Cevallos,^ ET Reí nuestro Señor D. Fernando Séptimo se ha servido expedir los siguientes reales decretos: 1 ,, Como* por la abdicación que mi venerado Padre Ha, hecho en Mí* de su real corona, quedan sin exercicio los secretarios d</t>
  </si>
  <si>
    <t>nta de Gobierno* en desempeño de su Soberana representación, y en defensa de su legítimo Rey el Sr. D. Fernando Séptimo* habiendo roto Jos vínculos que la unían con la Francia, por el injusto proceder de su Emperador, ha resuelto d3r principio á Ja Guerra mas activa contra aquel Gobierno; y querien</t>
  </si>
  <si>
    <t>s esfuersos de toda la nación. Precedió antes proclamar y jurar &lt;de nuevo por. nuestro Rey ai Señor Don Fernando Séptimo, y morir en su defensa; y este fué ^el grito de la alegría, y el de la unión , y lo, será par* toda la Esgaña..</t>
  </si>
  <si>
    <t>Sepúlveaa, Francisco</t>
  </si>
  <si>
    <t>Francisco Sepúlveaa</t>
  </si>
  <si>
    <t>l Díaz, sargento mayor del de dragones del Rei: compañías en el referido de Sagunto á los ayudantes D. Francisco Sepúlveaa y D. Antonio Cardos : empleo de alférez al portaguión D. Joaquín Lainez; y el de portaguión al cadete D. Antonio Geilles; y en el de cazadores de Olivencia al ayudante y teniente, gra</t>
  </si>
  <si>
    <t>Sequeira, Gabriel Claudio</t>
  </si>
  <si>
    <t>Gabriel Claudio Sequeira</t>
  </si>
  <si>
    <t>Villaraal, so¡» los alféreces de fragata D. Joaquín Ruíz, D; Juan María de Miguel, y D. Gabriel Claudio Sequeira; y en general el comandante , oficiales y tropa de marina del apostadero de Ayamonte han manifestado un zúo y patriotismo digno del reconocimiento público: igualmente que el coman</t>
  </si>
  <si>
    <t>SerapioSaviñac</t>
  </si>
  <si>
    <t>María de Retz y D. Vicente Boado, sargentos mayores de id.; D. Vicente Silvestre, médico consultor; D. SerapioSaviñac, pagador: se hallaban con destino en Hamburgo. D. Juan Marti, teniente coronel del regimiento de España; D. Josef Mar^ tin Echenique , comisario de guerra; D. Josef Suria, comisar</t>
  </si>
  <si>
    <t>Seríeseos, Julián</t>
  </si>
  <si>
    <t>Julián Seríeseos</t>
  </si>
  <si>
    <t>do como tales á los Sres. D. Manuel de Aguilar, Al fe rez del Regimiento de caballería de Santiago, D. Julián Seríeseos, Subteniente del Regimiento Infantería de la Rey na, D. Francisco de Checa y Xixon, Capitán de Exército agregado á Plaza, y D. Josef María Cueto, Teniente de Caballería de Santiag</t>
  </si>
  <si>
    <t>Serra, Felipe</t>
  </si>
  <si>
    <t>Felipe Serra</t>
  </si>
  <si>
    <t>ado un vale real de igo pésos, creación de 17 de setiembre, niitn. 185665 h-endosado á su favor por D. Felipe Serra. Quien supiere de su paradero se servirá entregarle al citado Angli en dicha villa. Los señores D. Domingo Fernandez de Campo manes y D. Miguel Alfonso VíIlagomez, ministros del j</t>
  </si>
  <si>
    <t>Serrano y Romero, Nicolás</t>
  </si>
  <si>
    <t>Nicolás Serrano y Romero</t>
  </si>
  <si>
    <t>uiera qué se, considere cott derecho á los bienes del concursó'de acreedores.de la testamentaría de D. Nicolás Serrano y Romero , para que ocurra á formalizarlo, con Jos documentos comprobantes1, éri él perentorio terminó de un, año contado desdeeí.S do j uíío; del .presente ; baxo la prevención-de que pas</t>
  </si>
  <si>
    <t>Serrano, Lorenzo</t>
  </si>
  <si>
    <t>Lorenzo Serrano</t>
  </si>
  <si>
    <t>á 20© rs. mensuales, 20©. \ D. Pablo Serrano , dependiente de su casa, por id. á 180 rs., id., 180. D. Lorenzo Serrano, id¿ de id., por ahora 1© rs. D. Francisco Remoñ, abogado, en cuenta de 3© rs. por una vez, 1©. Juan Rodríguez, por agosto 6 rs. D. Josef Company, oficial de la secretaria de Haci</t>
  </si>
  <si>
    <t>Serrano, Pablo</t>
  </si>
  <si>
    <t>Pablo Serrano</t>
  </si>
  <si>
    <t>de vitalicio por una vez 1100 rs. V El duque de Medinaceli, por agosto á 20© rs. mensuales, 20©. \ D. Pablo Serrano , dependiente de su casa, por id. á 180 rs., id., 180. D. Lorenzo Serrano, id¿ de id., por ahora 1© rs. D. Francisco Remoñ, abogado, en cuenta de 3© rs. por una vez, 1©. Juan Rodr</t>
  </si>
  <si>
    <t>Serta, Pedro</t>
  </si>
  <si>
    <t>Pedro Serta</t>
  </si>
  <si>
    <t>ó de Vilanant una descubierta compuesta del cabo de miqueletes Juan Pineda y 5 hombres, enviada por D. Pedro Serta, comandante de aquél punto, ¡con la orden de acercarse si era posible il castillo de S. Fernando de Figueras ; llegó hasta las Terreras, que están á un corto tiro de fusil del cas</t>
  </si>
  <si>
    <t>Servent Fernández de Vicuña, Gerónimo</t>
  </si>
  <si>
    <t>Gerónimo Servent Fernández de Vicuña</t>
  </si>
  <si>
    <t>cer postura, lo executará por la escribanía que desempeña Diego-Foguet Lledó. -&gt; Por providencia de D. Gerónimo Servent Fernandez de Vicuña, subdelegado en el departamento de Obteniente en la diócesi de Valencia, se ha señalado el dia 21. del corriente para el rémate de una heredad, con su casa de campó, y varias tier</t>
  </si>
  <si>
    <t>Setanti, Joaquín</t>
  </si>
  <si>
    <t>Joaquín Setanti</t>
  </si>
  <si>
    <t>rro , calle Ma/Ór, portal de Manguiteros. Máximas morales y políticas, escritas en verso suelto por D. Joaquín Setanti, caballero del orden de Montesa en 1614, con el título de Avisos de amigo: papel en 8.D Se hallará á 2 rs. en la librería de Escribano, calle de las Carretas. Reglas y leyes que s</t>
  </si>
  <si>
    <t>Severo Andrés García</t>
  </si>
  <si>
    <t>6 soldados de caballería vestidos, armados y con caballos, 12© reales. D. J. L., por una vez 30 rs. D. Severo Andrés Garcia, por una vez 320 rs. Dé Julián Rodríguez, por una vez 200 rs. D. Ignacio Solana , uxier de cámara, por una vez 640 rs. D. Cárlos Malagon, mozo de oficio de la real sausería, por u</t>
  </si>
  <si>
    <t>SevilíanoU, Andrés</t>
  </si>
  <si>
    <t>Andrés SevilíanoU</t>
  </si>
  <si>
    <t>sef Ruiz de Santayana.............. xs ¿ i D. Francisco Garrido^ presbítero .;»«u».».. x x ■ 1 , &gt;ü D. Andrés SevilíanoU4»....^;i».....L..i;...i...j»' ? 2 ^ . 2 y x &lt;Jabe*.*f r D. B. M¡, del comerció de fierro.............. *y. * -y H D. B* sirviente............ ................. 2^ y x espada» D. J</t>
  </si>
  <si>
    <t>Sevilla y Navarro, Juan</t>
  </si>
  <si>
    <t>Juan Sevilla y Navarro</t>
  </si>
  <si>
    <t>...... . Zaragoza.!.1.. ,560 2082 D. Josef María Gadeyne.....¿.....7. ■ Cádiz..,. .•. t&gt; 'qoo ' 806 D. Juan Sevilla y Navarro........................;. Ma'dridí'..,Ci. 7(^oo * 1^ D. Josef González de Ribera,........V.............. Santander. 4. ($ 00 1737 D. Rafael Gonzalen............ ....i' Cádiz.1..,.</t>
  </si>
  <si>
    <t>Sevilla, Carlos</t>
  </si>
  <si>
    <t>Carlos Sevilla</t>
  </si>
  <si>
    <t>n muertos eri la acción el coronel del regimiento de Jaén, de línea, D. Antonio Moya,-y su ayudante D. Carlos Sevilla; y heridos el capitán D. Juan Lascano, los subtenientes D. Bernardo Tortosa y D. Santiago Escario, como asimismo el cadete D. Josef María Ortiz. En la acción de dicho día 19-fuero</t>
  </si>
  <si>
    <t>Sevillano, Juan Miguel</t>
  </si>
  <si>
    <t>Juan Miguel Sevillano</t>
  </si>
  <si>
    <t>.....:. " 300; ^ D. Bartolomé Gaseo, platero, id......í........'.V.......................... 100. „ D. Juan Miguel Sevillano’, abogado del colegio de esta corte, id. 160. D : Jbsef Ignacio Joven de Salas, id. de id...................4000: D. ilarianp ViÍ;o4as&gt;f aBogádo/delps xéálés Cónsefós, 1® rs. * ...</t>
  </si>
  <si>
    <t>Sfct, Mateo</t>
  </si>
  <si>
    <t>Mateo Sfct</t>
  </si>
  <si>
    <t>drid....... • 1 1 50a 1008 D. Juan Quintano..........,.............................. Madrid 500 2tS D. Mateo Sfct. María............ ............... ............. Alicante 30a ■237 D. Roque Gallo...............Burgos.. 3:0.0 '240 D. Juan González de Lafuente,&gt;,........... ......... Burgos.. ‘</t>
  </si>
  <si>
    <t>Shau</t>
  </si>
  <si>
    <t>*493 mensajero del Reí; y una hora déspues de medio día salid Mr. Shau cort despachos de Mr. Canning, que contenían (según dicen) la respuesta á la abertura y proposiciones de paz que el Emperador de Rusia y Bonaparte hacían al gobierno británico. To</t>
  </si>
  <si>
    <t>Shaüy</t>
  </si>
  <si>
    <t>l estos remitidos á la secretaría de negocios exrranger y los portadores Conducidos y presentados á Mr. Shaüy mensajero del Réh, á quien se habii dado orden de tratarlos como convenía. El sábado á fes’S-dé la mañana SO les dieron pasapóítéí , y salieron para Deal. Después de SO Salida se</t>
  </si>
  <si>
    <t>Shaw</t>
  </si>
  <si>
    <t>sel Mercurio le han corv tado toda retirada á los franceses. GRAN BRETAÑA. Londres 5. de Noviembre? Mr. Shaw, nuestro inensagero á Francia, llegi5 aquí hoy á las 6. de Ja mañana. fií Lúnes estaba ya.e n Paii?</t>
  </si>
  <si>
    <t>a París. El comandante de la plaza de Calais le ha dicho al patrón de la embarcación en que ha ido Mr. Shaw, que si tenia que volver otra vez con el mismo objeto, si hacia mal tiempo , no necesitaba de enviar á pedir licencia para desembarcar , pues la embarcación inglesa podía entrar l</t>
  </si>
  <si>
    <t>del Mirrour of the times.) Se ha recibido la respuesta del gobierno francés álos pliegos que llevó Mr. Shaw/que ha vuelto el jueves en la noche con un parlamentario de Boloña á la rada de las Dunas. Se dio aviso por el telégrafo á nuestro gobierno, y á las 6 de la mañana inmediata entre</t>
  </si>
  <si>
    <t>Shélli, Miguel</t>
  </si>
  <si>
    <t>Miguel Shélli</t>
  </si>
  <si>
    <t>Gaztelu: lá dél de Irlanda al cápitañ de granaderos dél deHibernía , graduado de teniente coronel, D. Miguel Shélli : lá del de Cantabria</t>
  </si>
  <si>
    <t>Sheridan</t>
  </si>
  <si>
    <t>lord Collingwood estaba bloqueando aquel puerto. q -■ .CAMARA BAXA. ' — Sesión del 2$ de enero. i ^ Mr. Sheridan ofreció hacer ú 8 de febrero una propuesta á la cámara á</t>
  </si>
  <si>
    <t>e, príncipe de Bouillon, contra-almirantes de la bandera blanca. El principe dé Gales ha nombrado á Mr. Sheridan recibidor general del ducado de Cornouailles. - La gazeta'de esta ciudad contiene hoi lo siguiente: se ha recibido en Londres la noticia de que la expedición mandada por el genera</t>
  </si>
  <si>
    <t>SheriíF</t>
  </si>
  <si>
    <t>o, refirió quex este buque habia quedado mui maltratado, y perdido mucha gente, inclusos el capitán Mr. SheriíF y su teniente. Eí corsario tuvo 2 muertos y 13 heridos. ___En 12 de enero del presente año, eí capitán Vidal se apoderó de una embarcación inglesa, armada con *6 cañones de á 4 y 28</t>
  </si>
  <si>
    <t>Short</t>
  </si>
  <si>
    <t>á pasar con estrechez; y una escasa cosecha basta entonces para reducirlos á fa extrema miseria. El Dr. Short advierte que uno ¿ muchos años abundantes -anuncian una gran carestía. Porque favoreciendo la abundancia á los matrimonios,.¿e aumenta considerablemente, la población, y ya no bas</t>
  </si>
  <si>
    <t>Síamati</t>
  </si>
  <si>
    <t>gusto; Rose» é imitado después por Chichi. Estos artistas célebres han tenido un digno sucesor, en “Mr. Síamati v dei. Marsella &gt;; en cuyo,: gabinete’se ven; mas. de 40 piezas importantes»? y ,e^tré&gt;eBas el p^ñtám JeuAgripfaa\%jfvmt.e&gt;'derEge* rfa y pirámide de CdyoSexHo , él temploi de Pet</t>
  </si>
  <si>
    <t>Siáúve</t>
  </si>
  <si>
    <t>e acaban dé encontrarse en Osopo muchas monedas antiguas, las quales pertenecen,* según qpinion de 'Mr’ Siáúve, comisario de guerra en Udina, y sabio abtícuárid, á/la colonia de los gaulas, que vino, según Tito Livio, á establecerse en el añó 267 de Roma, cerca del parage donde fue edifica</t>
  </si>
  <si>
    <t>Sichar, Pablo</t>
  </si>
  <si>
    <t>Pablo Sichar</t>
  </si>
  <si>
    <t>ojó dé la toga, la arrojó á los pies, hizo dimisión de su empleo , jfcpidió lá muerte. El limó. Sr. D. Pablo Sichar, obispo-de esta ciudad, por no asentir a las máximas-y disposiciones del gobierno francés, y por evitar las opresiones y violencias que padecía, pudo fugarse á' pie disfrazado en</t>
  </si>
  <si>
    <t>Sicre, Felipe</t>
  </si>
  <si>
    <t>Felipe Sicre</t>
  </si>
  <si>
    <t>to , contador de contaduría mayor.........;......................................... 1 1 El coronel'D. Felipe Sicre............................ 1 1 í). Manuel de Beja..... 1 1 D. Antonio Ruano, exento de reales guardias de Corps..................................... i 1 ' _ „ .. f* cabezadas D.</t>
  </si>
  <si>
    <t>Sidmouth, Lord</t>
  </si>
  <si>
    <t>Lord Sidmouth</t>
  </si>
  <si>
    <t>vela; pero cambió el viento, y no pudo verificarlo. CAMARA DE LOS PARES. Sesión del 11 de febrero. Lord Sidmouth ofrece hacer una propuesta á la cámara con el objeto de pedir que se haga uña representación á S. M. suplicándole mantenga y conserve la esquadra dinamarquesa en estado de poder r</t>
  </si>
  <si>
    <t>Sidnei Sinith</t>
  </si>
  <si>
    <t>cer grandes esfuerzos: 12 navios estaban apostados junto á santa Elena aguardando la escuadra rusa: Sir Sidnei Sinith cruzaba delante de Lisboa con 11 navios; y á Madera se había enviado otra división de 4 navios á las órdenes de Sir Samuel Hood. El sistema de bloqueo fatiga mucho á nuestros mari</t>
  </si>
  <si>
    <t>Sidnei Smith</t>
  </si>
  <si>
    <t>es de la India oriental. El 20 de enero el navio Isabel, de 74 cañones, destacado de la escuadra de Sir Sidnei Smith con otrqs buques menores tomó posesión de las islas pequeñas de los Azores., De la ^Madera ya, hace tiempo que nos ¡ apoderamos.; Asi es como paga nuestro gobierno el afecto y zel</t>
  </si>
  <si>
    <t>Sidnei Smith y Mr</t>
  </si>
  <si>
    <t>e-almirante de la bandera &amp;zul; Sir Purvis y Sir Cochrane, contralmirantes de la bandera encarnada; Sir Sidnei Smith y Mr. Felipe de Aubergne, príncipe de Bouillon, contra-almirantes de la bandera blanca. El principe dé Gales ha nombrado á Mr. Sheridan recibidor general del ducado de Cornouailles. -</t>
  </si>
  <si>
    <t>Sidney Smith</t>
  </si>
  <si>
    <t>ontra Ceuta, punto que se mira como mui importante para la defensa de Gibraltar. Parece también que Sir Sidney Smith tiene orden de concurrir á esta operación con las fuerzas de su mando. ' * - • * FRANCIA. l - ■ {í ■ ■ Leon jz de enero. * » í \ j td ¡ i * r ’ ; ■ ■ ! . * . El 9 dpi cprjrierite</t>
  </si>
  <si>
    <t>Inglaterra el 6 de diciembre con órdenes secretas al mando de Mr. Alkett , se ha reunido con la de Sir Sidney Smith, que cruza á la boca del Tajo. CAMARA BAXA. Sesión del 21 de enero. Habiéndose leído énr la cámara haxa el mensage de S. M., que el lord canciller había pronunciado en la de los p</t>
  </si>
  <si>
    <t>tra'almirantes Cotton y Otvay han tomado el mando de la esquadra que cruza á la altura de Lisboa, y Sir Sidney Smith se há hecho á. la vela-, según dicen, para el. Brasil. Se. asegura que el gobierno ha recibido por el almirante Duckworth noticias ciertas acerca de] destine de la esquadra france</t>
  </si>
  <si>
    <t>Sidney Smkh</t>
  </si>
  <si>
    <t>del Almirantazgo pasar á los xeíes de los cruceros de Jamayca é islas de Sotavento , como también á Sir Sidney Smkh , qtie manda los del Brasil , las competentes instrucciones, para que empleen todos los arbitrios posibles , ya estableciendo cruceros ó ya señalando convoyes* para proteger contr</t>
  </si>
  <si>
    <t>Siere, Felipe</t>
  </si>
  <si>
    <t>Felipe Siere</t>
  </si>
  <si>
    <t>. Jacinto Sánchez Tirado........................................... 1 y un par de botas. El coronel D. Felipe Siere, ademas de una silla y brida ya anunciadas, entregó 24 pares de estribos y 2 carabinas. D. Luis Toledano, capellán de honor de S. M., unas guarniciones de tiro de muías á pechera</t>
  </si>
  <si>
    <t>Sierra, Juan Pedro</t>
  </si>
  <si>
    <t>Juan Pedro Sierra</t>
  </si>
  <si>
    <t>de la real iglesia de San Isidro de 'Madrid, en intereses de vales reales, por u'jpg/vez... 541. . D, Juan Pedro Sierra , en intereses dé' vales reales.,^. ••........... 9 ° 8. D. Joaquín Smchez', ayuda de la real Furriera, en réditos del del Fondo vitalicio, id.................. ’.................</t>
  </si>
  <si>
    <t>Siete, Felipe</t>
  </si>
  <si>
    <t>Felipe Siete</t>
  </si>
  <si>
    <t>.... 500 2201 D. Carlos Morillo.............................................. Coruña....... 300 844 D. Felipe Siete................................................... Madrid....... 300 2009 D. Josef Rech......... ........ ................... ••••...... .* Cádiz.......... 300 3013 D. Pedro Garib</t>
  </si>
  <si>
    <t>Silverio Pérez</t>
  </si>
  <si>
    <t>. Francisco Perez de las Muelas, diputado id. D. Antonio Sánchez, diputado del barrio del Hospital. D. Silverio Perez id. id. D. Diego de Castro, secretario de la dir i cha .diputación. D. Andrés del Peral, diputado de id. D. Josef Carranza, « diputado dei de SL Francisco. Fr. Vicente .Palomequé,</t>
  </si>
  <si>
    <t>brosio de Aguirre. Por las 6~4 diputaciones de los barrios que componen los ro quarteles de Madrid. D. Silverio Perez. por el quarrel de Avapies; D. Juan de Mata Iliana, Palacio; D. Ignacio García, Plaza mayor; D. Ramón García Ximenez , San Francisco; D. Gregorio Uriondo, S. isidro; D. Juan Bauti</t>
  </si>
  <si>
    <t>Silvestre</t>
  </si>
  <si>
    <t>zo 4. ‘ ' Doña María Rita de Ibargtiéñ úna. D. Diego Panlagua 6. i.rr -i.; D. Angel de Urriidhi 4 T D. Silvestre y D. Pélayo Diez Mar- Doña Ines Delgado\ Sirvienta7,1 tinez 2. •r-•* • J'; : J íDoña N. 6*- * ^ 'di ti'« *1 í;íf D. Estébaií de Foircada 2. Doña R-átaelaRódriguez de VéíjtifDv D.JE D.</t>
  </si>
  <si>
    <t>Silvestre Abad de Aparicio</t>
  </si>
  <si>
    <t>pares de eaU D. Josef Izquierdo un par de medía* cetas. ’ de seda. La Sra. Doña N. F. 6 camisas y 4 D. Silvestre Abad de Aparicio 15 capares de calcetas. misas. ■: D. Pc:dro Velarde 2 camisas. D. Julián García Sainz 12. Doña N. F. 2. La marquesa de Viilaverde 100 finas.» El hermano Antonio Peribañez 2.. Los</t>
  </si>
  <si>
    <t>Silvestre Collar y Castro</t>
  </si>
  <si>
    <t>s de Bajamar. ~ Excmo. Sr. conde de Florídablanca, Presidente •interino. : ' - r : ' &lt; :. - : . : . D. Silvestre Collar y Castro, caballero pensionado de la real-y. distinguida orden de Carlos 111, del consejo dé S. M., su secretario con exerci— ció de decretos, y del supremo consejo y cámara de Indias por</t>
  </si>
  <si>
    <t>Silvestre de Abad y Apa</t>
  </si>
  <si>
    <t>n lugar de 24 anunciadas equivocadamente én el diario. Doña Manuela Vicenta de Mollinedo 12 nuevas. D. Silvestre de Abad y Apa</t>
  </si>
  <si>
    <t>Silvestre de Abad y Aparici</t>
  </si>
  <si>
    <t>l cuerpo de nobleza de Madrid....................................................... . 3000. El Sr. D. Silvestre de Abad y Aparici........................ 600, El Sr. D. Martin Diego de Sainz Ruiz, tesorero de los cincos Gremios............. ........... ............................ *00©. La casa de los Sres.</t>
  </si>
  <si>
    <t>Silvestre de Fuenlabrada, Manuel</t>
  </si>
  <si>
    <t>Manuel Silvestre de Fuenlabrada</t>
  </si>
  <si>
    <t>........ 20. D. Nicolás Antonio Perez, id¿................................................. . 1000. D. Manuel Silvestre de Fuenlabrada, en un libramiento del fondo vitalicio, id.......................................................................... 270. D. Francisco Antonio de la Prida , id....................</t>
  </si>
  <si>
    <t>Silvestre Díaz Muñiz</t>
  </si>
  <si>
    <t>............*..»»»........ 160. D. Pelayo Diez' Muñiz , agente de negocios ¿ por una vez»...»v 300* D. Silvestre Diaz Muñiz, administrador del almotacén de Madrid , por una vez»,................... ....................................... .. $00. D. Francisco Ranero, presbítero y relator del consejo de</t>
  </si>
  <si>
    <t>Silvestre Izquierdo, Manuel</t>
  </si>
  <si>
    <t>Manuel Silvestre Izquierdo</t>
  </si>
  <si>
    <t>Madrid....... 300 108 D. Manuel Sagaseta de Ilurdoz........................ Tudela........ 500 1066 D. Manuel Silvestre Izquierdo......................... Madrid....... 300 345 Junta de gobierno de la real compañía de la Havana...................................................... ....... Cádiz........... 30</t>
  </si>
  <si>
    <t>Silvestre Jordán</t>
  </si>
  <si>
    <t>Coruña....... . 300 1310 D. Bernardo Crespo de Iizauspea................... Valencia..... 6oo 1338 D. Silvestre Jordán para D. Luis López........ Valencia..,.. 30® 2332 D. Pedro Bringas Marroquin........ .................. Zaragoza..... 300 1739 D. Francisco Arrafan y Valdés......................</t>
  </si>
  <si>
    <t>Silvestre Martínez</t>
  </si>
  <si>
    <t>Números Lot«s de las en acciones. Nombres de los interesados. Comisionados. Rs. va. 1952 D. Silvestre Martínez, secretario de la Inquisición............................................................ . Zaragoza..... 300 2206 D. Nicolás López...............................................</t>
  </si>
  <si>
    <t>Silvestre Pérez</t>
  </si>
  <si>
    <t>celebradas en el convento.de padres dominicos de Sto. Tomas de e$ta corte; inventado y dibuxado por D. Silvestre Perez, y grabado por Rodríguez. Se hallara en la librería de Castillo, frente á las gradas de S. Felipe, y en la de Escribano, calle de las Carretas. r " en la Imprenta real.</t>
  </si>
  <si>
    <t>Silvestre, Melchor</t>
  </si>
  <si>
    <t>Melchor Silvestre</t>
  </si>
  <si>
    <t>, y comandante de la vanguardia, y del de fusilería de los zapadores leales mandados por su capitán D. Melchor Silvestre. «Al instante se presentó á la salida del pueblo una fuerte coluna enemiga, que fue valerosamente atacada por solas las 2 compañías de reales guardias Valonas, mandadas por su ten</t>
  </si>
  <si>
    <t>Silvestre, Vicente</t>
  </si>
  <si>
    <t>Vicente Silvestre</t>
  </si>
  <si>
    <t>del real cuerpo de ingenieros; D. Josef María de Retz y D. Vicente Boado, sargentos mayores de id.; D. Vicente Silvestre, médico consultor; D. SerapioSaviñac, pagador: se hallaban con destino en Hamburgo. D. Juan Marti, teniente coronel del regimiento de España; D. Josef Mar^ tin Echenique , comisar</t>
  </si>
  <si>
    <t>Simeón</t>
  </si>
  <si>
    <t>4o suprimidas desde d día de la fecha, y reemplazadas provisionalmente en esta íorma: 2.“o Mr. Simeón , consejera dé estado del imperio francés, queda encargado interinamente , baxo nuestras órdenes, del ramo de la justicia y dé lo interior. . ■ Ei general de división Lagtange que</t>
  </si>
  <si>
    <t>Sinforiana Álvarez</t>
  </si>
  <si>
    <t>........ 100. Doña Francisca Yarto, sirviente, id............................................. 100. Doña Sinforiana Alvarez , sirviente , id................... .................... 100. Doña Vicenta López, sirviente, id....... ..................................... 300. D. Nicolás García Caballero, fisc</t>
  </si>
  <si>
    <t>Sinforiana de Roa</t>
  </si>
  <si>
    <t>................. 2263 28. D. Roque Rosado, en intereses de vales de 1800, id.............. .. 361. Doña Sinforiana de Roa, en intereses de vales reales, id........... 180 17. D. Francisco Xavier Alvarez, oficial dé la contaduría general f dé la América meridional, en vales reales, id.................</t>
  </si>
  <si>
    <t>Sixto Espinosa, Manuel</t>
  </si>
  <si>
    <t>Manuel Sixto Espinosa</t>
  </si>
  <si>
    <t>juez cojnisionado en virtud de reales órdenes para la formación de la causa y embargo de' bienes de D. Manuel Sixto Espinosa, se manda á todas y cada una de las personas, de qualquier estado, grado ó'condición, por privilegiada que sea, que tuvieren en su poder ó supieren del paradero, sea el-que fuere,</t>
  </si>
  <si>
    <t>Sixto, Ángel</t>
  </si>
  <si>
    <t>Ángel Sixto</t>
  </si>
  <si>
    <t>.......... ........................................................ ........................ 20000* D. Angel Sixto, del comercio, por. una ,vez..*»..... ..i............. . 4000. D. Dionisio de Garbalena, oficial de ila secretaría del consejo de: Hacienda, por una vez......... .................</t>
  </si>
  <si>
    <t>Skinner</t>
  </si>
  <si>
    <t>enes mas severas á los empleados en las aduanas y en la policía. DINAMARCA. Copenhague 18 de junio. Mr. Skinner, capitán ingles, muerto á bordo del bergantín el Thickíer, que fue apresado por nuestras chalupas en la acción del 9, fue enterrado en Raskau, en la isla de Laland, con todos los</t>
  </si>
  <si>
    <t>Smchez, Joaquín</t>
  </si>
  <si>
    <t>Joaquín Smchez</t>
  </si>
  <si>
    <t>r u'jpg/vez... 541. . D, Juan Pedro Sierra , en intereses dé' vales reales.,^. ••........... 9 ° 8. D. Joaquín Smchez', ayuda de la real Furriera, en réditos del del Fondo vitalicio, id.................. ’..................................... ......... 1029 II. Doña Isabel Fernandez, id...........</t>
  </si>
  <si>
    <t>Smith, Juan</t>
  </si>
  <si>
    <t>Juan Smith</t>
  </si>
  <si>
    <t>or y un artesano! se dio orden para el alistamiento, y se encargó su dirección al mariscal de campo Don Juan Smith. Se ha mandado un expreso para que vuelvan á esta ciudad 150. hombres del regimiento de Suizos de Wimpfen, que de órdea del General de Barcelona pasaban á Tortosa, Santander 1- de</t>
  </si>
  <si>
    <t>Smith, Juan Bautista</t>
  </si>
  <si>
    <t>Juan Bautista Smith</t>
  </si>
  <si>
    <t>50Ó 2í&gt;26 D. Andrés Dorticos.......................i.............i...... Zaragoza.».. 1500 . *r 7 / D. Juan Bautista Smith..»........ ......................... Bilbao...... . 300 l6l D. Mateo Martínez................»...................... . Burgos......... 500 2380 IX*.Pabló* Pdnt y compañía....... Z</t>
  </si>
  <si>
    <t>Smith, Santiago</t>
  </si>
  <si>
    <t>Santiago Smith</t>
  </si>
  <si>
    <t>ña....... 500 1422 Micaela y Rita Setta.......................................... Málaga.. 3° 0 458 D. Santiago Smith........................................ ...... Bilbao......... JOO 1.082 Doña María Luisa de.Córdoba..................... Madrid....... 3 00 1285 D. Félix y D. Antonio de Lapayese</t>
  </si>
  <si>
    <t>Snaw</t>
  </si>
  <si>
    <t>ano sus providencias con arreglo á la respuesta que espera recibir ? Pocas horas ha estado en París Mr. Snaw, y la contestación que trae, qualquiera que sea, se la ha dado Mr. Champagni. Han salidíT ya con destino á España los 3 regimientos de dragones que se embarcaron en Portsmout-----</t>
  </si>
  <si>
    <t>Sobrado, Pedro Antonio</t>
  </si>
  <si>
    <t>Pedro Antonio Sobrado</t>
  </si>
  <si>
    <t>r... 600 164 D. Francisco Santos........................ ................... Valencia..... 300 1551 D. Pedro Antonio Sobrado............................... Bilbao......... 5 00 1095 D. Josef Cabrera................................................. Madrid..... . 300 137 D. Narciso Boada..................</t>
  </si>
  <si>
    <t>Sociat, Juan</t>
  </si>
  <si>
    <t>Juan Sociat</t>
  </si>
  <si>
    <t>, Heridos y extraviados en la acción del 19 del corriente. Zapadores. Extraviado..... Capitán...... D. Juan Sociat, Infantería de Ceuta. Herido........... Subteniente. D. Jaan Capilla. Ordenes Militares. Muerto........... Cadete........ D. Josef Demblans. r2- Pedro Nieto. _ . ' D. Rafael Altec</t>
  </si>
  <si>
    <t>Sociats, Salvador</t>
  </si>
  <si>
    <t>Salvador Sociats</t>
  </si>
  <si>
    <t>.................. ......................................................... i....... ......... 26. D. Salvador Sociats, encargado de la imprenta del papel sellado, por id. á 50 rs. id............................................................•&lt;••••• V5Q-. &gt; D. Roque de Avila, oficial de la Consol</t>
  </si>
  <si>
    <t>Sola, Miguel</t>
  </si>
  <si>
    <t>Miguel Sola</t>
  </si>
  <si>
    <t>j de las Carretas. n -1 , Aritmética teórico-práctica y mercantil, dispuesta en forma decálogo por D. Miguel Sola, director y decano del colegio real académico de primera, educación de Barcelona: un tomo en ¿f* Sé vende en la librería, de Martínez^ frente » S. Felipe1 el Réal,y en Barcelona e</t>
  </si>
  <si>
    <t>Solana y María Ramona Giiemes, Antonio</t>
  </si>
  <si>
    <t>Antonio Solana y María Ramona Giiemes</t>
  </si>
  <si>
    <t>1270; Dia $0, D. Josef Hilario López, presbítero, 2 camisas. D. Antonio Solana y Doña María Ramona Giiemes 12 de coruña. Las señoras mugeres y familias de los dependientes de la real biblioteca de S. M. 100. Doña Francisca Madrid, y sujiija Doña .Raymunda Sastre, vecinas de Arganda, 4*</t>
  </si>
  <si>
    <t>Solana, Ignacio</t>
  </si>
  <si>
    <t>Ignacio Solana</t>
  </si>
  <si>
    <t>na vez 30 rs. D. Severo Andrés Garcia, por una vez 320 rs. Dé Julián Rodríguez, por una vez 200 rs. D. Ignacio Solana , uxier de cámara, por una vez 640 rs. D. Cárlos Malagon, mozo de oficio de la real sausería, por una vezNy2o rs. D. Manuel Santibañez, abogado del colegio, por agosto á 40 rs. me</t>
  </si>
  <si>
    <t>Solanas, Joaquín</t>
  </si>
  <si>
    <t>Joaquín Solanas</t>
  </si>
  <si>
    <t>si"enOíd. Doña María García Sánchez 40.' D. J. G. de Á. 1200 en cédulas. Doña Gila .Moreno 30. ; &lt;• D. Joaquín Solanas 90. . P, Pedro Rubio 2©. D. J. A. V. G. 960. D. Joaquín Ervias ioo.rs. en metá­ Doña Margarita Casanova, sirvienta, lico y po rs. 8 J mrs. en efectos de 128.. r estado» í : . ....</t>
  </si>
  <si>
    <t>Solander</t>
  </si>
  <si>
    <t>taba, y mas yendo aliviado de ropa. En 1775 el Dr. Fordice, Sir Josef Banks, Sir Cárlos^Blagden, el Dr. Solander y otros físicos hicieron algunas experiencias directas sobre la «materia. .Son mui, sabidos sus resultados para que nos tomemos el trabajo de repetirjos; bastará decir que estos;sab</t>
  </si>
  <si>
    <t>Solano, Diego</t>
  </si>
  <si>
    <t>Diego Solano</t>
  </si>
  <si>
    <t>de infantería. : :_ .• s A los subtenientes del mismo D. Matías Cevadet , con grado de teniente, y D. Diego Solano, al primero grado de capitán dé infantería, y al.según-* do de teniente. . -• ■&gt; ■- A D. Ambrosio Agustini, cadete del regimiento de infantería de Buenos-Aires, graduado de subten</t>
  </si>
  <si>
    <t>Soldeviíia, Antonio</t>
  </si>
  <si>
    <t>Antonio Soldeviíia</t>
  </si>
  <si>
    <t>ernardo de Iñigo, déf comercio de' paño's, por 1111 año a 3 diarios . ^ i^tcoD. Antonio Soldeviíia, médico de familia, y ¿u yerno D, Joa-_* quin Tudela , oficial de la contaduría de Valores, en un li—■ bxarniento del real fondo vitalicio á cuenta de 4 rs. diarios..,.. 1080. ■ £1 Sr. D.</t>
  </si>
  <si>
    <t>Soldeviiia, Bautista</t>
  </si>
  <si>
    <t>Bautista Soldeviiia</t>
  </si>
  <si>
    <t>r una vez..................................................... ... 20^ D. J uan Bautista Soldeviiia, médico de cámara de S. M. , 368 rs. por 3 meses á 4 diarios, y 1® por una vez........................ 136#. Úna sirviente , id..................................................... ......</t>
  </si>
  <si>
    <t>Soldevilla, Carlos</t>
  </si>
  <si>
    <t>Carlos Soldevilla</t>
  </si>
  <si>
    <t>para el exército de Aragón, D. Jfosef Álcpo iioq^rs. va.; ^ ,o I). Francisco Fernandez Flores 300^ D. Carlos Soldevilla 8o. &gt; \r fr I). josef Ru iz dé la Azuela 2323’rS. • ~ ¿ * r; •- • D. Manuel de AUer ioo/;. , , » ,, .1; 11 mrs. en viales reales. f D.iLuis de Mata 100. . Doña M. F. 20.: D. Manue</t>
  </si>
  <si>
    <t>Solench, Juan</t>
  </si>
  <si>
    <t>Juan Solench</t>
  </si>
  <si>
    <t>fuego vivo de metralla y fusi'ería que hacia el enemigo, se.pusieron en movimiento las compañías de D. Juan Solench, de D. Pablo Belloch y de D. Remigio Caldero, las que con algunos emigrados napolitanos arrostraron con tal bizarría todos los peligros , que en un momento estuvieron alojados sob</t>
  </si>
  <si>
    <t>Soler y Casader, Juan</t>
  </si>
  <si>
    <t>Juan Soler y Casader</t>
  </si>
  <si>
    <t>es....... 736. D. Josef de la Torre, 3 id., por agosto..».......... .............. ............ 93. D. Juan Soler y Casader, 2 ra. id........................................ .......... 62. D. Josef Altube, oficial de gremios, 2 id., por 2 meses.......... . 122. D.'Vicente Hurrado de Mendoza, oficial de</t>
  </si>
  <si>
    <t>Soler y Galseran, Juan</t>
  </si>
  <si>
    <t>Juan Soler y Galseran</t>
  </si>
  <si>
    <t>.,.;. jpo 1570 Doña Juliana de Jáuregui................. .............. .. Bilbao.... ..i. 600 2213 D. Juan Soler y Galseran................................. Coruña....... 300 2089 D. Josef Manuel de Unzaga.......... Ciddiz. i,*.**.. ■ &gt; 300 503 D. Juan Aiexo de la Llana Bilbao..,.,... 300 893 D. Ramón</t>
  </si>
  <si>
    <t>Soler y Solanes, Francisco</t>
  </si>
  <si>
    <t>Francisco Soler y Solanes</t>
  </si>
  <si>
    <t>CorüñáL.Í... -aoo *2210 Sres. D. Isidoro Sauz y compañeros........... . Cortina. • .. ■ ■ 300 2379 D. Francisco Soler y Solanes y compañía....... Zaragoza..... ' 407 D. Pedro de Barric........................ Coruña* ...1L . '300 ■ &gt; t . 1 ■ -f U): y 2437 Sres. D. Pablo' Fernando y D. Juan Manuel dé Peralta.</t>
  </si>
  <si>
    <t>Soler, Miguel Cayetano</t>
  </si>
  <si>
    <t>Miguel Cayetano Soler</t>
  </si>
  <si>
    <t>Pedro Cevallos , el marques Caballero, D. Antonio Olaguer Feliu , el baylí© Fr. D. Francisco Gil, y D. Miguel Cayetano Soler, y necesitando por tanto de mi nombramiento, he venido eir ratificarlo respectivamente al despacho de que cada uno estaba encargado , en consideración* á lás calidades de que está</t>
  </si>
  <si>
    <t>Solis, Francisco</t>
  </si>
  <si>
    <t>Francisco Solis</t>
  </si>
  <si>
    <t>e aquel arzobispado; para la, dignidad dé chantre dé la catedral dé Orense ,; vacante por muerte d$ Don Francisco Solis, y por haberla renunciado D. Francisco Ordqñez Castañon* á'quien S. M. tuvo á bien de nombrar; para ella, á D. Bernardo Martínez; y para la cannngía que esté dexa, á D. jacinto Ni</t>
  </si>
  <si>
    <t>Solíveres, Gaspar</t>
  </si>
  <si>
    <t>Gaspar Solíveres</t>
  </si>
  <si>
    <t>que recogió un ministró quadrillero, y puso á disposición deljgeffor alcalde de la Sta. Hermandad ,D. Gaspar Solíveres, que vive en la calle de Relatores. Qualquiera que sea dueño de ellos^ acuda al referido señor alcalde, que dando las señas se le entregarán. sirvientes. Un matrimonio decente, jó</t>
  </si>
  <si>
    <t>Sommering</t>
  </si>
  <si>
    <t>chtegroll,se-, cretario de la academia de las ciencias; Mr. Schrank, escritor de economía política; Mr. Sommering, anatómico; Mr. Vestenrieder, historiógrafo; Mr. Viebeking, arquitecto hidráulico &amp;c. &amp;c. La nueva orden del Mérito civil se llamará también orden de la Corona de Baviera, en luga</t>
  </si>
  <si>
    <t>Somóz, Felipe</t>
  </si>
  <si>
    <t>Felipe Somóz</t>
  </si>
  <si>
    <t>;' D* Juan Ramón Maf-1 tú te. D. Jüan Matías Satini, Óí Jtrán Josef de Dringas, prdcúrad&amp;f&gt;géñefai^ D. Felipe Somóz*, diputado del barrio del Ambr de Dios. El guardián de</t>
  </si>
  <si>
    <t>Sónnini</t>
  </si>
  <si>
    <t>tad de médicína de París está imprimiendo actualmente un dictamen contra el sistema del Dr. Gall. ' Mr. Sónnini, uno de nuestros mas célebres naturalistas, ha Hecho insertar en los diarios una carta sobre la mona recien llegada á París, deque hemos hablado anteriormente. Dice en ella que es</t>
  </si>
  <si>
    <t>Sopranis, Antonio</t>
  </si>
  <si>
    <t>Antonio Sopranis</t>
  </si>
  <si>
    <t>o ha promovido S. M. á subteniente de. pandera en el regimiento de infantería de Zaragoza al cadete D. Antonio Sopranis. j S.M. se ha servido conferir el gobierno de Viltanuéva de lá Sereba y su partido , territorio de la orden de ,Alcántara,,al teniente ebrohel D. Gato ¡Diez Madróñero, teniente de</t>
  </si>
  <si>
    <t>Sor, Francisco</t>
  </si>
  <si>
    <t>Francisco Sor</t>
  </si>
  <si>
    <t>N., id.......................... ............................................................ 100. D. Francisco Sor ¡ano, 30 rs. mensuales, por agosto y setiembre. 60. E&gt;. J . 300 rsbpor una vez, y 40 id. por 2 mese?...,......... 380. D. A. de V., 20 id. por 2 ’id... .......Id.........i .d.....</t>
  </si>
  <si>
    <t>Soria, Antonio</t>
  </si>
  <si>
    <t>Antonio Soria</t>
  </si>
  <si>
    <t>......... 365. D. Manuel Romero, uno id. id............................. .......... .......... 182. D. Antonio Soria , 4 id. durante 6 meses, por agosto............... 124. D. Agustín Rodríguez, portero del departamento del Fomento y Balanza, 4 id. por 6 meses....................................</t>
  </si>
  <si>
    <t>Soria, Fernando</t>
  </si>
  <si>
    <t>Fernando Soria</t>
  </si>
  <si>
    <t>sábanas y 2 camisas, usadas. D Juan Bert 5 pares de zapatos. D. Santiago Miguel de Haedo 6 camisas. D. Fernando Soria ^platero, 22 varas de lienzo y 6 pares de calcetas. Doña Isabei Tintero, santera de la calle de la Paloma, 12 camisas de vivero. D. Alfonso Garrido 60 camisas y uniformes de paño.</t>
  </si>
  <si>
    <t>Soria, María</t>
  </si>
  <si>
    <t>María Soria</t>
  </si>
  <si>
    <t>hacer. Continúan los donativos para vestir el exército, y otros usos titiles a este. Setiembre 26. Doña María Soria 2 camisas. D. Dámaso Santos Martínez 2. Doña Micaela Ramona Nicolasa 2. Doña Clara Sexti y Badan 6. Don Antonio Ribera 6 camisas de coruña. Las religiosas de las Vallecas 10. D. J</t>
  </si>
  <si>
    <t>Sotek, Joaquín María</t>
  </si>
  <si>
    <t>Joaquín María Sotek</t>
  </si>
  <si>
    <t>él se le previene; no habiéndolo executado el decano marques de las Amarillas, ni el fiscal togado D. Joaquín María Sotek&gt;, por las justas causas que por ahora están abstenidos de la asistencia ai Consejo, y sabrá la suprema Junta central por los respectivos expedientes que á su tiempo la pasará; deb</t>
  </si>
  <si>
    <t>Sotelo, Joaquín</t>
  </si>
  <si>
    <t>Joaquín Sotelo</t>
  </si>
  <si>
    <t>la Junta de Extremadura, de acuerdo con esta, ha hecho de las intenciones y conducta del mencionado D. Joaquín Sotelo, y se haya calificado su inocencia y patriotismo, también de común acuerdo de entrambas, ha mandado esta que se publique la sentencia , que la referida Junta de Extremadura dictó</t>
  </si>
  <si>
    <t>272 reta ido D. Joaquín Sotelo ha presentado á esta Suprem* Junta, en 7. y 16. de este mes, insertándose así mismo, ios documentos con que acompañó el ú timo, y copia literal de este decreto: y finalmente, que</t>
  </si>
  <si>
    <t>Sotelo, Joaquín María</t>
  </si>
  <si>
    <t>Joaquín María Sotelo</t>
  </si>
  <si>
    <t>l consejo de Hacienda : D. Ignacio de Alava, teniente general, y ministro del consejo de Ma-4 riña: D. Joaquín María Sotelo, fiscal del citado consejo de la Guerra: Don. Pablo Arribas, fiscal de la sala de alcaldes de casa y corte; y D. Pedro de. Mora y Lomas, corregidor de Madrid.” ■ SERENISIMO SEStOR</t>
  </si>
  <si>
    <t>a dictó sobre este negocio, la qual copiada á la letra dice así: ,, Esta Suprema Junta declara, que D. Joaquín María Sotelo ha acreditado su patriotismo, con su fuga de Madrid : que este mismo patriotismo ha sido el único motivo que tuvo para emprenderla : que su conducta y manejo, mientras que ha perm</t>
  </si>
  <si>
    <t>Sotelo, Miguel</t>
  </si>
  <si>
    <t>Miguel Sotelo</t>
  </si>
  <si>
    <t>alencia...... 300 2060 D. Francisco Martínez Sisniega.... ................ .. Cádiz........ 500 198 D. Miguel Sotelo....................................... Alicante...... 500 271 D. Manuel y D. Mateo Martínez, y D. Manuel de Villanueva.................... '................... Burgos....... 300 2</t>
  </si>
  <si>
    <t>Soto, Antonio</t>
  </si>
  <si>
    <t>Antonio Soto</t>
  </si>
  <si>
    <t>id. V. D. Jésef Enseña, abad de Afligidos. P. D. Antonio Soto, abad de 5. Norberto. D. Josef Molina , diputado de Pinto. D. Francisco Martínez Abad, diputado eclesiástico de id. D. Juan Francisco Fernandez Haro , se** cretario. D. Saturnino</t>
  </si>
  <si>
    <t>Soto, Juan</t>
  </si>
  <si>
    <t>Juan Soto</t>
  </si>
  <si>
    <t>ati, Don Angel Tadei, D. Ramón Sanjueso, secretario, diputación del barrio de Doña María de Aragón. D. Juan Soto, alcalde de id. D. Melchor Gómez de la Torre, diputado id. P. D. Vicente Chiríbella, prepósito de S. Felipe Neri. D. Estéban de la Torre, por el cuerpo del comercio. Don Gabriel V</t>
  </si>
  <si>
    <t>Soto, Juan Bautista</t>
  </si>
  <si>
    <t>Juan Bautista Soto</t>
  </si>
  <si>
    <t>..................................... ......................... J...------------------ ... 3891 19. D. Juan Bautista Soto, diamantista de cámara de S. M., en vales reales, id.............................................. .............. ........... ;.----.... 2327 2§* D. Pedro Mendez, dependiente de l</t>
  </si>
  <si>
    <t>Sóxo, Joaquín Antonio</t>
  </si>
  <si>
    <t>Joaquín Antonio Sóxo</t>
  </si>
  <si>
    <t>a Vicenta Qnilez 3. Doña Josefa del Rio 4. Doña María Ignacia de Mogozuza 2. D. Manuel Baquero 2. , D. Joaquín Antonio Sóxo 6. D. Josef Maldonado 6. Doña A. y B. 2. D. Juan Gutiérrez 4. Doña Ana Rodríguez, sirvienta, 2. Doña Rafaela Martínez de Ariza 4. Doña María Ruiz 6. Doña Cándida Orejón 2. Una pob</t>
  </si>
  <si>
    <t>Sruird</t>
  </si>
  <si>
    <t>lón de pesos fuertes , prisioneros, españoles, tropa,, vestuarios , fusiles 8c,c. Con él ha. venido-Mr. Sruird de embaxador para este reynn, y dos generales ingleses, qne inmediatamente fueron, al exército de Galicia. E»te, aunque sin. la. caballería competente , marchará, á darse la. mano con</t>
  </si>
  <si>
    <t>Stadion</t>
  </si>
  <si>
    <t>abrirse las negociaciones regulares. Se ha esparcido la voz de que el ministro austríaco en Munich Mr. Stadion habrá recibido nuevas instrucciones de su corte relativas á este negocio, y que estará ya á punto de tener sobre esto algunas conferencias con Mr. de Mcngelas. Del 2f. ,Somos deud</t>
  </si>
  <si>
    <t>Stamati</t>
  </si>
  <si>
    <t>dos los objetos que hai en este a&gt;&gt;reciable gabinete. La perfección á ciue ha llegado este arte por Mr. Stamati es mayor de la que podía esperarse: asi es que estando uno en ?u gabinete , cree, hallarse en -medió de la antigua Roma, y que contempla con entusiasmo y delicia los, mismos templos</t>
  </si>
  <si>
    <t>Stanhope, Lord</t>
  </si>
  <si>
    <t>Lord Stanhope</t>
  </si>
  <si>
    <t>lerter instituía discrimen et diversa cujusqueindolesdaceatur. GRAN BRETAÑA. Londres .2$ de mayo* , Lord Stanhope ha establecido5 en Londres una Imprenta estereotípica; &gt;ero aunque todo el mundo conoce las venta jas de este método de imprimir, Íos impresores de Londres prefieren el uso ¡de lo</t>
  </si>
  <si>
    <t>Starck</t>
  </si>
  <si>
    <t>ues. Las monedas que ha hallado con los huesos son las mas de la Emperatriz Faustina ó de Antonino. Mr. Starck va á publicar una descripción circunstanciada de todos estos objetos. Francfort ,1 $ de junto* . El barón de Jasmund., ministro de S. M. el Rei de Vurtemberg, llegó anteayer aqui.</t>
  </si>
  <si>
    <t>Stáremberg</t>
  </si>
  <si>
    <t>raído un correo que llegó el 18 , y ha.vú’efto ‘ á salir ya para París. Se jeme que á la partida de Mr. Stáremberg se ’ siga ‘ alguna declaración del gobiefnohaustriaco contra nosotros: por Jé pronfó J a nos; está 2 prohibida tbda: comunicación con los puertos de Tnestó y Í Créese que los buqu</t>
  </si>
  <si>
    <t>Steiner, Joaquín</t>
  </si>
  <si>
    <t>Joaquín Steiner</t>
  </si>
  <si>
    <t>z....... . 500* D. Francisco Aguinaco........... ................. ........... ............. . 300. D. Joaquin Steiner, per una vez............... ....... ........ ....... . 160. D. Francisco Villar, sirviente, por una vez................... 200. Dl'Rafael Ruiz Diaz, alguacil de corte , por una ve</t>
  </si>
  <si>
    <t>Stewart</t>
  </si>
  <si>
    <t>'manuscritos con una descripción exacta de cada volumen y varias noticias dé sus autores. Luego que Mr. Stewart ha vuelto á Inglaterra ha aumentado considerablemente su obra, insertando en ella algunos pasages dedos autores mas célebres de los persas, con su traducción inglesa. Mr. Longman</t>
  </si>
  <si>
    <t>Stockflet</t>
  </si>
  <si>
    <t>jor salud, no obstante el rigor de los fríos. Su comandante el marques de la Romana vive en casa de Mr. Stockflet, rico comerciante, que ha fesididb largo tiempo en España; y -goasi de la estimación general que se ha grangeado por su urbanidad y digna conducta. V.' . , ! . DINAMARCA. ' .'¡v*'</t>
  </si>
  <si>
    <t>Stov</t>
  </si>
  <si>
    <t>plexia, que le acometió estando pintando en su taller: tenia 75 años de edad----- Há muerto también Mr. Stov:pe.,uno de los mas célebres impresores de Francia; ■ Escriben de Colonia que el rio Vupper salió de madre en los dias 7 y 3 del-corriente, y que la inundación subió a punto., que</t>
  </si>
  <si>
    <t>Strachan</t>
  </si>
  <si>
    <t>rdo Strachan, no son las, mejores. Por de contado, la francesa salió de Rochefort el 16 de enero, y Sir Strachan- no lo supo hasta el 24; por consiguiente los franceses le llevaban 8 dias de ventaja. Los navios Soberbio y Mediador, que habían salido de Portsmouth con refrescos para nuestra es</t>
  </si>
  <si>
    <t>yó pidiendo se presentasen á la cámara los documeutos relativos al abastecimiento de la escuadra de Sir Strachan. Mr. Valpole, individuo del almirantazgo, tomó la palabra en defensa de las operaciones de este cuerpo. Representó que es necesario qué se remuden las escuadras que cruzan delante</t>
  </si>
  <si>
    <t>Strachan, Ricardo</t>
  </si>
  <si>
    <t>Ricardo Strachan</t>
  </si>
  <si>
    <t>fuerzos ni socorros para defenderse.-—¿ias noticias que se han* recibido de la esquadra mandada por Sir Ricardo Strachan, no son las, mejores. Por de contado, la francesa salió de Rochefort el 16 de enero, y Sir Strachan- no lo supo hasta el 24; por consiguiente los franceses le llevaban 8 dias de v</t>
  </si>
  <si>
    <t>s de ios súbditos de Inglaterra. El dia 6 de marzo se hallaban reunidas en Palermo las escuadras de Sir Ricardo Strachan, y de los almirantes Collingvood y Thornborough, sin haber podido adquirir noticia alguna del rumbo y paradero de la escuadra francesa de Rochefort. JlI 13 de abril ha tenido la a</t>
  </si>
  <si>
    <t>Strangford, Lord</t>
  </si>
  <si>
    <t>Lord Strangford</t>
  </si>
  <si>
    <t>ron 12. piezas de artillería de varios calibres, 300. fusiles y 100. barriles de pólvora. Quando el Lord Strangford, nuestro embaxador en la corte del Brasil, se embarcó para aquel pays, salieron varios transportes y barcos mercantes, en que iban cerca de seo. emigrados de Lisboa, y muchos caud</t>
  </si>
  <si>
    <t>Stratton</t>
  </si>
  <si>
    <t>nte. Mr. Adair , nuestro ultimo ministro enViena,ha girado por el valor de 8)719 libras esterlinas; Mr. Stratton, que lo fue en Es-tockolmo, por el de 27320 libras de la propia moneda; y Mr. Thomton por el de 19800. Se va á botar al agua en Plimouth uno de los mayores navios., de línea que p</t>
  </si>
  <si>
    <t>Strongíbr, Lord</t>
  </si>
  <si>
    <t>Lord Strongíbr</t>
  </si>
  <si>
    <t>neo, nuestro último embaxador de Viena Mr. Adair, el qual ha sido inmediatamente presentado al Reí. Lord Strongíbr, nombrado embaxador de Inglaterra cerca de la corte del Brasil, debía partir á bordo de la escuadra destinada para aquellos mares; pero habiendo desembarcado en Torbai para hacer</t>
  </si>
  <si>
    <t>Stuart</t>
  </si>
  <si>
    <t>bién con el mayor rigor. Como la Puerta se ha negado á.eiinvr en negociaciones con la Gran Bretaña, Mr. Stuart, capitán de la fragata inglesa Seahorse3 ha declarado que está prohibida aun á los barcos pescadores teda comunicación y tráfico con las costas de Turqtíía. ,, Con motivo de haber</t>
  </si>
  <si>
    <t>Stungiers</t>
  </si>
  <si>
    <t>determinada. En Irlanda se cuentan 4 establecimientos de esta especie, y están baxo la dirección de Mr. Stungiers. ESTADO ROMANO. ' * Roma 14 de mayo. i ■. La religión católica romana hace rápidos progresos en ambas Indias particularmente en las occidentales, por el zelo de Tos misioneros que</t>
  </si>
  <si>
    <t>Sturla, Cayetano</t>
  </si>
  <si>
    <t>Cayetano Sturla</t>
  </si>
  <si>
    <t>ban, grado de teniente dé milicias urbanas de su color. , ' ■ A D. Salvador Ros, D. Antonio Costa,, D. Cayetano Sturla, D. Ramón Alcántara , D. Gerónimo Rabasa, D. Ramón Antonio San Fuertes, capitanes urbanos: D. Juan de la Vianca, D. Basilio Viola, D. Juan Viola, D. Pedro Nolasco Ximenez, D. Juan</t>
  </si>
  <si>
    <t>Sturner</t>
  </si>
  <si>
    <t>dar sospecha alguna ni recelos al divan, la Puerta no ha tenido reparo en acceder á la petición de Mr. Sturner. Luego que se tuvo en Trieste la noticia del feliz resultado de esta negociación, las casas principales de comercio de aquel puerto se dieron gran priesa á equipar embarcaciones p</t>
  </si>
  <si>
    <t>Stuyck, Juan Bautista</t>
  </si>
  <si>
    <t>Juan Bautista Stuyck</t>
  </si>
  <si>
    <t>.......................... 200* D. Juan Josef de Aldama , auditor de la Rota, por una vez..... 500. D. Juan Bautista Stuyck., de la fábrica de tapices, por una vez. 100* La comunidad de padres Agonizantes de la calle de Fuencarral entregó la custodia de su iglesia como alhaja de mas valor, y que no le</t>
  </si>
  <si>
    <t>Suard</t>
  </si>
  <si>
    <t>francesa del instituto tuvo el dia 6 de este mes junta publica baxo la presidencia de Mr. de Segur. Mr. Suard, su secretario perpetuo , leyó una relación de los premios propuestos por la clase el año pasado. De ella resulta que el que se ofreció para el quadró literario de la Francia en e</t>
  </si>
  <si>
    <t>Suárez de Figueroa, Fulgencio</t>
  </si>
  <si>
    <t>Fulgencio Suárez de Figueroa</t>
  </si>
  <si>
    <t>..............—/. 62. j Josef de Catalina, maestro vidriero, por.una vez...................... 200. D. Fulgencio Suarez de Figueroa , comisario ordenador , un vale de 150 pesos, y un libramiento de intereses del año de i8co, id...... ...................................... ......................... J...--------</t>
  </si>
  <si>
    <t>Süarez Freire, Julián</t>
  </si>
  <si>
    <t>Julián Süarez Freire</t>
  </si>
  <si>
    <t>Gorguera; en Cádiz en la dé Navarro; en Barcelona en la de Piferrer, y en Santiago en la botica de D. Julián Süarez Freire. Relación de los experimentos hechos en Inglaterra para cortar los progresos de una calentura maligna contagiosa, traducida por D. Cárlos de Gimbernat. — Ex-* tracto de una carta</t>
  </si>
  <si>
    <t>Suárez, Domingo</t>
  </si>
  <si>
    <t>Domingo Suárez</t>
  </si>
  <si>
    <t>rs. D. Mariano Ainza, agente de negocios, por id., 360 rs, D. Marcelo Qarcia , por agosto 120 rs. . D. Domingo Suarez, por id. , 20 rs. DvNicplas. Ggfcia r¡ por id. 30 rs., . D. Joaquín María de Zúrbano, oficial de la contaduría general de Propios y Arbitrios del reino, po.r id. 1rs. i j ... . {S</t>
  </si>
  <si>
    <t>Suárez, Juan</t>
  </si>
  <si>
    <t>Juan Suárez</t>
  </si>
  <si>
    <t>nterarse de él, acuda á la calle de S.Pedro y S.Pablo, núm. 8 y 9, quarto segundo, y preguntará por D. Juan Suarez. ALQUILER. En la calle de la Puebla vieja, entre la del Barco y la de la Ballesta, se alquilan coches y berlinas decentes á 60 rs. por dia, y muías sueltas. SIRVIENTE. Un sugeto d</t>
  </si>
  <si>
    <t>Suárez, Manuel</t>
  </si>
  <si>
    <t>Manuel Suárez</t>
  </si>
  <si>
    <t>entró en este puerto, á los 44 dias de navegaclon, la goleta española nombrada Sta. Ana, su capitán D. Manuel Suarez, procedente de Puerto Rico, con 600 quintales de café y 3.0 de palo de me* rá. En el día 30entró también la goleta española el Tunante, capitán Don Josef Ríos , procedente de Cuma</t>
  </si>
  <si>
    <t>Suarezj, Juan Antonio</t>
  </si>
  <si>
    <t>Juan Antonio Suarezj</t>
  </si>
  <si>
    <t>....... .......................... 3957 Dona* Agueda Coronado, id..............■...■.......... 30. D. Juan Antonio Suarezj;id....... ..................... .............. 00. D. Jñani Verdes-Montenegro y Munibe’, mayordomo de semanade S. M., un recibo de intereses de acciones, id................ 3200.</t>
  </si>
  <si>
    <t>Sueiro, Manuel</t>
  </si>
  <si>
    <t>Manuel Sueiro</t>
  </si>
  <si>
    <t>nca1»de porte, pues de lo contrario no se admitirán. Veleyo Patérculo en castellano, por el célebre D. Manuel Sueiro, señor de Voorde, caballero del hábito de Cristo &amp;c.: un tomo en 4.? Se hallará ect la librería de Cerro, calle Mayor, portal de Manguiteros. «GRABADO. Retrato del Sr. Rei D. Fern</t>
  </si>
  <si>
    <t>Sureda y Veri, Juan</t>
  </si>
  <si>
    <t>Juan Sureda y Veri</t>
  </si>
  <si>
    <t>dición dé las reales banaeras del regimiento de voluntarios de Palma, al mandó de su coronel,el Sr. Don Juan Sureda y Veri, marques de Vivot. Solemnizó este acto el capellán del primer batallón D. Jaime Mas; y concluido prestó el citado gefe, señoT xesjoficiales y tropa el.Isolemne juramento de fideli</t>
  </si>
  <si>
    <t>Suria, Francisco</t>
  </si>
  <si>
    <t>Francisco Suria</t>
  </si>
  <si>
    <t>rato, 20 id., por agosto. 20. D# Jacinto García, decano del real Albeiterato, 30 ia.-id........ 30. D. Francisco Suria, abridor de láminas, 10 id. id.................. jo. D. Francisco Campo y Chaparro, 10 id. id....... 10. D. B. P. P., 40 id. por 2 meses.............. ............................</t>
  </si>
  <si>
    <t>Susana Carrera</t>
  </si>
  <si>
    <t>s según arte para fracturas de las extremidades. Doña Victoria Tovar 3 libras de hilas y 24 vendas. Doña Susana Carrera 3 libras y media de hilas y una de paños. Doña Josefa Vareia una libra de hilas. Doña María Ayala y Corona 2 libras de id. Doña María Valentina Bueno 3 libras id. Doña Ignacia Bue</t>
  </si>
  <si>
    <t>Sydney Sraith</t>
  </si>
  <si>
    <t>ra» que pueden hacerse por el Ebro y. sus canales » como para las tnarítLmas con Gibraltar y Cádiz. Sir Sydney Sraith estaba á principios de Agosto preparando en el Brasil una expedición » cuyo destino era ignorado » compuesta de 20 ingleses y 3@ portugueses. El 21 por ta noche llegaron á Lóndres u</t>
  </si>
  <si>
    <t>Tabairaeh, Antonio</t>
  </si>
  <si>
    <t>Antonio Tabairaeh</t>
  </si>
  <si>
    <t>go, provincial de la Vitoria. D. Ramón Camps, diputado del barrio, de S. «Juan. D. Josef Flores id. D. Antonio Tabairaeh, alcalde de barrio id. D. Josef de Aldai, diputado de S. Cayetano. Fr. Andrés Duran , presidente del convento de S. Juan de Dios. £&gt;. Ramón Gar*r cía, alcalde del barrio de la Enc</t>
  </si>
  <si>
    <t>Tabajo, Santiago</t>
  </si>
  <si>
    <t>Santiago Tabajo</t>
  </si>
  <si>
    <t>....... 1000. D. Teodoro Cia...... .......................................................... iooo. D. Santiago Tabajo....,...... ................................................ 40. D. Juan Josef de Santibañez, del comercio, en un vale real de 300 pesos y resto de dinero efectivo..... 65 90... D.</t>
  </si>
  <si>
    <t>Tabares, Francisco</t>
  </si>
  <si>
    <t>Francisco Tabares</t>
  </si>
  <si>
    <t>...... . Cádiz......... 300 2292 D. Cristian Brockmann................... Cádiz,.*...:..- 300 13 31 D. Francisco Tabares, canónigo., .............. Valencia....v 13 00 964 0. Valentín de. XJrí&gt;uegma.*.*«.«....v».í;» Madrid.....;.; 300 2149 D. Pedro Tomas Gómez, de -Carril,.....*........ Córuña......</t>
  </si>
  <si>
    <t>Tabel Miguel de García</t>
  </si>
  <si>
    <t>vez • •»•»***•**•• « «^»41 *,M «A*■•«••••♦ 640. Doña Rita López . Corona &gt; su,. mnger, por una 320. Doña Tabel Miguel de García, su hija, por una vez**#•*■* V** *.#*•** . 200 Doña María Josefa de Luna., viuda de D. Pedro González Cal* 3 ■■</t>
  </si>
  <si>
    <t>Taboureau</t>
  </si>
  <si>
    <t>a que tenia baxo su mando y apoderándose del Corregidor mayor, del General -de división Quemel 9 de Mr. Taboureau 9 Auditor del Consejo de Estado de París, del Coronel de Artillería Picoteau, y de varios otros oficiales civiles y militares, como también de un destacamento de dragones, se diri</t>
  </si>
  <si>
    <t>Taboüséaur</t>
  </si>
  <si>
    <t>fantería, ¿ón 3 oficiales. iPasó también dé largo el regimiento de ’Vestfalia*. Por- fá noche llegó Mr. Taboüséaur, áudltoF'dei consejo de estando, que va en posta á Lisboa/ aoy 21 r 22. Diferentes partidas.de infantería, que componen 564 hombres * córr los generales Privé V; Mottton édecan de</t>
  </si>
  <si>
    <t>Tacinta Palau</t>
  </si>
  <si>
    <t>s. Las comendadoras de Santiago una libra de hilas. D. Manuel de Zalles 3. Las monjas de Gcngora 2. Doña Tacinta Palau 2. Doña Leonarda de Fraguas 2: El colegio de San 1». Antonio 2. D. Ildefonso Martin una pieza de paño negro con 32 varas. La condesa de Villapaterna hechura de 20 uniformes de sol</t>
  </si>
  <si>
    <t>Tadei, Ángel</t>
  </si>
  <si>
    <t>Ángel Tadei</t>
  </si>
  <si>
    <t>tado de los Angeles. D. Mariano Ibargnen. D. Ventura Mandujo, eclesiástico, D. Francisco Escarlati, Don Angel Tadei, D. Ramón Sanjueso, secretario, diputación del barrio de Doña María de Aragón. D. Juan Soto, alcalde de id. D. Melchor Gómez de la Torre, diputado id. P. D. Vicente Chiríbella, pr</t>
  </si>
  <si>
    <t>Tadei, Ángel María</t>
  </si>
  <si>
    <t>Ángel María Tadei</t>
  </si>
  <si>
    <t>eí, por .una vez.«.............................. «....... .......... .......v..........»..;.., 300. D. Angel María Tadei, pintor, por una vez.......i.............;. 15oo.&lt; D. Gaspar Vacera, del comercio, por una vez.......... 1000. Cayetano González de Loriga, sirviente...................... .......</t>
  </si>
  <si>
    <t>Tadei, Antonio María</t>
  </si>
  <si>
    <t>Antonio María Tadei</t>
  </si>
  <si>
    <t>z, en dos li.^Jbramientos contra tesorería general........................................... 1860. D. Antonio María Tadei, pintor, por una vez...................... . 640.</t>
  </si>
  <si>
    <t>Tadeo' Bi-avo</t>
  </si>
  <si>
    <t>D. Tadeo' Bi-avo.y Ribero i p&amp;t1 el Perú: a Í&gt;.’"í*ídrt' AltBXágufateyf&amp;r*Bue*-'* nos-Aires: á D. rrañciScó-pea, direcítor déi^fai'diá"botánico, por Gbáteniá-ri lá ; y:£I}+ Ignacio 'Sarfcheá; sde</t>
  </si>
  <si>
    <t>Tailor</t>
  </si>
  <si>
    <t>mara vota que se abone la suma de 10.500® libras esterlinas para pago de las cédulas del echiquicr, Mr. Tailor pidé que se presente á la cámara uña copia del tratado ajustado con Turquía el 15 de enero de 1799, con los artículos secretos, si es qfi£ los hubo; otra del tratado entre la Puer</t>
  </si>
  <si>
    <t>Talásac, Juan Pedro</t>
  </si>
  <si>
    <t>Juan Pedro Talásac</t>
  </si>
  <si>
    <t>{del presente .en la escribanía de provincia que despacha dichio; s?qpi;v-; , ro Por providencia dé D. Juan Pedro Talásac , juez cpmisionado regia en la diócesi de Cuenca, se ha señalado el dia.6 de marzo,próxmio para el reínate 8cppda^ zos de tierfá !y una véz eií el molino harinero'dé agua, llamado</t>
  </si>
  <si>
    <t>Talasac, Juan Pedro</t>
  </si>
  <si>
    <t>Juan Pedro Talasac</t>
  </si>
  <si>
    <t>lo executará por iar escribanía que desempeña 0* Prudencio fierres.. . . i-. : -Por providencia de D. Juan Pedro Talasac, alcalde mayor subdelegado en «ei departamento de Uclés del comisionado regio en ía diócesi de Cuenca, .se ha señalado el día ao de marzo próximo, para el remate de 5 tierras , 2</t>
  </si>
  <si>
    <t>Tamariz y Ribera, Francisco</t>
  </si>
  <si>
    <t>Francisco Tamariz y Ribera</t>
  </si>
  <si>
    <t>, viuda de Bengoa, y D. Antonio Gaubeca.................................. Bilbao........ . 50a 2S83 D. Francisco Tamariz y Ribera............... ....... Cádiz.......... IOOO 206 D. Adrián Riser..... ............ '......... ..................... Alicante...... 300 369 Doña Juana. Gutiérrez y Cevallos.........</t>
  </si>
  <si>
    <t>Tamáyo, Ramón</t>
  </si>
  <si>
    <t>Ramón Tamáyo</t>
  </si>
  <si>
    <t>$r. Infante D. Ánío- , nio;,-en libramientos de Vitalicio, por una vez................ . . 1440. ' D. Ramón Tamáyo, teniente de. fragata de la, real Armada, un recibo de intereses de vales reales, id........................ ............... 722. D. Melchor Bo.rru.el, capellán de honor de S. M.,</t>
  </si>
  <si>
    <t>Tamayq, Ramón</t>
  </si>
  <si>
    <t>Ramón Tamayq</t>
  </si>
  <si>
    <t>cripciones á dicho periódico. Cartas del conde Algárótí sobre la Rusia, ¿radtróidas del francés par D. Ramón Tamayq, teniente de fragata de la ármada. Cpntienen el estado del comercio, de lá marina y fuerzas de este imperio', lá guerra contra los turcos; y alguna* observaciones sobre él mar Bál</t>
  </si>
  <si>
    <t>Taraayo, Manuel</t>
  </si>
  <si>
    <t>Manuel Taraayo</t>
  </si>
  <si>
    <t>lde de los Caños. D. Andrés Luis, secretario de dicha. D. Josef López Braña, eclesiástico de dicha. D. Manuel Taraayo, diputado</t>
  </si>
  <si>
    <t>Taranco, Francisco</t>
  </si>
  <si>
    <t>Francisco Taranco</t>
  </si>
  <si>
    <t>pañolas. ■ ,, limo, y Excmo. Sr.: acabamos de asistir á las honras funerales del limo, y Excmo. Sr. D. Francisco Taranco, y V. E. y todo el exército de S. M. católica son testigos de que sus restos han sido conducidos al sepulcro entre el lamento general y las lágrimas de los habitantes de esta ciud</t>
  </si>
  <si>
    <t>Taranco, Francisco Ignacio</t>
  </si>
  <si>
    <t>Francisco Ignacio Taranco</t>
  </si>
  <si>
    <t>corte, 1500 rs. por una vez , y 558 por agosto á 18 rs. diarios............................. 2058. D. Francisco Ignacio Taranco, secretario y contador del marques de Villafranea, por 2 meses á 6 rs. diarios............ 366. D. Pedro Mailfert, conserge de la historia natural, por «agosto a 4 rs. alarios....</t>
  </si>
  <si>
    <t>Tarracli</t>
  </si>
  <si>
    <t>edir que los buques enemigos distingan los fuegos de tierra. '' - ; PRUSIA. JCónigsberg 22 de mayo. Mr. Tarracli ^ministro de S. M. prusiana en Estockolmo, ha venido á bordo de una fragata, en la qual se ha embarcado inmediatamente Mr. de Bunck, ministro de S. M. sueca cerca de nuestro Sober</t>
  </si>
  <si>
    <t>Taseher de Lapagerie</t>
  </si>
  <si>
    <t>o que en breve se verificarán: rías bodas del duque ¡de Aremberg con madamisela Taseher de Lapagerie, hija!, del cenador de este nombre; y del Príncipe de Hohenzoilern con,una;sobrina del Príncipe.Joaquín, gran duque de Berg. Ayer se juntó el senado baxo la presidencia del príncipe arc</t>
  </si>
  <si>
    <t>Tatischef</t>
  </si>
  <si>
    <t>y&amp;O. La corte de Sicilia había declarado á Mr. Tatischef por medio del marques de Circello, que los;;baxeies rasos.;,.ajftgfante.excluidos*A*Ao$ puertos de Sicilia; y én sú consecuencia se há apoderado de la fragata rusa la VÉn&amp;s.JEn vj</t>
  </si>
  <si>
    <t>Tbséf</t>
  </si>
  <si>
    <t>Pedro del L'ano.................. Madrid....;.. 300 2001 13. Cristóbal Cxárcia» Cád iz¿ 1500 ! 143 D. Tbséf de, Té tari...... A .7.’. AA A A;ava. .... ■ ] alé nciá.A A ^00 **35 D pál.^ T onr\ • A W Ci l \J -uct 1 . . ................................ •••»• o •••••••*• I •••• • ........ r,'.</t>
  </si>
  <si>
    <t>Tejera, Vicente</t>
  </si>
  <si>
    <t>Vicente Tejera</t>
  </si>
  <si>
    <t>erjuicio de los donativos ^ í X\ que cada individuo ha hecho particularmente, pqr una ve2.... 3000; D. Vicente Tejera, por una vez................... ......................i....... 120. D. Manuel Moresqui, uxier de cámara de S. M., por una vez. 54®. D. Andrés Ortiz, agente de negocios, por ahora.</t>
  </si>
  <si>
    <t>Telesfora Mateo</t>
  </si>
  <si>
    <t>as. Doña M. J. T. libra y media de hilas. Doña Agustina Ramírez 2 libras id. Don A. G. 3 libras id. Doña Telesfora Mateo 3 libras id. Doña María Manuela Fernandez de Avila 2 iibras id. Doña María del Carmen de Velasco 2 libras de hilas, 2 de paños y 12 vendas con sus cabezales. Doña Cecilia de... 4</t>
  </si>
  <si>
    <t>Telesforo Sánchez</t>
  </si>
  <si>
    <t>es.......... ................................................ ................................. 6o* D. Telesforo Sánchez, oficial de la contaduría general de pósitos, por agosto á 40 rs. mensuales.................................. . 40* D. Josef Navarro del Dosaí, gentilhombre de la real ¿asa, por 5</t>
  </si>
  <si>
    <t>Telfalr</t>
  </si>
  <si>
    <t>arios hechos por particulares. No lejos de la miscapital hai otros 3, dirigidos por Mr. JBraidwood, Mr. Telfalr, y el abate Belet: en estos cada aíunino paga una pensión determinada. En Irlanda se cuentan 4 establecimientos de esta especie, y están baxo la dirección de Mr. Stungiers. ESTADO</t>
  </si>
  <si>
    <t>Temando T Álvarez</t>
  </si>
  <si>
    <t>nuel Bu Ines. I rD. Atanasio (U. B Revuelta. i Tenientes ...Jd. jJosef Alano, graduado de capitán. ¿D. Temando T Alvarez.</t>
  </si>
  <si>
    <t>Temas Moreno</t>
  </si>
  <si>
    <t>ado del Kxcmo. Sr, D. Andrea Rlíñano„ vocal de la Suprema Junra de Sevilla, dei ma» t¡¿cal de campo D. Temas Moreno, primer ayudante general del exércim, de los demás oficiales del estado mayor y del coronel Wmn^an enviado por S. M. británica á la Suprema .{unta de Sevilla, D:sde este punto se</t>
  </si>
  <si>
    <t>Tenreyro de Villar, Bartolomé</t>
  </si>
  <si>
    <t>Bartolomé Tenreyro de Villar</t>
  </si>
  <si>
    <t>r una vez..................... ........................ .................................... . 244. D. Bartolomé Tenreyro de Villar, agente de negocios, por una vez.......... .................. ............ ....... ....... ...... ................................ 100. D. Gregorio Simón de Diego, corredor de cam</t>
  </si>
  <si>
    <t>Teodoró</t>
  </si>
  <si>
    <t>o y 34 en rústica. 0. ? ^ • Gemidos de lá mádré de Díós t consuele» de sus1 devotos: sú autor el P. D. Teodoró de.^lmeidá.LLiesoro dé ¿rbtécción eh íá sanfcíáfina Virgen, ó estímalos de devoción a la-madre de Dibs .l 'déí rnismó autor. Se1 hablarán’en la librería.'dé Moreno , callé de’ íá Crü</t>
  </si>
  <si>
    <t>Teodoro Cía</t>
  </si>
  <si>
    <t>nteresados. Comisionados. Rs. vn. 899 Doña María Juana Hurtado de Mendoza... Madrid........ 500 628 D. Teodoro Cía............................................ Madrid....... ? 00 2122 D. Pedro Hoürquet..................................... Zaragoza..... 3 00 319 Pablo del Valle y Llera..........</t>
  </si>
  <si>
    <t>una vez, 4571 rs. y;5 mts. D. Antonio Martínez, oficial de la tesonería general, por una vez 4© rs. D. Teodoro Cía, oficial de la misma, por una vez 4© rtf. D. Josef Marcos Iglesias, por agosto á 20 rs. mensuales durante la guerra, 20. ' ; , D. Cárlos Mesmain, por id;, idv,&lt;2o. D. Marcelo de O</t>
  </si>
  <si>
    <t>Teodoro Cia</t>
  </si>
  <si>
    <t>........i..500. D. Antonio Martínez..................................... .................... 1000. D. Teodoro Cia...... .......................................................... iooo. D. Santiago Tabajo....,...... ................................................ 40. D. Juan Josef de Santibañ</t>
  </si>
  <si>
    <t>Teodoro de Al</t>
  </si>
  <si>
    <t>s de los incrédulos; segunda impresión en 2 tomos en 8.9 prolongado: obra escrita en ^ues por el P. D. Teodoro de Al me ida, de la congregación del Oratorioy de emia de las ciencias de Lisboa &amp;c,, traducida al castellano por el P. D. Francisco Vázquez, clérigo reglar de S. Cayetano, lector de te</t>
  </si>
  <si>
    <t>Teodoro de Almeida</t>
  </si>
  <si>
    <t>sús, y obsequios en actos de desagravios por las injurias hechas al santísimo Sacramento, por.el P. D, Teodoro de Almeida, y traducidos por.el P. D, Francisco Vázquez clérigo reglardc S,-Cayetano: un tpmo en 8.°, a 10 rs. en pasta. Se hallaran en la libreria-de Burguilles, frente al cementerio de S.</t>
  </si>
  <si>
    <t>Teodoro de Reaing</t>
  </si>
  <si>
    <t>^' Malaga ij de setiembre. El dia 14 á las 8 y quarto de su noche entró en esta plaza el Excmo. Sr. D. Teodoro de Reaing, gobernador de ella y general del exército de este reino de Granada. Sin embargo de que no se le esperaba, y que nada había avisado de su venida, concurrieron inmediatamente á ell</t>
  </si>
  <si>
    <t>Teodoro Reding</t>
  </si>
  <si>
    <t>al. Coimbrá 8 de julio de 1808. = El gobernador de Coimbra. Cádiz 27 de julio. El mariscal de campo D. Teodoro Reding, con fecha de 22 del corriente, ha dado el parte que sigue al Excmd. Sr. D. Francisco Xavier Castaños; generalfen gefe del exército de operaciones de Andalucía. k Excmo.PSr.:: En</t>
  </si>
  <si>
    <t>o á marchar al trente de estas tropas, si V. A. {5. túnese á bien mandarlo así. El teniente general D. Teodoro Reding, que tanto ha merecido de la patria, espera asimismo las órdenes de V. A. S.; y asi este como el mariscal de campo D. Juan Bautista de Castro, mayor general de este exército, y qu</t>
  </si>
  <si>
    <t>nsas debidas á sus fatigas. Murcia 5 de noviembre. La primera división del exército del Exorno. Sr. D. Teodoro Reding, que la formaba el regimiento de Iliberia, al mando de su coronel D. Francisco de Córdoba , con el numero de 2400 plazas, entró en esta ciudad el ao de octubre en la tarde. La art</t>
  </si>
  <si>
    <t>Teodoro Réding</t>
  </si>
  <si>
    <t>quartei general de Martorell, con fecha de ayer , que el día 12. 'había llegado allí ei Excmo. Sr. D. Teodoro Réding y ei marques de Lazan, y que se recibió un parte de la . linea del Llobregat de haberse pasado á ella dos compañías del exército enemigo , con sus -cepita* mes y -oficiales subalterno</t>
  </si>
  <si>
    <t>Teodoro Redjng</t>
  </si>
  <si>
    <t>zón de los informes y relaciones que me han pasado los generales de la primera y según? da división D. Teodoro Redjng y marques de Coupigni (cuyos originales acompaño), y por- su contenido tendrá V. A. los precisos conocimientos para. formar üna[ tdea de todo lo ocurrido* reservándome el remitir á</t>
  </si>
  <si>
    <t>Teodoro Resfans</t>
  </si>
  <si>
    <t>132.6 . » . esta capital para ¿i principa dodeC'dtaluna alonando del'teniente ge- tteral D. Teodoro Resfans*, con expresión de los cuerpos y sus gefes. Regimiento de infantería de Iliberias coronel D. Francisco de Córdoba, teniente coronelD^Juan AntohloMartinez, sargento mayor D. ¿Melch</t>
  </si>
  <si>
    <t>Teodoyo Redirig</t>
  </si>
  <si>
    <t>; reino yque s^le de;esta capital para él-'|&gt;rincipaidó; de Cataluña -alomando del teniente general D. Teodoyo Redirig; con expresión de los; cuerpos y; sus &lt;gefes;i¿b r - b 1? • En el anterior , que dirigí á V. A. S, se dixo con eqnivocacion que las fuerzas de artillería volante eran 10, no Viend</t>
  </si>
  <si>
    <t>Teog, Francisco</t>
  </si>
  <si>
    <t>Francisco Teog</t>
  </si>
  <si>
    <t>ruz mandó reuriir á la descubierta de. Sesma. Ea compañía de .catalanes á; las órdenes del teniente D. Francisco Teog ha hecho igual servicio, que los tiradores, como .asimismo la descubierta de Sesma al marido del capitán del batallón dé tiradores de España D. Josef Gi* ron , que desde que entró</t>
  </si>
  <si>
    <t>Teótimo Escudero</t>
  </si>
  <si>
    <t>audiencia de Sevilla: para esta plaza de oidor al; alcaide del crimen mas antiguo de aquel tribunal Don Teótimo Escudero; y para la pl; za de alcalde que resulta vacante áD. Francisco de Olavarrieta, del gremio y claustro de la universidad de Alcalá. Tendíase entendido en la cámara para su cumplimie</t>
  </si>
  <si>
    <t>Teran, Juan</t>
  </si>
  <si>
    <t>Juan Teran</t>
  </si>
  <si>
    <t>..... 300 1536 D. Agustin .de Olana • «t*«4 «&gt;M I • • • • » *4 •*•#•••* . Bilbao........ . 300 1075 D. Juan Teran................................... ••«••••i f .Madrid*..... . 300 3 23 Ceferiño Chorvis.......................................... Málaga......... 3°o 860 D. Josef Maldonado.......</t>
  </si>
  <si>
    <t>Tercilla, Vicente</t>
  </si>
  <si>
    <t>Vicente Tercilla</t>
  </si>
  <si>
    <t>1604 id. D. Josef Perez, diputado id. D. Francisco'Xavier Cavaza, alcalde de San Isidro. D. Vicente Tercilla, secretario. D. Angel de Diego , diputado de id. D. Diego Uriondo , diputado id. D. Francisco Rodríguez ¿ diputado del Ave María. D. Manuel Onofre Martínez, diputado de la Encarna</t>
  </si>
  <si>
    <t>Teresa</t>
  </si>
  <si>
    <t>rancisco Sara vía Vílleta, Vecino de la villa de Vil larca yo, quien; como administrador judicialde Doña Teresa de .ViMota, patrona de la obra pía, presentará en la mas benemérita, piévio examen y ¿probación de Jos tres censores de la .citada obra pía, según manda la fundación; y para la prese</t>
  </si>
  <si>
    <t>Teresa Briz, María</t>
  </si>
  <si>
    <t>María Teresa Briz</t>
  </si>
  <si>
    <t>ina Picos 80. sores de; Zaragoza 190c» en metáli* Doña Ines Ramírez 8. - eo y 1 r oo en cédulas.. : Doña María Teresa Briz; 203. ?; l D. Josef Fernandez 30,. D. Matías Gimo por sí y su muger 6&lt;&gt;. D. Mariano de Auísa 242. i). Josef García Alvarez 160, Doña Isabel Perez 90 rs. 8 mrs. y D. Manuel Martíne</t>
  </si>
  <si>
    <t>Teresa Ceferina</t>
  </si>
  <si>
    <t>ona..., 300 572 D. Lorenzo de Navas............ ............................ Madrid...... . 500 777 Doña Teresa Ceferina. Remonel.................... . Madrid....... loco 16 D. Pedro Josef de Echinique....................... Zaragoza..... 300 2828 D. Miguel Zabaleta.................... .............</t>
  </si>
  <si>
    <t>Teresa Clemente</t>
  </si>
  <si>
    <t>Sra. duquesa deHíjar 21. D. Ramón de Haro 12 camisas. Doña Isabel Aguilera ó. D. Tomas de Arsu 12. Doña Teresa Clemente una. D. Jacinto Ci!a de Riofrío 2. D. Isidro Marcelo 4. D. M. J. 6 id. 12 vendas, unos caDoña M. L. F. 2. bezales y 2 libras de hilas. D. Josef García Alvarez 6. D. Antonio Sainz</t>
  </si>
  <si>
    <t>Teresa de Austria, María</t>
  </si>
  <si>
    <t>María Teresa de Austria</t>
  </si>
  <si>
    <t>su familia, convencido del mejor derecho de los Borbones por la descendencia de María Teresa de Austria, hija mayor de Felipe iv, quando el archiduque Cárlos, que se llamó m de España, y después iv en el imperio, descendía de hermana menor ? ¿ Qué cosa más notoria que las muchas consultas</t>
  </si>
  <si>
    <t>Teresa de la Cueva</t>
  </si>
  <si>
    <t>món Mazorra 4 Huevas. Don C. V. 4 id. Doña Manuela Nieto del Campo 2 camisas y 6 pares de calcetas. Doña Teresa de la Cueva 2 camisas nuevas. D. Pedro Perez Plano 3 id* Doña Juana Meco, residente en Castilla la vieja, 2 id. Doña María Fernandez Casariego 3 id. La Sra. Doña María Blasa Nieto de Paz y Ce</t>
  </si>
  <si>
    <t>Teresa de Quesada, María</t>
  </si>
  <si>
    <t>María Teresa de Quesada</t>
  </si>
  <si>
    <t>o. BtíVgós.u .;.. 5 00 565 D. Jóséf Nieto...................»....'....:..;. Madrid....... 3 00 *774 Doña María Teresa de Quesada..................... • ' Gádik!.. 300</t>
  </si>
  <si>
    <t>Teresa Escoin y Trigo</t>
  </si>
  <si>
    <t>adrid....... 5 000 2337 Coronel D; Ignacio de la Justicia......... .......... Zaragoza..... 300 583 Doña Teresa Escoin y Trigo............................. Madrid....... 500 1978 Sres. D. Josef Francisco Mornau..................... Zaragoza..... 600 823 Sres. Sierra y Casao................................</t>
  </si>
  <si>
    <t>Teresa Escoiz y Trigo, María</t>
  </si>
  <si>
    <t>María Teresa Escoiz y Trigo</t>
  </si>
  <si>
    <t>Antonio y Pedro Olías y -zapateros, 24 pares de zapatos, D. Florencio Lozano 84 pares de calcetas. Doña María Teresa Escoiz y Trigo 6 camisas, 6 pares de calcetas y 2 pares de zapatos. D. Miguel Antonio de Amandi 27 corbatines negros de seda. D. Pedro Marcelino Blanco 100 camisas de vivero para tambores. D. F.</t>
  </si>
  <si>
    <t>Teresa Fernández Delgado, María</t>
  </si>
  <si>
    <t>María Teresa Fernández Delgado</t>
  </si>
  <si>
    <t>2 camisas. Una señora viuda de un militar 2. Doña María del Rosario Alarcon 2. D. Diego Alarcon 4. Doña María Teresa Fernandez Delgado 3. Doña Agustina Martin 2. Doña Teresa López 2. Doña Angela Ugena una. D. Antonio Fabeyrae 6. Dia 28. Doña Angela Taulau 3 caminas. Una señora viuda 3. D. Francisco Garibai 12. Do</t>
  </si>
  <si>
    <t>Teresa García</t>
  </si>
  <si>
    <t>....... 229. D. Josef Antonio Diez, por una vez....................... ....................... 500. Doña Teresa García, por una vez...................................................... 32O. D. Josef del Castillo y sobiino, del comercio de paños, por una vez..... ..................................</t>
  </si>
  <si>
    <t>Teresa López</t>
  </si>
  <si>
    <t>sario Alarcon 2. D. Diego Alarcon 4. Doña María Teresa Fernandez Delgado 3. Doña Agustina Martin 2. Doña Teresa López 2. Doña Angela Ugena una. D. Antonio Fabeyrae 6. Dia 28. Doña Angela Taulau 3 caminas. Una señora viuda 3. D. Francisco Garibai 12. Doña Antonia Bellas y García 2. Doña María Anto</t>
  </si>
  <si>
    <t>na María Antonia Fidela Miramon, su muger, en 2 libramientos del Fondo vitalicio, id...... .. 2429* Doña Teresa López, viuda desde el dia 2 de mayo, en 2 recibos de intereses de vales jreales, id.......... .......... .................... . 3^r*</t>
  </si>
  <si>
    <t>Teresa Méndizabal</t>
  </si>
  <si>
    <t>a M. J. G.‘ A camisas; f ; Doña Josefa Caballero una camisa. ? D.. Feiipe Ramirez 8,' tulá libfa de Doña Teresa Méndizabal una. ^ hilas y unos paños. : Se continuar</t>
  </si>
  <si>
    <t>Teresa Moreno</t>
  </si>
  <si>
    <t>la Encarnación 4. El conde Galvez 3. 0. Diego Erran 1. 0. Simón Ortiz 2. Doña Pascuala Trijueque 2. Doña Teresa Moreno 1. Doña Rosa del Cano 2. Doña BÍasa Ramiro 2. Doña Paula Fuentes 1. LaSra. de Carranza 2. Marquesa del Valle de la Paloma 1. Doña Josefa Semolinos 4. Doña Francisca Villa 2. Doña</t>
  </si>
  <si>
    <t>Teresa Piscátori y Mora, María</t>
  </si>
  <si>
    <t>María Teresa Piscátori y Mora</t>
  </si>
  <si>
    <t>ña Josefa Gutiérrez 12. La Sra. de E. y sus dos hijas 12. La Sra. L. S. 6. Doña -Josefa González 2;¡Doña María Teresa Piscátori y Mora 12. DilMáriabó Armendía 10 pares de zapatos. D. Tomas Ferez 100 camisas. Doña María Barrionuevo ^29 varas y tercia de paño azul y 50 varas barragan ancho. D» Vicénte Alcátá 4 pare</t>
  </si>
  <si>
    <t>Teresa Rodríguez</t>
  </si>
  <si>
    <t>Maríá) Nidolasa de; Arquero.s 4. D. Fernando Martínez de Viérgol 18. Doña Rosa Ruiz y Aguilar una. Doña Teresa Rodríguez 2. D. Josef del Corral 6. Doña Rosalía Santos ?.</t>
  </si>
  <si>
    <t>Teresa Samper</t>
  </si>
  <si>
    <t>io Gámiz 2. La condesa de Vallencourt 2. La condesa de Castelflorido 4. La condesa de Belveder una. Doña Teresa Samper una. La Sra. de Lángara 2. La real casa de noviciado de hijas de ¡a Caridad, calle del Prado 2. D. Elias Ranz 4. D. Antonio M oliniilo 2 piezas-de .paño-pardo con 60 varas. Un sug</t>
  </si>
  <si>
    <t>Teresa Soto y Cárdenas, María</t>
  </si>
  <si>
    <t>María Teresa Soto y Cárdenas</t>
  </si>
  <si>
    <t>co • rs., pór una vez.......... .................... .............. ................... ..... .55°. Doña María Teresa Soto y Cárdenas, por una vez........ ........... 300. La viuda de D. Josef Celada una bandeja de plata. D. Antonio de Lerin, por una vez....................................... . 20000. D. Josef T</t>
  </si>
  <si>
    <t>Teresa Vázquez, María</t>
  </si>
  <si>
    <t>María Teresa Vázquez</t>
  </si>
  <si>
    <t>......................... 1500. D. Gabriel Gómez , ayuda de gefe del ramillete de S. M., id... ico. Doña María Teresa Vázquez y su criada Doña Ramona Navarro, id.;..... ............................................ .................................... 180. Francisco Antonio Muñoz, mayoral del abasto de carn</t>
  </si>
  <si>
    <t>Teresa Vergez y Noves, María</t>
  </si>
  <si>
    <t>María Teresa Vergez y Noves</t>
  </si>
  <si>
    <t>... 300 779 D. Pablo Ibáñez...................................... .......... Madrid....... 600 2357 Doña María Teresa Vergez y Noves....... Zaragoza..... 300 **53 D. Manuel de IUescas....*........ ..................... Madrid........ 3°° 52J Sres. Rutelisi, . Cerón, Bringas, Zorrilla y</t>
  </si>
  <si>
    <t>Teresa, María</t>
  </si>
  <si>
    <t>María Teresa</t>
  </si>
  <si>
    <t>ón de las cortes generales del año de 1618 en el siguiente por real pragmática, y la der la infanta Doña María Teresa «n iguales términos, aunque no reducida á leí, po se tuvieron por válidas respecto á sus hijos y descendientes, ni perjudicarles los testamentos de los Señores Reyes Felipe 111 y</t>
  </si>
  <si>
    <t>Teresa, María (princesa)</t>
  </si>
  <si>
    <t>Princesa María Teresa</t>
  </si>
  <si>
    <t>te favorable, y que los obstáculos que se habían opuesto á la pacificación se habían allanado. * La Princesa María Teresa, hermana del Emperador, partirá dentro de pocos dias con su esposo el Príncipe Antonio» para volver á Saxonia. ALEMANIA. Hamburgo 25 de mayo. Queriendo el Emperador de Rusia impos</t>
  </si>
  <si>
    <t>Térmens, Juan</t>
  </si>
  <si>
    <t>Juan Térmens</t>
  </si>
  <si>
    <t>del honrado Concejo de la Mesta , 3300 rs. anuales, á cuenta én-intereses de vales reales. 1173 8. D. Juan Térmens, coronel de Milicias agregado á esta plaza, á‘cuenta de la oferta que tiene hecha de todo su sueldo........ 700. D. Hipólito’Rodrigálvaréz , un real diario, por 2 meses...........</t>
  </si>
  <si>
    <t>Terrado, Manuel</t>
  </si>
  <si>
    <t>Manuel Terrado</t>
  </si>
  <si>
    <t>ad por el Duque de Berg. Sevilla 16. de Julio. v 1 . . ‘ * " ■ ; . ’ .' flan llegado á esta Capital D. Manuel Terrado, Diputado de la Junta gobernativa de Galicia, y D. Feliciano del Rio, Diputado de' lñ de Canarias, embiados á esta Suprema Junta, para tratad con ella los intereses de la patria.</t>
  </si>
  <si>
    <t>Terrer, Antonio</t>
  </si>
  <si>
    <t>Antonio Terrer</t>
  </si>
  <si>
    <t>. ;........ Alicante......' 300 2400 D. Mateo Ruiz............................ Zaragoza».» 600 2361 D. Antonio Terrer................... »...... i................ . Zaragoza...» 500 1328 D. Juan Blot...... ..................................... ........... Valencia...» 300 1030 D. Manuel de Latorr</t>
  </si>
  <si>
    <t>Tétesrora Mateo Pérez</t>
  </si>
  <si>
    <t>$» Dona María Manuela Gil 4. criada María Bonilla A y 2 pares D. Josef Espinosa 6. - * de calcetas. Doña Tétesrora Mateo Perez 2‘ y 2 D. Baltasar Novales-2-camisas. \ * pares. 4e calcetas, y *' 1 ,r D; Júaii de Gñófó'S; ¡ f- •1 tí. Mañuél Jósefde Ribáfcbbay Gor- D. Pedro Navarro 3. , - vea 1)2, camisas.'</t>
  </si>
  <si>
    <t>Tevin, Santiago</t>
  </si>
  <si>
    <t>Santiago Tevin</t>
  </si>
  <si>
    <t>tánica de Nueva España, 6 id. por 2 meses............................................. ....... 366. D. Santiago Tevin , uno id. por 5 id................................ ............ 153. IX Aquilino Escudero, oficial segundo del sello de Castilla, 2 id. por 2 id...................................</t>
  </si>
  <si>
    <t>Texedor, Pedro</t>
  </si>
  <si>
    <t>Pedro Texedor</t>
  </si>
  <si>
    <t>r una vez. 4000. D. Juan González Toraño, por una vez.....................t................... 32°. D. Pedro Texedor, oficial de la contaduría de juros, por una vez. 2CO. D. Pedro Fernandez de Cañaveral, por una vez........................... 120 . D. Juan Valentín de Ubilla, oficial de la conta</t>
  </si>
  <si>
    <t>Texero, Ignacio</t>
  </si>
  <si>
    <t>Ignacio Texero</t>
  </si>
  <si>
    <t>ñía al teniente de granaderos , graduado de capitán, D. Domingo de Sierra ; tenencia ál subteniente D. Ignacio Texero , y subtenencia de bandera ál sargento primero del de América D. Mames Paez: en el de voluntarios de Castilla compañía al ayudante , graduado de capitán, D. Joaquín María de Carva</t>
  </si>
  <si>
    <t>Thomton</t>
  </si>
  <si>
    <t>esterlinas; Mr. Stratton, que lo fue en Es-tockolmo, por el de 27320 libras de la propia moneda; y Mr. Thomton por el de 19800. Se va á botar al agua en Plimouth uno de los mayores navios., de línea que pueden construirse: se llama c\ Cale doma s y monta 134 cañones. La gazeta ministerial</t>
  </si>
  <si>
    <t>Thonton</t>
  </si>
  <si>
    <t>ES 4. DE NOVIEMBRE DE t8o8. GRAN BRETAÑA. Londres 30. de Septiembre. diarios de Suecia anuncian que Mr. Thonton salid de Stockoímo el 14, para la esquadra de Sir James Saumurez , y añaden que dentro de 8. dias habrá noticias muy interesantes. Dicho almirante estaba tomando medidas para dest</t>
  </si>
  <si>
    <t>Thorndike, Andrés</t>
  </si>
  <si>
    <t>Andrés Thorndike</t>
  </si>
  <si>
    <t>so que dichas letras no sean aceptadas por dicho señor en debida forma , se servirán presentarlas á D. Andrés Thorndike, residente en la misma, quien las aceptará y pagará á su vencimiento por honor de la firma del tirador, según ha practicado con las que se le han presentado hasta ahora. En virtud</t>
  </si>
  <si>
    <t>Thornton</t>
  </si>
  <si>
    <t>ias contradictorias como corren sobre la materia. Se sabe que Mr. Moltke, embaxador de Dinamarca, y Mr. Thornton, ministro de Inglaterra, tuvieron en 24 de enero su primera audiencia del Reí Gustavo ¿ y que inmediatamente después asistieron ambos á la fiesta de lá inauguración de la estatua</t>
  </si>
  <si>
    <t>s traídos por un oficial de la escuadra, y de resultas se embarcó en el buque que los ha’bia traído Mr. Thornton, y sin perder momento se hizo á la vela para la escuadra sueca de Puerto Báltico. Se dixo en el público que la noticia qne había traido era que sir James Saumarez se hallaba pelig</t>
  </si>
  <si>
    <t>Thurfion</t>
  </si>
  <si>
    <t>tiva al hijo del viejo Nabab de Garnatéj ;uno de lo$ aliados mas fieles de la compañía de Ja India; Mr. Thurfion piensa.que;aquél joven Príncipe fue asesinado. Los eo,misarios' ingleses éP; la '.India habian pretendido que su padre habia faltado á? sus obligaciones de aliado, y que sus estad</t>
  </si>
  <si>
    <t>Thurton</t>
  </si>
  <si>
    <t>tyelit:?., y este cuerpo de tropas lo manda el coronel Bonniu.” «I Según las noticias de Inglaterra Mr. Thurton pidió el t8 de mayo en la cámara de los comunes que se averiguase la conducta; del último gober-r nador de la India, relativa al hijo del viejo Nabab de Garnatéj ;uno de lo$ aliad</t>
  </si>
  <si>
    <t>Pocos dias después murió de una disenteria, según dicen, el joven príncipe, heredero legítimo; pero Mr. Thurton es de parecer que fue asesinado, y pide que el parlamento haga una información sobre la conducta del último gobernador de la India. La discusión sobre esta propuesta se señaló para</t>
  </si>
  <si>
    <t>Thurton, Tomás</t>
  </si>
  <si>
    <t>Tomás Thurton</t>
  </si>
  <si>
    <t>n esta gazeta no hay ningún capitulo de oficio sino el de Madrid* GRAN BRETAÑA. Londres 23 de mayo, Sir Tomas Thurton pronunció el dia 18 en la cámara baxa un largo discurso sobre la suerte desgraciada del joven príncipe de Arcóte ó de Careada en la India. El orador pintó al viejo Nabab de Carnat</t>
  </si>
  <si>
    <t>Thurtou</t>
  </si>
  <si>
    <t>aba un carácter elevado, -firme é inflexible. Se determinó que el 4 de junio se oiría la demanda de Mr. Thurtou. La gazeta de esta, ciudad publicada hoi contiene noticias de Londres, que alcanzan hasta 19 de mayo. Según estas noticias parece que los ^ministros ingleses tienen actualmente ot</t>
  </si>
  <si>
    <t>Tiburcio Martínez de Novales, Manuel</t>
  </si>
  <si>
    <t>Manuel Tiburcio Martínez de Novales</t>
  </si>
  <si>
    <t>,««,.... ( D. Manuel Martínez de. Novales , por .una vez &gt;*&gt;*4*f9*MM •&gt;,*.* • * • * • • • ;; - 6oo. D. Manuel Tiburcio Martínez de Novales, por una vez... 400, D. Manuel Cuen de, por una. vez D. Joaquín de £!izalde, portero, de la.secretaria.de Hacienda». por una vez..»...... ............ ............ ......... .....</t>
  </si>
  <si>
    <t>Tiburcio Pérez Cuervo</t>
  </si>
  <si>
    <t>Escultura: á D. Ramón Belart, de Montblanc, arzobispado de Tarragona, de 3 2 /años. Arquitectura: á D, Tiburcio Perez Cuervo, de Oviedo, de 22 años. Premios segundos. Medallas de oro de 2 onzas. Pintura : á D. Joaquín Manuel Fernandez, de;!Xe.rez deja Frontera, arzobispado de Sevilla, de 26 años* Escult</t>
  </si>
  <si>
    <t>zaí á D/ Josef Ramos de la Vega, dé Cádiz, de 29 años. Perspectiva. Medalla de oro de ntia onza s á D. Tiburcio Perez Cuervo, premiado con el preiftió pfaniero d.e primera clase de arquitectura..... Colocado^ díchoSf'üiSéfjíulcyS 'eii^Iós distinguido? asientos que les estaban destinados y recitó -eí ;sé</t>
  </si>
  <si>
    <t>Tiernei</t>
  </si>
  <si>
    <t>a que confirmase estas voces sobre la esquadra dei aimi-, rante St rae han. En el mismo dia propuso Mr. Tiernei que se formase una junta encargada de averiguar y manifestar al parlamento el verdadero estado de nuestro comercio y navegación. „ Esta providencia , dixo, es tanto mas urgente, q</t>
  </si>
  <si>
    <t>..................................48.441081 El empréstito para la Irlanda es de 2 millones y medio. Mr. Tiernei, al paso que ha alabado el modo con que el canciller del echiquier ha dispues</t>
  </si>
  <si>
    <t>Tieso, Felipe</t>
  </si>
  <si>
    <t>Felipe Tieso</t>
  </si>
  <si>
    <t>..................... 2676 2* Doña Benita Diaz y Doña Paula Rodríguez, id.................... . 60. D. Felipe Tieso, del comercio de libros, 60 rs. mensuales, por agosto.......... ...................................................................................... 60. D. Francisco Wiant, plum</t>
  </si>
  <si>
    <t>Tifeno' Garrido, Nicolás</t>
  </si>
  <si>
    <t>Nicolás Tifeno' Garrido</t>
  </si>
  <si>
    <t>préstamos de la parror quia de Arroyo-molinos, en el obispado dé Plasencia , vacante por muerte de D. Nicolás Tifeno' Garrido, y el préstamo :del lugar de la venta de Salí Vicente, en la diócesi de Avila &gt;• vacante por fallecimiento de dicho Don Miguel Celestino de la Madrid , á D. Joser Doroteo Gómez de</t>
  </si>
  <si>
    <t>Timoteo de Paz</t>
  </si>
  <si>
    <t>a aparecido en la corte, intitulado Consideraciones de un verdadero español á sus compatriotas, por D. Timoteo de Paz ; en el quai rebate su autor las proposiciones tan contrarias-ál verdadero español, como se titula, y le convence de ser un tirano Napoleón. Puede ir en carta.* .—Pirotecnia entre</t>
  </si>
  <si>
    <t>Timoteo Imaz</t>
  </si>
  <si>
    <t>. OclCilZaiiM #••• 390 507 D. Angel Ladebese y Alzaibar........................ Bilbao......... 300 D. Timoteo Imaz............................................. Barcelona.... 500 396? D. Martin de Enseña............. Zaragoza..... 309 904 P, Manuel de Bringas............ Madrid.;..... 300 8,13</t>
  </si>
  <si>
    <t>Timoteo María de Galvez</t>
  </si>
  <si>
    <t>. vez, y i80 anuales....... ..................... .......................... ............... 20000. D. Timoteo María de Galvez, agenté de negocios, 80 rs. por una vez , y 60 anuales................................................................. * 80. D. Placido Caballero, por agosto á 20 rs. mensuales..</t>
  </si>
  <si>
    <t>Timoteo Rodríguez</t>
  </si>
  <si>
    <t>........ . 300*: D. Pedro de Roxas, por una vez......... ................................... 400... D. Timoteo Rodríguez, por una vez.............................................. 500. D. Narciso Soria, platero de oro* por una vez........... ............... 1200 24. Josef Añover, tendero, por una ve</t>
  </si>
  <si>
    <t>Tirado y Veiasco, Antonio</t>
  </si>
  <si>
    <t>Antonio Tirado y Veiasco</t>
  </si>
  <si>
    <t>. Esta Suprema Junta se t&gt;a servido nombrar, con fecha de £-8. ' de* - *S&lt; ptic-mbré^ al Licenciado D. Antonio Tirado y Veiasco, Abogado de los reales consejos, y del ilustre colegio de esta ciudad, para la «vara de teniente tercero de asistente aicnlde mayor de la misma, vacante por fallecimiento del Dr.</t>
  </si>
  <si>
    <t>TJrzola de Loredo, María</t>
  </si>
  <si>
    <t>María TJrzola de Loredo</t>
  </si>
  <si>
    <t>500 298 Andrés Mor'at............................ ...................... ... Málaga....... 300 1584 Doña María TJrzola de Loredo....... . ... Bilbao........ 300 1899 Doña Librada Pardo de Borbon y Abadía...... Zaragoza..í., 600 1428 Domingo Padura.............. .......................... ... Málaga....... 3</t>
  </si>
  <si>
    <t>Toan</t>
  </si>
  <si>
    <t>términos de correspondencia con Madrid, que se hacia antes. Quajido el fiscal del Consejo de Guerra D. Toan nía Marta Sotelo, participó á, esta Suprema Junta su salida de Madrid, se suscitaron ciertas dudas sobre el fin con que lo había executado, que aunque vagas en otras circunstancia</t>
  </si>
  <si>
    <t>Tobías Lear</t>
  </si>
  <si>
    <t>el para dos brigadas ¿e Rendarmas , y.otro donde puedan alojarse hasta 1200 hombres de íníhsitería. Mr. Tobías Lear, cónsul de los Estados-Unidos en Argel, ha avisado de oficio a los cónsules de su nación , establecidos en los diferentes puertos -del Mediterráneo , que el 16 de diciembre próxim</t>
  </si>
  <si>
    <t>TocAe</t>
  </si>
  <si>
    <t>la relación de los nacidos .i I*' ‘muertos, como ia de 2 á 1 solamente, y no de 2~ á 1, que quiere Mr. TocAe, es preciso suponer que á cada matrimonio corresponden 7 6 7! hijos. Cómputo que haría tal vez tener por‘cierta la proposición de la •Emperatriz. f' ' ' ■ ‘/ d ; - - !?! y £[ acre</t>
  </si>
  <si>
    <t>Todo, Tadeo</t>
  </si>
  <si>
    <t>Tadeo Todo</t>
  </si>
  <si>
    <t>id.: en la guardia de honor del príncipe de Pontecorvo. Teniente D. Melchor Valdivieso; subteniente D. Tadeo Todo, en id.: enfermos.</t>
  </si>
  <si>
    <t>Tóiiias, Francisco</t>
  </si>
  <si>
    <t>Francisco Tóiiias</t>
  </si>
  <si>
    <t>ef de Tóbálin’á.... A'.‘ Bilbao i-.-.AA *973 Di ’Ambrosio NassarreAA:A.:.:: . 'Zaragoza./.:, ,j:3?o D. Francisco Tóiiias;Be ni tez A.\ .no Madrid......'. '■|5 06 : 049 *745 D. Juan Sánchez dél Corral.... Cádiz,.:.. A!. ' ’3 oó 383 D. Isidro de Ponte y‘Andrade, Coruña....... * 3do 794 D. Pedro del L'</t>
  </si>
  <si>
    <t>Toledano, Luis</t>
  </si>
  <si>
    <t>Luis Toledano</t>
  </si>
  <si>
    <t>elipe Siere, ademas de una silla y brida ya anunciadas, entregó 24 pares de estribos y 2 carabinas. D. Luis Toledano, capellán de honor de S. M., unas guarniciones de tiro de muías á pechera y 4 bocados. Rs. Mrs. En dinero y papel. El R. P. comendador y comunidad de PP. Mercenarios calzados de e</t>
  </si>
  <si>
    <t>Toma, Antonio</t>
  </si>
  <si>
    <t>Antonio Toma</t>
  </si>
  <si>
    <t>de Henares, en un recibo contra la caxa de Amortización, id.................................. 3000. D. Antonio Toma ti, id............... .................................... ............... .. 200. D. Manuel Rodríguez, oficial de la real Imprenta, 3 rs. diarios, por un mes..:..é...u....... ...</t>
  </si>
  <si>
    <t>Tomar Pascual Maupoei</t>
  </si>
  <si>
    <t>de agosto, pág. 1083, se puso equivocadamente JD. Pascual Mauduít&gt; capitán de Zapadores; debe decir D. Tomar Pascual Maupoei.___En algunos exemplares de la gazeta de ayer, página 1125 , lín. 27 , donde dice cedían., debe decir excedían. Los suscriptores á las estampas del Pasmo de Sicilia y Bendición de</t>
  </si>
  <si>
    <t>Tomás-de Peñaranda</t>
  </si>
  <si>
    <t>do S. M. conferir en el regnitierrto de infantería* de■ América^ cótiipa5ía á su:caíbc41ert&gt;' ,pá^e D. Tomas-de Peñaranda,:i EriAmirícx.’ Et Rfcf-'sé ha^sér^tiio^nómbrár :pára la:* dignidad ;de ^learr de la camdral dé-1^'é^cy^-ÁÍies ^áéanté por fallécirtriento de IX T Pedro* Ignacio de PieasarrfV á-I</t>
  </si>
  <si>
    <t>Tomasa Aíarcon, María</t>
  </si>
  <si>
    <t>María Tomasa Aíarcon</t>
  </si>
  <si>
    <t>a hechura de 24 casacas de infantería. Noviembre 2. Una señora una camisa. Una niña de 10 años una. Doña María Tomasa Aíarcon 6. La Sra. marquesa de Perales 6. Doña María Manuela de Cosío una. Dia 3. Doña Mariana y Doña Florentina Fernandez del Campo 4 camisas La congregación de naturales y originarios d</t>
  </si>
  <si>
    <t>Tomasa Cruzado</t>
  </si>
  <si>
    <t>lencia...» 300 1030 D. Manuel de Latorre..................................... Madrid...»» 600 1865 ^Doña Tomasa Cruzado................................. . Zaragoza..... 500 2030 D. Pedro Regalado del Campo......................... Cádiz........... 3°° 836 D. Fermín Carnerea Vela................. ..</t>
  </si>
  <si>
    <t>Tomasa de la Cueva</t>
  </si>
  <si>
    <t>centa Remero 3. La marquesa de Contramina 2. La marquesa de Valdecarzana 4. Doña Luisa Robinet una. Doña Tomasa de la Cueva 2 camisas. D. Antonio Gil, conde de Berverana, seis camisas, hilas, paños y vendas. En el dia 19 de mayo último falleció, á los 71 años de edad, en la ciudad de Valencia su patria</t>
  </si>
  <si>
    <t>Tomasa Gpmez</t>
  </si>
  <si>
    <t>apies , 1000. £ D. Bonifacio Segundo de Cabañas, id......................................... 1.009. Doña Tomasa Gpmez, un libramiento del fondovitalicio, id... 364 33* En el suplemento á ía gazeta de, 18 de octubre lista de donativos, pág, 33 ? 31 j dice loo, léase 116. Idem .en la del 21, pág. 3</t>
  </si>
  <si>
    <t>Tomasa Quintillar y Abadía</t>
  </si>
  <si>
    <t>...... ......... 20. D. J. S. A., en intereses de vates reales, id........... ...............— 361. Doña Tomasa Quintillar y Abadía, en intereses de vales reales de 1800, id.................................. ...................... ...... •................ 90 8f. D. Manuel Fernandez de Gamboa, abogado del coleg</t>
  </si>
  <si>
    <t>Tomasa Zaldo</t>
  </si>
  <si>
    <t>.v Zaragoza....: 3°o 879 D. Miguel de Iñigo Vallejo...»................... . Madrid......: 300 1104 Doña Tomasa Zaldo........................................... Madrid....... doo 2202 D. Benito Samaniego...................... ................... Coruña....... 50a 2442 Sres. D. Pablo Fernando, y D</t>
  </si>
  <si>
    <t>Tomasi, Pedro</t>
  </si>
  <si>
    <t>Pedro Tomasi</t>
  </si>
  <si>
    <t>l P. Fr, Tomas Connelli, á 13 rs* en papel, y 17 en pasta. Nueva y completa gramática italiana; por D, Pedro Tomasi, présbite— xpt á 13 rs, en papel , y *9 en pasta. . Gramática hebraica completa ex iis, quae á Doct. Petro Guarino, aliis¿gpe anjtoribus prodierunt, extracta , atque clara, factli</t>
  </si>
  <si>
    <t>Tomaste Velásco</t>
  </si>
  <si>
    <t>V.,s ‘ Zaragoza..... 3¿o 39) D. Matías, González y'Matorés.. 1........t.J.: Coruña....... - joa 269 D. Tomaste Velásco..V.V....;............v.'.aaa; • 'Büfgós..:.;:.. íiooo c982 D. Fernando de Stá. Olalla...................í..;... Madtídi..,U 660 . 79 D. Pablo Nadal y Rens.........................</t>
  </si>
  <si>
    <t>Tomé, Bernardo</t>
  </si>
  <si>
    <t>Bernardo Tomé</t>
  </si>
  <si>
    <t>chores 2©. D. Bernardino de Prades 12a, Dpña María Ursula de Torres 100. HI.^iíBs í*ui| Marine? 6q. D. Bernardo Tomé 7p. I - J El Sr. í&gt;. Ñ. 100., ? ;;;7 , D,:I?edro, Xavier dé' VefáT^óo, D* -i) j- T-vj a .Pqi\a ¿María Teresa Ga^tañós^..’^;: P&lt; FraHci^cphporti t lbo. Doña Angela Reclopdo, sirvie</t>
  </si>
  <si>
    <t>........ .............. . 300. X). Manuel Gilabert, en vales reales, id.................. . 2268 2. D. Bernardo Tomé, del comercio de cera, en vales reales, en un recibo de intereses de esta moneda, y pico en efectivo, id. 2538 27. D. Domingo Sánchez Soldeviiia, id...............................</t>
  </si>
  <si>
    <t>Tomelen, Nicolás</t>
  </si>
  <si>
    <t>Nicolás Tomelen</t>
  </si>
  <si>
    <t>as de peso, y 3® rs. en ui J j . crédito contra la real caxa de Amortización, id........... . 300*. D. Nicolás Tomelen, 2 rs. diarios,por.2-meses....................... 122.- ¿ D. Josef de-Gáceres, 2&lt;id. id.....v........................¿..*.¿..,....1...... :« 122. D. Agustín López Carretero, aboga</t>
  </si>
  <si>
    <t>Tomis Pérez de Junguifu</t>
  </si>
  <si>
    <t>yíescribanía dentro ,del térmlao~dc~ao dias. contados.desde ..1 2 del corriente. Por providencia de D. Tomis Pérez de Junguifu, juez comisionado regio en la diócesi de Sevilla, se ha señalado el dia de febrero próximo para el remite ae una mata de olvar, de caber. 10 aranzadas, sita en término de la villa</t>
  </si>
  <si>
    <t>Tomis Veri</t>
  </si>
  <si>
    <t>zelo* con este encargo especial. Los Sres. Vocales que han salido cotí esta comisión, son : el Sr. D. Tomis Veri,, para Catalufía.=Ei Sr. D. Francisco PaíáFox, Áragon.z^Los Sres. D. Francisco Xavier Caro, y D. Manuel María Avalle, Asturias y Galicia.— El Sr. Barón de Sabasoná, Valencia.a=ÉÍ</t>
  </si>
  <si>
    <t>Tontas de Urrutia</t>
  </si>
  <si>
    <t>» Alicante...... 500 518 D. Juan Josef de Goycoechea ...... ...... : Bilbao............... 300 33 8 D. Tontas de Urrutia.......«.».»*.......... . Cádiz.......... fóó 409 D. Juan Francisco Barric.................................... Coruña....... 300 9)9 Doña Josefa del Collado............... ........</t>
  </si>
  <si>
    <t>Tordesiilas, Tomás</t>
  </si>
  <si>
    <t>Tomás Tordesiilas</t>
  </si>
  <si>
    <t>s. D. Manuel Lozano, de id. D.-Josef Fernandez Garrida, diputado de id. D. Tadeo Font, diputado id. D. Tomas Tordesiilas, secretario. El señor conde de Ibangrande, hermano mayor de la congregación del Espíritu Santo. Fr. Gabriel Rubio, prior y presidente de S. Martin. D. Manuel López de Rivas , dipu</t>
  </si>
  <si>
    <t>Tordesillas, Juan Bautista</t>
  </si>
  <si>
    <t>Juan Bautista Tordesillas</t>
  </si>
  <si>
    <t>....................... . 396. Francisco Villoría, posadero, 20 rs. mensuales, por un año..... 240. D. Juan Bautista Tordesillas, presbítero, sacristán segundo de las comendadoras de Calatrava, 20 rs., por 2 meses.............. 40. D. Simón Antonio Eiriz, oficial de ia contaduría de la casa de Moneda, ño id</t>
  </si>
  <si>
    <t>Toribio María de Arce</t>
  </si>
  <si>
    <t>.......... Zaragoza/,... 3 IOOO v 2046 Lie. D. Antonio Perez Ximenez Cádiz......... * „ 50 q ¿ 1382 D. Toribio María de Arce...... . Burgos........ 30&lt;* 2041 D. Manuel Primo de Ribera.,..., Cádiz}........ í 00 1624 D. Ramón de Sta. Cruz y Gil.. Santander;.,&lt;; iOO, 1440 D. Pablo Antonio Caballero...... .</t>
  </si>
  <si>
    <t>Tornáguera, Juan</t>
  </si>
  <si>
    <t>Juan Tornáguera</t>
  </si>
  <si>
    <t>as de la Union D. Antonio Santiago 'Ulano, D. Juan: Pedro Zerpa'p D. Francisco Alvarez de Labraría, D. Juan Tornáguera, D. Manuel-Vidal; D. Bernardo Ansoategui, D. Antoni© Cruz; y á D. Manuel Ribera, comandante del cuerpo de maestranza establecida en la fortaleza, yD. Francisco Cottia , capitán de</t>
  </si>
  <si>
    <t>Tornos Zaragoza, Francisco</t>
  </si>
  <si>
    <t>Francisco Tornos Zaragoza</t>
  </si>
  <si>
    <t>.................. Bilbao..300 2125 D. Josef Patricio Sorgoyen........... . Zaragoza.... 20000 1862 D. Francisco Tornos Zaragoza.,.;. jpo 1570 Doña Juliana de Jáuregui................. .............. .. Bilbao.... ..i. 600 2213 D. Juan Soler y Galseran................................. Coruña....... 300 2089</t>
  </si>
  <si>
    <t>Tornos, Joaquín</t>
  </si>
  <si>
    <t>Joaquín Tornos</t>
  </si>
  <si>
    <t>itan í). Gregorio Prieto; y heridos los ayudantes D. Josef Daguino y D. Antonio Angulo; al teniéntb D. Joaquín Tornos y D. Nicolás Cherif, que se hallaba de comandante de la compañía de lanceros, les fueron atravesadas las dos muñecas con una bala de fusil. . . ¡ . De los extraviados, que resultan en</t>
  </si>
  <si>
    <t>Torqinto Antonio Collado</t>
  </si>
  <si>
    <t>iítíi. •' • VENTAS. Habiéndose rematado ante el Sr/.D. Torqinto Antonio Collado, teniente corregidor que fue de esta villa, y escribanía de D. Santiago Estepar,; el solar y fábrica de una casa, calle Mayor, en los soportales que llaman* de Roperos, núm.&gt; 13 ,</t>
  </si>
  <si>
    <t>Torqiráto Antonio Collado</t>
  </si>
  <si>
    <t>ago de Estepar; jr paré su .rchtate se ha Señalado ‘¿1' 3 i '.dét corriente en la audiencia del Sr. D. Torqiráto Antonio Collado, teniente ..corregidor de esta villa. o! .-•• r'" v ' AVISO. - Desde el dia i al 4 del presente se han extraviado en la villa de Ara vaca 9 vales:-reales de 150 pesos de la creaci</t>
  </si>
  <si>
    <t>Torquato Antonio Collado</t>
  </si>
  <si>
    <t>mrs.; y se ha de celebrar su remate el día 15 del presente1 en las puertas de la audiencia del Sr. D. Torquato Antonio Collado, teniente corregidor de ésta villa, por ante el escribano de sii número D. Claudio Sanz. ‘ El señor intendente de ésta-provincia, por su decreto de 21 de diciembre próximo pasado,</t>
  </si>
  <si>
    <t>de la ciudad de Xerez de la Frontera, tasado todo en 211,145 rs*» acuda á hacer postura ante el Sr. D. Torquato Antonio Collado, teniente corregidor de esta villa, por la escribanía del número de D. Santiago dé Éstepar, en el término de 30 dias contados desde el 24 de diciembre anterior. " . AVISOS. De ord</t>
  </si>
  <si>
    <t>Torquáto Antonio Collado</t>
  </si>
  <si>
    <t>a del diezmo entero, y los 10 últimos para el quarto. Por providencia del Sr* D.Torquáto Antonio Collado, teniente corregidor de esta villa, y escribanía de D. Juan López Fando, se ha mandado sacar á pública subasta, por término de 30 dias contados desde 24 de diciembre último, una casa sita e</t>
  </si>
  <si>
    <t>ina. VENTAS JUDICIALES. * •- • . T" En virtud de real facultad cometida para su cumplimiento al Sr. D. Torquato Antonio Collado, teniente corregidor de esta villa, y por ante el escribano de sti número D. Claudio Sanz, se venden diferentes fincas y heredades , que con distín-, cion de cada una , y términos</t>
  </si>
  <si>
    <t>cuíárá por la.escribanía que está á cargo de O. Claudio Constan2o. En virtud de providencia del Sr. D. Torquato Antonio Collado, teniente corregidor de esta villa, y para pago de acreedores, se está subastando una casa sita</t>
  </si>
  <si>
    <t>uisiere hacer postura acuda á la referida escribanía. Por providencia del Sr. D.Torquato Antonio Collado, teniente corregidor de esta villa, se ha señalado el dia 15 del presente, á las 1 2 de la mañana en su audiencia, para el remate d« una casa sita en la calle del Espejo, esquina á la del R</t>
  </si>
  <si>
    <t>Tórquató Antonio Collado</t>
  </si>
  <si>
    <t>sado eii481^41ij-’rs.25 rrirs. Quien quisiere hacer postura acuda ante el Sr. D.Tórquató Antonio Collado, teniente corregidor de esta villa, y escribanía de número de D. Juan Raya, el dia 12 del corriente de doce á una. j ■ AVISO. ;............ -- ■ . ,En 23 «ñero remitió: D. Ignacio de Epalza</t>
  </si>
  <si>
    <t>cutdrá-por lá éScnbanía que ddiéríijíeñ# Juak¿Mánbéi AiM&amp;ioiii.ffr* - ^miii w y: . Por auto del S?. D. Torquato Antonio Collado , teniente corregidor de esta3 Ma&gt;, se ha irmntftdoqailftíilé^roiíÉ)^ él &lt;ólt;mo-téranino de 30 dias contados desden el 6 del jprósente‘iTlal^slibasta dé uwa «asayíta ení jaicaHé;</t>
  </si>
  <si>
    <t>cumplimiento de lo que, qualquiera persona que quiera efectuarlo, lo hara por el juzgado del señor D. Torquato Antonio Collado, teniente corregidor de esta villa, y.escribana del número de D, Ramón García Ximenez, dentro del término de 30 días contados desde el 27 de febrero próximo pasado, Quien quisiere</t>
  </si>
  <si>
    <t>por tres ^érmihpsj y eLóltimoípérehtorió, comparezcan por sí ó por procurador en el juzgado’del Sr. D. Torquato Antonio Collado, teniente corregidor de esta villa, por la escribanía *del numero de D. Diego Benigno González, á exponer lo que se les ofrezca en razón de los expresados sobrantes ; con apercibi</t>
  </si>
  <si>
    <t>80 en renta, y puesta en 150^, á pagar. 38028 en metálico, y el resto en vales, lia señalado el Sr. D. Torquato Antonio Collado, teniente corregidor de esta villa, el dia 1 2 del presente en su audiencia. Quien quisiere1 hacer mejora, acuda i la escribanía del número de D. Tomas de ■Sancha y.Prado. " •■ .</t>
  </si>
  <si>
    <t>estamentaría del ilustrísimo señor marques de la Hiño josa, yá consecuencia de providencia del Sr., D. Torquato Antonio Collado, teniente corregidor dé esta villa, se ha mandada sacar á pública subasta una^ dehesa, cuyas posesiones se: denominan el Madroño y Peribañez , sita en la Real de ía Serena. Quien</t>
  </si>
  <si>
    <t>tá hecha postura en 367200 en vales, se ha señalado el dia 20 del corriente en la audiencia del Sr. D. Torquato Antonio Collado, teniente corregidor de esta villa, ante el escribano del número Don Julián González Saez, AVISOS. El dia 24 de marzo último se entregó en la ciudad de Zaragoza por D. Juan Casaus</t>
  </si>
  <si>
    <t>,cprte, calle de Toledo, portal de Pañeros, núm. 6, manz. 167, ha ocurrido por la audiencia del Sr. D. Torquato Antonio Collado, teniente corregidor de esta villa, y escribanía de número de D. Josef Antonio Canosa, hacipndo consignación, del capital y réditos vencidos de un censo redimible de 500 ducados d</t>
  </si>
  <si>
    <t>Torquato Antonio Colladoj</t>
  </si>
  <si>
    <t>s., ¡pqr lá qual dan 367200 en vales, se ha señalado el dia 21 del presente en la audiencia.del Sr&gt; D. Torquato Antonio Colladoj teniente corregidor de esta villa, ante el escribano del nííniérb D. Julián González Saez. , ; •, ... . . . T Por providencia de ÍX XüisBermudcz' de Castró ,, subdelegado ;cn éjL‘</t>
  </si>
  <si>
    <t>Torquato Segura</t>
  </si>
  <si>
    <t>Josef Roure: para una capellanía del aúmero de la catedral :de Guadix, vacante por fallecimiento de D. Torquato Segura, á P. Josef Perez Cínico y Montes, capellán de coro de ella: para uno de los dos ben.ficips; residenciales erigidos por el plan beneficial del arzobispado de Sevilla en la parroqu</t>
  </si>
  <si>
    <t>Torquato Torio de la Rivs</t>
  </si>
  <si>
    <t>egio académico de primeras letras de Madrid^)' asimismo ha de enseñar según el método prescrito por D. Torquato Torio de la Rivs. n finos; Guia de la Grandeza para el cumplimiento de los dias y años de los excelentísimos señores grandes de España, corregida de muchos errores que padecía, y aumentada de un í</t>
  </si>
  <si>
    <t>Torquato Truxillo</t>
  </si>
  <si>
    <t>stras baterías un canon abandonado por el enemigo. También se ha distinguido por so pericia y valor D. Torquato Truxillo , guardia de Corpa de la compañía italiana y ayudante de campo del bri^ e~ adier D. Francisco Venegfis Saavedra. Los regimientos de infantería de la Reyna, Irlanda, J«en , de líne</t>
  </si>
  <si>
    <t>lería, y durante la acción traxeron i nuestras baterías un cañón , que habia abandonado el enemigo. Don Torquato Truxillo , guardia de Corps de la compañía Italiana, y* ayudante de campo del brigadier D. Francisco Saavedra, se ha distinguido por su buena disposición y extraordinaria bizarría. Los reg</t>
  </si>
  <si>
    <t>Torquatp Antonio Collado</t>
  </si>
  <si>
    <t>e Hellin, Teino de Murcia, y escrir hanía de D. Antonio Ruiz Qonzalcz, á virtud de despacho del Sr. D. Torquatp Antonio Collado, teniente corregidor de Madrid, y para pago de acreedores , se lia mandado sacar á pública subasta una hacienda én él término de aquélla, villa, nombrada de Iso, compuesta de unas</t>
  </si>
  <si>
    <t>Torrado, Manuel</t>
  </si>
  <si>
    <t>Manuel Torrado</t>
  </si>
  <si>
    <t>sas y D. Josef de Checa con un Secretario, para que pasen á cumplimentar en su nombre al Excmo. Sr. D. Manuel Torrado, Diputado del ilustre reyno de Galicia y de su Junta Suprema á esta; lo que executaron el dia 17. Se avisa al público, que de órden de la Junta Suprema se está formando lista gene</t>
  </si>
  <si>
    <t>úm. 2 . Murcia 4 de agosto. En la noche del 31 del pasado se presentó á ésta suprema junta él señor D. Manuel Torrado, comisionado por el reino * de Galicia, quien después de haber exhibido la carta de creencia para ser reconocido pór tal, manifestó el fin de su comisión, que lo era la necesidad</t>
  </si>
  <si>
    <t>Murcia; 4 de Agosto.,En la noche deJ 3 1 del pisado se presentó á esta Suprema Junta.el E&gt;cmo. Sr. D. Manuel Torrado,, comisionado» por el reyno de. Galicia ,, quien, despue&amp;r de. haber exhibido sus credenciales manifestó* el fia¿ de. sub comisión,, que era la necesidad urgente que había, para l</t>
  </si>
  <si>
    <t>M. nombrado el Descubridor, que habrá 3 meses salió de este puerto conduciendo al teniente coronel D. Manuel Torrado, comisionado por el serenísimo reino de asuntos de la mayor importancia en los reinos y provincias del mediodía y levante. Cuyas comisiones desempeñó con el mayor zelo y con gener</t>
  </si>
  <si>
    <t>Torrens, Joaquín</t>
  </si>
  <si>
    <t>Joaquín Torrens</t>
  </si>
  <si>
    <t>....................... D. Josef de S. Román , por 3 meses á 2 rs. diarios.................... 184. D. Joaquín Torrens, ayo del duque de Bervrck y Alba ,T 500 ‘ rs. por,una vez, y 612 por 5 meses á 4 rs. diarios............... 2112. D. Antonio Quartero, ayo del duque de Abrantes, por agosto á 6 rs</t>
  </si>
  <si>
    <t>Torrens, Manuel</t>
  </si>
  <si>
    <t>Manuel Torrens</t>
  </si>
  <si>
    <t>Puigeerdá; D. Jacinto Pallarés, diputado de Talarn;^ D. Francisco Lesus y Pou, diputado de Mataró; D. Manuel Torrens, diputado.de Manresa; D. Baltasar de.OUinellas , diputado de Igualada en representación</t>
  </si>
  <si>
    <t>Torrent, Miguel Antonio</t>
  </si>
  <si>
    <t>Miguel Antonio Torrent</t>
  </si>
  <si>
    <t>D. F. Ni-, id.................. ........ ..................................................... 440. D. Miguel Antonio Torrent, en vales reales, id......................... 2263 28. D. Roque Rosado, en intereses de vales de 1800, id.............. .. 361. Doña Sinforiana de Roa, en intereses de vales reale</t>
  </si>
  <si>
    <t>Torres Cónsul, Manuel Vicente</t>
  </si>
  <si>
    <t>Manuel Vicente Torres Cónsul</t>
  </si>
  <si>
    <t>rra, fiscal de dicho consejo de Castilla: D. García Gómez Xara, ministro del consejo de las Indias: D. Manuel Vicente Torres Cónsul, fiscal del consejo de Hacienda : D. Ignacio de Alava, teniente general, y ministro del consejo de Ma-4 riña: D. Joaquín María Sotelo, fiscal del citado consejo de la Guerra: Don.</t>
  </si>
  <si>
    <t>Torres de Amat, Félix</t>
  </si>
  <si>
    <t>Félix Torres de Amat</t>
  </si>
  <si>
    <t>Josef Batlles y Coll para una capellanía de la metropolitana de Tarragona, vacante por renuncia de D. Félix Torres de Amat, canónigo de la colegiata de S. Ildefonso: á D. Francisco Miralles para otra capellanía, vacante en. la parroquia de Sta. María del Mar de Barcelona por promoción de D. Miguel Cas</t>
  </si>
  <si>
    <t>Torres, Francisco</t>
  </si>
  <si>
    <t>Francisco Torres</t>
  </si>
  <si>
    <t>6 Doña Francisca Arroteta, su criada. Doña Nicolasa Perez de Castro 2, una. D. Vicente Diratigo 3. D. Francisco Torres 4. D. Benito García Perez de Castro D. Severo Andrés García 2.’ una. La viuda de D. Josef de la Dehesa €. D Juan Mazarron 2 usadas. D. Juan Aceto 2. Doña Francisca Arias Perez 12,</t>
  </si>
  <si>
    <t>Torres, Segundo</t>
  </si>
  <si>
    <t>Segundo Torres</t>
  </si>
  <si>
    <t>.. 300 1947 D. Antonio Colas....................... ........................ Zaragoza..... 300 2406 D. Segundo Torres....................... ...................... Zaragoza..... óoo 1753 D. Antonio Manuel Trianes.............................. Cádiz........... 300 1541 D. Juan Antonio de Erezuma..</t>
  </si>
  <si>
    <t>Tortosa, Bernardo</t>
  </si>
  <si>
    <t>Bernardo Tortosa</t>
  </si>
  <si>
    <t>tonio Moya,-y su ayudante D. Carlos Sevilla; y heridos el capitán D. Juan Lascano, los subtenientes D. Bernardo Tortosa y D. Santiago Escario, como asimismo el cadete D. Josef María Ortiz. En la acción de dicho día 19-fueron heridos el c-apitan D. Gaspar Garth, el subteniente'de granaderos D. -Francisc</t>
  </si>
  <si>
    <t>Tosef de Velasco y Caleso</t>
  </si>
  <si>
    <t>n. 500 2073 D. Alexo Sagastuy.............................................. Cádiz.......... 300 380 D. Tosef de Velasco y Caleso.......................... Cádiz........... 500 1212 D. Ildefonso María de Castejon, de Durangó. Bilbao........ . 300 68 Doña Juana Fremiot de Masdevall y de Gomis. Barcelona..., 3</t>
  </si>
  <si>
    <t>Tosef Féy'joo</t>
  </si>
  <si>
    <t>...................... 40. D. Rufo Agustín Martínez, 2 rs. diarios, por un año................ 730. D. Tosef Féy'joo, en boletas dé Casa Real, y pico en efectivo, porv una vez.......................................................... ....... .............. 500. {Se continuará.) EN LA IMPRENTA RE</t>
  </si>
  <si>
    <t>Tosef Leonardo de Tejada</t>
  </si>
  <si>
    <t>24 2 ca: i subteniente de granaderos al de fusileros D. Tosef Leonardo de Tejada ; y á subteniente de compañía al de bandera D. Josef Montes de Oca. . La junta de gobierno del banco nacional de S. Carlos, en virtud: del5capíeulo 19 de La reaL cédula de erecció</t>
  </si>
  <si>
    <t>Tosef Sánchez</t>
  </si>
  <si>
    <t>............ ............... 24. D. Gonzalo Díaz de Ribera, por agosto á 30 rs. mensuales...... 30. D. Tosef Sánchez, 10 rs. cada mes............i......... ............... . IO D. Lorenzo Menendez, dorador, por agosto á real diario.......... 31. D. Francisco de Paula Lobo , arcediano titular de</t>
  </si>
  <si>
    <t>Tosef Santiago</t>
  </si>
  <si>
    <t>Escalante : mas sin embargo se proclamó al Rey nuestro Señor á influxos del Teniente de artillería D. Tosef Santiago, Enviado por esta Junta Suprema : el pueblo depuso</t>
  </si>
  <si>
    <t>Toti, Manuel María</t>
  </si>
  <si>
    <t>Manuel María Toti</t>
  </si>
  <si>
    <t>ausencia, del prior de S. Felipe el Real. Fr. Miguel Antonio del Rincón , prior del Carmen calzado. D. Manuel María Toti&amp;o, prepósito de S. Cayetano. P. Aguspn González, rector del colegio de Escuelas Pías de Avapies. P. Basilio Fernandez de la Visitación, rector de las Escuelas Pías de.S, Antonio A</t>
  </si>
  <si>
    <t>Tovar y Ximeriez, Pedro</t>
  </si>
  <si>
    <t>Pedro Tovar y Ximeriez</t>
  </si>
  <si>
    <t>la villa de Alburquerque , en la diócesi de Badajoz, vacante por fallecimiento de D. Pedro Vivas, á D. Pedro Tovar y Ximeriez, presbítero. x ‘ El Reí se ha servido conferir en el regimiento de infantería de Africa compañía al teniente de granaderos,^graduado de capitán, D. Ramón Doinenech: en el de Valen</t>
  </si>
  <si>
    <t>Tovia Marín, Bernardo</t>
  </si>
  <si>
    <t>Bernardo Tovia Marín</t>
  </si>
  <si>
    <t>..... 6co 454 D. Eulagio de Vitoriea..................................... Bilbao.......... 300 2315 D. Bernardo Tovia Marín................................. Cádiz........... ico 1384 D. Vicente Escudero......................................... Burgos......... 600 D. Juan Saenz Diez y ;compañía.........</t>
  </si>
  <si>
    <t>Toxnas de Moría</t>
  </si>
  <si>
    <t>l centro D. Francisco Xavier Castaños , Presidente, ÍLUsente por seguir su exército. sEl Excmo. Sr. D. Toxnas de Moría , vice*presidente y director general de a*</t>
  </si>
  <si>
    <t>Tprquato</t>
  </si>
  <si>
    <t>■■" j !. )■■■■' i. ■■■ ,j__ .VENTA ¿ÜDICXAI. .* ...... f ' . - . En virtud . de providencia del Sr. D. Tprquato ^ntouio Collado,* teniente corregidor-de esta; villa , y. para hacer pago, á la real hacienda; de. cierta cantidad, que la es, én d&lt;ber r Justo Custodio ¿Gotojez, vecinotde! lugar</t>
  </si>
  <si>
    <t>Trabajo, Santiago</t>
  </si>
  <si>
    <t>Santiago Trabajo</t>
  </si>
  <si>
    <t>...... 1000. D. Pedro de. la. Puente., arquitecto,Id......................................... 2000. D, Santiago Trabajo, portero de Rentas, id............................... 60. Bernarda Pavón., id...,.,......... ..................... ............. ..... . 10. D. Manuel Vicente Gaoua, en réditos de</t>
  </si>
  <si>
    <t>Tracy</t>
  </si>
  <si>
    <t>Bayona. La clase de la lengua y literatura francesa del instituto ha elegido el i6: del corriente á Mr. Tracy para la plaza vacante por el fallecimiento de Mr. Cabanis. Mr. dé Tracy es senador, y conocido ventajosamente del publico por un tratado de ideología, que comprehende la gramática</t>
  </si>
  <si>
    <t>Trajino Augusto, Príncipe</t>
  </si>
  <si>
    <t>Príncipe Trajino Augusto</t>
  </si>
  <si>
    <t>. en pasta---- El panegírico de Pimío en castellano, pronunciado en el senado en alabanza del mejor Príncipe Trajino Augusto, su filosofía, política moral y económica, traducido del latín por D. Francisco Barreda: un tomo en 4®, á 20 rs. en pasta. Se hallarán en la librería de Cerro, portal de Manguiter</t>
  </si>
  <si>
    <t>Tranchane-laverne</t>
  </si>
  <si>
    <t>de guerra, escrito por un antiguo general prusiano, traducido del alemán por el ciudadano Tranchane-laverne, y al español, aúmentadp con muchas notas y un discurso, por el segundo ayudante mayor de reales guardias Españolas D. Josef Xavier de Lardizaba 1: 2 tomos en</t>
  </si>
  <si>
    <t>Tranchánt</t>
  </si>
  <si>
    <t>es''épicíémibas ,*de que ha muéfto infinita1 gente , entre dlíós' el ré^etablé1 obispo* dé 'Cáfadra Mr. Tranchánt;; Efcté zelosísimó lAiiíóhéró', Víétima de su ardiente caridad, ha contraído *él contagio' visitan? do los 'enfetihos dé su diócesi: v * 11 ^■. RUSIA. • ' ' . Petérsburgo 22. de e</t>
  </si>
  <si>
    <t>Trautmansdorf, Príncipe</t>
  </si>
  <si>
    <t>Príncipe Trautmansdorf</t>
  </si>
  <si>
    <t>re , para pedirle , en nombre del Emperador , la mano de lá Princesa su hija. En el discurso que el Príncipe Trautmansdorf dirigió con esté motivo á la archiduquesa madre, dixo, entre otras cosas: ,,qúe asi como la “reunión de las casas de Hasbomg y de Lorena j que se verificó hace 70 años, había dado</t>
  </si>
  <si>
    <t>Trautmansdorffy, Príncipe</t>
  </si>
  <si>
    <t>Príncipe Trautmansdorffy</t>
  </si>
  <si>
    <t>o la archiduquesa madre, fue con-dncida la «ovni i la sala dé la audiencia, dónde la cumplimentó él Príncipe Trautmansdorffy volviéndose,después ¿ los circunstantes, les anuncid ‘qué S. A. R. lá archiduquesa María Luisa Beatriz era ya esposa de S. M. el imperador de Austria; y suplico a la archiduquesa</t>
  </si>
  <si>
    <t>Treviño, Rafael</t>
  </si>
  <si>
    <t>Rafael Treviño</t>
  </si>
  <si>
    <t>. 2 2y2cabezad* D. J. R. F....................................................................... 1 D. Rafael Treviño, oficial mayor de Juros............. 1 1 D. Manuel de Castro..................................................... 1 1 D. Francisco Antonio Quaresma................................</t>
  </si>
  <si>
    <t>Trianes, Antonio Manuel</t>
  </si>
  <si>
    <t>Antonio Manuel Trianes</t>
  </si>
  <si>
    <t>... 300 2406 D. Segundo Torres....................... ...................... Zaragoza..... óoo 1753 D. Antonio Manuel Trianes.............................. Cádiz........... 300 1541 D. Juan Antonio de Erezuma...................... . Bilbao......... 300 1103 D. Juan Xavier de la Plaza y Lazarraga........</t>
  </si>
  <si>
    <t>..... . Zaragoza..... 300 • 195 D. Josef López Sobrp.ymas.......... ......... Alicante;... 3°° »75* D. Antonio Manuel Trianes,....... ............. Cádiz.......... 600 8,1 sias.............................................................. _ Madrid....... 590 1845 D. Lorenzo Villanueva,,........ .........</t>
  </si>
  <si>
    <t>Tricio, Juan Esteban</t>
  </si>
  <si>
    <t>Juan Esteban Tricio</t>
  </si>
  <si>
    <t>Madrid...... 600 1591 D. Pedro Luis de Hormaeche.......................... Bilbao......... 300 767 D. Juan Esteban Tricio y compañía............... Madrid....... 300 312 Isabel Murphi...... .............................................. Málaga........ 1500 1702 D. Josef Boutet..........................</t>
  </si>
  <si>
    <t>Trie, Juan Esteban</t>
  </si>
  <si>
    <t>Juan Esteban Trie</t>
  </si>
  <si>
    <t>nte............. Valencia. 500 368 D. Francisco de- Mier y Teran............. Cádiz ..... 300 '7 &gt;6 D. Juan Esteban Trie so y compañía... Madrid. 500 3884 D.vAngel Ramirez de- Arellario.....^-.. Zaragoza. 3Q° 532 D. Juan Josef Perez........... .......... : Madrid.... 300 8-11 D. Alexandro de Silva y</t>
  </si>
  <si>
    <t>Trieso, Juan Esteban</t>
  </si>
  <si>
    <t>Juan Esteban Trieso</t>
  </si>
  <si>
    <t>Madrid........ 600 5 20 D. Josef Dupuy y sobrinos..................... . Bilbao.......... 3 00 757 D. Juan Esteban Trieso y compañía............... Madrid......... 3°° 545 D. Juan de Parada y Otazo............................. Madrid......... IOCO 497 D. Mariano Ordoñez de Barraiqua.................. B</t>
  </si>
  <si>
    <t>Trifon Pérez Calvo</t>
  </si>
  <si>
    <t>Cortazar....... Bilbao......... joo 2454 D. .Agustín Blanc y Gármen........ . Zaragoza..... 300 546 D. Trifon Perez Calvo........... ............... .......... Madrid....... 300 1306 D. Josef ¡Caray.,...,....-.:...*............................... Valencia...... 300 Í58 D. Camilo Gutiérrez-de los Ríos</t>
  </si>
  <si>
    <t>Trigo, Benito</t>
  </si>
  <si>
    <t>Benito Trigo</t>
  </si>
  <si>
    <t>alcalde del barrio de la Encarnación y Palacio. D. Félix Alvarez, alcalde del barrio de la Comadre. D. Benito Trigo, alcalde del barrio de San Juan. D. Pedro López, alcalde del barrio de Pinto. Fr. Gerónimo de Santa Cruz , presidente del convento de S. Bernardino. D. Josef Perez Vázquez* diputa</t>
  </si>
  <si>
    <t>Trigoen, Pedro</t>
  </si>
  <si>
    <t>Pedro Trigoen</t>
  </si>
  <si>
    <t>azque, diputado de Jesús Nazareno. D. Josef Hilario Fernandez, eclesiástico. D. Juan Bautista Lasa. D. Pedro Trigoen, secretario de las Trinitarias. Fr. Andrés de S. Juan Bautista, prior de Recoletos. D. Juan de - Mata, alcalde de S. Nicolás. D. Juan Antonio Perez, diputado del Amor de Dios. SUP</t>
  </si>
  <si>
    <t>Trillo, Juan de Dios</t>
  </si>
  <si>
    <t>Juan de Dios Trillo</t>
  </si>
  <si>
    <t>lienzos del real Hospicio de esta corte, 10 rs. mensuales, por agosto y setiembre......... 20. j. i D. Juan de Dios Trillo, 122 rs. por agosto y setiembre á 2 dia» ci: . .i ríos, y 1624 rs. y 16 mrs. por una vez.................í..1 iJjqjSiiGí D. Estéban de Agreda, director de la galena de escultura d</t>
  </si>
  <si>
    <t>Trofino Arduson</t>
  </si>
  <si>
    <t>.... Zaragozá...,. 300 2014 Doña• María Magdalena Sánchez;........... Cádiz. .'4 ,. ..i i 10000 932 D. Trofino Arduson... Máddfl.^4 :39o 2006 D. .Quirico L’uig.. Cádiz.:.......... 600</t>
  </si>
  <si>
    <t>Trota, Domingo</t>
  </si>
  <si>
    <t>Domingo Trota</t>
  </si>
  <si>
    <t>zalo del Rio 281 varas de paño pard¿&gt; para capotes. Francisco Sánchez 2 camisas y un par de medias. D. Domingo Trota 2 camisas. D. F. M. 7. Doña Manuela Roca y Vasozabal 6. Dia 14. Doña Josefa Fierra 2 casacas , 2 chalecos , 2 pares de calzones de paño blanco, 2 corbatines, 2 camisas, 2 pares de</t>
  </si>
  <si>
    <t>Truxillo, Melchor Nicolás</t>
  </si>
  <si>
    <t>Melchor Nicolás Truxillo</t>
  </si>
  <si>
    <t>quina Tobar y Yepes 5* AVISOS. Por providencia del tribunal del consulado de Cádiz, y escribanía de D. Melchor Nicolás Truxillo, se cita, llama y emplaza á qualquiera que se considere co_ñ derecho á los bienes del concurso de acreedores de la casa intitulada en aquel co» me re i o Herrera, hermanos y compa</t>
  </si>
  <si>
    <t>Truxillo, Rafael</t>
  </si>
  <si>
    <t>Rafael Truxillo</t>
  </si>
  <si>
    <t>anada* Posteriormente se recibió aquí un impreso, mandado publicar en Málaga por el Teniente de Rey D. Rafael Truxillo, el qual contiene algunas otras particularidades, y esta Suprema Junta lo ha mandado igualmente publicar, para inteligencia del Público. En carta de Andujar de 9. de Junio se dice</t>
  </si>
  <si>
    <t>Truxillo, Ramón</t>
  </si>
  <si>
    <t>Ramón Truxillo</t>
  </si>
  <si>
    <t>er, catedrático de clínica en la universidad deGotínga: traducido por el'Dr.I&gt;. Ramón Truxillo , médico de los reales hospitales General y Pasión de esta corte: un toma en 8.aá 10 rs. en rústica y 1 2 en pasta» ««.Conversaciones de un padre con sus hijos sobre lá historia natural. O</t>
  </si>
  <si>
    <t>Tuquien, Esteban</t>
  </si>
  <si>
    <t>Esteban Tuquien</t>
  </si>
  <si>
    <t>........... 300 2002 D. Santiago Cavarrbuy...... ...................... . Cádiz........... 6co 1797 D. Esteban Tuquien y D. Juan Montapan.... Cádiz........... 6co 1885 D. Angel Ramírez de Arellano......................... Zaragoza..... 600 185 D. Vicente Abadía....... ................... .............</t>
  </si>
  <si>
    <t>Turreau</t>
  </si>
  <si>
    <t>istro á Inglaterra, considerará este acto como una declaración de guerra. Igualmente se asegura que Mr. Turreau, enviado francés, ha pasado una nota á nuestro gobierno pidiéndole que cierre absolutamente todos sus puertos al pabellón británico. í.í, , TURQUIA.^ .... Constantinofia 79 de dic</t>
  </si>
  <si>
    <t>Turrón, Tomás</t>
  </si>
  <si>
    <t>Tomás Turrón</t>
  </si>
  <si>
    <t>rno ha mandado construir en Deprford un. navio de 74, que se* rá llamado Pembroke. , # CAMARA BAXA. Sir Tomas Turrón, hablando dé los asuntos de la India, diste# que aunque su ánimo no era acusar aL Ipei Velleslei, no podía menos de^ haner t</t>
  </si>
  <si>
    <t>Turton</t>
  </si>
  <si>
    <t>dia, nada barbecho allí sino movido, de su deseo y de su zelo por la prosperidad de Ingíatei?ra..”, Mr. Turton propuso que en lugar de las palabras que siguen á „nada ha hecho allí’* se sustituyesen estas por .vi&amp; de emienda: • Sino con un desprecio formal de los tratados, de las leyes , d</t>
  </si>
  <si>
    <t>Ubac, Ángel</t>
  </si>
  <si>
    <t>Ángel Ubac</t>
  </si>
  <si>
    <t>Juan Bautista Viton, D. Julián Corbera, D. Juan Pedro Macharen! , D. Roque Laurel, D. Ramón Urien , D. Angel Ubac; á los cadetes del expresado cuerpo de patriotas , con grado de subteniente, D. Juan Jo— sef Ferrer, D. Josef Beruti , D. Josef Zerero; á D. Francisco Osoro , Dop Juan Abundante B</t>
  </si>
  <si>
    <t>Ubaldo de Aguirre, Manuel</t>
  </si>
  <si>
    <t>Manuel Ubaldo de Aguirre</t>
  </si>
  <si>
    <t>............ 624. Francisco Perez, por 6 meses á 3 rs diarios.......................... ...... 548. D. Manuel Ubaldo de Aguirre, presbítero, por una vez........... 100. Doña María Josefa Morena, por una vez..................................... 3000. Doña María Azcarraga, por una vez .......................</t>
  </si>
  <si>
    <t>Ubiña, Juan</t>
  </si>
  <si>
    <t>Juan Ubiña</t>
  </si>
  <si>
    <t>ervido conceder eri el;régimiento dé infantería de Tole-* do tenencia ai subteniente'de gfántáderós D. Juan Ubiña , y subtenencia de bandera al cadete IX jfosef Otero Arias; y en el de la Corona subtenencia; de bandera al sargento1 primero'de granaderos D. Ricardo Muñozr. • Asimismo se ha dig</t>
  </si>
  <si>
    <t>Uceda, Joaquín</t>
  </si>
  <si>
    <t>Joaquín Uceda</t>
  </si>
  <si>
    <t>tir el exército. Noviembre 7. D. Bartolomé üuzman una camisa. La Sra. condesa de Alcudia 24. Dia 8. D. Joaquín Uceda una camisa. La real archicofradía sacramental de S. Cines 100. Doña Joaquina Navarro 4. Doña María Facunda Lo^ pez 2. Dia D. Simón de Antepara Luceta, vecino de Alcalá de Henares,</t>
  </si>
  <si>
    <t>Ucelai, Ignacio</t>
  </si>
  <si>
    <t>Ignacio Ucelai</t>
  </si>
  <si>
    <t>ado id. D. Eugenio Diaz, diputado interino id. D. Andrés Perez « diputado dei barrio dei Ave María. D. Ignacio Ucelai, alcalde del barrio de id. D. Manuel Balanzategui, beneficiado de S. Lorenzo. D. Mariano García Cruz, alcalde del barrio de^la Huerta del Bayo. D. Juan Blesa, diputado eclesiástic</t>
  </si>
  <si>
    <t>Ucelai, Luis</t>
  </si>
  <si>
    <t>Luis Ucelai</t>
  </si>
  <si>
    <t>añía... 3 yp3 nuevas. . Josefradros......... .... 1 1 D. Vicente GarcíaManga Hornillo............ t D. Luis Ucelai............................I................... 1 X). Rafael Gutiérrez, visitador de postas.. . 1 Juan Bautista González, maestro peluqúero. 1 El Sr. director , contadores y demás</t>
  </si>
  <si>
    <t>Ugena, Antonio</t>
  </si>
  <si>
    <t>Antonio Ugena</t>
  </si>
  <si>
    <t>illa, 2 id. por 2 id.......................................................................... 122. D. Antonio Ugena,,presbítero, maestro jubilado de la real Capilla, por una vez........................... ............................... ............ 300. D. Zacarías Pons, id....................</t>
  </si>
  <si>
    <t>Uit de Miiins, Benito</t>
  </si>
  <si>
    <t>Benito Uit de Miiins</t>
  </si>
  <si>
    <t>z Trapero 2. D. Jorge López 6camisas y 8 vendas. D. Vicente Romero 6. D. Gerónimo Gambon 2 camisas. D. Benito Uit de Miiins 3. Doña María Ximenez de Traporcr, Doña Nicolasa García una y 2 pares vecina de Méritrida ,6. - • de calcetas. El Sr. D. Pedro de Mora y Lomas, D. Fernando Romero t sábanas, un co</t>
  </si>
  <si>
    <t>Ulrich</t>
  </si>
  <si>
    <t>confundido con los esclavos, con su uniforme de gala, ycar¿ gado de cadenas que pesaban 6o libras. Mr. Ulrich se mantuvo con un semblante grave y animoso, y solo habió para recomendar á su muger y á sus cinco hijos. A la mañana siguiente, á efecto de las vivas representaciones de los cóns</t>
  </si>
  <si>
    <t>Unzaga, Bernardo</t>
  </si>
  <si>
    <t>Bernardo Unzaga</t>
  </si>
  <si>
    <t>ren' y Sobrado........... ............ ..................... ................... Bilbao., 3000 1465 D. Bernardo Unzaga....................... ................... Málaga, 300 881 D. Celedonio y D: Francisco de López......... Madrid 500 1568 D. Josef Manuel de Urterte.......................... Bilba</t>
  </si>
  <si>
    <t>Unzaga, Francisco</t>
  </si>
  <si>
    <t>Francisco Unzaga</t>
  </si>
  <si>
    <t>anuel Elzaurdi. En Cuenca.............. Sres. viuda de Escolar, Noriega é hijo. En Granada......... D. Francisco Unzaga. En Guadalaxara. D. Isidoro García Plaza. En Jaén................. D. Ramón María Montoro. En León................. . D. Josef Rio del Pino. En Málaga............ D. Juan Ximeno.4</t>
  </si>
  <si>
    <t>Urandurraga, Antonio</t>
  </si>
  <si>
    <t>Antonio Urandurraga</t>
  </si>
  <si>
    <t>, eclesiástico de id. D. Tomas Zapelena, diputado calle de Segovia. D. Manuel Medina, diputado id. D. Antonio Urandurraga, diputado del barrio de S.'Juan.-'D. Melchor Gómez de la Torre, diputado de t)oña María de Aragón. D. Francisco Villegas. D. Juan Francisco Molina* pretvbítero. D. Ignacio Guerra.</t>
  </si>
  <si>
    <t>Urban, Antonio Lorenzo</t>
  </si>
  <si>
    <t>Antonio Lorenzo Urban</t>
  </si>
  <si>
    <t>, y fulmina castigos contra una nación opresora y bárbara, del prebendado mas antiguo de mi cabildo D. Antonio Lorenzo Urban, venerable y exemplar por sus virtudes, y particularmente por su mansedumbre y apacibtlidad. Quisiera apartar la imaginación de este anciano de 85 años, bañado en su sangre, plaga</t>
  </si>
  <si>
    <t>Ürbina y Arnaez, Domingo</t>
  </si>
  <si>
    <t>Domingo Ürbina y Arnaez</t>
  </si>
  <si>
    <t>oo&gt; TI • 1 * 2263 D. Manuel dé la Bodega................ ............. . joiiDao,..... ... 300 30)5 D. Domingo Ürbina y Arnaez................. ....... Madrid....... rooo 2189 D. Josef M’endez de Vago;................... . Coruña........ 300 642 Di Francisco, Mena y compañía,......... Madrid....... ©q</t>
  </si>
  <si>
    <t>Urbina, Vicente</t>
  </si>
  <si>
    <t>Vicente Urbina</t>
  </si>
  <si>
    <t>ÓO Rs. Mrs, D. Vicente Urbina, ett vales reales, por una vez..;............ 2 3 24, f 1. D. Francisco Izquierdo, id............ .................................................... 6o¿ D. Pedro Alonso * porter</t>
  </si>
  <si>
    <t>Urdapiileta, Gaspar</t>
  </si>
  <si>
    <t>Gaspar Urdapiileta</t>
  </si>
  <si>
    <t>capitán de milicias urbanas: á los subtenientes de las expresadas milicias D. Gabriel de los Ríos , D. Gaspar Urdapiileta ,;JD. Juan Narcdo y Riega, D. JósefMaría Santelices , D. Josef Matías Costa, Don Juan Domingo Allende , D. Juan Francisco Diaz , D. Angel Hubach ; á los subtenientes del cuerpo de</t>
  </si>
  <si>
    <t>Uria Nafarrondo, Jacinto</t>
  </si>
  <si>
    <t>Jacinto Uria Nafarrondo</t>
  </si>
  <si>
    <t>. Cádiz.......... 300 19^3 Sres. D. Josef Francisco Mornau............. ... Zaragoza..... 000 *97 2 D. Jacinto Uria Nafarrondo................. . ... Zaragoza..... 600 1822 D. Manuel Centurión.................... ............ ... Zaragoza..... 300 539 D. Manuel Isidro de Mier y Teran............ ... Madri</t>
  </si>
  <si>
    <t>Uria y Nafarrondo, Jacinto</t>
  </si>
  <si>
    <t>Jacinto Uria y Nafarrondo</t>
  </si>
  <si>
    <t>............ Valencia1 3°° j873- D. Mariano de.Lucas y Arcayne............ . Zaragoza1 . . 500 1954 D. Jacinto Uria y Nafarrondo......................... taragoza 300 2402 D. Pedro Melendez........................... .............. Zaragoza • • • • f 3°9 519 d. ;osef Dupuy y sobrinos........................</t>
  </si>
  <si>
    <t>Uriarte, Francisco</t>
  </si>
  <si>
    <t>Francisco Uriarte</t>
  </si>
  <si>
    <t>e le declara la ordenanza de este ramo, y á las órdenes del director general; y al gefe dé escuadra D. Francisco Uriarte, como mayor general de la armada, ministro nato del consejo supremo de Marina, en la forma y modo que Va son los inspectores generales del exército • en el consejo supremo de la G</t>
  </si>
  <si>
    <t>Uribarri, Antonio</t>
  </si>
  <si>
    <t>Antonio Uribarri</t>
  </si>
  <si>
    <t>ital. Ministerio de justicia. D. Juan Miguel Paez de la Cadena, auditor de guerra. Ramo de correos* D. Antonio Uribarri, administrador. Santander 9 de octubre de 180S.=V. B. = E1 conde de S. Román. — Ignacio Martínez Valiejo.</t>
  </si>
  <si>
    <t>Urien, Ramón</t>
  </si>
  <si>
    <t>Ramón Urien</t>
  </si>
  <si>
    <t>cente Bordas, D. Juan Bautista Viton, D. Julián Corbera, D. Juan Pedro Macharen! , D. Roque Laurel, D. Ramón Urien , D. Angel Ubac; á los cadetes del expresado cuerpo de patriotas , con grado de subteniente, D. Juan Jo— sef Ferrer, D. Josef Beruti , D. Josef Zerero; á D. Francisco Osoro , Dop</t>
  </si>
  <si>
    <t>Uriondo, Diego</t>
  </si>
  <si>
    <t>Diego Uriondo</t>
  </si>
  <si>
    <t>Cavaza, alcalde de San Isidro. D. Vicente Tercilla, secretario. D. Angel de Diego , diputado de id. D. Diego Uriondo , diputado id. D. Francisco Rodríguez ¿ diputado del Ave María. D. Manuel Onofre Martínez, diputado de la Encarnación. D. Antonio Cucarella, diputado de S. Ildefonso. D. Tomas San</t>
  </si>
  <si>
    <t>Uriondo, Gregorio</t>
  </si>
  <si>
    <t>Gregorio Uriondo</t>
  </si>
  <si>
    <t>n de Mata Iliana, Palacio; D. Ignacio García, Plaza mayor; D. Ramón García Ximenez , San Francisco; D. Gregorio Uriondo, S. isidro; D. Juan Bautista Elasa , San Gerónimo ; D. Tomas Sanz Ibarrola , Maravilla- ; D. Roque Antonio de Lema, Afligidos ; D. Bernardo Orozco, Barquillo; D. Tadeo Fón , San M</t>
  </si>
  <si>
    <t>Urizar de Aldaca, Antonio</t>
  </si>
  <si>
    <t>Antonio Urizar de Aldaca</t>
  </si>
  <si>
    <t>avara de a Ir calde mayor mas moderna de la ciudad de Valencia; para la de Ecijá-, que este dexa, á D. Antonio Urizar de Aldaca: para el corregimiento de 1er tras de la villa de Alcoi á D. Juan Bermejo: para la vara de alcalde mayor de Valladolid, que este dexa, á D. Josef de Vargas Vaca; y para el corregi</t>
  </si>
  <si>
    <t>Urraca, Luis</t>
  </si>
  <si>
    <t>Luis Urraca</t>
  </si>
  <si>
    <t>ques de Montealegre, 4 rs. diarios*.por 2 meses............................................... 244. D. Luis Urraca, portero de la secretaría del consejo de Ordenes, uno id. por 5 meses.......................... ...... ............ ................. 153. D. Juan Bautista Gil,.del comercio, 4 id</t>
  </si>
  <si>
    <t>Urrea, Lucas</t>
  </si>
  <si>
    <t>Lucas Urrea</t>
  </si>
  <si>
    <t>María. Petra Pastor 47 varas de lienzo. D. Tadeo Bravo de Rivero hechura de 24 vestidos completos. D. Lucas Urrea 600 gruesas de botones de ballena labrados. D. Francisco Antonio Sainz 164 varas y media de estopa. D. Santiago Colominas 20 pares de zapatos. Doña Isabel Cantora 12 camisas de vi</t>
  </si>
  <si>
    <t>Urrut, Tomás</t>
  </si>
  <si>
    <t>Tomás Urrut</t>
  </si>
  <si>
    <t>iníaRtería ligera i de : Valencia se halla un . vale de 30.0.;-pe¿o^ creación *:da Mayo^n. favor de D. Tomas Urrut ¡a, á quien se . entregará;; tíéfcpifces; que, haya lacre-ditado .su .pertenencia* : ' ¿;t“Usrr CON SUPERIOR • PERMISO. --------- - 111 ni. ipiwiHWiTffii^irúipirn ^ .J 'hii EN LA</t>
  </si>
  <si>
    <t>Ursula Marimon</t>
  </si>
  <si>
    <t>..í¿;.ui;' * ‘CóriíñáL.-.U. *-300 s 2 2 D. Josef Dupuy y sobrinos......... Bilbao, i..:.;. 300 1889 Doña Ursula Marimon....... ................................ Zaragoza..... 1000 ¿Sí5 D. Juan Francisco de la Iglesia, párroco....... Coruña....... ibob 340 D. Tomas.de Urrutia....................... .</t>
  </si>
  <si>
    <t>Urzola de Loredo, María</t>
  </si>
  <si>
    <t>María Urzola de Loredo</t>
  </si>
  <si>
    <t>Números Lotes tn acciones. j Nombres de los interesados. ' Comisionados. I?5. Vil.. 1^83 Doña María Urzola de Loredo..*..Bilbao........ 3 00 1990 D. Josef Martínez de Arellano....».............. . Zaragoza..... 500 17$ D; Fernando Galán.....-..;....... ........................... Valencia..... 3</t>
  </si>
  <si>
    <t>Usauro y Ruiz, Domingo</t>
  </si>
  <si>
    <t>Domingo Usauro y Ruiz</t>
  </si>
  <si>
    <t>za, un vale real de 150 pesos por una vez........... ................................... . 2318 28. D. Domingo Usauro y Ruiz, presbítero , por una yez...uf......... 000. D. Andrés León Vázquez, á cuenta de 720 rs. por una vez...... i8ó. D. Casiano de Yanguas, corredor de número de la real aduana, 3® rs.</t>
  </si>
  <si>
    <t>Usauro, Domingo</t>
  </si>
  <si>
    <t>Domingo Usauro</t>
  </si>
  <si>
    <t>osío, contador jubilado de temporalidades de^Indias;....í..A..v..v..i....^.í...i.......;..¿.í.1000. D. Domingo Usauro, capellán mayor-del convento-de D. Juan de'Alarcon, por una vez....... . 500* D. Francisco Aguinaco........... ................. ........... ............. . 300. D. Joaquin Steine</t>
  </si>
  <si>
    <t>V Ícente Mariani</t>
  </si>
  <si>
    <t>... 40. D. F rancisco Sánchez, por una vez...... ........................................... 200. i D, V Ícente Mariani, grabador de cámara de S. M., en un libramiento de i Fondo .y ita í ícj^,, _td,... y &gt; •••»••»«•«••••• • . 912D. R. R., íd• ...¿j...tj.........¡i.i. ,40. D. Luis de Mata y Aráis j</t>
  </si>
  <si>
    <t>Vaca, Miguel</t>
  </si>
  <si>
    <t>Miguel Vaca</t>
  </si>
  <si>
    <t>n del de la Corona D. Genaro Rezabal: en el de la Corona compañía al ayudante, graduado dé capitán, D. Miguel Vaca, y tenencia al subteniente D. Joaquín Morales : en el de Africa tenencia al subteniente de granaderos D. Luis Sánchez de la Peña*, en el de Zamora compañía al teniente,graduado de</t>
  </si>
  <si>
    <t>Vacas, María</t>
  </si>
  <si>
    <t>María Vacas</t>
  </si>
  <si>
    <t>ancisco Rodrigo 6. D. Francisco de las Barreras 50 pares D. Femando Vázquez Ttllez 12. de calcetas. Doña María Vacas una libra de hilas. Lá Excma. Sra. condesa de Castél- D. Josef Antonio de Alcalá 2 caflorido 24 camisas. misas. D. Josef Coronat 2 y 2 pares de cal* D. Juan Manuel de Náxera, del</t>
  </si>
  <si>
    <t>Vacera, Gaspar</t>
  </si>
  <si>
    <t>Gaspar Vacera</t>
  </si>
  <si>
    <t>....v..........»..;.., 300. D. Angel María Tadei, pintor, por una vez.......i.............;. 15oo.&lt; D. Gaspar Vacera, del comercio, por una vez.......... 1000. Cayetano González de Loriga, sirviente...................... ........... . 40. P. Antonio Luis Real, teniente general de la real armada,</t>
  </si>
  <si>
    <t>Vaídecaíias, Coronel</t>
  </si>
  <si>
    <t>Coronel Vaídecaíias</t>
  </si>
  <si>
    <t>ndante Cruz maro liaba á los Bailen , para proteger los movimieatos de nuestras divisiones ; y el * Coronel Vaídecaíias tenia órden de ocupar á Despeña Perros, que estaba mal defendido: pues el Xefe del estado mayor del exército francés había enviado orden desde Baylen al comandante de Sta. Helena</t>
  </si>
  <si>
    <t>Vaídés, Antonio</t>
  </si>
  <si>
    <t>Antonio Vaídés</t>
  </si>
  <si>
    <t>luralidad de votos los mencionados consejos. 16. Que per lo tocante á la marina concurran el bailío D. Antonio Vaídés y el teniente general D. Josef Mazarredo; y por lo respectivo si exérclto de tierra el teniente general D. Domingo Cervino; el mariscal de,campo D. Luis Idiaquez; el brigadier D. Andr</t>
  </si>
  <si>
    <t>Vaithman</t>
  </si>
  <si>
    <t>x42° de esta ciudad hizo Mr. Vaithman la mocion „ de que se presente á S. M. una humilde súplica., manifestando la extrañeza é indignación que habia producido en los ánimos la extraordinaria y desgraciada capitulación aj</t>
  </si>
  <si>
    <t>Valbuena, Juan</t>
  </si>
  <si>
    <t>Juan Valbuena</t>
  </si>
  <si>
    <t>. ' S. M. se ha servido nombrar para una ración de la catedral de Tui» vacante por fallecimiento de D. Juan Valbuena , á D. Fernando Manuel de Goyos: para una capellanía dé la real capilla de S. Fernando de la ciudad de Sevilla, vacante por muerte'de D. Román de Arrayan y Castilla,áDon Josef And</t>
  </si>
  <si>
    <t>Valdé, Cayetano</t>
  </si>
  <si>
    <t>Cayetano Valdé</t>
  </si>
  <si>
    <t>uiros, y entre los heridos al capitán gmeral ei Excmo. Sr. D. Vicente Ace vedo, al gefe de encuadra D. Cayetano Valdé.-,, v á los brigadieres conde de S. Román y D. Francisco Riquelme. Madrid de noviembre. La suprema Junta central gubernativa del reino se ha servido expedir á todos los Consejos,</t>
  </si>
  <si>
    <t>Valdemoros, Rafael</t>
  </si>
  <si>
    <t>Rafael Valdemoros</t>
  </si>
  <si>
    <t>uales...,.,......................... ..................... -..... ..... ............... ...... 550. D. Rafael Valdemoros, del comercio, 1173 id.......................... 1173. Jacinto Navarro, 200 id....*...,.................................... .............. 200. I). Manuel Bustarviejo, reloxero, 3</t>
  </si>
  <si>
    <t>Valdes, Antonio</t>
  </si>
  <si>
    <t>Antonio Valdes</t>
  </si>
  <si>
    <t>á VV. EE. de que la de Salamanca ha circulado un aviso que á ella dirigió el Excmo. Sr. Bailío Fr. D. Antonio Valdes , presidente de la suprema junta de Castilla y León, de que al pasar por Tordesillas, dirigiéndose á Ocaña para ser representante de la junta de León en la central, se vio detenid</t>
  </si>
  <si>
    <t>Valdés, Antonio</t>
  </si>
  <si>
    <t>Antonio Valdés</t>
  </si>
  <si>
    <t>diente forman do con motivo de la prisión ejecutada en las personas de los Excmos. Sres. bailío Fr. D. Antonio Valdés, vizconde de Quintanilla, diputados nombraddos por el reino de León por la junta reunida de dicho reino, Castilla y Galicia , y de D. Vicente Eulate , de orden del capitán general</t>
  </si>
  <si>
    <t>ediente formado con motivo de la prisión ejecutada en las personas de los Excmos. 3 res. bailío Pr. D. Antonio Valdes, vizconde de Quintanilla, diputados nombrados por el reyno de León, por la junta reunida de dicho reyno, Castilla y Galicia , y de D, Vicente Eulate, de órden del capitán general</t>
  </si>
  <si>
    <t>Valdivielso y Varona, Francisco</t>
  </si>
  <si>
    <t>Francisco Valdivielso y Varona</t>
  </si>
  <si>
    <t>. ...................... 20. D. Rufino Fernandez, 15 rs. mensuales, por 2 meses................ 30. D. Francisco Valdivielso y Varona, mayordomo del conde de Oñate, 40 id. por agosto...... ...................................................... 40. D. Joaquín Paredes, 10 id. id....................................</t>
  </si>
  <si>
    <t>Valdivieso, Melchor</t>
  </si>
  <si>
    <t>Melchor Valdivieso</t>
  </si>
  <si>
    <t>te. Ayudante D: Antonio Carasa, en id.: en la guardia de honor del príncipe de Pontecorvo. Teniente D. Melchor Valdivieso; subteniente D. Tadeo Todo, en id.: enfermos.</t>
  </si>
  <si>
    <t>Valdome</t>
  </si>
  <si>
    <t>hacer postura á dichas casas, acuda antee! referido señor juez , por la.escribanía do provincia de D. Valdome.ro Moraleda. Avrso-. • Estando secuestradas diferentes sacas de algodón, de las' que conducían los franceses desde Portugal á Bayona, se llama, cita y emplaza á todas las personas</t>
  </si>
  <si>
    <t>Valdomero Moraleda</t>
  </si>
  <si>
    <t>da en 76248. Quien quisiere hacer postura, acuda ante dicho señor por la escribanía de provincia de D. Valdomero Moraleda. Por providencia del Sr. D. Diego Gil Fernandez, alcalde de casa y corte, se ha mandado sacar á pública subasta, por término de 30 días, un oficio de corredor de lonja, tasado en</t>
  </si>
  <si>
    <t>Valdrigni</t>
  </si>
  <si>
    <t>Valenciano, Luis</t>
  </si>
  <si>
    <t>Luis Valenciano</t>
  </si>
  <si>
    <t>lla, por upa vez».»..»•«*»..»..«6oooá D. Luis Cabrejano, presbítero, por una vefz...».„».....„. 320.D. Luis Valenciano, teniente coronel retirado, por una vez..... 40b. Manuel de,f C3astro, ,*por úliá véz............................. , 400., Juan Josef Sigiienza y Vera , empleado en la imprenta de</t>
  </si>
  <si>
    <t>Valentin</t>
  </si>
  <si>
    <t>.... Cádiz........... 300 761 D. Tomas García Prieto y compañía.............. Madrid....... 300 335 D. Valentin y D. Josef Segura, hermanos..... Cádiz..........* 300 110 D. Francisco Paula Carrillo.............................. Tudela....... . JOO 1935 D. Juan de Brugada........................</t>
  </si>
  <si>
    <t>Valentín</t>
  </si>
  <si>
    <t>......... C ani 2147 D. Pedro de *la Riba,Andrés.,.......................... Coruña........ 3CO 334 D. Valentín y D. Josef Segura, hermanos...' • Cádiz.......... ,300 386 D. Fernando.León Benavides...... ................ . Coruña........ IOOO 2164 D. Ensebio Zallidea....................... i...</t>
  </si>
  <si>
    <t>Valentín de Foronda</t>
  </si>
  <si>
    <t>uita D. Francisco Xavier Idiaquez. «Segunda edición de h Lógica de Condillac, puesta en diálogo por D. Valentín de Foronda—-Fábulas morales escogidas de Juan de Lafontaine, en verso castellano: por D. Bernardo María de Calzada. Se venden en la librería de Munita, calle de las Carretas. Cartas de madam</t>
  </si>
  <si>
    <t>Valentín de LJrsueguia</t>
  </si>
  <si>
    <t>adoso esta— placimiento, se servirán acudir con sus respectivos billetes á la tienda de comercio de D. Valentín de LJrsueguia, puerta del Sol, frente de la callejuela del correo, á percibir el lote ó suerte que Ies haya tocado, donde se les pondrá de manifiesto el resultado de dicha rifa. VENTA JUDICIAL.</t>
  </si>
  <si>
    <t>Valentín de Ubilla, Juan</t>
  </si>
  <si>
    <t>Juan Valentín de Ubilla</t>
  </si>
  <si>
    <t>os, por una vez. 2CO. D. Pedro Fernandez de Cañaveral, por una vez........................... 120 . D. Juan Valentín de Ubilla, oficial de la contaduría de Espolios, á cuenta de 458 rs. por una vez.......................................... 229. D. Josef Antonio Diez, por una vez....................... ...</t>
  </si>
  <si>
    <t>Valentín de Ursueguia</t>
  </si>
  <si>
    <t>so para que se sirvan acudir con la posible brevedad al efecto insinuado á la tienda de comercio de D. Valentín de Ursueguia, puerta del Sol, enfrente de la callejuela del correo. GRABADO. Alegoría á la santísima Trinidad, adornada de varios emblemas y representaciones relativas todas á aquel inefable m</t>
  </si>
  <si>
    <t>Valentín Foronda</t>
  </si>
  <si>
    <t>ademia de las Ciencias de Paris sobré la edificación de hospitales , y traducidas al castellano por D. Valentín Foronda: un tomo en 4%’, á 14 rs. en pasta.-__Cartas sobre la policía, escritas por el mismo-»DñValentín de Foronda: un tomo en 8.°, á 12 rs. en pasta.;__ Miscelánea ó colección de varios</t>
  </si>
  <si>
    <t>Valentín Solanot</t>
  </si>
  <si>
    <t>ercio de Burdeos. (Diaria* de'ta 'CortmanÚMi ■- t ■ ’ Zaragoza j3 de setiembre. ^ Por carta del Sr. D. Valentín Solanot, comisionado ^n Gibraltar por ef Excmo. Sr. gobernador y capitán general de esté exército y reino:, se sabe* que1 S. E. el mayor general Drummon asegura a la nación española que |</t>
  </si>
  <si>
    <t>Valentina Bueno, María</t>
  </si>
  <si>
    <t>María Valentina Bueno</t>
  </si>
  <si>
    <t>as y una de paños. Doña Josefa Vareia una libra de hilas. Doña María Ayala y Corona 2 libras de id. Doña María Valentina Bueno 3 libras id. Doña Ignacia Bueno 2 libras id. Doña Petra Muñoz libra y media de hilas, una de paños y 8 vendas. Doña Gavina López 4 libras de hilas, 13 docenas de paños y 260 venda</t>
  </si>
  <si>
    <t>Valentina Paula de Aposta</t>
  </si>
  <si>
    <t>Burgos....... 3°° atol 1 'D. -Joáiqmñ;'de Palaoio4»«.nu...l.;-..(..l..?*.1 Madrid..... . 3°° '1031 -Doña Valentina Paula de Aposta......:.......... Madrid..... . 3000 : 630 'Dona María de las Mercedes Velasco............ Madrid..... . 3 00 c 228 D. Antonio María Balaguer........ Alicante...... 1500 ci:589 'Sr</t>
  </si>
  <si>
    <t>Valenzuela, Juan</t>
  </si>
  <si>
    <t>Juan Valenzuela</t>
  </si>
  <si>
    <t>.................. 200. D. Antonio Josef Perez Benito, por una vez............... .......... . 300. D. Juan Valenzuela* evanista, poruña vez............................. . 320. La marquesa dc Villa verde ,por una. vez............. . 1500. D. Benito Ruiz de Gamiz , por una. vez........ ............</t>
  </si>
  <si>
    <t>Valer</t>
  </si>
  <si>
    <t>te; pero ei mismo Adelung, .conociendo que se acercaba su fin, encargó la continuación de su obra ¿ Mr. Valer» profesor de Halla, autor de una gramática general y de otras muchas obras filológicas. Los herederos de Adelung le han entregado fielmente todos sus manuscritos, y se espera, med</t>
  </si>
  <si>
    <t>Valerio Cortijo</t>
  </si>
  <si>
    <t>de su dueño, sita en Ja calle de ía Cruz verde, num. 21 , manz. 481 , tasada en 80699 rs., acuda á Don Valerio Cortijo, encargado para tratar y realizar la venta, que vive en la calle de la Cruz, esquina á la angosta de Majaderitos, núm. 20, quarto tercero. * aviso. En 3 de junio remitió por el co</t>
  </si>
  <si>
    <t>Vales, Gabriel</t>
  </si>
  <si>
    <t>Gabriel Vales</t>
  </si>
  <si>
    <t>icente Chiríbella, prepósito de S. Felipe Neri. D. Estéban de la Torre, por el cuerpo del comercio. Don Gabriel Vales, diputado del barrio de lá Cruz. D. Jorge Ancos , secretario de la de Santa María D. Rafael de Goarrichena, secretario de la diputación de la calle de Segovia. D. Juan Antonio Ace</t>
  </si>
  <si>
    <t>Valiester de Villanueva, Antonio Buenaventura</t>
  </si>
  <si>
    <t>Antonio Buenaventura Valiester de Villanueva</t>
  </si>
  <si>
    <t>goza..... 300 1776 D. Josef María de Quesada.............................. Cádiz.......... 500 1187 D. Antonio Buenaventura Valiester de Villanueva............................................„...... ,......... Barcelona.... ,50® 962 D. Francisco López Nuñez...................... ....... Madrid....... óoo 1038 D. Francisco Fer</t>
  </si>
  <si>
    <t>Vall, Pedro</t>
  </si>
  <si>
    <t>Pedro Vall</t>
  </si>
  <si>
    <t>..... 300 2158 D. Tomas de Llano............................................ Coruña........ 600 171 D. Pedro Vall, comerciante............................. Valencia..... 600 1809 D. Joaquín Eugenio de Onís.................. ......... Zaragoza..... 600 2435 Sres. D. Pablo Fernando y D. Juan Ma</t>
  </si>
  <si>
    <t>Valladares, Julián</t>
  </si>
  <si>
    <t>Julián Valladares</t>
  </si>
  <si>
    <t>................................................ ........ ................................... 1000. D. Julián Valladares, dependiente del duque de Medínaceli, un. libramiento de la renta del Tabaco de 427 rs. ,;y 62 'por agostó á 2 rs, diarios................ •..... ...........................-í-...</t>
  </si>
  <si>
    <t>Valladares, María</t>
  </si>
  <si>
    <t>María Valladares</t>
  </si>
  <si>
    <t>.. 62. Doña J. P. ,‘por una vez............ .................................................. 100. Doña María Valladares y D. Gregorio Noboa, én vales reales, id............................................................. ............. .................... 2269 28. D. Salvador Rodríguez Palómequé, 918</t>
  </si>
  <si>
    <t>Vallejo, Manuel</t>
  </si>
  <si>
    <t>Manuel Vallejo</t>
  </si>
  <si>
    <t>vez, y 6* por agosto á 2 rs. diarios, 662. D. Francisco Basoa y Abrisquieta, por id. á id., 62 rs. D. Manuel Vallejo, por agosto y setiembre á 15 rs. mensuales, 30. D. Matías Cano, empleado en la fábrica de aguardientes, por una vez 300 rs. D. Bernardo González Alvarez, por una vez 640 rs. D. Ma</t>
  </si>
  <si>
    <t>Vallespin y Vallabriga, Tomás</t>
  </si>
  <si>
    <t>Tomás Vallespin y Vallabriga</t>
  </si>
  <si>
    <t>.... Zaragoza..... 300 490 Doña María Josefa Moreno Romero............... Bilbao.......... 300 1110 D. Tomas Vallespin y Vallabriga............... Madrid....... 300 20 El Excmo. Sr. Marques de las Amarillas....... Zaragoza..... 60© 1326 D. Salvador Peña, cirujano.............................. Valencia..... 500</t>
  </si>
  <si>
    <t>Valoneen, Antonio</t>
  </si>
  <si>
    <t>Antonio Valoneen</t>
  </si>
  <si>
    <t>. .................... 30. D. Casimiro Gómez Ortega, en intereses de vales reales, id..... 1263 17. D. Antonio Valoneen intereses de 1800, id................................ .90.2 17. La Sra. Doña María de Cuenca, en acciones,rid........................ 20000. D. Juan López, portero de la secretari</t>
  </si>
  <si>
    <t>Valpole</t>
  </si>
  <si>
    <t>presentasen á la cámara los documeutos relativos al abastecimiento de la escuadra de Sir Strachan. Mr. Valpole, individuo del almirantazgo, tomó la palabra en defensa de las operaciones de este cuerpo. Representó que es necesario qué se remuden las escuadras que cruzan delante de un puerto</t>
  </si>
  <si>
    <t>Valther de Dietrichstein-Proskau-Leslic, Juan Bautista Carlos (príncipe)</t>
  </si>
  <si>
    <t>Príncipe Juan Bautista Carlos Valther de Dietrichstein-Proskau-Leslic</t>
  </si>
  <si>
    <t>s acopios de lienzos, cueros y metales. La gazeta de la corte trae la noticia del fallecimiento del Príncipe Juan Bautista Carlos Valther de Dietrichstein-Proskau-Leslic, que ocurrió el 1$ de mayo á los 80 años menos un mes de edad. Durante mucho tiempo tuvo empleos mui importantes en la corte y en la diplomacia. La Emperatriz María Teresa le disp</t>
  </si>
  <si>
    <t>Válverde, Manuel María</t>
  </si>
  <si>
    <t>Manuel María Válverde</t>
  </si>
  <si>
    <t>villa llana, en ico©» Quien quisiere,hacer .postura, lo executará por lá escribamr que ' desempeña D. Manuel María Válverde. . rf- 71. L . i. Por D. Pedro Jacobo Pizarro, juez subdelegado cnlá yiíla deBelalcázar y su departamento de la diócesi de Córdoba, se han rematado por ante Peiagio Caballero Mole</t>
  </si>
  <si>
    <t>Van-Pallandt</t>
  </si>
  <si>
    <t>del Reí de Ñipóles. El camarero mayor Van-Dedeen pasa á Vestfalia con el,carácter de. ministro'.; y Mr. Van-Pallandt lia sido nombrada consejero detestado y de las colonias. A v- REINO DE ITALIA. ¡V Venecia 10 de diciembre. 7 ■ Entre los obsequios con que esta ciudad manifestó su júbilo y regoci</t>
  </si>
  <si>
    <t>Vandeborchty, María</t>
  </si>
  <si>
    <t>María Vandeborchty</t>
  </si>
  <si>
    <t>D. Ainbrosio de&gt;^iídiafekr, archivero d¿ tí contaduría mayor ¿ id. 500. D. Manuel r Doña&gt; Antonia y Doña María Vandeborchty id...;; 60.’ D. Pedro AnconiOj tk&gt;},íkítíradai ;gu;arda^almaé.en de ios '5 gre* ¡ ■ mfeó , por on.3ño^..^.v.».i..¡¡..¿.^.M,.,;...^.......................... . 1100. D. Gregorio En</t>
  </si>
  <si>
    <t>Vandeli, Juan Vicente</t>
  </si>
  <si>
    <t>Juan Vicente Vandeli</t>
  </si>
  <si>
    <t>o Nicolás Ximenez , D. Ventura Carbonell , D. Félix Victoriano Gómez, D. Juan Godoi, D. Juan Jorge, D. Juan Vicente Vandeli, Don Andrés Alvarez de Toledo, D. Manuel Gestal y Castro, D. Matías Cámara: á los tenientes del cuerpo de patriotas de la Union D. Antonio Santiago 'Ulano, D. Juan: Pedro Zerpa'p</t>
  </si>
  <si>
    <t>Vander-Hisen</t>
  </si>
  <si>
    <t>stro, plenipotenciario y embaxador extraordinario cerca del Empala» dor de Rusia. ;■ . : &gt;.. r.j} . Mr. Vander-Hisen, que era ministro 'del comercio,y de ,ls£ ¡colon,iasf pasa á ministro de la marina. d ; . v, &gt; Mr. Cambier, que tenia el ministerio de la' jtfsticia y de policía, pasa al de las c</t>
  </si>
  <si>
    <t>Vareía, Fernando</t>
  </si>
  <si>
    <t>Fernando Vareía</t>
  </si>
  <si>
    <t>- - ■ ' reales, id................... ................... ................................... 1200. D. Fernando Vareía, depositario del Monté dé piedad, id........ 600. Joaquín Ballesteros , id •&gt;• • • a • a • • • • • • ••* aa •••«*••-* §••••!* J&gt; ,300. 2 compañías cómicas dc ÁAadrjdj*?id»*«,*4«**</t>
  </si>
  <si>
    <t>Várela, Juan Antonio</t>
  </si>
  <si>
    <t>Juan Antonio Várela</t>
  </si>
  <si>
    <t>f Antonio de Ap.eri.bayt t dP® 1853 D. LopejMaría Romillo,..............., Zaragoza...f. ; 3°P 2187 D. Juan Antonio Várela, Corufía. QOO .... v 1948 D. Tomas Casanova, alcalde de casa y cor te- Zaragoza..... IOOO 810 Doña María Juliana de Lapuente y Vargas... Madrid... IOOO 1730 D, Julián Negrete.....</t>
  </si>
  <si>
    <t>goza 300 1710 D. Juan Manuel de Peralta..................... -........... Cádiz......... ; 3Q0 2186 D. Juan Antonio Várela......*...»................... ....... Coruña390 2042 D, Ignacio Esteves ...................................... ............ Cádiz..;.;..... 300 2193 D. Miguel García Fernandez....</t>
  </si>
  <si>
    <t>Vargas Valencia, Nicolás</t>
  </si>
  <si>
    <t>Nicolás Vargas Valencia</t>
  </si>
  <si>
    <t>... 300 2078 D. Juan Manuel de Peralta................................... Cádiz............ 600 I49 D. Nicolás Vargas Valencia............. .................... V alencia...... 600 2044 D. Josef Ganeda................................................ . Cádiz,.......... 300 2423 D. Francisco Fernandez Elias</t>
  </si>
  <si>
    <t>Vasallo, Domingo</t>
  </si>
  <si>
    <t>Domingo Vasallo</t>
  </si>
  <si>
    <t>ría Zaro, y la caballería con el todo de la expedición á las del coronel comandante de la Fuensanta D. Domingo Vasallo. Pasaron estas tropas el vado del rio Ebro por el auxilio de los machos de brigada que tenia prevenidos á la orilla, y dexé apostados en ella los batallones de tiradores de Leiva</t>
  </si>
  <si>
    <t>Vassalo, Francisco</t>
  </si>
  <si>
    <t>Francisco Vassalo</t>
  </si>
  <si>
    <t>40., D. Josef Ramos, t-&lt;fco id.' id........*».................................... .......... *oo., D. Francisco Vassalo, 40 id. por 6 meses.......................... ^2-40.. Santiago Nrgaiedo, 15 id¿ por a id............................................. 30. ■" Pedro Valles, 8 id. por agosto........</t>
  </si>
  <si>
    <t>Vater</t>
  </si>
  <si>
    <t>an entregado fielmente todos sus manuscritos, y se espera, mediante la actividad y conocimientos de Mr. Vater, que pronto salga á luz el tomo segundo. Entre Ios; materiales que deben componerle, se han encontrado todas las noticias que el sabio James Macdonatd franqueó á Mr. Adelung sobre</t>
  </si>
  <si>
    <t>Vattenvil y Mr</t>
  </si>
  <si>
    <t>á esta ciudad, donde se ha detenido hasta hoi, que ha .salido para el Oberland. El antiguo landaman Mr. Vattenvil y Mr. Muiinen fueron á cumplimentar á S. M. á nombre de esta ciudad. IMPERIO FRANCES. Génova &lt;T de julio. Mr. de Montfleur*, capitán comandante de la gendarmería imperial, acaba de inv</t>
  </si>
  <si>
    <t>Vázquez del Viso, Vicente</t>
  </si>
  <si>
    <t>Vicente Vázquez del Viso</t>
  </si>
  <si>
    <t>............................... ................ .......................... .................. 404. D. Vicente Vázquez del Viso, tesorero de la lotería, 3® rs. por una vez , y 1100 por medio año á 6 rs. diarios................. 4100. D. Manuel Rodríguez de Castro, almacenista de papel, por 3 meses á 3 rs.</t>
  </si>
  <si>
    <t>Vázquez Somoza, Ignacio</t>
  </si>
  <si>
    <t>Ignacio Vázquez Somoza</t>
  </si>
  <si>
    <t>ga....... icoo 324 Bernardo Loustaunau.............................. . ... Málaga. ..¡i.-. 300 2350 D. Ignacio Vázquez Somoza..................... . ... Zaragoza..... 500 1472 D. Prudencio Valenzategui............... -.......... ... Málaga........ 300 1537 D. Agustín de Olana..................... .......</t>
  </si>
  <si>
    <t>Vázquez y Tellez, Fernando</t>
  </si>
  <si>
    <t>Fernando Vázquez y Tellez</t>
  </si>
  <si>
    <t>D. Sancho de Llamas, ministro del consejo de Hacienda.............. .......... ......... 2 2 El Sr. D. Fernando Vázquez y Tellez........ 1 1, El teniente coronel D. Alfonso de Cortes».. 1 : 1 nueva. ? D. Miguel Sainz, empleado en la oficina de ¿s alcabalas............ ........... ...................... ....</t>
  </si>
  <si>
    <t>Vázquez, Antonio</t>
  </si>
  <si>
    <t>Antonio Vázquez</t>
  </si>
  <si>
    <t>s,. .... .............................................................................. -...... 60. D. Antonio Vázquez, grabador, por agosto á 120 rs. mensuales. 120. El bibliotecario mayor con todos los individuos de la real biblioteca, por agosto á 3 ® rs. mensuales..............................</t>
  </si>
  <si>
    <t>cía de Roa, administrador general de rentas de Madrid, por agosto á 300 rs. mensuales....... 300* • D. Antonio Vázquez, por agosto á 20 rs. mensuales.................. 20, .Miguel Gamborino, grabador de láminas, por agosto.......... . 20. D. Francisco del Corte, del comercio, por agosto...........</t>
  </si>
  <si>
    <t>................................ ...................... 686. Doña María Antonia Fernandez, viuda, y D. Antonio Vázquez, su dependiente, por 4 meses á real diario..................... 122. Juan Antonio Vallinas, molendero de checplate, por agosto á . real diario.....................................</t>
  </si>
  <si>
    <t>Vázquez, Fernando</t>
  </si>
  <si>
    <t>Fernando Vázquez</t>
  </si>
  <si>
    <t>no francés, y llenándose de gloria con Campománes. el recuerdo de la ñrmeza con que este Consejo se D. Fernando Vázquez negó á la prestación del mismo juramento, que eny Teüez. tonces se exigió de él, sin haber permitido se manEl marques de Echandia. chase el santuario de este Consejo con una acció</t>
  </si>
  <si>
    <t>Vázquez, Francisco</t>
  </si>
  <si>
    <t>Francisco Vázquez</t>
  </si>
  <si>
    <t>congregación del Oratorioy de emia de las ciencias de Lisboa &amp;c,, traducida al castellano por el P. D. Francisco Vázquez, clérigo reglar de S. Cayetano, lector de teología. Con estos 2 tomos, escritos en defensa de nuestra santa religión, concluye el célebre P. Almeida su Recreación filosófica , des</t>
  </si>
  <si>
    <t>un compendio de1 la filosofía sublime y sobrenatural de nuestra santa religión, traducida por el P. D. Francisco Vázquez, clérigo reglar de S. Cayetano: un tomo un 8.° con una estampa alegórica y s-u explicación, á 11 rs, en pasta. Se hallarán en la librería de Burguil'los , casa nueva del conde de</t>
  </si>
  <si>
    <t>as injurias hechas al santísimo Sacramento, por.el P. D, Teodoro de Almeida, y traducidos por.el P. D, Francisco Vázquez clérigo reglardc S,-Cayetano: un tpmo en 8.°, a 10 rs. en pasta. Se hallaran en la libreria-de Burguilles, frente al cementerio de S. Sebastian. , . j -c - *. i Elementos de la ge</t>
  </si>
  <si>
    <t>Vedekind</t>
  </si>
  <si>
    <t>estras intencionesi” Al misino tiempo Mr. de Bethman, encargado de negocios de Rusia,, ha enviado á Mr. Vedekind, primer cirujano del hospital de Maguncia, una sortija de brillantes á nombre de su Soberano, en reconocimiento del &gt;zeIo y sólicitud con que ha asistido a jos, rusos enfermos en</t>
  </si>
  <si>
    <t>Vega y Monserrat</t>
  </si>
  <si>
    <t>de Valencia á las 4 de la tarde el Exorno. Sr. D. Juan Manuel de Cágiga! de la Vega y Monserrat, teniente general de los reales exércitos, segundo comandante general de aquella plaza, del hábito de Santiago, comendador de Ballesteros, gentilhombre de cámara de S. M, con entrada, á los</t>
  </si>
  <si>
    <t>Vega, Carlos</t>
  </si>
  <si>
    <t>Carlos Vega</t>
  </si>
  <si>
    <t>oza, teniente coronel del propio cuerpo: compañía en el de Borbon al ayudante, graduado de capitán, D. Carlos Vega; y en el de Farnesio terienciaál alférez D. Joaquin de Tornos. También se ha dignado S. M. conceder empleo de alférez en el regimiento de dragones de la Reina al portaguión D. Jos</t>
  </si>
  <si>
    <t>Vega, Juan</t>
  </si>
  <si>
    <t>Juan Vega</t>
  </si>
  <si>
    <t>............ 360. D. Josef Guell y Ferrari , en vales reales, id................ ............. 2327 D. Juan Vega, id...................... ................................. ...... ............. 100. D. A. P., en intereses de vales reales de 1800 y 807 y pico en efectivo, id........ .........</t>
  </si>
  <si>
    <t>Vega, Juan María</t>
  </si>
  <si>
    <t>Juan María Vega</t>
  </si>
  <si>
    <t>no tardó en ser proclamado nuestro augusto Monarca Fernando yu con las ceremonias acostumbradas.___ D. Juan María Vega es un oficial que se ha distinguido en la última guerra contra la Francia; y en esta ocasión ha demostrado su valor entrando con poca tropa en una ciudad en que estaba ya establecid</t>
  </si>
  <si>
    <t>Vela, Manuel Antonio</t>
  </si>
  <si>
    <t>Manuel Antonio Vela</t>
  </si>
  <si>
    <t>..... Valencia..... 1000 1896 D. Juan Bonifacio de Irribarren, presbítero... Zaragoza..... 300 1381 D. Manuel Antonio Vela.................................. Burgos......... 300 2413 Doña María de la Encarnación de Vestares y Chapin............................................................... Zaragoz</t>
  </si>
  <si>
    <t>Velasco, Ángel</t>
  </si>
  <si>
    <t>Ángel Velasco</t>
  </si>
  <si>
    <t>, ríos.................................................................................. ....... 93 D. Angel Velasco, por agosto á 3 rs. diarios............................ 93D. Juan Antonio de Santibañez, del comercio de lienzos., ppr un tercio á 12 rs. diarios D. Juan Francisco de Echarrisu de</t>
  </si>
  <si>
    <t>Velasco, Francisco</t>
  </si>
  <si>
    <t>Francisco Velasco</t>
  </si>
  <si>
    <t>... ...................... ‘ 300. D. Francisco Antonio González, 10 rs. mensuales, por 6 meses. 60. D. Francisco Velasco., 30 id. por agosto .v.................................... 30* D. Manuel Ortiz.de Velasco, .capellán .y cura castrense de los reales hospitales, 1.372 rs. y 17 mrs. en un libramie</t>
  </si>
  <si>
    <t>Velasco, Manuel</t>
  </si>
  <si>
    <t>Manuel Velasco</t>
  </si>
  <si>
    <t>........ Madrid....... ooq 1736 D. Josef Perez Muñoz.....*....................Cádiz..;*..... 300 26 D. Manuel Velasco.i..................... ............. . Zaragoza/...; 500 1893 D». Josef de Garlaza.................................... Zaragoza*...; 300 1939 D» Juan Martin-Ballesteros...........</t>
  </si>
  <si>
    <t>ador del nóvenb1, sin . perjuicio! de 30 rsl diarios durante la. guerra, por.una vez 33:00. . . ' [ D. Manuel Velasco, mayordomo del marques de las Amarillas, por una vez 3 20 rs. 5. D. Francisco Antonio de Riyacoba , del comercio, por una vez 3© rs..</t>
  </si>
  <si>
    <t>Velasco, Pedro</t>
  </si>
  <si>
    <t>Pedro Velasco</t>
  </si>
  <si>
    <t>es á ‘4o id.......¿.... '80. D. Mariano González ,*por agosto-á 20 rsi id‘..*.u..v..sí.)i.‘í..20. • D. Pedro Velasco., 20. Juan Manuel* Martinez , portero del archivo-de la Lotería, por agosto...... V..-..V...1.-.Í.1........ ...... IO* D. Fermín Carnerero Vela , á cuenta de 6 rs. diarios........</t>
  </si>
  <si>
    <t>Veldros, Luis</t>
  </si>
  <si>
    <t>Luis Veldros</t>
  </si>
  <si>
    <t>esia de S. Lorenzo, por 2 meses i un real.diario............................................... 61. D. Luis Veldros, mozo de oficio de la guardaropa, 500 rs. por una vez, y 150 rs. hasta fin. de diciembre á 30 rs. mensuales............................................. 650. D. Manuel de Ximeno,</t>
  </si>
  <si>
    <t>Vellorita, Petronila</t>
  </si>
  <si>
    <t>Petronila Vellorita</t>
  </si>
  <si>
    <t>tar su nombre, una pieza de paño blanco con ^2 varas. D&lt; ña María Felipa Ordina'una libra de hilas. Doña Petronila Vellorita media. Don Nicolás de Zalles-2. D¿ Benito Ruiz Gamez 4. La Sra. de Siles una. Doña Felipa Estuaila y Doña Rita Vada 3. D. Ventura López 2. Don Rodrigo Rocas 6 camisas, hilas y pañ</t>
  </si>
  <si>
    <t>Venancio de la Tejera</t>
  </si>
  <si>
    <t>ano Pacheco, intendente de /provincia , 'por ahora........................ .............. .lio.-. • D. Venancio de la Tejera, del comercio.^ por una vezi.,..^:....;- * 100..4 D. -Blas Esteban , •'pólr T A oo;/!«'&gt; Nicolás Chain érói! y plajeróy por &lt;una &lt;VeftuUa 1 ufó.J, ,'shuLl.üj2 i -¿ 400I -. O. D. J</t>
  </si>
  <si>
    <t>Venegas Saavedrá, Francisco</t>
  </si>
  <si>
    <t>Francisco Venegas Saavedrá</t>
  </si>
  <si>
    <t>ntos y valeroso exemplo contribuyó á los felices resultados de que va hecha mención^ • El brigadier D. Francisco Venegas Saavedrá, gefe de lá vanguardia, y situado al costado derecho , hizo en este dia servicios ihni -distinguidos, y contribuyó singularmente á que el enemigo' fuesé baiido ’cn aquel punto!-1</t>
  </si>
  <si>
    <t>Venegas, Francisco</t>
  </si>
  <si>
    <t>Francisco Venegas</t>
  </si>
  <si>
    <t>valeroso exetnplo uós:prpporcÍQnó Jos expresados feiices resultados. » r , .f■:.?» . , E] brigadier D. Francisco Venegas, geferde lá vanguardia de mi división, situado al costado derecho , destinó con tino y serenidad dos cuerpos con-í venientes y artillería sobre los puntos,que atacó él enemigo,y c</t>
  </si>
  <si>
    <t>Venegfis Saavedra, Francisco</t>
  </si>
  <si>
    <t>Francisco Venegfis Saavedra</t>
  </si>
  <si>
    <t>Torquato Truxillo , guardia de Corpa de la compañía italiana y ayudante de campo del bri^ e~ adier D. Francisco Venegfis Saavedra. Los regimientos de infantería de la Reyna, Irlanda, J«en , de línea , Baibastro , tercios de Texas y cazadores de Antequera han sostenido su merecida reputación': otros cuerpos d</t>
  </si>
  <si>
    <t>Venero, Pedro</t>
  </si>
  <si>
    <t>Pedro Venero</t>
  </si>
  <si>
    <t>Mc~ dallas de\$ro; de una onza. Pintura : á D. Pedro Zarra , de Sicilia, de 23 años.&gt;Itscíultura: á D. Pedro Venero, de Güemes, obispado de Santander* de 24 años. Arquitectura ; á O. Juan de Blas Molinero, del Burgo de Os— ma, de 2.2 años. Premios segundos. Medallas de plata de 8 onzas.. Pintu</t>
  </si>
  <si>
    <t>Vengoa, Domingo</t>
  </si>
  <si>
    <t>Domingo Vengoa</t>
  </si>
  <si>
    <t>de este Consejo con una acción D. Esteban Queroi; tan criminosa como inmoral. Con esta satisfacción D. Domingo Vengoa. * se pasó á realizar el solemne juramento que ahora previene la real orden; y en efecto, abierto el oratorio , y puesta en su altar la sagrada imágen de nuestro Señor Jesucristo</t>
  </si>
  <si>
    <t>Ventvort, Juan</t>
  </si>
  <si>
    <t>Juan Ventvort</t>
  </si>
  <si>
    <t>l, y que habia tomado posesión del gobierno civil y mili-» tar de la Nueva-Escocia, que antes tenia Sir Juan Ventvort, que se habia retirado con una pensión considerable. El nuevo gobernador ha llevado consigo 3 regimientos-de á 1® hombres cada uno; á saber, el 7.0, 8.° y 23.? de fusileros. El 13</t>
  </si>
  <si>
    <t>Verdejo, Francisco</t>
  </si>
  <si>
    <t>Francisco Verdejo</t>
  </si>
  <si>
    <t>.............. 8. D. Josef Martínez, pintor, por agosto......................... .............. 40. D. Francisco Verdejo, catedrático de S. Isidro, por agosto á 6o rs. mensuales........... ............................................................. 6o. D. Casimiro Flores Canseco, ídem, á 6o rs. ca</t>
  </si>
  <si>
    <t>Verermindo Ramírez de Areliano</t>
  </si>
  <si>
    <t>í&gt;.Jósef María Lastres, teniente coronel del mismo cuerpo: el de caballería de la Reina al coronel D. Verermindo Ramírez de Areliano, teniente coronel del de Farnesio'; y el de Alcántara al coronel D. Andrés de Mendoza, teniente coronel del propio cuerpo: compañía en el de Borbon al ayudante, graduado de capitá</t>
  </si>
  <si>
    <t>Verheyeris</t>
  </si>
  <si>
    <t>sus humildes respetos á S. M. En esta ocasión Mr. de Biianát^Halt la asamblea por indisposición de Mr. Verheyeris,presiden te aí*Rei el discurso que sigue: . . ‘ .. „ Señor:, en el discurso.de la sesión queacabamos determinar aliemos si</t>
  </si>
  <si>
    <t>Vesques, Salvador</t>
  </si>
  <si>
    <t>Salvador Vesques</t>
  </si>
  <si>
    <t>agosto,.,.,.............. 30. D. Pedro Antonio de la Ruá , 20 id. iá.............. ..... . - 20. • D. Salvador Vesques, 10 id. id........ .............................................. 1 10. Santos de la Fuente, mozo del Banco nacional, 20 id. id.......... 20. D. Josef Pauton, anualmente..........</t>
  </si>
  <si>
    <t>Vestenrieder</t>
  </si>
  <si>
    <t>la academia de las ciencias; Mr. Schrank, escritor de economía política; Mr. Sommering, anatómico; Mr. Vestenrieder, historiógrafo; Mr. Viebeking, arquitecto hidráulico &amp;c. &amp;c. La nueva orden del Mérito civil se llamará también orden de la Corona de Baviera, en lugar de la del León palatino, qu</t>
  </si>
  <si>
    <t>Vhitbread</t>
  </si>
  <si>
    <t>que &gt;se nombre una comisión encargada de informar sobre la situado» de Irlanda:1 - . Sesión del iG. Mr. Vhitbread preguntó si los ministros tenían ánimo de comunicar al parlamento el tratado secreto ajustado con la corte de Lisboa. - ít\^*.iCanníng le contento» diciendo que este tratado, en e</t>
  </si>
  <si>
    <t>Vial, Juan de Dios</t>
  </si>
  <si>
    <t>Juan de Dios Vial</t>
  </si>
  <si>
    <t>rgentos mayores de la asamblea veterana de caballería de Chile, á los ayudantes mayores de la misma D. Juan de Dios Vial y D. Josef María Botarro. La real junta de, gobierno de los reales hospitales General y la Pasión de esta corte lia resuelto que en el miércoles 20 del próximo abril, á las 9 de la ma</t>
  </si>
  <si>
    <t>Viana, Francisco</t>
  </si>
  <si>
    <t>Francisco Viana</t>
  </si>
  <si>
    <t>gosto á 60 rs. mensuales....................... ............................................... 60. D. Francisco Viana, del consejo de Indias, por agosto á too rs. mensuales................................................................. ....... ........... loo. Ramón Guiloche, herrador i por dos</t>
  </si>
  <si>
    <t>Viana, Luis</t>
  </si>
  <si>
    <t>Luis Viana</t>
  </si>
  <si>
    <t>sas, por agosto á 120 rs. mensuales, por id. 120. D. Benito Hernández Sonsola, por una vez 1100 rs. D. Luis Viana, del comercio de libros, por id. 500 rs. La viuda de Barco Lópezdel comercio de libros, por id. 500 rs. D. Antonio Montero, id. 100 rs. D. Germán García de laPinilla á 3 rs. diari</t>
  </si>
  <si>
    <t>Viceate Duque de Estrada</t>
  </si>
  <si>
    <t>n Madrid á n de agosto de i8oS.='D. Arias Mon.= D. Juan Antonio de Inguanzo. = D. Andrés Lasauca. = D. Viceate Duque de Estrada. = D. .Benito Arias.” El real y supremo consejo de Indias ha expedido la circular siguiente: ,, La divina Providencia, que en tan repetidas ocasiones ha manifestado la 'singular p</t>
  </si>
  <si>
    <t>Vicenta Cobo</t>
  </si>
  <si>
    <t>........................... 20. La comunidad de Padres Carmelitas descalzosde esta corte, id. 2200. Doña Vicenta Cobo, un recibo de intereses de vales de 1800, id. 90 8f. D. Ignacio Menendez, comisario de entradas del Hospital general, id.................................. ........................</t>
  </si>
  <si>
    <t>Vicenta González Bermejo</t>
  </si>
  <si>
    <t>. marquesa de Malpica 17 pantalones, 17 chaqueta?, 14 dolmanes, 15 gorras, 15 plumeros, todo usado* Doña Vicenta González Bermejo una camisa. D. C. G. B. 4 car» misas finas. , ¡ .r.■ ., • r;, .. ’ ^ .7 Dia 2 jw El Sr. D. Luis- Melgarejo, decano del consejo real de Ordenes , 12 camisas, 6 ponchos , 2 sillas c</t>
  </si>
  <si>
    <t>Vicenta Guitarty Rabinezde Andren</t>
  </si>
  <si>
    <t>Valencia. »».» 10000 • 734 0. Francisco González. Sánchez................. . Madrid....*.. 600 179 Doña Vicenta Guitarty Rabinezde Andren. Valencia..... 500 1944 D. Pedro Antonio Secilia, contador de correos de.i............................................. . Zaragoza..... 300 2340 0. Pedro Ricarde................ i</t>
  </si>
  <si>
    <t>Vicenta López</t>
  </si>
  <si>
    <t>........ 100. Doña Sinforiana Alvarez , sirviente , id................... .................... 100. Doña Vicenta López, sirviente, id....... ..................................... 300. D. Nicolás García Caballero, fiscal del honrado Concejo de la Mesta , 3300 rs. anuales, á cuenta én-intereses de v</t>
  </si>
  <si>
    <t>Vicenta María de Guzman</t>
  </si>
  <si>
    <t>o......... 300 516 D. Antonio Cortés del Valle»,......................... Bilbao......... IOOO 1061 Doña Vicenta María de Guzman.................... Madrid....... 3 00 183 D. Josef María de Salazar, mayor general de la esquadra de Cartagena...»........................ Alicante...... 300 579 D. Juan Josef de</t>
  </si>
  <si>
    <t>Vicenta Qnilez, María</t>
  </si>
  <si>
    <t>María Vicenta Qnilez</t>
  </si>
  <si>
    <t>per 4 camisas. Doña F. N. 2: La Sra. de Eguia 2. La condesa de Campo Giro 12. D. Manuel Matesanz 2. Doña María Vicenta Qnilez 3. Doña Josefa del Rio 4. Doña María Ignacia de Mogozuza 2. D. Manuel Baquero 2. , D. Joaquín Antonio Sóxo 6. D. Josef Maldonado 6. Doña A. y B. 2. D. Juan Gutiérrez 4. Doña Ana R</t>
  </si>
  <si>
    <t>Vicenta Remero</t>
  </si>
  <si>
    <t>s monjas Vaílecas 3 libras de hilas, paños y vendas. Doña Josefa María de Llano 20 libra* de hilas. Doña Vicenta Remero 3. La marquesa de Contramina 2. La marquesa de Valdecarzana 4. Doña Luisa Robinet una. Doña Tomasa de la Cueva 2 camisas. D. Antonio Gil, conde de Berverana, seis camisas, hilas,</t>
  </si>
  <si>
    <t>Vicenta San Román</t>
  </si>
  <si>
    <t>Pedro Pérez Juana, en dos na- ovalada, y una sortija ó anillo de . poleones,37 rs. y 17 mrs. oro. . Doña Vicenta San Román 60 rs. D. Andrés Rubio 120. Vippiita'Garqía icú o Doñá María García 60.. Balt^sai de los Santos 20. I Doña Paula López 40. D» Ju-^n An.tonid de Ibar 10. : ¡ D. Andrés .Perez de Gr</t>
  </si>
  <si>
    <t>Vicenta Viña</t>
  </si>
  <si>
    <t>custodia. ?■ ■ ; o; ,-*/r D. Francisco de las Barreras j 00. rs. D. Leandro Valladares ^714 rs. a 5 Doña Vicenta Viña 200. .mrs. en efectos de estado. • D. Antonjo Dáyila-toáw • , D, Alfonso;Ibarra 500. 1r^ D. Baitasar Marcó i !• L D. ■ JoseííRiberabi.66;. í • ;p t [ ;? ;!&gt; Di*,Joaquín Hernández</t>
  </si>
  <si>
    <t>Vicente María</t>
  </si>
  <si>
    <t>Xarama, pertenecientes á los propios de Madrid, acuda á la secretaría de ayuntamiento del cargo de Don Vicente María de: Arauna. r¡ : LlBRjb. . Devocionario del patriarca S. Josef: contiene el resumen del nacimiento y dones del santo, la devoción cotidiana, la carta de esclavitud, devoción para el</t>
  </si>
  <si>
    <t>Vicepte María Vergara</t>
  </si>
  <si>
    <t>es para con la patria , y siguió leyendo el extracto de las actas, formado por el actual secretario D. Vicepte María Vergara , que no pudo concurrir. En él se explicaban las tarcas de este cuerpo en el año último, y con especialidad las que,deben formar época , como son la admisión del dictado de protec</t>
  </si>
  <si>
    <t>Víctdriiy Ortuño y Viñador Coruña</t>
  </si>
  <si>
    <t>. ' Coruña.»uu„ -300 2399 D. Ramón Ramirez de Loáis*........................ . Zaragoza.»» 300 2183 D. Víctdriiy Ortuño y Viñador Coruña.....60b 491 D. Josef de&gt; "Gabriel y Estenoz Bilbaov».». J 5.06 666 D.-Nicolás de la Iglesia Lerma...... • Madrid....... 300 sn D. Julián de Urruela.............. ..v..;...........</t>
  </si>
  <si>
    <t>Víctor de Elorrieta</t>
  </si>
  <si>
    <t>goza*...; 300 1939 D» Juan Martin-Ballesteros.............................. Zaragoza.../. 300; 1582 D. Víctor de Elorrieta...................................... Bilbao......... coo2432 D. Segismundo Moret....................... ............. Cádiz......... 600r •318 Pablo" deP Valle-y Llera...........</t>
  </si>
  <si>
    <t>Víctor Troette</t>
  </si>
  <si>
    <t>eniente de granaderos ai de fusileros D. Gerónimo Netf: en el de WimpfFen á teniente al subteniente D. Víctor Troette: en el de Betschart á capitán segundo al teniente de granaderos D. JosefAlmeia ;á’ teniente de granhdéros al de fusileros D./Francisco Sírauch.; á tenientes de fusileros,’&gt;ios "su</t>
  </si>
  <si>
    <t>Víctor Vergara y Moñino</t>
  </si>
  <si>
    <t>paña , y de la gramática castellana; distinguiéndose entre los demas , por su corta edad de 5 años, D. Víctor Vergara y Moñino, que arengó con mucha serenidad y despejo al numeroso y distinguido concurso. Concluido este exercicio, se procedió á la distribución dejpremibs, que repartió á los interesados el</t>
  </si>
  <si>
    <t>Víctor Vinadel</t>
  </si>
  <si>
    <t>gresó inmediatamente por haberse roto el palo mayor, salió en breve el falucho Vulcano, al mando de D. Víctor Vinadel, teniente de fragata , con la misma comisión. La misma tarde entró un buque ingles con azúcar, cacao y hojas de lata. El 24 á jas 10 de la mañana salió el mismo extraordinario con</t>
  </si>
  <si>
    <t>Víctores Abad de Aparicio</t>
  </si>
  <si>
    <t>diz.......... 1500 2387 D. Vicente Landeras y Mas,........*................ Zaragoza..... 3 00 1860 D. Víctores Abad de Aparicio........... ............ Zaragoza..... óoo “300 *5*7 D. Josef Maltrana............................... .............. Bilbao....... 188 D. Josef Aullon y compañía...... ............</t>
  </si>
  <si>
    <t>Víctores Zavala</t>
  </si>
  <si>
    <t>-HI 444*444 4-4 4 4 4.4 4 4 4 .# f * 44 «-• * ** 4 *-4 4-444 444 4 44 4 4 444*444 9 44444*4 4 360. D. Víctores Zavala, oficial de la secretaría del Infante D. Pedro , 60 rs. mensuales • • *.* • . * ♦-• 9 9-9 4-4 4 4 4&lt;4 4&gt;4 * * -* t «'M « - d 4 4-4 44-4 4 4 4 4*4 4 "4 4-4 4-4 4 4&gt;4 4 4 4 4 4 #&gt;4</t>
  </si>
  <si>
    <t>Victoria Tovar</t>
  </si>
  <si>
    <t>osefa Almendros presentó varios vendajes, arreglados según arte para fracturas de las extremidades. Doña Victoria Tovar 3 libras de hilas y 24 vendas. Doña Susana Carrera 3 libras y media de hilas y una de paños. Doña Josefa Vareia una libra de hilas. Doña María Ayala y Corona 2 libras de id. Doña</t>
  </si>
  <si>
    <t>Victoriana Caudévilla</t>
  </si>
  <si>
    <t>to de Aragén. ■ , ¿ Doña Maria Picos? 4 ¿camisas y unas D.'Manuel Redr uello 4. - • pocas de hilas. Doña Victoriana Caudévilla una ca-Doña Nicolasa del R^ÍU9^-C?.i)^í?as,...* ipisa. • ^ unaSpocas dé.liilás "y panos. \ Doña Luisa Peral una. La Exca&amp;a. Sr^Piarquesk dé Gasté- D.- J*.-Y.-J.'D. S. 32 varas1 y</t>
  </si>
  <si>
    <t>Victorino Fabre</t>
  </si>
  <si>
    <t>ro Corneille. Los concurrentes han sido 20, entre los quales ha premiado la academia el discurso de Mr. Victorino Fabre, que ya ha conseguido anteriormente otro premio del cuerpo. Se ha adjudicado el accessit á Mr. Auger ; y se ha hecho mención honrosa de otros dos discursos. Mr. Fontanes leyó el e</t>
  </si>
  <si>
    <t>Vidal y Juan Antonio Pérez, Juan</t>
  </si>
  <si>
    <t>Juan Vidal y Juan Antonio Pérez</t>
  </si>
  <si>
    <t>d.: comisionado con los depósitos y enfermos. ’ — Teniente el capitán D, Josef Franco; subtenientes D. Juan Vidal y Don Juan Antonio Perez, en id.: con la guardia de honor del principe de Pontecorvo. . Teniente D. Josef Arcos , en id.: con el mismo destino. Subteniente D. Angel Imaz, abanderado; D. Francisco Volanger</t>
  </si>
  <si>
    <t>Vidal, Buenaventura</t>
  </si>
  <si>
    <t>Buenaventura Vidal</t>
  </si>
  <si>
    <t>e Farmacia, por 2 meses á 40 rs. id............................. .............................. 80. D. Buenaventura Vidal, del comercio, por agosto á 100 r$¿ id. roo. D. Pedro Navarro, gentilhombre de boca de S. Mv, por 2 meses á 40 rs; mensiíáles..;d^i.......ó;....-.^ 80. D. Carlos MuUeí&gt;pÓr agosto.</t>
  </si>
  <si>
    <t>Vidal, Francisco</t>
  </si>
  <si>
    <t>Francisco Vidal</t>
  </si>
  <si>
    <t>e haber muerto D. Tomas Magrat, subteniente del regímiento de Ultonia, oficU de relevantes prendas; D. Francisco Vidal, capellán del mismo regimiento, un.artillero paisano déla villa de Bagur, y 3 á 4 heridoscosa que á k verdad llena de admiración, y manifiesta en toda esta serie de/sucesos la man</t>
  </si>
  <si>
    <t>Vidarte, Francisco Xavier</t>
  </si>
  <si>
    <t>Francisco Xavier Vidarte</t>
  </si>
  <si>
    <t>aguas, D. Pedro Cendeja , D. Josef Manuel del Valie, D. Josef María Bassoco, D. Matías de la Torre, D, Francisco Xavier Vidarte, D. Josef María Bretón, D. Fermín de Labastrda y D. Juan Josef de Zulaica. Ganaron el premio extraordinario de instrucción religiosa los caballeros seminarista mayor E&gt;. Manuel Fe</t>
  </si>
  <si>
    <t>Viebeking</t>
  </si>
  <si>
    <t>Schrank, escritor de economía política; Mr. Sommering, anatómico; Mr. Vestenrieder, historiógrafo; Mr. Viebeking, arquitecto hidráulico &amp;c. &amp;c. La nueva orden del Mérito civil se llamará también orden de la Corona de Baviera, en lugar de la del León palatino, que se considerará como extingui</t>
  </si>
  <si>
    <t>Vienez-Vaublanc</t>
  </si>
  <si>
    <t>onsejero de gobierno para el departamento de la justicia y de los cultos, con el titulo de regidor. Mr. Vienez-Vaublanc será secretario general. ' ta. Habrá en cada provincia un administrador general con el título de corregidor mayor, encargado de la dirección de todos los ramos de la administració</t>
  </si>
  <si>
    <t>Vignon</t>
  </si>
  <si>
    <t>vitalicio, prefecto de policía, encargado del tercer distrito de la policía general del imperio; de Mr. Vignon, oficial de la legión de Honor, presidente del tribunal de comercio; de los señores individuos del tribunal de comercio ; de los señores individuos de la cámara de comercio ; de l</t>
  </si>
  <si>
    <t>Viguera, Francisco</t>
  </si>
  <si>
    <t>Francisco Viguera</t>
  </si>
  <si>
    <t>tonio Cano , D. Rafael Gutiérrez Monge y D. Manuel de Ciria,y subtenencias de bandera á los cadetes Don Francisco Viguera y D. Antonio los Cobos: en el de Málaga compañía al teniente de granaderos, graduado de capitán, D. Marcelino Calderón: en el de Ordenes Militares la tenencia coronela aL comandante d</t>
  </si>
  <si>
    <t>VII, Fernando</t>
  </si>
  <si>
    <t>Fernando VII</t>
  </si>
  <si>
    <t>, había reconocido por legítimo Rey de España é Indias á nuestro amado Monarca Fernando VII, con todas las formalidades que acostumbra Sevilla en la Jura de sus Reyes. En su nombre, y baxo la dirección de la Jun</t>
  </si>
  <si>
    <t>añonazos á que correspondió toda la esquadra con salva general , reconociendo á Fernando VII. Además los comisionados de esta Suprema i &gt;/Tunta han entablado ya conferencia con el General Ingles. Todas estas noti</t>
  </si>
  <si>
    <t>naturales, á impulsos de su íealtad, proclamaron y juraron por su Rey al Sr. D. Fernando VIL sin que hubiera la menor inquietud ni desorden, nombrando en su conseqüenoia un gobierno, que velase en el de aquel Rey</t>
  </si>
  <si>
    <t>erminar lo que se juzgase conveniente. En Cádiz se había jurado á nuestro amado Fernando VII el día 31 á las 6 de la tarde, y erigido una Junta, que en todo se conforma con las determinaciones de la Süpre* ma de</t>
  </si>
  <si>
    <t>CARTA DE S. M. ti Emperador de los Franceses y Rey de Italia á nuestro Monarca Fernando VIL en la que le reconoce solamente por Príncipe de Asturias* 3E¡¿n estas reflexiones es mi intento manifestar la opinión d</t>
  </si>
  <si>
    <t>o Gobierno. La Carta que vamos á analizar, fue' un medio poderoso para atraer á Fernando VIL á Bayona : la concluye manifestando el combate de sus diferentes ideas, que necesitan fizarse, y el deseo de conciliari</t>
  </si>
  <si>
    <t>siguientes* conseqüencias. ia.. La España ha reconocido legítimamente por Rey a Fernando VII, y las razones de que se vale el. Emperador de los franceses pa»a desconocerlo son pretextos sin fuerza alguna. 2a». Un</t>
  </si>
  <si>
    <t>o en Madrid de casa de los libreros todos los retratos de nuestro amado Monarca Fernando VII , imponiendo pena de la vida al que los venda. Tai es el dulce y suave gobierno, baxo el qual nos querían hacer vivir.</t>
  </si>
  <si>
    <t>26 de este, dia de la Ascensión del Señor, se jará en esta á Nro. amado Monarca Fernando VII. con la mayor solemnidad, que las circunstancias permitieron. Todos andán aquí con la escarapela nacional, y lo que mas</t>
  </si>
  <si>
    <t>ano hasta que ,el Emperador Napoleón i. ° , restituya á España á Nro. Rey y Sr. Fernando VIL, y las demás personas Reales, y respete los derechos sagrados de la Nación que ha violado, y su libertad, integridad é</t>
  </si>
  <si>
    <t>ha suspendido la marcha de tropas francesas á las provincias que han aclamado á Fernando VII. D. Manuel Barnuevo, Teniente de Dragones de Pavía, que salió de Madrid el dia 8. del corriente á las io. de la noche y</t>
  </si>
  <si>
    <t>ano tenia jurada la ruina de los Borbones ? ¿ Será legal la renuncia de nuestro Fernando VII. y demas familia Real ? ¿ Pero como ha de serlo, si según nuestras constituciones y leyes no tienen facultad los monarc</t>
  </si>
  <si>
    <t>iduos de tan distinguida milicia es restablecer en el trono á su Rey y Señor D. Fernando VII, y servirle con 3quel ardor, que los caracteriza, y aquella gloria que siembre han adquirido en el servicio de sus Mona</t>
  </si>
  <si>
    <t>aber enarbolado el estandarte de la independencia: inmediatamente se proclamó á Fernando VIL se formó ana Junta Suprema, compuesta del Sr. Arzobispo, dos regidores, dos canónigos, dos caballeros, un comerciante,</t>
  </si>
  <si>
    <t>ido semejante en todo al de Valencia, Cartagena y otras ciudades. Se proclamó á Fernando VII, se hace el alistamiento de tropas, y se sigue un sistema uniforme de operaciones. Hace tres dias que llegaron aquí de</t>
  </si>
  <si>
    <t>ecutar su plan. Pasó oficio al General , deponiéndolo de su empleo en nombre de Fernando VII. y del pueblo, y declarando disueifa la Junta, en la qual se presentó la tarde del ó, y tuvo la osadía de pedir ai gobi</t>
  </si>
  <si>
    <t>de abdicación de Carlos IV, y colmasteis los votos de la España, proclamando á Fernando VII ; vosotros en fin , que poseedores de la confianza del nuevo Rey, y restituidos á la antigua dignidad y consideración q</t>
  </si>
  <si>
    <t>.1 2 preciso retirar de q.1 :i ios franceses* Aid El instrumento de renuncia de Fernando VIL y de los Infantes D. Cirios y D. Antonio expresa bien á las claras la violencia que se les hacia. ,, En consideración,</t>
  </si>
  <si>
    <t>yor y Uguela se han entregado á las armá# de nuestro augusto Soberano el Sr. D# Fernando VIL por los Portugueses que Vinieron á implorar nuestro auxilio. Ef capitán general de Extremadura mandé con este motivo un</t>
  </si>
  <si>
    <t>la Corufia, la declaración de guerra del principado de Asturias, y la carta de Fernando VIL al general de este principado, fecha el 8. de Mayo en Bayona. Copia también los documentos insertos en el Monitor franc</t>
  </si>
  <si>
    <t>ntica, fecha en Valencey en 14. de Junio, se sabe que nuestro Monarca el Sr. D. Fernando VIL y las demas Personas Reales qne le acompañan, gozan de la mas perfecta salud. CON SUPERIOR PERMISO. EN LA IMPRENTA DE L</t>
  </si>
  <si>
    <t>obra de iniquidad , llevándose á S. S. á Francia para encerrarlo en el Temple. Fernando VII, su tío y hermanos permanecen en Valencey, y gozan perfecta salud. GRAN BRETAÑA. Londres *3 de Julio, Ha causado aquí l</t>
  </si>
  <si>
    <t>acuerdo coa otras pr9vincias» se ha encargado del supremo gobierno en nombre de Fernando VII. Dan una idea muy ventajosa del estado y fuera» del exército patriótico , que ya ha cortado varias destacamentos enemig</t>
  </si>
  <si>
    <t>to , elpoder usar de un escudo en el brazo izquierdo Con esta inscripción ; Por Fernando VII, religiony patria; y ademas á tpdas las clases desde sargento abaxo r© rs. ai mes sobre el prest que le corresponda , e</t>
  </si>
  <si>
    <t>pena de la vida. Habían impuesto peca capital al que vendiese un re*» trato de Fernando VII’. Ayer se llenó de ellos todo Madrid. Jbsef st Halló sin cocheros al tiempo de marchar ¡ sus soldados tuvié*on que hace</t>
  </si>
  <si>
    <t>10 de la noche llegó á Bayona el gran duque de Bergv Siguen buenos en Valencey Fernando VII, con su lio y hermano. Se asegure qúe. este traió de fugarse, pero inútilmente. Acaso esta voz servirá de pretexto al g</t>
  </si>
  <si>
    <t>n general de este reyno » noticiándole la proclamación de nuestro amado monarca Fernando VII en aquellas provincias» el nombramiento de comandante general de ellas en el coronel D. Tomas de Salcedo, las órdenes q</t>
  </si>
  <si>
    <t>icada ,, materia hasta ver en el trono en Madrid á la dinastía ,, española, ó á Fernando VII. Que bien poáia comunicar „ esta respuesta á su Corte.” Andreossy desayrado se retiró precipitadamente á su palacio, y</t>
  </si>
  <si>
    <t>fícarse por la patria, tan vilmente ultrajada, y en servicio de nuestro monarca Fernando VII. Reunidos todos en Fuenlabrada, ‘dirigieron á esta su</t>
  </si>
  <si>
    <t>a carta dirigida de un amigo que se supone en Paris á otro de España, en que le comunica que el Sr. D. Fernando Vil* está proclamado allí &amp;c. pero nosotros léxos de dar el mai mínimo asenso á estas noticias, las tenemos decididamente por falsas; y no se extrañará que presumamos que semejantes p</t>
  </si>
  <si>
    <t>anto tiempo que, reyn&amp;ba la soledad y el silencio de los sepulcros. Eos vivas Á Fernando VII. y á la Junta Suprema, que acababa de jurar la restauración del trono, expresaban el entusiasmo universal. Al salir los</t>
  </si>
  <si>
    <t>e guerra,* q¿£ en 6. de Junio pqblicó la Junta. Suprema de Sevilla,en nombre de Fernando VII, quando estaba á 3ó. leguas de la capital eL exército enemigo, y esta aun no había formado el suyo. Ultimamente hizo sa</t>
  </si>
  <si>
    <t>ara !a Junta central, ha ícado eí dictimen que dió en Bayona á nuestro soberano Fernando VIL. que dice asiV „ Habiéndoseme mandado de orden de ív M. que diese mi dictamen por escrito* sobre si debe d no abdicar s</t>
  </si>
  <si>
    <t>ad,. como depositarla de la Soberanía y representante de nuestro, amado monarca Fernando VIL En 13. deJ mismo decretó S. M. la división de sus individuos en secciones: i saber, para la sección de negocios de Esta</t>
  </si>
  <si>
    <t>o esto no es posible que lo haga un beberano juicioso, después de lo acaecido á Fernando VIL En fír, Paerto báltico está en el camino de Petersbur¿o á Ko« nigsberg; y la vista de su ésquadra, próxima í entregarse</t>
  </si>
  <si>
    <t>a astuta introducción del exército francés en España, al pérfido llamamiento de Fernando VIL á Bayona, á los horrores del a. de Mayo, al saquéo de las provincias donde pudieron llegar, á la injusta mutación do di</t>
  </si>
  <si>
    <t>0. hombres ea el castillo y dos regimientos en la villa. El capitán del falucho Fernando VIL D. Josef Bernich, escribe cea fecha del 24. delante de Blanes, que aquel dia se esperaba en su campamento al Sr. Milaas</t>
  </si>
  <si>
    <t>s „ con las. vuestras para? defender nuestra religión santa, y nuestro adorado' Fernando VIL con todas* nuestras leyes, j, usos; y costumbres, sin: esperar mas recompensa que sa,,. ber qüe he llenado todo el cump</t>
  </si>
  <si>
    <t>llas banderas &lt;fortificada^jeo^ señal de la cru%; y obedecer al rey Ñro. Sr. D. Fernando VII, y en su Real nombre á la Junta central* gobernativa de estos ReyBOS3 y últimamente desfilaron ias tropas por debaxo de</t>
  </si>
  <si>
    <t>D. Cárlos Adlerberg, para residir cerca de la Junta central. El Rey Nro. Sr. D, Fernando VII, y en su real nombre la Junta central suprema, se ha servido nombrar subinspector comandante de artillería del departam</t>
  </si>
  <si>
    <t>norio y jYIoscoso, en calidad de encargado de negocios de S. IYI. G. el 'Sr. D. Fernando VII , y recibido con las formalidades de estilo, pronunció un discurso, en que manifestó, los deseos de la junta ceDtral gu</t>
  </si>
  <si>
    <t>do de haber vencido.” „ Soldados : nuestra religión santa , nuestro adorado rey Fernando VII y muestra amada patria, son el objeto del combate : para el re-tablecimier.to de objetos tan grandes y sagrados, no nos</t>
  </si>
  <si>
    <t>a augusta real magestad, poder :y autoridad de nuestro amadísimo Rey y Señor D. Fernando VIL depositados en esa suprema Junta central, por el general y uniforme voto de la nación. Considera que en él momento de h</t>
  </si>
  <si>
    <t>e ha concurrido hasta de -presenté ért defensa de la patria,* de nuestro amado "Fernando VIL, ? y Religión sarita que profesamos, Contribuya con fodo ; esfá’ério á que se verifiquen, con la mayor prontitud 'Tos a</t>
  </si>
  <si>
    <t>autoridad y representante de la augusta persona de, nuestro amado Rey el Sr. D. Fernando VIL.. Todo el aparato y ; pompa que, ha : acostumbrado ostentar; en el; recibo de . sus monarcas, Jo ha manifestado en la o</t>
  </si>
  <si>
    <t>Viíberforce</t>
  </si>
  <si>
    <t>e en buen estado, y que se devolviese á-.aquella potencia quaúdo lo permitiesen las circunstancias. Mr. Viíberforce y otfos miembros apoyaron la propuesta; pero fue negada de nue-, vo por la mayoría de 105 votos contra 44. \ . La escuadra irá ai Báltico en divisiones. Sir Samuel Hood, que monta é</t>
  </si>
  <si>
    <t>Viilaba, Luis</t>
  </si>
  <si>
    <t>Luis Viilaba</t>
  </si>
  <si>
    <t>e actualmente están en el texército de Castilla, y las de Murcia , qu^ manda actualmente el general D. Luis Viilaba; y que para su mando me ha nombrado á mí por ahora la suprema Junta. De todo lo qual quedo enterado, asegurando á V. E. que á costa de desvelos y fatigas , y con el sacrificio de</t>
  </si>
  <si>
    <t>Vil</t>
  </si>
  <si>
    <t>. Fontales ¿ presidente det cuerpo legislativo, gran maestre de la universidad; canciller de ella á Mr. Vil laret, obispo de Cassal, y tesorero á Mr. Delambre* secretario perpetuo de la primera clase del iistituto. La sociedad filantrópica ha publicado una relacio 1 de sus taréis durante e</t>
  </si>
  <si>
    <t>Vilar, Juan</t>
  </si>
  <si>
    <t>Juan Vilar</t>
  </si>
  <si>
    <t>s. D. Germán García de laPinilla á 3 rs. diarios durante la guerra, y un tercio-anticipado, 365 rs. D. Juan Vilar, platero, una escribanía nueva de plata valuada en 1264 rs. D. Francisco, D. Julián, D. Juan y D. Joaquín Diez, por 2 meses á 8 rs. , diarios durante la guerra, 488. D. Jacinto de</t>
  </si>
  <si>
    <t>Vilas, Pablo</t>
  </si>
  <si>
    <t>Pablo Vilas</t>
  </si>
  <si>
    <t>* ^ De nuestra parte hubo 4 muertos y 38 heridos, incluso el capitán del tercer tercio de Figueras D. Pablo Vilas, y según parece quedaron del enemigo 17 muertos en el campo, y tuvieron mas de jco heridos que ocultar de la plaza de Perpiñan, para que no desanimen sus demas tropas con la pérdi</t>
  </si>
  <si>
    <t>Vilíareal, Tomás</t>
  </si>
  <si>
    <t>Tomás Vilíareal</t>
  </si>
  <si>
    <t>........ 500 2127 D. Juan Bautista Barber.................................... Zaragoza..... 300 849 D. Tomas Vilíareal............................................ Madrid ....... 500 641 D. Francisco Hernando Briongos y compañía. Madrid....... 3 00 2172 D. Josef Mendez de Vigo................. ....</t>
  </si>
  <si>
    <t>Villa y Olier, Juan</t>
  </si>
  <si>
    <t>Juan Villa y Olier</t>
  </si>
  <si>
    <t>ante el señor D. León de Sagasta, teniente corregidos de esta Villa, por la escribanía de número de D. Juan Villa y Olier. NOTICIAS PECULIARES DE MADRID. S. Casto y S. Sectmdino mártir*4 —Quarenta horas en el oratorio de la callo í'del Olivar. PERDIDA. El 25 ¡de junio, áeso de las 7 de la tarde, se h</t>
  </si>
  <si>
    <t>Villa, Ignacio María</t>
  </si>
  <si>
    <t>Ignacio María Villa</t>
  </si>
  <si>
    <t>1500 92 2 D. Nicolás de Villar................................ ........... Madrid....... 700 238 6 D. Ignacio María Villa................... ....................... Zaragoza..... 300 416 D. Josef Víctor.0 Gallardo........................ . Santander.... y 00 f9 D, Juaq Buch...........................</t>
  </si>
  <si>
    <t>Villa, Juan Antonio</t>
  </si>
  <si>
    <t>Juan Antonio Villa</t>
  </si>
  <si>
    <t>I I I El iriQíQuae Tturfcieta.............. .ti 1 • • D. García Gómez Xara.................. 2 2 2 D. Juan Antonio Villa, ayudante mayor de las reales caballerizas.. I D. Luis de Onis............................ «i 1 El marques de Camarasa.... 4........ 4 ■ ^ El copde de Polentinos..................</t>
  </si>
  <si>
    <t>Villaba, Luis</t>
  </si>
  <si>
    <t>Luis Villaba</t>
  </si>
  <si>
    <t>e. ^ La suprema Junta central y gubernativa del reino ha recibido el parte que el mariscal de campo D. Luis Villaba dio al general D. Pedro González Llamas , que es el siguiente: Excmo. Sr.: A mi llegada á este punto el 7 del actual me comunico, entre otras cosas, mi segundo el brigadier D. Ger</t>
  </si>
  <si>
    <t>Villacampa, Pedro</t>
  </si>
  <si>
    <t>Pedro Villacampa</t>
  </si>
  <si>
    <t>he al comandante de Voluntarios de Aragón D. Pedro Gasea, y al .sargento.mayor del tercio de Huesca D. Pedro Villacampa con 400 hombres, y por la parte de Olas al coronel D. Felipe Perena con el resto de Voluntarios de Aragón y Huesca, sostenidos por les demas cuerpos. La acción se empeñó con un ar</t>
  </si>
  <si>
    <t>Villacastin, Miguel Ignacio</t>
  </si>
  <si>
    <t>Miguel Ignacio Villacastin</t>
  </si>
  <si>
    <t>.................. 160. D. Pedro López Labraña, confitero , por una vez....................... 2CO* D. Miguel Ignacio Villacastin, oficial de la contaduría de Cruzada, 2 recibos de intereses dé vales de los años de 1807 y 1808, y ico rs. en metálico................................ ..... .............. 3300 *</t>
  </si>
  <si>
    <t>Villamil, Domingo</t>
  </si>
  <si>
    <t>Domingo Villamil</t>
  </si>
  <si>
    <t>teresados. los. Comisionados. Fs. vn. 74 D. Salvador Garda Diego y D. Mateo Marton. 3•• •• 3co 5 7° D. Domingo Villamil........................................ Madrid 300 *3?7 D, Juan Blot............................ .......................... Valencia1 3°° j873- D. Mariano de.Lucas y Arcayne......</t>
  </si>
  <si>
    <t>Villanueva, Antonio</t>
  </si>
  <si>
    <t>Antonio Villanueva</t>
  </si>
  <si>
    <t>recho, ademas de los tres que formaban la junta, á otros ocho, que son D. Gonzalo Josef de Vilches, D. Antonio Villanueva, D. Antonio González Yebra, el marques de Casa García, D. Andrés Lasauca, D. Antonio Alvares Contreras, D, Miguel Alfonso Vilagómez, del propio conseje*</t>
  </si>
  <si>
    <t>s Antonio Mon, decano gobernador interino del consejo; los limos. Sres. D. Gonzalo Josefde Vilches, D. Antonio Villanueva, D. Antonio González Yebra , y los Sres. marques de Casa^García, D. Eugenio Manuel Alvarez Caballero, D. Sebastian de Torres, D. Domingo Fernandez Campomanes, D. Andres Lasauca, D</t>
  </si>
  <si>
    <t>Reyes D. Fernando vii y D. CarD. Manuel de Lardizabal. los ív, los dados á su consecuencia por esté D. Antonio Villanueva. Monarca, por el Emperador de los franceses D. B;¿retardo Riega. y por su hermano Josef, inclusa la constituD. Juan de Morales. ción formada para esta monarquía en Bayona D. Felip</t>
  </si>
  <si>
    <t>Villanueva, Joaquín Lorenzo</t>
  </si>
  <si>
    <t>Joaquín Lorenzo Villanueva</t>
  </si>
  <si>
    <t>........ 100. El Sr. inquisidor D.( Juan Martínez Nubla......... ............ ......... 640. El Sr. D. Joaquín Lorenzo Villanueva, capellán de honor.... ióo. D. Tomas de Sancha y Prado en efectivo................................. 1500. El mariscal de campo D, Juan Alvarez de Faria, y su esposa la condesa de</t>
  </si>
  <si>
    <t>Villanueva, Lorenzo</t>
  </si>
  <si>
    <t>Lorenzo Villanueva</t>
  </si>
  <si>
    <t>600 8,1 sias.............................................................. _ Madrid....... 590 1845 D. Lorenzo Villanueva,,........ ..................... Zaragoza..... 300 * 53 2 P, Apolinar de Isuazan.............................. , Bilbao......... 30Q 1426 Martin de Orte.................... .......</t>
  </si>
  <si>
    <t>Villar, Francisco</t>
  </si>
  <si>
    <t>Francisco Villar</t>
  </si>
  <si>
    <t>............. . 300. D. Joaquin Steiner, per una vez............... ....... ........ ....... . 160. D. Francisco Villar, sirviente, por una vez................... 200. Dl'Rafael Ruiz Diaz, alguacil de corte , por una vez............... 200. D. Tomas Gutiérrez Sanz, agente de negocios, por; una vez.</t>
  </si>
  <si>
    <t>Villareai, Pedro</t>
  </si>
  <si>
    <t>Pedro Villareai</t>
  </si>
  <si>
    <t>«.«...............»».;»»».» 160., D. Juan Ramón Ozta* y Errazu, abogado y poruña vez.»»»..». 500. ; D. Pedro Villareai, á cuenta de‘900 rs.y por una vez»»»»»..» 225.. Doña María Gertrudis Cosió,! viuda, por una vez.»»»»...»»&gt;». 40. Francisco Rubio, tendero, á cuenta de 365 rs., por una vez.». 182</t>
  </si>
  <si>
    <t>Villareal y Sanabria, Antonio</t>
  </si>
  <si>
    <t>Antonio Villareal y Sanabria</t>
  </si>
  <si>
    <t>cer postura, lo executará por la escribanía que desempeña Antonio Velasco López. Por providencia de D. Antonio Villareal y Sanabria,. subdelega do en el departamento tíe-Serón en la'diócesi de Almería ,' se ha señalado ¡el día u del Corriente para el remate de 3 cortijos, situados;en; ebtérniiño de la villa de</t>
  </si>
  <si>
    <t>Villareal, Manuel</t>
  </si>
  <si>
    <t>Manuel Villareal</t>
  </si>
  <si>
    <t>la Coruña................ o::.. {2ciones. guarniEl marques de Casa García............ x 2 pistolas» D. Manuel Villareal i tesorero de Abastos...............................¿........ D. Francisco del Campo, contador de los Sres. Infantes.......... ........ 2 x cabezón. D. Manuel Lartiga , abogado...</t>
  </si>
  <si>
    <t>Villars</t>
  </si>
  <si>
    <t>estas facultades por el Dr. Villars. Siendo catedrático el autor conoció que para la enseñanza de estas facultades era preciso dictar á los que empezaban este estudio difícil y escabroso algunos principios , con los</t>
  </si>
  <si>
    <t>Villasante, Antonio</t>
  </si>
  <si>
    <t>Antonio Villasante</t>
  </si>
  <si>
    <t>del comercio, 3 id. D. Pedro de Orve y Larreategui 6 camisas finas nuevas y 6 pares de calcetas id. D. Antonio Villasante 6 camisas nuevas. D. Fermiñ María de Uria Nafarrondo 12 id. Doña Josefa de la Cueva y Velarda 24 id. D. Diego de la Bastida 2 id. Doña María Cruz de Villaté,^ viuda, y D. Agustín</t>
  </si>
  <si>
    <t>Villcna, Juan</t>
  </si>
  <si>
    <t>Juan Villcna</t>
  </si>
  <si>
    <t>lones, id.......... 1600. D. Domingo Guerrero, á cuenta de 365 rs. anuales................... 20^.v D. Juan Villcna, sobrestante de puertas, anualmente................ 100. Cayetano García, maestro xalmero, id......................................... 100. D. Josef Navarro, id...... ............</t>
  </si>
  <si>
    <t>Villegas Muñoz, Francisco</t>
  </si>
  <si>
    <t>Francisco Villegas Muñoz</t>
  </si>
  <si>
    <t>.... iao. O. Manuel Vázquez, id................................................................ 60, D. Francisco Villegas Muñoz, boticario, id............ ...... ............. 3*0. Tuan Vázquez, mozo de lavadero, id.......................................... 100, El cabildo de escribanos de esta corte, id..</t>
  </si>
  <si>
    <t>Villegas, Francisco</t>
  </si>
  <si>
    <t>Francisco Villegas</t>
  </si>
  <si>
    <t>, diputado del barrio de S.'Juan.-'D. Melchor Gómez de la Torre, diputado de t)oña María de Aragón. D. Francisco Villegas. D. Juan Francisco Molina* pretvbítero. D. Ignacio Guerra. D. Mam e) Ramos. D. Pedro Ezquerra, secretario de la diputación de S. Gines. D. Diego Crespo, diputado de Santa Cruz. D.</t>
  </si>
  <si>
    <t>Villena, Manuel</t>
  </si>
  <si>
    <t>Manuel Villena</t>
  </si>
  <si>
    <t>s. Quien quisiere ha? cer postura, acuda ante dicho juzgado y escribanía. . Por providencia del Sr. D. Manuel Villena, gobernador militar y político, y ■subdelegado en el departamento de Alcántara, diócesi de Coria ,1 se ha mandado sacar á pública subasta^ por término de 30 días contados desde el</t>
  </si>
  <si>
    <t>Villiam Scott</t>
  </si>
  <si>
    <t>y 61420 soldados ; las de V. Irlanda de 1511 sargentos, 646 tambores, 1425 cabos y 22630 soldados." Mr. Villiam Scott declaró el 14 de este mes en una sesión.' que celebró el tribunal de presas, que todas las propiedades portuguesas qufe habían sido cogidas y conducidas á los puertos de Inglaterra,</t>
  </si>
  <si>
    <t>Víllis</t>
  </si>
  <si>
    <t>a sueca consta de 14 navios de línea: dos de ellos están todavía en el astillero. Acaba de morir el Dr. Víllis, célebre médico del Reí, á quien ha asistido con mucho acierto y felicidad en sus diferentes enfermedades.</t>
  </si>
  <si>
    <t>Viñáls, Juan</t>
  </si>
  <si>
    <t>Juan Viñáls</t>
  </si>
  <si>
    <t>as. • r En el regimiento de infantería íixo de Puerto-Rico sé ha servido el Reí conferir compañía á D. Juan Viñáls, ayudante del propio cuerpo; y esta resulta á su capitán segundo D. Josef de Salazar. En el regimiento de dragones de México se ha servido S. M. promover á tenientes á los alférec</t>
  </si>
  <si>
    <t>Vincent, Barón</t>
  </si>
  <si>
    <t>Barón Vincent</t>
  </si>
  <si>
    <t>ó una visita del rey de Saxonia , dió audiencia al conde Tolstoi, que se despidió para Prusia, y al Barón Vincent, á quien dió una carta, en respuesta de los despachos que había presentado del emperador de Austria,su an¿o. Se . cree que la. misión. de Vincent se dirige á disipar la desconfian</t>
  </si>
  <si>
    <t>Vindham</t>
  </si>
  <si>
    <t>nemigos.’* &gt;c-vv;. t ,■ .» Lord Petti habló después casi en los mismos términos que lord Whítbread. Mr. Vindham dixo que la expedición de Copenhague no debía emprende rse, á no. tener • pruebas, manifiestas d¡e que la Dinamarca se había ooiigado cpn los tianpésesí ^y aun asi es dudoso, añad</t>
  </si>
  <si>
    <t>Vindhám</t>
  </si>
  <si>
    <t>uando se delibero acerca de exercer represalias/contra la Francia. A esto último replicó con viveza Mr. Vindhám, refutando la prueba que los ministros sacaban para Asu defensa de la conducta de sus predecesores, y les echó en cara su sistema de ©presión y pesquisa, y su proceder contra los,</t>
  </si>
  <si>
    <t>tuciones. Quando se examine éi bilí me propongo explicar con extensión mis ideas sobre este punto.” Mr. Vindham. ,,Ei ministerio actual no tiene, al parecer , otro objeto que el de desacreditar las operaciones del que le ha precedido....... Por el primer ¿/// todo ciudadano en estado de def</t>
  </si>
  <si>
    <t>Vinierato, Cipriano</t>
  </si>
  <si>
    <t>Cipriano Vinierato</t>
  </si>
  <si>
    <t>ha servido nombrar para una canongía de la metropolitana de Santiago, vacante por fallecimiento dé D. Cipriano Vinierato, á D. Juan Manuel de la Rúa y Figueroa. \ Atendiendo el Reí á los servicios, mérito y conocimientos del teniente general el Sr. Conde de Ezpeleta, consejero de estado, se ha servi</t>
  </si>
  <si>
    <t>Viola, Basilio</t>
  </si>
  <si>
    <t>Basilio Viola</t>
  </si>
  <si>
    <t>n Gorrondona, D. Juan Bastarte, D. Antonio Zavala , D. Francisco'Baldrich , D. Eugenio de Iturraga, Don Basilio Viola, D. Julián Viola , D. Juan Viola, D. Mauricio Xaplaneta, D. Pedro Nicolás Ximenez , D. Ventura Carbonell , D. Félix Victoriano Gómez, D. Juan Godoi, D. Juan Jorge, D. Juan Vicente</t>
  </si>
  <si>
    <t>ántara , D. Gerónimo Rabasa, D. Ramón Antonio San Fuertes, capitanes urbanos: D. Juan de la Vianca, D. Basilio Viola, D. Juan Viola, D. Pedro Nolasco Ximenez, D. Juan Jorge, D. Matías Cámara, tenientes urbanos; y D. Manuel de los Ríos, subteniente también de urbanos, que van comprehendidos en su</t>
  </si>
  <si>
    <t>Viola, Juan</t>
  </si>
  <si>
    <t>Juan Viola</t>
  </si>
  <si>
    <t>tonio Zavala , D. Francisco'Baldrich , D. Eugenio de Iturraga, Don Basilio Viola, D. Julián Viola , D. Juan Viola, D. Mauricio Xaplaneta, D. Pedro Nicolás Ximenez , D. Ventura Carbonell , D. Félix Victoriano Gómez, D. Juan Godoi, D. Juan Jorge, D. Juan Vicente Vandeli, Don Andrés Alvarez de T</t>
  </si>
  <si>
    <t>mo Rabasa, D. Ramón Antonio San Fuertes, capitanes urbanos: D. Juan de la Vianca, D. Basilio Viola, D. Juan Viola, D. Pedro Nolasco Ximenez, D. Juan Jorge, D. Matías Cámara, tenientes urbanos; y D. Manuel de los Ríos, subteniente también de urbanos, que van comprehendidos en sus respectivas c</t>
  </si>
  <si>
    <t>Viola, Julián</t>
  </si>
  <si>
    <t>Julián Viola</t>
  </si>
  <si>
    <t>an Bastarte, D. Antonio Zavala , D. Francisco'Baldrich , D. Eugenio de Iturraga, Don Basilio Viola, D. Julián Viola , D. Juan Viola, D. Mauricio Xaplaneta, D. Pedro Nicolás Ximenez , D. Ventura Carbonell , D. Félix Victoriano Gómez, D. Juan Godoi, D. Juan Jorge, D. Juan Vicente Vandeli, Don And</t>
  </si>
  <si>
    <t>Vipente Haedo Pico</t>
  </si>
  <si>
    <t>.. -Valencia;.... 600 *339 D. Miguel Cehrian, del comercio...... í..... ».w. -Valencia..... 300 159 D. Vipente Haedo Pico».»»............................ • Valencia..... 300 2138 .D. Jban Vicente Tinao......... ............ ».»»».»; Zaragoza. .’■.» 3 00 199I D. Fernando Martínez'Rubio.......»»...»...</t>
  </si>
  <si>
    <t>Viqenta Miranda</t>
  </si>
  <si>
    <t>Francisca Madrid, y sujiija Doña .Raymunda Sastre, vecinas de Arganda, 4* y 3 varas de paño pardo. Doña Viqenta Miranda 2 camisas. D. Josef Linacero 2. Doña María Antonia Martínez una. Doña María G. 2 finas, y 2 pares de calcetas. Doña M. T. y C. 2 d$ coruña y 2 pares de calcetas. Doña Juana Lacroi</t>
  </si>
  <si>
    <t>Vire, Príncipe</t>
  </si>
  <si>
    <t>Príncipe Vire</t>
  </si>
  <si>
    <t>todos los domingos en la misa parroquial, Milán 28 de junio. En virtud de un decreto de S. A. I. el Príncipe Vire! el territorio marítimo del reino de Italia se dividirá en 14 sindicados de primera clase y 3 de segunda. El nombramiento de los síndicos pertenece al ministro de la Xjruerra y de</t>
  </si>
  <si>
    <t>Virei y la Princesa Vireina, Príncipe</t>
  </si>
  <si>
    <t>Príncipe Virei y la Princesa Vireina</t>
  </si>
  <si>
    <t>la misa mayor, después de la qual se cantó el himno de S. Ambrosio. A las i2 del día SS. A A. II el Príncipe Virei y la Princesa Vireina, acompañados de los grandes oficiales de la corona y del reino, de las autoridades nacionales, civiles y.militares residentes en esta capital, y de los gefes civiles y militares d</t>
  </si>
  <si>
    <t>Virei y la Princesa, Príncipe</t>
  </si>
  <si>
    <t>Príncipe Virei y la Princesa</t>
  </si>
  <si>
    <t>e la suerte de los pobres incapaces de poder trabajar. REINO DE ITALIA. ~ ... Milán 26 de junio. El Príncipe Virei y la Princesa su esposa salieron de aqui ayer tarde para el sitio de Monza , donde SS. A A. pasarán el verano, S. A. el Príncipe Virei vendrá á Milán los martes y viernes de cada semana para as</t>
  </si>
  <si>
    <t>Virei, Príncipe</t>
  </si>
  <si>
    <t>Príncipe Virei</t>
  </si>
  <si>
    <t>z«r.’&gt; REINO DE ITALIA. ts.' Milán 24 de febrero. n» f Con arreglo reglo á un decreto deS. Á. I. el Príncipe Virei, la franquicia del puerto de Venecia empezará á correr desde 1de abril próximo. En el estado de Lúea y Piombino se van á poner en venta varias porciones de baldíos pertenecientes</t>
  </si>
  <si>
    <t>tana, y profesor jubilado de física , ha tenido en dias pasados la honra de presentar á S. A. I. el Príncipe Virei un bellísimo modelo en cobre de su ventilador 6 máquina para apagar los incendios. Esta invención, que han celebrado mucho los diarios franceses, ha recibido nuevos grados de perf</t>
  </si>
  <si>
    <t>casa real , asistieron en su capilla á la misa y al Te Deum, que se cantó en música. En seguida el Príncipe Virei dio audiencia á todas las autoridades y á los empleados públicos, quienes manifestaron á S. A. I. los sentimientos que les animan de amor, de afecto y de gratitud para con su augu</t>
  </si>
  <si>
    <t>osa salieron de aqui ayer tarde para el sitio de Monza , donde SS. A A. pasarán el verano, S. A. el Príncipe Virei vendrá á Milán los martes y viernes de cada semana para asistir á las juntas del consejo de estado. IMPERIO FRANCES. Poulignen 12 de junio. Habiendo entrado dias pasados de arriba</t>
  </si>
  <si>
    <t>los tribunales civiles y militares, de los empleados de la casa real, del capitán de guardias y del Príncipe Virei, á quien seguían el ge-: neral Baraguei-d Hilliers, coronel general de dragonesel general Lauriston, ayudante de campó del Emperador y gobernador de Venecia, e! general Douriez, y</t>
  </si>
  <si>
    <t>Víscaino, Antonio</t>
  </si>
  <si>
    <t>Antonio Víscaino</t>
  </si>
  <si>
    <t>... Bilbao........ 3 00 2414 D. Bernardo Olivan............................ Zaragoza....* 300' 1283 D. Antonio Víscaino, presbítero......... ............ "Valencia..... IOOO 620 D. Francisco de Irusta.............................. Madrid........ 5000 397 D. Nicolás Lavaggi, tesorero de exércíto....</t>
  </si>
  <si>
    <t>Visur, Andrés</t>
  </si>
  <si>
    <t>Andrés Visur</t>
  </si>
  <si>
    <t>e 1 de Aragón y. Aivarez , por. una. vez................... $00. D. Gregoriodeia Cruz ,&gt;por una vez D. Andrés Visur, por una vez 134994 •••, too. D. Pedro Marcelino* Blanco ^ corredor de cambios, por unayez. íóoco. D. Francisco del Busto, ayuda de la real furriera, por una vez. 300. * La marque</t>
  </si>
  <si>
    <t>Vitaoarros, Manuel</t>
  </si>
  <si>
    <t>Manuel Vitaoarros</t>
  </si>
  <si>
    <t>acienda. , D. Lá*árodé las Heras, intendente honorario, y ministro de real hacienda-, en Londres. &gt; D. Manuel Vitaoarros, contador principal y comisario de guerra. D. Francisco Laborda, comisario de guerra. D. Josef Martínez, D. Josef Bringas, D. Josef Balhin y D. Isidoro Aza— güirre, oficiales de c</t>
  </si>
  <si>
    <t>Viton, Juan Bautista</t>
  </si>
  <si>
    <t>Juan Bautista Viton</t>
  </si>
  <si>
    <t>, D. Angel Hubach ; á los subtenientes del cuerpo de patriotas; D. Miguel Mugra, D. Vicente Bordas, D. Juan Bautista Viton, D. Julián Corbera, D. Juan Pedro Macharen! , D. Roque Laurel, D. Ramón Urien , D. Angel Ubac; á los cadetes del expresado cuerpo de patriotas , con grado de subteniente, D. Juan</t>
  </si>
  <si>
    <t>Vitoria Camarero</t>
  </si>
  <si>
    <t>un par de medias. Octubre i.° María y Tomasa, criadas de servir, una camisa y un pac de, calcetas.,Doña Vitoria Camarero una camisa. D. Pedro García de Lia-, nps 2.. D. Alexo Santa María una sábana. D. Fernando Ibirrola, 6 camisas., I). Ramón de Sandra, vecino de Almería , 6. D. Francisco Moreno 12.</t>
  </si>
  <si>
    <t>Vitoria Gadea</t>
  </si>
  <si>
    <t>............... 100. D. Mauricio Manuel de Parada, un vale real id........................... 2323. Doña Vitoria Gadea, id...... .............................................................. 300, D. Miguel de Gamboa, brigadier de los reales Exércitos, id.... 1000. uan González, id.......... .....</t>
  </si>
  <si>
    <t>Vitoria, Ramón</t>
  </si>
  <si>
    <t>Ramón Vitoria</t>
  </si>
  <si>
    <t>alcalde D. Tomas Casanova hará la de los barrios de S. Andrés , Humilladero y la Latina. El regidor D. Ramón Vitoria, la de los de la puerta de Toledo, San Francisco y las Vistillas. Quartel de S. Isidro. El alcalde D. Antonio Alcalá Galiano hará las de los barrios de Mira el Rio , huerta del Ba</t>
  </si>
  <si>
    <t>Vivanco, Miguel Julián</t>
  </si>
  <si>
    <t>Miguel Julián Vivanco</t>
  </si>
  <si>
    <t>Cádiz........... 300 1810 D. Gabriel de Aristizabal y Reut............... . Zaragoza..... 5000 2369 D. Miguel Julián Vivanco................................ Zaragoza..... 300 1863 D. Pascual Foz, presbítero................................. Zaragoza..... 300 213 D. Guillermo Gorman.......................</t>
  </si>
  <si>
    <t>Vivas, Pedro</t>
  </si>
  <si>
    <t>Pedro Vivas</t>
  </si>
  <si>
    <t>ía del Mercado de la villa de Alburquerque , en la diócesi de Badajoz, vacante por fallecimiento de D. Pedro Vivas, á D. Pedro Tovar y Ximeriez, presbítero. x ‘ El Reí se ha servido conferir en el regimiento de infantería de Africa compañía al teniente de granaderos,^graduado de capitán, D. Ra</t>
  </si>
  <si>
    <t>Vives, Francisco</t>
  </si>
  <si>
    <t>Francisco Vives</t>
  </si>
  <si>
    <t>artínez, por una vez 300 rs. D. Miguel Cáceres, ballestero principal honorario, por una vez foo rs. D. Francisco Vives, contador por S. M., por un tercio hasta fin de noviembre de 4400 rs. anuales durante la guerra , 1466. D. Andrés Abrisquieta ^ corredor de cambios, 600 rs. porcuna vez, y 6* por</t>
  </si>
  <si>
    <t>Vives, Juan Miguel</t>
  </si>
  <si>
    <t>Juan Miguel Vives</t>
  </si>
  <si>
    <t>Europa, ;que llegarán. Z\9 'Exército de la izquierda, ó de Cataluña, al mando del teniente general D. Juan Miguel Vives : consta de los cxercitos de Cataluña, Murcia y Granada. 3. ^ Exército del centro , dividido en dos operaciones reserva , émbas al mando del general Castaños : consta áe los exérc</t>
  </si>
  <si>
    <t>en aquella infeliz monarquía? ESPAÑA* Tarragona 24. de Octubre, Ha llegado hoy á esta el Excmo. Sr. D. Juan Miguel Vives, general de este exército, con el resto de caballería de úsares de España, el regimiento de suizos que estaba en Mallorca, y mil voluntarios. Marchará luego al quartel general de</t>
  </si>
  <si>
    <t>, pues solo esperan la ocasión oportuna. El dicho dia 27. tuvimos el gusto de recibir al Excmo. Sr. D. Juan Miguel Vives, capitán general de este exército y Principado de Cataluña,' por tener que pasar á la Junta militar establecida cerca de la Central Suprema, el teteniente general marques del Pala</t>
  </si>
  <si>
    <t>Vizcaíno y Somoza, Antonio</t>
  </si>
  <si>
    <t>Antonio Vizcaíno y Somoza</t>
  </si>
  <si>
    <t>a vez...................zcíeo. D. Santiago de la Peña, de este comerciopor una vez........... 1500. D. Antonio Vizcaíno y Somoza, agente de negocios................. 400. ManuelvXimenez, peluquero, por unavez........;;;;. ......v-v....;vv. 2oü. D. Jpsef Ramón Diez de Neira , oficial de la contaduría general</t>
  </si>
  <si>
    <t>Vjtoriana Luisa Paula</t>
  </si>
  <si>
    <t>ción, id.....¿ D. Fermín Cruela,id...............*................;.......¿.,................. x6o. Doña Vjtoriana Luisa Paula, idí............................................. 30. D. Miguel de Corres, mensualmente............ ..........................i...... ,32o. D. Ramón Risel, 300 id. por 5. meses...</t>
  </si>
  <si>
    <t>Voegmer</t>
  </si>
  <si>
    <t>rusa, cuya presencia favorecerá mucho á nuestro comercio. Hamburgo £ de julio. Ha llegado á Altona Mr. Voegmer, quartel-maestre general del exército dinamarqués, que va encargado de una comisión particular del Rei de* Dinamarca cerca de S. A. el Príncipe de Pontecor*o. El Rei de Dinamarca</t>
  </si>
  <si>
    <t>Voidet</t>
  </si>
  <si>
    <t>ibución de las materias están trazados y dispuestos con delicadeza y gusto; y el redactor principal Mr. Voidet, individuo de muchas sociedades sabias, y sugeto bien conocido por su Aristarco francés, por su Descripción de Burdeos &amp;c., ha seguido hasta ahora este orden con una exactitud esc</t>
  </si>
  <si>
    <t>ica &amp;c. que quieran insertarse ó anunciarse en este periódico, deberán remitirse francos de porte á Mr. Voidet, redactor principal; y las caretas y dinero para la suscripción, francas también de porte, al caxero Mr. Tomas. Los directores del diario de las artes y de las ciencias &amp;c. se Enc</t>
  </si>
  <si>
    <t>Volangero, Francisco</t>
  </si>
  <si>
    <t>Francisco Volangero</t>
  </si>
  <si>
    <t>o. . Teniente D. Josef Arcos , en id.: con el mismo destino. Subteniente D. Angel Imaz, abanderado; D. Francisco Volangero, en id.: enfermos. Ayudante el capitán D. Manuel Volangero, en id.: adonde fue á conducir á su hermano D. Francisco que se hallaba demente. Cirujano D. Josef Bayona: se quedó en L</t>
  </si>
  <si>
    <t>Volangero, Manuel</t>
  </si>
  <si>
    <t>Manuel Volangero</t>
  </si>
  <si>
    <t>ubteniente D. Angel Imaz, abanderado; D. Francisco Volangero, en id.: enfermos. Ayudante el capitán D. Manuel Volangero, en id.: adonde fue á conducir á su hermano D. Francisco que se hallaba demente. Cirujano D. Josef Bayona: se quedó en Langeland, habiendo seguido la división desde Niborg hasta e</t>
  </si>
  <si>
    <t>Volsconski, Príncipe</t>
  </si>
  <si>
    <t>Príncipe Volsconski</t>
  </si>
  <si>
    <t>, y mañana, según dicen, tendrá la primera audiencia de S. M. picho embaxador habita el palacio del Príncipe Volsconski, que el gobierno ha comprado en 360© rublos, y mandado alhajar pár'á la embaxada francesa. La esquadra de Cronstadt se ha alistado con una celeridad casi increíble, y quando salga</t>
  </si>
  <si>
    <t>Wanderbick, Miguel</t>
  </si>
  <si>
    <t>Miguel Wanderbick</t>
  </si>
  <si>
    <t>erra, eclesiástico de dicha. D. Juan Hermoso Dara,-alcalde. D. Bernardino Quirós, cura de Santiago. D. Miguel Wanderbick, diputado de la Bueña-dicha. D. Josef Aldave , de Sta. Isabel. D. Antonio Ramón Fernandez, secretario de la Buená-dicha. D. Estéban Cormes, diputado de id. D. Francisco Martínez,</t>
  </si>
  <si>
    <t>Wattenwil</t>
  </si>
  <si>
    <t>és el que se den gracias á Mr. Reinhard, landaman en el año anterior, y que envió dicha embaxada; i Mr. Wattenwil, enviado extraordinario á París, y á Mr. Mousson, con</t>
  </si>
  <si>
    <t>Weisy, Isidoro</t>
  </si>
  <si>
    <t>Isidoro Weisy</t>
  </si>
  <si>
    <t>D. Juan Bautista de Iribarren y del comercio, por una vez en valés reales y pico en dinero..i®oo®. D. Isidoro Weisy por ahora:;;................................... ............ rooá., D. Francisco de PandoyBringas, dependiente de los Sres. Ré- ; tes y compañía, por una-vez........•..v..........</t>
  </si>
  <si>
    <t>Welleslei</t>
  </si>
  <si>
    <t>ar por escrito las instrucciones que podia dar sobre el armisticio y la capitulación que le siguió. Sir Welleslei leyó en seguida un escrito, cuyo principal objeto era una reclamación contra todo lo que se ha dicho en los diarios acerca de este asunto, asegurando que él no habia dado ninguno</t>
  </si>
  <si>
    <t>Wenceslao de Argumosa</t>
  </si>
  <si>
    <t>60 rs. D. Antonio Zavala, por una vez 320 rs. D. Francisco Xavier Garcia Plaza, por una vez 300 rs. D. Wenceslao de Argumosa, abogado del colegio, por una vez 6© rs. D. Juan Garcia Pericacho, por una vez 320 rs. D. Manuel y D. Fernando Garcia de la Prada 20© rs. anuales durante la guerra, 20©. D. Frutos</t>
  </si>
  <si>
    <t>e 1000. D. Francisco de Irusta &gt; contador de rentas &lt;}e !a pro- ; vincia de Madrid..........v 2060, D. Wenceslao de Argumosa............................ iodo.</t>
  </si>
  <si>
    <t>Whitbread</t>
  </si>
  <si>
    <t>a cámárá baxa en la sesión de 21 de ’ entero:' --"i ■ -'■ * , • - • t c. . ; Acabado él discurso de Mr. Whitbread, tomó la palabra Mr. Canning, y dixó.: ,,A1 oir lo, que han hablado varios vocales de la cámara oponiéndose al discurso de gracias , np parece sino que esperan documentos muí vólu</t>
  </si>
  <si>
    <t>propuesta; y en estos términos fue ■admitida por 182 votos contra 82. .* Sesión del 16 de febrero. Mr. Whitbread pide que se presente á la cámara una copia de los pliegos remitidos por Mr. Alopeus; otra de las respuestas dadas por el ministro de estado de S. M. al embaxador ingles en Viena,</t>
  </si>
  <si>
    <t>Wiant, Antonio</t>
  </si>
  <si>
    <t>Antonio Wiant</t>
  </si>
  <si>
    <t>30 rs. mensuales................ 30; D. Raimundo Glarasco, por agosto...........*.... ......60. .o' D. Antonio Wiant, plumista de cámara, por 4 meses á 100 rs. en cada uno..................................................... 400* IX Juan Antonio Cadenas, encargado de las provisiones de hospitale</t>
  </si>
  <si>
    <t>Wiant, Francisco</t>
  </si>
  <si>
    <t>Francisco Wiant</t>
  </si>
  <si>
    <t>........ ...................................................................................... 60. D. Francisco Wiant, plumista?, 160 id. id............................. . ,6o. D. JoaquimMagens, oficial de la tesorería de Espolios y Vacantes, 30 id. por 3 meses..... ..............................</t>
  </si>
  <si>
    <t>Wimpffen, Luis</t>
  </si>
  <si>
    <t>Luis Wimpffen</t>
  </si>
  <si>
    <t>cie,C*ldagués5 y la quinta al del general de igual clase D. Cárlos de Vitte., teniendo de segundo á D. Luis Wimpffen, coronel del regimiento suizo de su apellido. El capitán general con el mayor geaeral de infantería» el qtiartelmaestre, el comandante de artillería, y sus ayudantes de campo se s</t>
  </si>
  <si>
    <t>Withingham, Santiago</t>
  </si>
  <si>
    <t>Santiago Withingham</t>
  </si>
  <si>
    <t>de dicha Real Capilla. El Jueves 9. se presentó á esta Suprema Junta el coronel de Guardias Reales D. Santiago Withingham, comisionado por el Almirante de la esquadra inglesa delante de Cádiz, á ofrecerle por su nación quantos socorros juzgase necesarios en las presentes .circunstancias , los que fue</t>
  </si>
  <si>
    <t>Xaramillo, Juan</t>
  </si>
  <si>
    <t>Juan Xaramillo</t>
  </si>
  <si>
    <t>D. Manuel Perez de Rozas hará la de los barrios de Santa Isabel , Ave María y Trinidad. El regidor D. Juan Xaramillo las de los barrios del Amor de Dios, plazuela de S. Juan y Hospital general. Quartel de la Plaza. El alcaide D. Luis Marcelino Pereira hará las de los barrios de S. Gines, Santiago y Sto. To</t>
  </si>
  <si>
    <t>es, regidores; Di Juan Josef Bringas, procurador general; D.Mateo Norzagarai, procurador personero; D. Juan Xaramillo, regidor; D. Diego del Rio, también regidor, y D. Matías Bayo, diputado; D. Nicolás García Caballero, D. Juan Bautista Nieto, D. Pedro Marcelino Blanco , D. Miguel Martínez, D. Pe</t>
  </si>
  <si>
    <t>individuos siguientes: El Sr. D. Pedro de Mora y Lomas, corregidor ; D. Juan de Castañedo, regidor; D. Juan Xaramillo, id.; D. Manuel Montaos, diputado del común; D. Matías Bayo, id.; D. Juan Josef de Bringas , procurador general; D. Mateo Norzagarai, personero del común. Diputación del estad» ec</t>
  </si>
  <si>
    <t>Xaramillo, Juan Antonio</t>
  </si>
  <si>
    <t>Juan Antonio Xaramillo</t>
  </si>
  <si>
    <t>edral: para la primera ración de aumento á D. Fausto Sodupe, y para la media ración que este dexa á D. Juan Antonio Xaramillo, cura en el obispado de Quito: para la segunda ración á D. Josef Miguel Carrion, y para la media ración ae este á D. Bernardino Alvear , cura interino del Sagrario de la misma cat</t>
  </si>
  <si>
    <t>Xav, Francisco</t>
  </si>
  <si>
    <t>Francisco Xav</t>
  </si>
  <si>
    <t>ATEM ASSERTA. .1 * 4 i P. P. Cuya traducción es comtf sigue = A Dios Óptimo Wlátaimo. Al Eximo. Sr. D. Francisco Xav er Castaños , general en xefe del exército de Andalucía , habiendo hecho prisionero al general Dupont con todo el exército francés en Sierra Morena , Córdoba vengada y la Andalucía</t>
  </si>
  <si>
    <t>Xaviera de Ochoa y Amat</t>
  </si>
  <si>
    <t>....... 200. D. Francisco ‘Calleja González................................ .................. 100. Doña Xaviera de Ochoa y Amat............................................... 320. D. Francisco Rodríguez Maqueda.................................................. 320. D. Josef García..........................</t>
  </si>
  <si>
    <t>Xaviera de Osma</t>
  </si>
  <si>
    <t>2 caras de lienzo. : misas, una sábana y una corta porD. Fernando Barcena 2 camisas. ción de hilas. Doña Xaviera de Osma 2. D. Joaquín de Guper 4 camisas. Doña F. N. 2: La Sra. de Eguia 2. La condesa de Campo Giro 12. D. Manuel Matesanz 2. Doña María Vicenta Qnilez 3. Doña Josefa del Rio 4. Doña Mar</t>
  </si>
  <si>
    <t>xefe Blake</t>
  </si>
  <si>
    <t>ad de Santiago. Las noticias del exército de dicho R yno son, que su general en xefe Blake está en León con ía quarta división^</t>
  </si>
  <si>
    <t>xefe Dühesme</t>
  </si>
  <si>
    <t>as. ESPAÑA. eu$ 27, de Julio• Al salir el correo se asegura que el general .en" xefe Dühesme ha ..sido . hecho prisuoneso , y conducido ai castillo de Cardona. También se daba por cierto que el c-xér» cito francés que se había dirigido contra Hostahic</t>
  </si>
  <si>
    <t>xefe Ingles</t>
  </si>
  <si>
    <t>pañados de sus' ayudantes de campo, todos ios generalas Ingleses. El general en xefe Ingles dió en medio de la plaza al comandante español su espada , y formados en círculo todos los oficiales de su nación, que se hallaban con la tropa desarmada, la r</t>
  </si>
  <si>
    <t>Xeon</t>
  </si>
  <si>
    <t>veneración, y con grande aprecio y con eterna alabanza. VENTAS JUDICIALES. Por providencia del Sr¿ D. Xeon de-Sagasta, teniente corregidor de esta vi!la, y escribanía debníimeró de D* Julián González Saez, se ha mandado sacará publica subasta, por término de 30 dias contados désde el 29 d</t>
  </si>
  <si>
    <t>Ximenez de Diego, Ángel</t>
  </si>
  <si>
    <t>Ángel Ximenez de Diego</t>
  </si>
  <si>
    <t>........ ........ ... Alicante..... 300 5&amp;2 D. Marcelo de Áyenza...... . ... Madrid........ 300 3^1 D. Angel Ximenez de Diego................ i...... ... Cád iz......... . 300 2177 D. Pedro Hernández...................................... ... Coruña........ ifoo 66) D. Manuel Cuevas.......................</t>
  </si>
  <si>
    <t>Ximenez de Traporcr, María</t>
  </si>
  <si>
    <t>María Ximenez de Traporcr</t>
  </si>
  <si>
    <t>6camisas y 8 vendas. D. Vicente Romero 6. D. Gerónimo Gambon 2 camisas. D. Benito Uit de Miiins 3. Doña María Ximenez de Traporcr, Doña Nicolasa García una y 2 pares vecina de Méritrida ,6. - • de calcetas. El Sr. D. Pedro de Mora y Lomas, D. Fernando Romero t sábanas, un corregidor de esta villa,'una silla</t>
  </si>
  <si>
    <t>Ximenez Izquierdo, Juan Antonio</t>
  </si>
  <si>
    <t>Juan Antonio Ximenez Izquierdo</t>
  </si>
  <si>
    <t>. B.., id......... ............................................................................. 4. D. Juan Antonio Ximenez Izquierdo, id.............. ........................ . 60. ' p. D.-A. Z. i id................................................................................... 104. Vitoriano Eusebia, id..</t>
  </si>
  <si>
    <t>Ximenez Panlagua, Francisco</t>
  </si>
  <si>
    <t>Francisco Ximenez Panlagua</t>
  </si>
  <si>
    <t>de la Puente 20¿ D. Manuel Olivares 100. Doña Margarita Cabrero 10. . . .i D. Sebastian Casado 20. D. Francisco Ximenez Panlagua 40i D. Antonio Gay oso 10. D. M. F. A. 40, í D.. Antonio y D, Josef Zayas 100. Doña María «Carrascal 8q. 1, ; Doña María García 30. D. Josef Teodoro Santos, # ;abóga-i Juan de Noy</t>
  </si>
  <si>
    <t>Ximenez, Antonio</t>
  </si>
  <si>
    <t>Antonio Ximenez</t>
  </si>
  <si>
    <t>........................... 200. Di. Bernardo AÍvarez Acero, maestro dé capilla, por una vez... 6o» D. Antonio Ximenez, oficial de la real dirección de la lotería, ppr una vez............... .................................................................... 160. D. Antonio. Guillelmi, secretario</t>
  </si>
  <si>
    <t>Ximenez, Bernardo Mateo</t>
  </si>
  <si>
    <t>Bernardo Mateo Ximenez</t>
  </si>
  <si>
    <t>*4* guel Esquiaga, D. Josef Francl , Jtían Ignacio Terrada, D. Juan /Ramos, D. Bernabé San Martin, D. Bernardo Mateo Ximenez, D. Manuel Pintos’, y á D. Juan de Dios Dbzó , capitán y sargento mayor interino del referido cuerpo de patriotas, grado de teniente coronel de milicias urbanas. A los tenientes d</t>
  </si>
  <si>
    <t>Ximenez, Blas</t>
  </si>
  <si>
    <t>Blas Ximenez</t>
  </si>
  <si>
    <t>e coronel, D. Jos'efAntonio Cebollina ; ayudantía- al teniente de granaderos, con grado de capitán, D. Blas Ximenez; tenencia -ai subteniente de granaderos D. Ignacio de la Villa, y subtenencia de bandera al cadete D. Juan Rodríguez Bustamante. El Reí: se ha servido nombrar maestro mayor examin</t>
  </si>
  <si>
    <t>Ximenez, Dionisio</t>
  </si>
  <si>
    <t>Dionisio Ximenez</t>
  </si>
  <si>
    <t>. 300. D. Nicolás de Zalles, un vale real id..................... ........................ 4521 22# D. Dionisio Ximenez , capellán del oratorio de la calle de Cañizares, vulgo del Olivar, id............................................... . 109. D. Fernando Romera, id. id..... ......................</t>
  </si>
  <si>
    <t>Ximenez, Joaquín</t>
  </si>
  <si>
    <t>Joaquín Ximenez</t>
  </si>
  <si>
    <t>^vitaii-&gt; 3000 tcia de&gt; 2067 Cádiz.......... 300 937 Madrid........ 3°o 1322 Valencia..... 300 3581 D. Joaquín Ximenez y D. Fernando de la Bilbao........ L 300 550 Madrid....... 500 2035 Cádiz.......... 6c 0 577 Madrid....... 3°ó 625 Madrid........ 3ro 2255 Bilbao......... 500 * 547 Bilbao......... 3C</t>
  </si>
  <si>
    <t>Ximenez, Manuel</t>
  </si>
  <si>
    <t>Manuel Ximenez</t>
  </si>
  <si>
    <t>del comercio de Zaragoza, endosados por este á favor de D. Francisco Xavier Hermandei, y este al de D. Manuel Ximenez. Quien supiere de su paradero, se servirá avisarlo á dicho D, Migue-! Joaquín Esquiu, en la referida ciudad de Zaragoza. ,• : Habiéndose empezado -ya la impresión del Almanak merc</t>
  </si>
  <si>
    <t>Ximenez, Pedro Nicolás</t>
  </si>
  <si>
    <t>Pedro Nicolás Ximenez</t>
  </si>
  <si>
    <t>D. Eugenio de Iturraga, Don Basilio Viola, D. Julián Viola , D. Juan Viola, D. Mauricio Xaplaneta, D. Pedro Nicolás Ximenez , D. Ventura Carbonell , D. Félix Victoriano Gómez, D. Juan Godoi, D. Juan Jorge, D. Juan Vicente Vandeli, Don Andrés Alvarez de Toledo, D. Manuel Gestal y Castro, D. Matías Cámar</t>
  </si>
  <si>
    <t>Ximenez, Vicente</t>
  </si>
  <si>
    <t>Vicente Ximenez</t>
  </si>
  <si>
    <t>f '¿ígost6 á. 6 rs. mensuales... ..........................................i./..’............ . . 6 D. Vicente Ximenez 6p rs. por uña, vez, y 20 por agostó á 2.0 rs. mensuales...... .................. ........................................ 3o. Doña María dje la Paz Roí , 'viuda ¿ s&gt;or 6 meses...</t>
  </si>
  <si>
    <t>Ximeno</t>
  </si>
  <si>
    <t>o; y un refuerzo de 600. voluntarios de Granada y 30, contrabandistas á caballo, que llegó de Torre Don Ximeno, se apostó en los molinos de viento. Estas tropas se batieron con el enemigo valerosamente desde la i. hasta las 7. de la tarde; pero careciendo de artillería, se vieron los nuest</t>
  </si>
  <si>
    <t>Ximeno, Juan</t>
  </si>
  <si>
    <t>Juan Ximeno</t>
  </si>
  <si>
    <t>... D. Ramón María Montoro. En León................. . D. Josef Rio del Pino. En Málaga............ D. Juan Ximeno.4 En Mahon.............. Doña Catalina Germán y Hugalde. En Murcia............. Sres. Moreda y Ladalid. En Oviedo......... . D. Manuel Rubiano y Nieto. En Palenda.... D. Josef Mar</t>
  </si>
  <si>
    <t>........... D. Ramón María Montoro. En L eon................. D. Gerónimo Gómez. En Malaga....... . D. Juan Ximeno. En Mahon............. Doña Catalina Germán y Hugalde. En Murcia............ Sres. Moreda y Ladalid. En Oviedo............. D. Manuel Rubiano y Nieto. En Patencia.......... D. Jos</t>
  </si>
  <si>
    <t>........ D. Ramón María Montoro. £n León....... . D. Francisco Pió del Pino. £n Málaga........... . D. Juan Ximeno. £n Mahon......... . Doña Catalina Germán y Hugalde. £n Murcia.............. Sres." Moreda y Ladalid. £n Oviedo.......... . D. Manuel Rubiano y Nieto, F JEPatencia........... D. J</t>
  </si>
  <si>
    <t>Xsidrd</t>
  </si>
  <si>
    <t>or 5 meses......... . 612. D. Santiago .Gxa.s.er.,.templador.de,pianos, uno id. por 2 id...... 69.’ D. Xsidrd; Marianp.SAnchez, t. jd,/poc 3 id..;,......... 90V D. Gabriel de.Axis.tizabal, oficial deja secretaría de Estado, 6</t>
  </si>
  <si>
    <t>XVIII, Luis</t>
  </si>
  <si>
    <t>Luis XVIII</t>
  </si>
  <si>
    <t>e. línea;, pe--, ro esta, noticia' nece. it:» de confirmación. E.Í sábado video Luis XVIII. las oficinas dtl Bdnco, acompañado de tres, directores y de va»ios nobles franceses.. Quedó muy complacido, de. Iá- ac</t>
  </si>
  <si>
    <t>y Carnioná, Manuel Salvador</t>
  </si>
  <si>
    <t>Manuel Salvador y Carnioná</t>
  </si>
  <si>
    <t>que representa al Niño Dios con S. Atitoníb de Padua, pintada por el célebre'.Mengs , y grabada por D. Manuel Salvador y Carnioná, grabador dé cámara de S. M. Se hallará en las librerías de Barco , Escribano y Espárza. El pintor manchego, caricatura que representa á este y sus amigos en una taberna pintando</t>
  </si>
  <si>
    <t>y Casas, Tomás Gaspar</t>
  </si>
  <si>
    <t>Tomás Gaspar y Casas</t>
  </si>
  <si>
    <t>alencia..... 30a 1723 D. Isaac de Landaburu................................Cádiz.......... 600 1201 D. Tomas Gaspar y Casas.... ;.................... Barcelona.... 500 2212 p. Benito Arias Carralbal............................... Coruña....... 500 46 D. Juan Agustin García, paborde................. Bar</t>
  </si>
  <si>
    <t>y Catalina Luisa Robinet, Juan Bautista</t>
  </si>
  <si>
    <t>Juan Bautista y Catalina Luisa Robinet</t>
  </si>
  <si>
    <t>zapatos, y A. A. t camisa. D. Sebastian Illescas 2. D. M. S. 6. D. Jorge Palacios, intendente ,12. D. Juan Bautista y Doña Catalina Luisa Robinet paño negro diez y ocheno varas i8f. D. J. P. 8 camisas. Doña Josefa del Saz 8. D. F. A. Ll. 3 . La Sra. marquesa de Pesadilla, condesa de Canillas, 24. D. Mariano March 140^ varas</t>
  </si>
  <si>
    <t>y de la Princesa Carlota, Carlos (príncipe)</t>
  </si>
  <si>
    <t>Príncipe Carlos y de la Princesa Carlota</t>
  </si>
  <si>
    <t>ugs burgo 14 de junto. Han vuelto ya á Munich nuestros Soberanos acompañados del Príncipe Real, del Príncipe Carlos y de la Princesa Carlota. El Príncipe Real de Viirtemberg ha pasado por aquí y porUlma.de incógnito, y ahora estará ya en Munich. Se asegura que el Rei de Baviera se propone elevar ¿ muchos condes de su r</t>
  </si>
  <si>
    <t>y Doñi Josefa Gutiérrez, María</t>
  </si>
  <si>
    <t>María y Doñi Josefa Gutiérrez</t>
  </si>
  <si>
    <t>o 2 camisas. 0. José f Segundo Ruiz 6/ D. Jo* sef Antónid Sobrado un par de calzones de ante usado. Doña María y Doñi Josefa Gutiérrez 2 camisas. María Martin de‘Eugenio úna. Doña Josefa Muro 8 varas de coruñá. El gremio de maestros sastres de esta corte ha hecho gratuitamente 390* casacas, 300 chalecos y 3 00 pa</t>
  </si>
  <si>
    <t>y Estrada, Julián Alonso</t>
  </si>
  <si>
    <t>Julián Alonso y Estrada</t>
  </si>
  <si>
    <t>zgado del Sr. D. Antonio Cano Manuel, alcalde de casa y corte, y escribanía de provincia que exerce D. Julián Alonso y Estrada, por D. Pedro Josef de Celayeta, presbítero, cura rector de Ja villa de Maya, reino de Navarra, sobre pertenencia de un vale de 300 pesos, creación de setiembre, nú'.n. 50277, se</t>
  </si>
  <si>
    <t>y Isabel, Fernando</t>
  </si>
  <si>
    <t>Fernando y Isabel</t>
  </si>
  <si>
    <t>ncia que les pertenecía solo por la descendencia de la Reyna Doña Juana hija de los Reyes católicos D. Fernando y Doña Isabel. Por eso prevaleció el derecho de Felipe y, su nieto y biznieto, contra las renuncias y disposiciones testamentarias de los Reyess | Cómo pues no teniendo otro derecho al reino de</t>
  </si>
  <si>
    <t>y Juana Carranza, Gerónimo</t>
  </si>
  <si>
    <t>Gerónimo y Juana Carranza</t>
  </si>
  <si>
    <t>éditos vencidos de un censo redimible de 500 ducados de principal, perteneciente á los herederos de D. Gerónimo y Doña Juana Carranza, vecinos.que fueron de la villa de Alcobendas, ofreciendo su redención; y en virtud de providencias de su señoría le ha sido admitida, trasladada-la consignación á la real cáxa de</t>
  </si>
  <si>
    <t>y la de Guareña, Benito</t>
  </si>
  <si>
    <t>Benito y la de Guareña</t>
  </si>
  <si>
    <t>riente para el remate de media dehesa sita en él Sitio hombrado del Aguila, términos de la villa de D. Benito y la de Guareña , tasada en 112500 rs. Quien quisiere hacer mejora, mediante á.estar puesta en dicha cantidad su pago en vales, lo executará por la escribanía que desempeña Juan Antonio"'de la* F</t>
  </si>
  <si>
    <t>y Losada, Pedro Benito</t>
  </si>
  <si>
    <t>Pedro Benito y Losada</t>
  </si>
  <si>
    <t>............ . JCCC. D. Diego Crespo de Tejada, cambiante, id........... .............. ..... 3000. D. Pedro Benito y Losada, á cuenta de }qq rs., id................. 2 ¿O. IO</t>
  </si>
  <si>
    <t>y María Duque, Juan</t>
  </si>
  <si>
    <t>Juan y María Duque</t>
  </si>
  <si>
    <t>.......... ......................................... 500. D. Benito Rañier, id......... ...... 240. D. Juan y Doña María Duque , en recibos del Fondo vitalicio, id.............. ........................................................................................... 2790. D. Gabriel Alcalde, id........</t>
  </si>
  <si>
    <t>y María Sánchez Corchero, Francisco</t>
  </si>
  <si>
    <t>Francisco y María Sánchez Corchero</t>
  </si>
  <si>
    <t>3 D. Cristóbal de Ronda, por agosto 30 rs. D. Francisco y Doña María Sánchez Corchero, por una vez 640 rs. D. Ignacio Campesino, 6 meses á 60 rs. durante la guerra, 360. D. Pedro del Rio, hacendado, un vale de 600 pesos por una vez, y 3 7 2 rs. por agosto á 12 rs.</t>
  </si>
  <si>
    <t>y Osuna, Gonzalo</t>
  </si>
  <si>
    <t>Gonzalo y Osuna</t>
  </si>
  <si>
    <t>Junio*. Eí Sabido, entre 11 § á 12 de la noche, por una posta de Arcos supimos, que en la Puente de D. Gonzalo y Osuna habían aparecido algunos Franceses con dirección á estos Puertos; mas luego se verificó que era falso. Sin embargo se tomaron al momento las mas acertadas disposiciones se reconoc</t>
  </si>
  <si>
    <t>y Teresa Muñoz, Félix</t>
  </si>
  <si>
    <t>Félix y Teresa Muñoz</t>
  </si>
  <si>
    <t>Se desea saber el paradero de Ramona de Boran,viuda de SebastianMenál, hijo de Félix y Teresa Muñoz, natural dé Almenara de S. Juan, corregimiento dé Barbastro, soldado que fue del regimiento de Guadalaxara, el quai dexó para su. muger cierta cantidad de dinero. Por tanto se presentará p</t>
  </si>
  <si>
    <t>Yagiíe, Simón</t>
  </si>
  <si>
    <t>Simón Yagiíe</t>
  </si>
  <si>
    <t>.................... ' 80. Fernando Martínez, sirvientev20 id. por 12 meses................. . 240. D. Simón Yagiíe, oficial del archivo general de Rentas, 2 rs. diarios por tiempo de un año , por agosto;............................... . *62. D. Josef Ballesteros Fernandez, abogado del Colegio,</t>
  </si>
  <si>
    <t>Yanguas Vallejo, Martín</t>
  </si>
  <si>
    <t>Martín Yanguas Vallejo</t>
  </si>
  <si>
    <t>, en el arzobispado de Toledo, que se hallaba vacante por fallecimiento de D. Simón Gómez Ibañez, á D. Martin Yanguas Vallejo. S. M. en consideración á los distinguidos servicios, conocimientos y demas circunstancias que concurren en el teniente general marques de la Romana, se ha servido nombrarle ingen</t>
  </si>
  <si>
    <t>Yangues, Juan Antonio</t>
  </si>
  <si>
    <t>Juan Antonio Yangues</t>
  </si>
  <si>
    <t>una vez.............. 35 o* D. Santiago Cuesta, médico de familia, por una vez............... 320. D. Juan Antonio Yangues, fabricante de cal y ladrillo, por una vez.................. ................................................................. ......... rooo. La viuda de Cuevas é hijo, del comer</t>
  </si>
  <si>
    <t>Yarretu, Antonio</t>
  </si>
  <si>
    <t>Antonio Yarretu</t>
  </si>
  <si>
    <t>a libra de hilas. Las niñas de Legaftes 6 libras de hilas, paños y verdas. D. Miguel Angel Sancho , D. Antonio Yarretu , Doña Josefa de Olavarrieta y su hijo D. Francúco, Doña Ana Zulueta, D. Francisco Iriarte, D. Pedro Zubiaga , herederos de D. Francisco Maria de Retes y Bustamante, D. Manuel Sae</t>
  </si>
  <si>
    <t>Yebra y Rio, Juan Andrés</t>
  </si>
  <si>
    <t>Juan Andrés Yebra y Rio</t>
  </si>
  <si>
    <t>rvido nombrar para el deanato y canonsía dé la catedral de Mondoñedo, vacantes por fallecimiento de D. Juan Andrés Yebra y Rio? mol, á D. Luis María Ramos, canónigo de la de Salamanca; para esta re-, sulta á D. Andrés Castaúon Rodríguez, pomo haber teñido efecto el nombramiento que S. M. tuvo á bien hacer</t>
  </si>
  <si>
    <t>Yirei, Príncipe</t>
  </si>
  <si>
    <t>Príncipe Yirei</t>
  </si>
  <si>
    <t>ina. El consejero de Estado Bossi prestó ayer mañana el juramento de fidelidad en manos de S, A, el Príncipe Yirei. IMPERIO FRANCES. Génova «p de junio, XJna falúa de Chíavarí, que venia de Córcega cargada de aceite, ha si* do apresada por un bergantín enemigo; pero otras 2 que venían de Saler</t>
  </si>
  <si>
    <t>Yoltrad</t>
  </si>
  <si>
    <t>te mes S. M. ha nombrado consejeros de estado ál barón de Scheele, caballerizo mayor de la Reina, á Mr. Yoltrad, ministro que fue de estado de Brünsvick, a Mr. Dohm, presidente de la administración de bienes reales en Heiligenstadt, al barón de Bulow , presidente del tribunal administrativo</t>
  </si>
  <si>
    <t>Yorcke</t>
  </si>
  <si>
    <t>ís, sino en el caso de invasión de Inglaterra, y de que los franceses abordasen á nuestras costas.” Mr. Yorcke. ,,¿A qué vienen, señores, todas esas sutiles distinciones</t>
  </si>
  <si>
    <t>Yubero, Domingo</t>
  </si>
  <si>
    <t>Domingo Yubero</t>
  </si>
  <si>
    <t>La marquesa de Bedmar y Escalona 12 camisas de coruña. D. Manuel Escudero 4. Doña Francisca Pozo 2. D. Domingo Yubero una. D; Feli^rBausstc 6-id-:de coruña. D.; F. R: una. ■ ' Dia 1$, Jp. jG.vE- íU.n capote pardo . usado/ Doña Joaquina González 4 camisas. Doña ManudefPjfar y Doña,Josefa Doz; y*Ag</t>
  </si>
  <si>
    <t>Yun, Juan Domingo</t>
  </si>
  <si>
    <t>Juan Domingo Yun</t>
  </si>
  <si>
    <t>, por agosto á un real diario................................. *............. ................. 31. D. Juan Domingo Yun, feo rs. por una vez, y 186 por agosto á 6 rs. diarios...... ...................................................... ...................... 686. Doña María Antonia Fernandez, viuda</t>
  </si>
  <si>
    <t>Yung</t>
  </si>
  <si>
    <t>gsberg á 27 de enero de 1808. -^Federico Quillermoj CONFEDERACION DEL RIN. Carisfuhe 14 de febrero. Mr. Yung, á quien los diaristas alemanes han calumniado representándole como cabeza de una nueva secta de fanáticos, es consejero de S. A. R. el gran duque de Badén , nuestro Soberano, qui</t>
  </si>
  <si>
    <t>Zabaleta, Miguel</t>
  </si>
  <si>
    <t>Miguel Zabaleta</t>
  </si>
  <si>
    <t>. . Madrid....... loco 16 D. Pedro Josef de Echinique....................... Zaragoza..... 300 2828 D. Miguel Zabaleta.................... ........................ Zaragoza..... 500 660 D. Francisco Antonio Abadía........................... Madrid....... icoo 1839 Sra, Doña Manuela Cevallos.......</t>
  </si>
  <si>
    <t>Zacarías de Bolívar</t>
  </si>
  <si>
    <t>........... Cádiz...... 300 20^7 D. Juan Francisco Pezron..................... Cádiz...... 300 2266 D. Zacarías de Bolívar............... . Bilbao..... 15.co 23 5) D. Vicente Saldaña................ . Zaragoza.. ,39° 3'44 D. Pedro Alvar-ez y- Fabrega. ...... Cádiz...... 500 2385 D. Alonso Fernandez de</t>
  </si>
  <si>
    <t>Zacarías Pons</t>
  </si>
  <si>
    <t>l Capilla, por una vez........................... ............................... ............ 300. D. Zacarías Pons, id........................................................................ 5 o®. D. Manuel de Moya, oficial de la Veeduría de las reales Caballerizas, id.........................</t>
  </si>
  <si>
    <t>Zacarías Velázquez</t>
  </si>
  <si>
    <t>González Salmón 6. calzones. ■ Doña Isabel Perez de Cifuentes 12. D; Josef Navarro' y Márcos 6 ca­ D. Zacarías Velázquez 2 y 6 pares misas. '■ ■ . /: de calcetas; ‘^ ^ • Doña Ignacia Vellido 12; L- D. N., carpintero, upa camisa. D. Santiago Gonzalo 2. D. Roberto y Guilleímo Dale, inD. Márcos Gonzále</t>
  </si>
  <si>
    <t>Zach</t>
  </si>
  <si>
    <t>todos estos viages le han indemnizado superabundantemente de las fatigas y riesgos &lt;pie ha pasado. Mr. Zach piensa publicar estos descubrimientos^ y los . mar &gt;as Levantados sóbre les mismos terrenos pór Mr. Seezen. El gran numero de Í uentes termales y las lavas que se encuentran al or</t>
  </si>
  <si>
    <t>Zafra, Juan</t>
  </si>
  <si>
    <t>Juan Zafra</t>
  </si>
  <si>
    <t>6 rs. ■■ # b. , , . En el puesto del memorialista de los portales de Provincia&gt; pinto á la lonja de D. Juan Zafra, frente á la guardia de Sta. Cruz, se vende tinta fina superior de agalla; su esencia se puede probar, y está probada en muchas partes: su precio á 16 «uartos quartilio. ■ &lt; sirvi</t>
  </si>
  <si>
    <t>Zalzo, Tomás</t>
  </si>
  <si>
    <t>Tomás Zalzo</t>
  </si>
  <si>
    <t>González, maestro espartero , D. Melchor Manconel, Josef Escólau ó sus herederos, D. Josef Borrull, D. Tomas Zalzo, D. Tomas Grabepvos ó sus herederos; D.. Francisco Puente, Josef Duran, maestro,sastre, los herederos de R. Jiiari Prada, D. Josef Vidal, Don Fermin Fernandez, y demas que tuviese</t>
  </si>
  <si>
    <t>Zambrano Portocarrero, Antonio</t>
  </si>
  <si>
    <t>Antonio Zambrano Portocarrero</t>
  </si>
  <si>
    <t>as y hosterías de esta ciudad y sus arrabales, animados de su patriotismo y del zelo del Excmo# Sr. D. Antonio Zambrano Portocarrero, vocal nato de esta Suprema Junta y comisionado para la diputación de abastos, han contribuido para las necesidades de la patria con la cantidad de 12340. rls. Algunos de ellos ha</t>
  </si>
  <si>
    <t>Zapata, Ramón</t>
  </si>
  <si>
    <t>Ramón Zapata</t>
  </si>
  <si>
    <t>.................. . 500. -i Doña Pascuala de Oro, id.. • «••••••••••••••••••«A »•««■* *•••••*••■ ► D. Ramón Zapata, id................. ........................;..í.v.;^.......;;..í.^í i : 32J. nJ D. Antonio Gil Delgado,.id.........................rV :32. ; Alonso Arias, id....................</t>
  </si>
  <si>
    <t>Zapater, Matías</t>
  </si>
  <si>
    <t>Matías Zapater</t>
  </si>
  <si>
    <t>gas, id........;............ 120. D. Manuel Carrácero¿ empleado en Correos, por id. á 20 id.... 20. D. Matías Zapater-, del comercio,* por 2 meses á ‘4o id.......¿.... '80. D. Mariano González ,*por agosto-á 20 rsi id‘..*.u..v..sí.)i.‘í..20. • D. Pedro Velasco., 20. Juan Manuel* Martinez , portero</t>
  </si>
  <si>
    <t>Zapater, Ramón</t>
  </si>
  <si>
    <t>Ramón Zapater</t>
  </si>
  <si>
    <t>e : 2 de tí. Manuel Hernán García Chivato, con blanca: 2 de D. Julián de Fuentes, con verde; y 2 de D. Ramón Zapater, con azul. Los picadores serán Juan de Seli, Juan Gabira y Bartolomé Muñoz, que picarán por mañana y tarde. • -Serán lidiados por las quadrillas de á pie al cuidado de Juan Nuñez,</t>
  </si>
  <si>
    <t>Zapelena, Tomás</t>
  </si>
  <si>
    <t>Tomás Zapelena</t>
  </si>
  <si>
    <t>Panlagua, alcalde de id. D. Juan Pinedo, diputado de id. D. Cayetano Aravaca , eclesiástico de id. D. Tomas Zapelena, diputado calle de Segovia. D. Manuel Medina, diputado id. D. Antonio Urandurraga, diputado del barrio de S.'Juan.-'D. Melchor Gómez de la Torre, diputado de t)oña María de Aragón</t>
  </si>
  <si>
    <t>Zaragoza</t>
  </si>
  <si>
    <t>z....... 500 514 Bilbao.......... 300 1744 Cádiz........... IOOO 2111 500 1292 Valencia..... 600 28 D. Zaragoza..... 600 1786 Cádiz........... 300 262 Burgos......... 300 ('Renta'1 1888 ragoza.^vitaii-&gt; 3000 tcia de&gt; 2067 Cádiz.......... 300 937 Madrid........ 3°o 1322 Valencia..... 300 358</t>
  </si>
  <si>
    <t>Zaragoza, Ana María</t>
  </si>
  <si>
    <t>Ana María Zaragoza</t>
  </si>
  <si>
    <t>escribiente de la contaduría de SS. A A., en un recibo de intereses de vales rs. y pico, id... 400. Doña Ana María Zaragoza, id............................................................ 40* D. Manuel Alvarez, ayuda y entretenido del oficio de furriera, id..............................................</t>
  </si>
  <si>
    <t>Zarate, Francisco</t>
  </si>
  <si>
    <t>Francisco Zarate</t>
  </si>
  <si>
    <t>la del regimiento de milicias disciplinadas de‘dragones; de Lima al comandante del tercer esquadron D. Francisco Zarate j y esta resulta al capitán D. Baltasar Pascual de Herazo.</t>
  </si>
  <si>
    <t>Zarate, Luis</t>
  </si>
  <si>
    <t>Luis Zarate</t>
  </si>
  <si>
    <t>tros efectos. El conde de Casa-Valencia........... 2 El conde de Haro............................ 4 D. Luis Zarate.................... ......i.. 2 l I D. Domi.igo Martínez, vecino de Alcalá de Henares.............r........ 2 Nota. No habiendo podido publicarse en esta gazeta algunas noticias i</t>
  </si>
  <si>
    <t>Zarra, Pedro</t>
  </si>
  <si>
    <t>Pedro Zarra</t>
  </si>
  <si>
    <t>Santander ,de 27 años. Segunda clase. Premios primeros. Mc~ dallas de\$ro; de una onza. Pintura : á D. Pedro Zarra , de Sicilia, de 23 años.&gt;Itscíultura: á D. Pedro Venero, de Güemes, obispado de Santander* de 24 años. Arquitectura ; á O. Juan de Blas Molinero, del Burgo de Os— ma, de 2.2 años</t>
  </si>
  <si>
    <t>Zavala, Antonio</t>
  </si>
  <si>
    <t>Antonio Zavala</t>
  </si>
  <si>
    <t>as D. Juan de Viatica, D. Antonio Echavarri, D. Josef Rivas, D. Ramón Gorrondona, D. Juan Bastarte, D. Antonio Zavala , D. Francisco'Baldrich , D. Eugenio de Iturraga, Don Basilio Viola, D. Julián Viola , D. Juan Viola, D. Mauricio Xaplaneta, D. Pedro Nicolás Ximenez , D. Ventura Carbonell , D. F</t>
  </si>
  <si>
    <t>es de 300 pe* sos de mayo por una vez, 18284 rs. y 20 mrs. D. Antonio Rodríguez, por una vez 60 rs. D. Antonio Zavala, por una vez 320 rs. D. Francisco Xavier Garcia Plaza, por una vez 300 rs. D. Wenceslao de Argumosa, abogado del colegio, por una vez 6© rs. D. Juan Garcia Pericacho, por una vez</t>
  </si>
  <si>
    <t>Zazurca y Forton, Antonio</t>
  </si>
  <si>
    <t>Antonio Zazurca y Forton</t>
  </si>
  <si>
    <t>Zaragoza..... 600 1037 P» Agustín González de Trevilla..................... Madrid........ 600 389 D. Antonio Zazurca y Forton.......................... Coruña........ 500 2317 D. Juan Antonio Alcázar de Tejada............. . Cádiz........ 500 2368 D. Francisco Fernandez García......................... Za</t>
  </si>
  <si>
    <t>Zoilo Guzman</t>
  </si>
  <si>
    <t>............. ¿ x pistola. La Justicia de Alcobendas , de los abandonados por los franceses.,.,.. [ D. Zoilo Guzman, maestro de Postas de Navalcarnero......... .......... 1 t El duque del Infantado.................. 21 El cpnde de Canillas................. ..... 1 D. N., labrador en esta provin</t>
  </si>
  <si>
    <t>Zoustouskof, Príncipe</t>
  </si>
  <si>
    <t>Príncipe Zoustouskof</t>
  </si>
  <si>
    <t>de Berg, pasó por Nanci el 7 del corriente para París. El mismo dia pasó por la rnisijia ciudad el Príncipe Zoustouskof, consejero privado de S. M. el Emperador de Rusia, con dirección también á París. S. M. el Rei de Holanda ha permitido la exportacioft del queso y de la manteca para puertos neutr</t>
  </si>
  <si>
    <t>Zt, Manuel</t>
  </si>
  <si>
    <t>Manuel Zt</t>
  </si>
  <si>
    <t>D. Juan Bóveda y Ignacio Mora, y les guardias D. Francisco Riaño * Josef Ggvantes, D. Josel Sóstoa, D. Manuel Zt rraquin y Don Felipe Luengo, serán eternamente nombres mui apreciables, que nos recordarán unos de los defensores mas seguros y valerosos de la patria y del treno. Nos,imponemos e</t>
  </si>
  <si>
    <t>Zubiaga, Pedro</t>
  </si>
  <si>
    <t>Pedro Zubiaga</t>
  </si>
  <si>
    <t>Yarretu , Doña Josefa de Olavarrieta y su hijo D. Francúco, Doña Ana Zulueta, D. Francisco Iriarte, D. Pedro Zubiaga , herederos de D. Francisco Maria de Retes y Bustamante, D. Manuel Saenz del Prado y D. Ramón de Vasualdo, individuos de la compañia de longistas, 30 piezas de paños negros con 86</t>
  </si>
  <si>
    <t>Zulueta, Ana</t>
  </si>
  <si>
    <t>Ana Zulueta</t>
  </si>
  <si>
    <t>as. D. Miguel Angel Sancho , D. Antonio Yarretu , Doña Josefa de Olavarrieta y su hijo D. Francúco, Doña Ana Zulueta, D. Francisco Iriarte, D. Pedro Zubiaga , herederos de D. Francisco Maria de Retes y Bustamante, D. Manuel Saenz del Prado y D. Ramón de Vasualdo, individuos de la compañia de lon</t>
  </si>
  <si>
    <t>Zurita, Fernando</t>
  </si>
  <si>
    <t>Fernando Zurita</t>
  </si>
  <si>
    <t>Hafiuatería jde Cócdobaq el teniente , coronel D'. Juan Freire, cadete de reales guardias de Corps; D. Fernando Zurita, subteniente de Jaén, y Don Juan Bascur, teniente coronel del de Ceuta. .Los regimientos dé Irlanda, Jaén, de línea, Barbastroy tercios de-Tejas, al mando de su¿ dignos gefesD. Ju</t>
  </si>
  <si>
    <t>Zurita, Mateo</t>
  </si>
  <si>
    <t>Mateo Zurita</t>
  </si>
  <si>
    <t>,id.,id • iíIX.O.A D. Francisco Olí,ya , .presbítero ¿ 2 id.¡ id&gt;.&lt;.,&gt;...rf.........i...... 7304 XI D. Mateo Zurita. Palac.io,. cura propio de la iglesia .parroquial ..m - j.r-.u de Tamara, 200 rs. mensuales, por agosto..........L.v..;...... . : 200*. Xl D. Francisco Henri.qucz Santos , por una</t>
  </si>
  <si>
    <t>Fuentes y criterio de elaboración</t>
  </si>
  <si>
    <t>Páginas impresas</t>
  </si>
  <si>
    <t>Registros</t>
  </si>
  <si>
    <t>Fascículo oficial (PDF)</t>
  </si>
  <si>
    <t>1–12</t>
  </si>
  <si>
    <t>13–24</t>
  </si>
  <si>
    <t>25–36</t>
  </si>
  <si>
    <t>37–48</t>
  </si>
  <si>
    <t>49–60</t>
  </si>
  <si>
    <t>61–72</t>
  </si>
  <si>
    <t>73–84</t>
  </si>
  <si>
    <t>85–96</t>
  </si>
  <si>
    <t>97–108</t>
  </si>
  <si>
    <t>109–120</t>
  </si>
  <si>
    <t>121–132</t>
  </si>
  <si>
    <t>133–144</t>
  </si>
  <si>
    <t>145–156</t>
  </si>
  <si>
    <t>Madrid 13 (supl.)</t>
  </si>
  <si>
    <t>157–158</t>
  </si>
  <si>
    <t>159–170</t>
  </si>
  <si>
    <t>171–186</t>
  </si>
  <si>
    <t>187–198</t>
  </si>
  <si>
    <t>199–210</t>
  </si>
  <si>
    <t>211–222</t>
  </si>
  <si>
    <t>223–234</t>
  </si>
  <si>
    <t>235–246</t>
  </si>
  <si>
    <t>247–258</t>
  </si>
  <si>
    <t>259–270</t>
  </si>
  <si>
    <t>271–278</t>
  </si>
  <si>
    <t>279–290</t>
  </si>
  <si>
    <t>sin numerar (1 págs. PDF)</t>
  </si>
  <si>
    <t>291–302</t>
  </si>
  <si>
    <t>Madrid 26 (extraord.)</t>
  </si>
  <si>
    <t>27 de marzo de 1808</t>
  </si>
  <si>
    <t>303–304</t>
  </si>
  <si>
    <t>305–316</t>
  </si>
  <si>
    <t>317–324</t>
  </si>
  <si>
    <t>325–332</t>
  </si>
  <si>
    <t>Madrid 30 (extraord.)</t>
  </si>
  <si>
    <t>2 de abril de 1808</t>
  </si>
  <si>
    <t>333–334</t>
  </si>
  <si>
    <t>335–342</t>
  </si>
  <si>
    <t>343–346</t>
  </si>
  <si>
    <t>347–358</t>
  </si>
  <si>
    <t>359–362</t>
  </si>
  <si>
    <t>363–370</t>
  </si>
  <si>
    <t>Madrid 34 (supl.)</t>
  </si>
  <si>
    <t>371–374</t>
  </si>
  <si>
    <t>375–382</t>
  </si>
  <si>
    <t>Madrid 36 (extraord.)</t>
  </si>
  <si>
    <t>17 de abril de 1808</t>
  </si>
  <si>
    <t>383–384</t>
  </si>
  <si>
    <t>385–392</t>
  </si>
  <si>
    <t>393–404</t>
  </si>
  <si>
    <t>sin numerar (47 págs. PDF)</t>
  </si>
  <si>
    <t>405–406</t>
  </si>
  <si>
    <t>Madrid 40 (extraord.)</t>
  </si>
  <si>
    <t>407–408</t>
  </si>
  <si>
    <t>409–416</t>
  </si>
  <si>
    <t>417–424</t>
  </si>
  <si>
    <t>425–432</t>
  </si>
  <si>
    <t>433–440</t>
  </si>
  <si>
    <t>441–448</t>
  </si>
  <si>
    <t>449–460</t>
  </si>
  <si>
    <t>461–472</t>
  </si>
  <si>
    <t>473–484</t>
  </si>
  <si>
    <t>485–496</t>
  </si>
  <si>
    <t>497–508</t>
  </si>
  <si>
    <t>Madrid 51 (extraord.)</t>
  </si>
  <si>
    <t>28 de mayo de 1808</t>
  </si>
  <si>
    <t>509–510</t>
  </si>
  <si>
    <t>511–522</t>
  </si>
  <si>
    <t>1–8</t>
  </si>
  <si>
    <t>523–534</t>
  </si>
  <si>
    <t>9–16</t>
  </si>
  <si>
    <t>535–546</t>
  </si>
  <si>
    <t>17–24</t>
  </si>
  <si>
    <t>547–558</t>
  </si>
  <si>
    <t>25–32</t>
  </si>
  <si>
    <t>559–562</t>
  </si>
  <si>
    <t>563–574</t>
  </si>
  <si>
    <t>575–578</t>
  </si>
  <si>
    <t>33–40</t>
  </si>
  <si>
    <t>579–586</t>
  </si>
  <si>
    <t>587–594</t>
  </si>
  <si>
    <t>41–48</t>
  </si>
  <si>
    <t>595–602</t>
  </si>
  <si>
    <t>sin numerar (4 págs. PDF)</t>
  </si>
  <si>
    <t>603–610</t>
  </si>
  <si>
    <t>611–618</t>
  </si>
  <si>
    <t>619–622</t>
  </si>
  <si>
    <t>623–630</t>
  </si>
  <si>
    <t>49–56</t>
  </si>
  <si>
    <t>631–638</t>
  </si>
  <si>
    <t>639–646</t>
  </si>
  <si>
    <t>647–654</t>
  </si>
  <si>
    <t>655–662</t>
  </si>
  <si>
    <t>57–64</t>
  </si>
  <si>
    <t>663–670</t>
  </si>
  <si>
    <t>671–678</t>
  </si>
  <si>
    <t>679–686</t>
  </si>
  <si>
    <t>65–72</t>
  </si>
  <si>
    <t>687–694</t>
  </si>
  <si>
    <t>695–702</t>
  </si>
  <si>
    <t>703–710</t>
  </si>
  <si>
    <t>73–80</t>
  </si>
  <si>
    <t>711–718</t>
  </si>
  <si>
    <t>719–726</t>
  </si>
  <si>
    <t>727–734</t>
  </si>
  <si>
    <t>735–742</t>
  </si>
  <si>
    <t>81–88</t>
  </si>
  <si>
    <t>Sevilla 11 (supl. 2)</t>
  </si>
  <si>
    <t>sin numerar (2 págs. PDF)</t>
  </si>
  <si>
    <t>743–750</t>
  </si>
  <si>
    <t>751–758</t>
  </si>
  <si>
    <t>759–766</t>
  </si>
  <si>
    <t>89–96</t>
  </si>
  <si>
    <t>767–774</t>
  </si>
  <si>
    <t>775–782</t>
  </si>
  <si>
    <t>783–790</t>
  </si>
  <si>
    <t>791–798</t>
  </si>
  <si>
    <t>97–104</t>
  </si>
  <si>
    <t>799–806</t>
  </si>
  <si>
    <t>807–814</t>
  </si>
  <si>
    <t>815–822</t>
  </si>
  <si>
    <t>105–112</t>
  </si>
  <si>
    <t>823–830</t>
  </si>
  <si>
    <t>831–838</t>
  </si>
  <si>
    <t>839–846</t>
  </si>
  <si>
    <t>847–854</t>
  </si>
  <si>
    <t>113–120</t>
  </si>
  <si>
    <t>855–862</t>
  </si>
  <si>
    <t>863–870</t>
  </si>
  <si>
    <t>871–878</t>
  </si>
  <si>
    <t>121–128</t>
  </si>
  <si>
    <t>Sevilla 16 (supl. 2)</t>
  </si>
  <si>
    <t>879–886</t>
  </si>
  <si>
    <t>887–894</t>
  </si>
  <si>
    <t>895–902</t>
  </si>
  <si>
    <t>903–910</t>
  </si>
  <si>
    <t>129–136</t>
  </si>
  <si>
    <t>911–918</t>
  </si>
  <si>
    <t>919–926</t>
  </si>
  <si>
    <t>927–934</t>
  </si>
  <si>
    <t>137–144</t>
  </si>
  <si>
    <t>935–942</t>
  </si>
  <si>
    <t>943–950</t>
  </si>
  <si>
    <t>951–958</t>
  </si>
  <si>
    <t>959–966</t>
  </si>
  <si>
    <t>145–152</t>
  </si>
  <si>
    <t>967–970</t>
  </si>
  <si>
    <t>971–974</t>
  </si>
  <si>
    <t>153–160</t>
  </si>
  <si>
    <t>975–978</t>
  </si>
  <si>
    <t>979–984</t>
  </si>
  <si>
    <t>985–996</t>
  </si>
  <si>
    <t>161–168</t>
  </si>
  <si>
    <t>997–1008</t>
  </si>
  <si>
    <t>169–176</t>
  </si>
  <si>
    <t>1009–1020</t>
  </si>
  <si>
    <t>1021–1032</t>
  </si>
  <si>
    <t>177–184</t>
  </si>
  <si>
    <t>1033–1034</t>
  </si>
  <si>
    <t>1035–1046</t>
  </si>
  <si>
    <t>1047–1054</t>
  </si>
  <si>
    <t>185–192</t>
  </si>
  <si>
    <t>1055–1066</t>
  </si>
  <si>
    <t>1067–1074</t>
  </si>
  <si>
    <t>1075–1078</t>
  </si>
  <si>
    <t>193–200</t>
  </si>
  <si>
    <t>1079–1090</t>
  </si>
  <si>
    <t>1091–1094</t>
  </si>
  <si>
    <t>201–208</t>
  </si>
  <si>
    <t>1095–1106</t>
  </si>
  <si>
    <t>209–216</t>
  </si>
  <si>
    <t>1107–1118</t>
  </si>
  <si>
    <t>217–224</t>
  </si>
  <si>
    <t>1119–1126</t>
  </si>
  <si>
    <t>1127–1142</t>
  </si>
  <si>
    <t>225–232</t>
  </si>
  <si>
    <t>1143–1150</t>
  </si>
  <si>
    <t>233–240</t>
  </si>
  <si>
    <t>1151–1152</t>
  </si>
  <si>
    <t>1153–1164</t>
  </si>
  <si>
    <t>241–248</t>
  </si>
  <si>
    <t>1165–1168</t>
  </si>
  <si>
    <t>1169–1180</t>
  </si>
  <si>
    <t>249–256</t>
  </si>
  <si>
    <t>1181–1192</t>
  </si>
  <si>
    <t>257–264</t>
  </si>
  <si>
    <t>1193–1204</t>
  </si>
  <si>
    <t>265–272</t>
  </si>
  <si>
    <t>1205–1216</t>
  </si>
  <si>
    <t>273–280</t>
  </si>
  <si>
    <t>1217–1220</t>
  </si>
  <si>
    <t>1221–1232</t>
  </si>
  <si>
    <t>281–288</t>
  </si>
  <si>
    <t>sin numerar (8 págs. PDF)</t>
  </si>
  <si>
    <t>1233–1248</t>
  </si>
  <si>
    <t>1249–1260</t>
  </si>
  <si>
    <t>289–296</t>
  </si>
  <si>
    <t>1261–1272</t>
  </si>
  <si>
    <t>297–304</t>
  </si>
  <si>
    <t>1273–1288</t>
  </si>
  <si>
    <t>305–312</t>
  </si>
  <si>
    <t>1289–1300</t>
  </si>
  <si>
    <t>313–320</t>
  </si>
  <si>
    <t>1301–1316</t>
  </si>
  <si>
    <t>1317–1328</t>
  </si>
  <si>
    <t>321–328</t>
  </si>
  <si>
    <t>1329–1340</t>
  </si>
  <si>
    <t>1341–1352</t>
  </si>
  <si>
    <t>329–336</t>
  </si>
  <si>
    <t>1353–1364</t>
  </si>
  <si>
    <t>1365–1374</t>
  </si>
  <si>
    <t>337–344</t>
  </si>
  <si>
    <t>1375–1386</t>
  </si>
  <si>
    <t>1387–1394</t>
  </si>
  <si>
    <t>345–352</t>
  </si>
  <si>
    <t>1395–1398</t>
  </si>
  <si>
    <t>1399–1410</t>
  </si>
  <si>
    <t>1411–1418</t>
  </si>
  <si>
    <t>353–360</t>
  </si>
  <si>
    <t>1419–1430</t>
  </si>
  <si>
    <t>1431–1438</t>
  </si>
  <si>
    <t>361–368</t>
  </si>
  <si>
    <t>1439–1450</t>
  </si>
  <si>
    <t>1451–1458</t>
  </si>
  <si>
    <t>369–376</t>
  </si>
  <si>
    <t>1459–1470</t>
  </si>
  <si>
    <t>1471–1486</t>
  </si>
  <si>
    <t>377–384</t>
  </si>
  <si>
    <t>1487–1498</t>
  </si>
  <si>
    <t>1499–1502</t>
  </si>
  <si>
    <t>1503–1510</t>
  </si>
  <si>
    <t>1511–1514</t>
  </si>
  <si>
    <t>393–400</t>
  </si>
  <si>
    <t>1515–1526</t>
  </si>
  <si>
    <t>1527–1534</t>
  </si>
  <si>
    <t>Sevilla 51</t>
  </si>
  <si>
    <t>401–408</t>
  </si>
  <si>
    <t>1535–1546</t>
  </si>
  <si>
    <t>1547–1550</t>
  </si>
  <si>
    <t>1551–1554</t>
  </si>
  <si>
    <t>1555–1566</t>
  </si>
  <si>
    <t>1567–1570</t>
  </si>
  <si>
    <t>Madrid 150 (extraord.)</t>
  </si>
  <si>
    <t>1571–1574</t>
  </si>
  <si>
    <t>1565–1572</t>
  </si>
  <si>
    <t>1573–1576</t>
  </si>
  <si>
    <t>1577–1580</t>
  </si>
  <si>
    <t>1581–1584</t>
  </si>
  <si>
    <t>Madrid 153 (supl.)</t>
  </si>
  <si>
    <t>1585–1588</t>
  </si>
  <si>
    <t>449–456</t>
  </si>
  <si>
    <t>1589–1592</t>
  </si>
  <si>
    <t>1593–1596</t>
  </si>
  <si>
    <t>1597–1604</t>
  </si>
  <si>
    <t>Madrid 155 (supl.)</t>
  </si>
  <si>
    <t>1605–1608</t>
  </si>
  <si>
    <t>1609–1616</t>
  </si>
  <si>
    <t>Madrid 156 (supl.)</t>
  </si>
  <si>
    <t>1617–1620</t>
  </si>
  <si>
    <t>457–464</t>
  </si>
  <si>
    <t>1621–1628</t>
  </si>
  <si>
    <t>Madrid 157 (supl.)</t>
  </si>
  <si>
    <t>1629–1630</t>
  </si>
  <si>
    <t>1631–1638</t>
  </si>
  <si>
    <t>1639–1642</t>
  </si>
  <si>
    <t>1643–1650</t>
  </si>
  <si>
    <t>465–472</t>
  </si>
  <si>
    <t>1651–1654</t>
  </si>
  <si>
    <t>1655–1662</t>
  </si>
  <si>
    <t>1663–1666</t>
  </si>
  <si>
    <t>1667–1674</t>
  </si>
  <si>
    <t>1675–1678</t>
  </si>
  <si>
    <t>1679–1682</t>
  </si>
  <si>
    <t>Madrid 167</t>
  </si>
  <si>
    <t>1683–1686</t>
  </si>
  <si>
    <t>485–492</t>
  </si>
  <si>
    <t>1687–1690</t>
  </si>
  <si>
    <t>1691–1694</t>
  </si>
  <si>
    <t>Madrid 169 (supl.)</t>
  </si>
  <si>
    <t>1695–1698</t>
  </si>
  <si>
    <t>1699–1702</t>
  </si>
  <si>
    <t>Madrid 170 (supl.)</t>
  </si>
  <si>
    <t>493–500</t>
  </si>
  <si>
    <t>1703–1706</t>
  </si>
  <si>
    <t>Madrid 171 (supl.)</t>
  </si>
  <si>
    <t>1707–1710</t>
  </si>
  <si>
    <t>Alcance</t>
  </si>
  <si>
    <t>Índice de personas citadas en 171 números de la Gazeta de Madrid y 62 números de la Gazeta Ministerial de Sevilla durante 1808.</t>
  </si>
  <si>
    <t>Cobertura</t>
  </si>
  <si>
    <t>Periodo solicitado y documentado: 1 de enero–31 de diciembre de 1808.</t>
  </si>
  <si>
    <t>Documentos</t>
  </si>
  <si>
    <t>Se han procesado 293 PDF: 20 extraordinarios y 58 suplementos o anexos, además de las series numeradas.</t>
  </si>
  <si>
    <t>Dos series</t>
  </si>
  <si>
    <t>Desde junio coexistieron la Gazeta de Madrid y la Gazeta Ministerial de Sevilla. La columna «Publicación y nº» permite distinguirlas y filtrarlas.</t>
  </si>
  <si>
    <t>Paginación</t>
  </si>
  <si>
    <t>La serie de Madrid llega a la página 1710; la de Sevilla, a la 500. Los anexos sin numeración propia se indican por página del PDF.</t>
  </si>
  <si>
    <t>Reinicio de Madrid</t>
  </si>
  <si>
    <t>La numeración impresa de la serie de Madrid retrocede a la página 1565 en el número 151. El índice conserva este reinicio histórico.</t>
  </si>
  <si>
    <t>Donativos</t>
  </si>
  <si>
    <t>Las relaciones de donativos y ofertas voluntarias tienen paginación independiente y se clasifican en una sección propia.</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</si>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</sst>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18"/>
      <color rgb="FFFFFFFF"/>
      <name val="Aptos"/>
    </font>
    <font>
      <sz val="11"/>
      <color rgb="FFFFFFFF"/>
      <name val="Aptos"/>
    </font>
    <font>
      <b/>
      <sz val="10"/>
      <color rgb="FF17365D"/>
      <name val="Aptos"/>
    </font>
    <font>
      <i/>
      <sz val="10"/>
      <color rgb="FF7F6000"/>
      <name val="Aptos"/>
    </font>
    <font>
      <b/>
      <sz val="10"/>
      <color rgb="FFFFFFFF"/>
      <name val="Aptos"/>
    </font>
    <font>
      <sz val="9"/>
      <name val="Aptos"/>
    </font>
    <font>
      <sz val="9"/>
      <color rgb="FF0563C1"/>
      <name val="Aptos"/>
    </font>
    <font>
      <sz val="10"/>
      <name val="Aptos"/>
    </font>
    <font>
      <sz val="10"/>
      <color rgb="FF0563C1"/>
      <name val="Aptos"/>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horizontal="center"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8" displayName="IndiceOnomasticoAnual1808" ref="A6:K8140" totalsRowShown="0">
  <autoFilter ref="A6:K8140"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8" displayName="FuentesGacetaAnual1808" ref="A3:E296" totalsRowShown="0">
  <autoFilter ref="A3:E296" xr:uid="{00000000-0009-0000-0100-000002000000}"/>
  <tableColumns count="5">
    <tableColumn id="1" xr3:uid="{00000000-0010-0000-0100-000001000000}" name="Publicación y nº"/>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8140"/>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6" width="20" customWidth="1"/>
    <col min="7" max="7" width="13" customWidth="1"/>
    <col min="8" max="8" width="38" customWidth="1"/>
    <col min="9" max="9" width="45" customWidth="1"/>
    <col min="10" max="10" width="18" customWidth="1"/>
    <col min="11" max="11" width="17" customWidth="1"/>
  </cols>
  <sheetData>
    <row r="1" spans="1:11" ht="31.95"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4.049999999999997"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16</v>
      </c>
      <c r="C7" s="3" t="s">
        <v>17</v>
      </c>
      <c r="D7" s="3" t="s">
        <v>18</v>
      </c>
      <c r="E7" s="3" t="s">
        <v>19</v>
      </c>
      <c r="F7" s="8" t="s">
        <v>20</v>
      </c>
      <c r="G7" s="8">
        <v>284</v>
      </c>
      <c r="H7" s="3" t="s">
        <v>21</v>
      </c>
      <c r="I7" s="3" t="s">
        <v>22</v>
      </c>
      <c r="J7" s="11" t="str">
        <f>HYPERLINK("https://www.boe.es/gazeta/dias/1808/09/30/pdfs/GMS-1808-36.pdf#page=4","Abrir facsímil")</f>
        <v>Abrir facsímil</v>
      </c>
      <c r="K7" s="14" t="s">
        <v>23</v>
      </c>
    </row>
    <row r="8" spans="1:11" ht="42" customHeight="1">
      <c r="A8" s="4" t="s">
        <v>24</v>
      </c>
      <c r="B8" s="5" t="s">
        <v>25</v>
      </c>
      <c r="C8" s="5" t="s">
        <v>26</v>
      </c>
      <c r="D8" s="5" t="s">
        <v>27</v>
      </c>
      <c r="E8" s="5" t="s">
        <v>28</v>
      </c>
      <c r="F8" s="9" t="s">
        <v>29</v>
      </c>
      <c r="G8" s="9">
        <v>1427</v>
      </c>
      <c r="H8" s="5" t="s">
        <v>21</v>
      </c>
      <c r="I8" s="5" t="s">
        <v>30</v>
      </c>
      <c r="J8" s="12" t="str">
        <f>HYPERLINK("https://www.boe.es/gazeta/dias/1808/11/04/pdfs/GMD-1808-141.pdf#page=9","Abrir facsímil")</f>
        <v>Abrir facsímil</v>
      </c>
      <c r="K8" s="15" t="s">
        <v>23</v>
      </c>
    </row>
    <row r="9" spans="1:11" ht="42" customHeight="1">
      <c r="A9" s="4" t="s">
        <v>31</v>
      </c>
      <c r="B9" s="5" t="s">
        <v>32</v>
      </c>
      <c r="C9" s="5" t="s">
        <v>33</v>
      </c>
      <c r="D9" s="5" t="s">
        <v>34</v>
      </c>
      <c r="E9" s="5" t="s">
        <v>35</v>
      </c>
      <c r="F9" s="9" t="s">
        <v>36</v>
      </c>
      <c r="G9" s="9" t="s">
        <v>37</v>
      </c>
      <c r="H9" s="5" t="s">
        <v>21</v>
      </c>
      <c r="I9" s="5" t="s">
        <v>38</v>
      </c>
      <c r="J9" s="12" t="str">
        <f>HYPERLINK("https://www.boe.es/gazeta/dias/1808/04/22/pdfs/GMD-C-1808-38.pdf#page=33","Abrir facsímil")</f>
        <v>Abrir facsímil</v>
      </c>
      <c r="K9" s="15" t="s">
        <v>23</v>
      </c>
    </row>
    <row r="10" spans="1:11" ht="42" customHeight="1">
      <c r="A10" s="4" t="s">
        <v>39</v>
      </c>
      <c r="B10" s="5" t="s">
        <v>40</v>
      </c>
      <c r="C10" s="5" t="s">
        <v>41</v>
      </c>
      <c r="D10" s="5" t="s">
        <v>42</v>
      </c>
      <c r="E10" s="5" t="s">
        <v>35</v>
      </c>
      <c r="F10" s="9" t="s">
        <v>36</v>
      </c>
      <c r="G10" s="9" t="s">
        <v>43</v>
      </c>
      <c r="H10" s="5" t="s">
        <v>21</v>
      </c>
      <c r="I10" s="5" t="s">
        <v>44</v>
      </c>
      <c r="J10" s="12" t="str">
        <f>HYPERLINK("https://www.boe.es/gazeta/dias/1808/04/22/pdfs/GMD-C-1808-38.pdf#page=30","Abrir facsímil")</f>
        <v>Abrir facsímil</v>
      </c>
      <c r="K10" s="15" t="s">
        <v>23</v>
      </c>
    </row>
    <row r="11" spans="1:11" ht="42" customHeight="1">
      <c r="A11" s="4" t="s">
        <v>45</v>
      </c>
      <c r="B11" s="5" t="s">
        <v>46</v>
      </c>
      <c r="C11" s="5" t="s">
        <v>33</v>
      </c>
      <c r="D11" s="5" t="s">
        <v>34</v>
      </c>
      <c r="E11" s="5" t="s">
        <v>35</v>
      </c>
      <c r="F11" s="9" t="s">
        <v>36</v>
      </c>
      <c r="G11" s="9" t="s">
        <v>47</v>
      </c>
      <c r="H11" s="5" t="s">
        <v>21</v>
      </c>
      <c r="I11" s="5" t="s">
        <v>48</v>
      </c>
      <c r="J11" s="12" t="str">
        <f>HYPERLINK("https://www.boe.es/gazeta/dias/1808/04/22/pdfs/GMD-C-1808-38.pdf#page=13","Abrir facsímil")</f>
        <v>Abrir facsímil</v>
      </c>
      <c r="K11" s="15" t="s">
        <v>23</v>
      </c>
    </row>
    <row r="12" spans="1:11" ht="42" customHeight="1">
      <c r="A12" s="4" t="s">
        <v>49</v>
      </c>
      <c r="B12" s="5" t="s">
        <v>50</v>
      </c>
      <c r="C12" s="5" t="s">
        <v>17</v>
      </c>
      <c r="D12" s="5" t="s">
        <v>18</v>
      </c>
      <c r="E12" s="5" t="s">
        <v>51</v>
      </c>
      <c r="F12" s="9" t="s">
        <v>52</v>
      </c>
      <c r="G12" s="9">
        <v>990</v>
      </c>
      <c r="H12" s="5" t="s">
        <v>21</v>
      </c>
      <c r="I12" s="5" t="s">
        <v>53</v>
      </c>
      <c r="J12" s="12" t="str">
        <f>HYPERLINK("https://www.boe.es/gazeta/dias/1808/08/09/pdfs/GMD-1808-111.pdf#page=6","Abrir facsímil")</f>
        <v>Abrir facsímil</v>
      </c>
      <c r="K12" s="15" t="s">
        <v>23</v>
      </c>
    </row>
    <row r="13" spans="1:11" ht="42" customHeight="1">
      <c r="A13" s="4" t="s">
        <v>49</v>
      </c>
      <c r="B13" s="5" t="s">
        <v>50</v>
      </c>
      <c r="C13" s="5" t="s">
        <v>17</v>
      </c>
      <c r="D13" s="5" t="s">
        <v>18</v>
      </c>
      <c r="E13" s="5" t="s">
        <v>54</v>
      </c>
      <c r="F13" s="9" t="s">
        <v>55</v>
      </c>
      <c r="G13" s="9">
        <v>1082</v>
      </c>
      <c r="H13" s="5" t="s">
        <v>21</v>
      </c>
      <c r="I13" s="5" t="s">
        <v>56</v>
      </c>
      <c r="J13" s="12" t="str">
        <f>HYPERLINK("https://www.boe.es/gazeta/dias/1808/08/26/pdfs/GMD-1808-117.pdf#page=4","Abrir facsímil")</f>
        <v>Abrir facsímil</v>
      </c>
      <c r="K13" s="15" t="s">
        <v>23</v>
      </c>
    </row>
    <row r="14" spans="1:11" ht="42" customHeight="1">
      <c r="A14" s="4" t="s">
        <v>57</v>
      </c>
      <c r="B14" s="5" t="s">
        <v>58</v>
      </c>
      <c r="C14" s="5" t="s">
        <v>17</v>
      </c>
      <c r="D14" s="5" t="s">
        <v>18</v>
      </c>
      <c r="E14" s="5" t="s">
        <v>19</v>
      </c>
      <c r="F14" s="9" t="s">
        <v>59</v>
      </c>
      <c r="G14" s="9">
        <v>1228</v>
      </c>
      <c r="H14" s="5" t="s">
        <v>21</v>
      </c>
      <c r="I14" s="5" t="s">
        <v>60</v>
      </c>
      <c r="J14" s="12" t="str">
        <f>HYPERLINK("https://www.boe.es/gazeta/dias/1808/09/30/pdfs/GMD-1808-130.pdf#page=8","Abrir facsímil")</f>
        <v>Abrir facsímil</v>
      </c>
      <c r="K14" s="15" t="s">
        <v>23</v>
      </c>
    </row>
    <row r="15" spans="1:11" ht="42" customHeight="1">
      <c r="A15" s="4" t="s">
        <v>57</v>
      </c>
      <c r="B15" s="5" t="s">
        <v>58</v>
      </c>
      <c r="C15" s="5" t="s">
        <v>17</v>
      </c>
      <c r="D15" s="5" t="s">
        <v>18</v>
      </c>
      <c r="E15" s="5" t="s">
        <v>61</v>
      </c>
      <c r="F15" s="9" t="s">
        <v>62</v>
      </c>
      <c r="G15" s="9">
        <v>1284</v>
      </c>
      <c r="H15" s="5" t="s">
        <v>21</v>
      </c>
      <c r="I15" s="5" t="s">
        <v>63</v>
      </c>
      <c r="J15" s="12" t="str">
        <f>HYPERLINK("https://www.boe.es/gazeta/dias/1808/10/11/pdfs/GMD-1808-133.pdf#page=12","Abrir facsímil")</f>
        <v>Abrir facsímil</v>
      </c>
      <c r="K15" s="15" t="s">
        <v>23</v>
      </c>
    </row>
    <row r="16" spans="1:11" ht="42" customHeight="1">
      <c r="A16" s="4" t="s">
        <v>57</v>
      </c>
      <c r="B16" s="5" t="s">
        <v>58</v>
      </c>
      <c r="C16" s="5" t="s">
        <v>17</v>
      </c>
      <c r="D16" s="5" t="s">
        <v>18</v>
      </c>
      <c r="E16" s="5" t="s">
        <v>61</v>
      </c>
      <c r="F16" s="9" t="s">
        <v>62</v>
      </c>
      <c r="G16" s="9">
        <v>1285</v>
      </c>
      <c r="H16" s="5" t="s">
        <v>21</v>
      </c>
      <c r="I16" s="5" t="s">
        <v>64</v>
      </c>
      <c r="J16" s="12" t="str">
        <f>HYPERLINK("https://www.boe.es/gazeta/dias/1808/10/11/pdfs/GMD-1808-133.pdf#page=13","Abrir facsímil")</f>
        <v>Abrir facsímil</v>
      </c>
      <c r="K16" s="15" t="s">
        <v>23</v>
      </c>
    </row>
    <row r="17" spans="1:11" ht="42" customHeight="1">
      <c r="A17" s="4" t="s">
        <v>57</v>
      </c>
      <c r="B17" s="5" t="s">
        <v>58</v>
      </c>
      <c r="C17" s="5" t="s">
        <v>17</v>
      </c>
      <c r="D17" s="5" t="s">
        <v>18</v>
      </c>
      <c r="E17" s="5" t="s">
        <v>65</v>
      </c>
      <c r="F17" s="9" t="s">
        <v>66</v>
      </c>
      <c r="G17" s="9">
        <v>1311</v>
      </c>
      <c r="H17" s="5" t="s">
        <v>21</v>
      </c>
      <c r="I17" s="5" t="s">
        <v>67</v>
      </c>
      <c r="J17" s="12" t="str">
        <f>HYPERLINK("https://www.boe.es/gazeta/dias/1808/10/18/pdfs/GMD-1808-135.pdf#page=11","Abrir facsímil")</f>
        <v>Abrir facsímil</v>
      </c>
      <c r="K17" s="15" t="s">
        <v>23</v>
      </c>
    </row>
    <row r="18" spans="1:11" ht="42" customHeight="1">
      <c r="A18" s="4" t="s">
        <v>57</v>
      </c>
      <c r="B18" s="5" t="s">
        <v>58</v>
      </c>
      <c r="C18" s="5" t="s">
        <v>17</v>
      </c>
      <c r="D18" s="5" t="s">
        <v>18</v>
      </c>
      <c r="E18" s="5" t="s">
        <v>68</v>
      </c>
      <c r="F18" s="9" t="s">
        <v>69</v>
      </c>
      <c r="G18" s="9">
        <v>1338</v>
      </c>
      <c r="H18" s="5" t="s">
        <v>21</v>
      </c>
      <c r="I18" s="5" t="s">
        <v>70</v>
      </c>
      <c r="J18" s="12" t="str">
        <f>HYPERLINK("https://www.boe.es/gazeta/dias/1808/10/21/pdfs/GMD-1808-136.pdf#page=10","Abrir facsímil")</f>
        <v>Abrir facsímil</v>
      </c>
      <c r="K18" s="15" t="s">
        <v>23</v>
      </c>
    </row>
    <row r="19" spans="1:11" ht="42" customHeight="1">
      <c r="A19" s="4" t="s">
        <v>57</v>
      </c>
      <c r="B19" s="5" t="s">
        <v>58</v>
      </c>
      <c r="C19" s="5" t="s">
        <v>33</v>
      </c>
      <c r="D19" s="5" t="s">
        <v>34</v>
      </c>
      <c r="E19" s="5" t="s">
        <v>28</v>
      </c>
      <c r="F19" s="9" t="s">
        <v>71</v>
      </c>
      <c r="G19" s="9">
        <v>1438</v>
      </c>
      <c r="H19" s="5" t="s">
        <v>21</v>
      </c>
      <c r="I19" s="5" t="s">
        <v>72</v>
      </c>
      <c r="J19" s="12" t="str">
        <f>HYPERLINK("https://www.boe.es/gazeta/dias/1808/11/04/pdfs/GMD-C-1808-141.pdf#page=8","Abrir facsímil")</f>
        <v>Abrir facsímil</v>
      </c>
      <c r="K19" s="15" t="s">
        <v>23</v>
      </c>
    </row>
    <row r="20" spans="1:11" ht="42" customHeight="1">
      <c r="A20" s="4" t="s">
        <v>57</v>
      </c>
      <c r="B20" s="5" t="s">
        <v>58</v>
      </c>
      <c r="C20" s="5" t="s">
        <v>41</v>
      </c>
      <c r="D20" s="5" t="s">
        <v>42</v>
      </c>
      <c r="E20" s="5" t="s">
        <v>73</v>
      </c>
      <c r="F20" s="9" t="s">
        <v>74</v>
      </c>
      <c r="G20" s="9" t="s">
        <v>75</v>
      </c>
      <c r="H20" s="5" t="s">
        <v>21</v>
      </c>
      <c r="I20" s="5" t="s">
        <v>76</v>
      </c>
      <c r="J20" s="12" t="str">
        <f>HYPERLINK("https://www.boe.es/gazeta/dias/1808/11/11/pdfs/GMD-D-1808-143.pdf#page=4","Abrir facsímil")</f>
        <v>Abrir facsímil</v>
      </c>
      <c r="K20" s="15" t="s">
        <v>23</v>
      </c>
    </row>
    <row r="21" spans="1:11" ht="42" customHeight="1">
      <c r="A21" s="4" t="s">
        <v>77</v>
      </c>
      <c r="B21" s="5" t="s">
        <v>78</v>
      </c>
      <c r="C21" s="5" t="s">
        <v>33</v>
      </c>
      <c r="D21" s="5" t="s">
        <v>34</v>
      </c>
      <c r="E21" s="5" t="s">
        <v>35</v>
      </c>
      <c r="F21" s="9" t="s">
        <v>36</v>
      </c>
      <c r="G21" s="9" t="s">
        <v>47</v>
      </c>
      <c r="H21" s="5" t="s">
        <v>21</v>
      </c>
      <c r="I21" s="5" t="s">
        <v>79</v>
      </c>
      <c r="J21" s="12" t="str">
        <f>HYPERLINK("https://www.boe.es/gazeta/dias/1808/04/22/pdfs/GMD-C-1808-38.pdf#page=13","Abrir facsímil")</f>
        <v>Abrir facsímil</v>
      </c>
      <c r="K21" s="15" t="s">
        <v>23</v>
      </c>
    </row>
    <row r="22" spans="1:11" ht="42" customHeight="1">
      <c r="A22" s="4" t="s">
        <v>77</v>
      </c>
      <c r="B22" s="5" t="s">
        <v>78</v>
      </c>
      <c r="C22" s="5" t="s">
        <v>33</v>
      </c>
      <c r="D22" s="5" t="s">
        <v>34</v>
      </c>
      <c r="E22" s="5" t="s">
        <v>35</v>
      </c>
      <c r="F22" s="9" t="s">
        <v>36</v>
      </c>
      <c r="G22" s="9" t="s">
        <v>80</v>
      </c>
      <c r="H22" s="5" t="s">
        <v>21</v>
      </c>
      <c r="I22" s="5" t="s">
        <v>81</v>
      </c>
      <c r="J22" s="12" t="str">
        <f>HYPERLINK("https://www.boe.es/gazeta/dias/1808/04/22/pdfs/GMD-C-1808-38.pdf#page=18","Abrir facsímil")</f>
        <v>Abrir facsímil</v>
      </c>
      <c r="K22" s="15" t="s">
        <v>23</v>
      </c>
    </row>
    <row r="23" spans="1:11" ht="42" customHeight="1">
      <c r="A23" s="4" t="s">
        <v>82</v>
      </c>
      <c r="B23" s="5" t="s">
        <v>83</v>
      </c>
      <c r="C23" s="5" t="s">
        <v>17</v>
      </c>
      <c r="D23" s="5" t="s">
        <v>18</v>
      </c>
      <c r="E23" s="5" t="s">
        <v>84</v>
      </c>
      <c r="F23" s="9" t="s">
        <v>85</v>
      </c>
      <c r="G23" s="9">
        <v>1162</v>
      </c>
      <c r="H23" s="5" t="s">
        <v>21</v>
      </c>
      <c r="I23" s="5" t="s">
        <v>86</v>
      </c>
      <c r="J23" s="12" t="str">
        <f>HYPERLINK("https://www.boe.es/gazeta/dias/1808/09/13/pdfs/GMD-1808-123.pdf#page=10","Abrir facsímil")</f>
        <v>Abrir facsímil</v>
      </c>
      <c r="K23" s="15" t="s">
        <v>23</v>
      </c>
    </row>
    <row r="24" spans="1:11" ht="42" customHeight="1">
      <c r="A24" s="4" t="s">
        <v>87</v>
      </c>
      <c r="B24" s="5" t="s">
        <v>88</v>
      </c>
      <c r="C24" s="5" t="s">
        <v>17</v>
      </c>
      <c r="D24" s="5" t="s">
        <v>18</v>
      </c>
      <c r="E24" s="5" t="s">
        <v>89</v>
      </c>
      <c r="F24" s="9" t="s">
        <v>90</v>
      </c>
      <c r="G24" s="9">
        <v>1363</v>
      </c>
      <c r="H24" s="5" t="s">
        <v>21</v>
      </c>
      <c r="I24" s="5" t="s">
        <v>91</v>
      </c>
      <c r="J24" s="12" t="str">
        <f>HYPERLINK("https://www.boe.es/gazeta/dias/1808/10/25/pdfs/GMD-1808-137.pdf#page=11","Abrir facsímil")</f>
        <v>Abrir facsímil</v>
      </c>
      <c r="K24" s="15" t="s">
        <v>23</v>
      </c>
    </row>
    <row r="25" spans="1:11" ht="42" customHeight="1">
      <c r="A25" s="4" t="s">
        <v>92</v>
      </c>
      <c r="B25" s="5" t="s">
        <v>93</v>
      </c>
      <c r="C25" s="5" t="s">
        <v>94</v>
      </c>
      <c r="D25" s="5" t="s">
        <v>95</v>
      </c>
      <c r="E25" s="5" t="s">
        <v>96</v>
      </c>
      <c r="F25" s="9" t="s">
        <v>97</v>
      </c>
      <c r="G25" s="9">
        <v>266</v>
      </c>
      <c r="H25" s="5" t="s">
        <v>21</v>
      </c>
      <c r="I25" s="5" t="s">
        <v>98</v>
      </c>
      <c r="J25" s="12" t="str">
        <f>HYPERLINK("https://www.boe.es/gazeta/dias/1808/03/15/pdfs/GMD-1808-22.pdf#page=8","Abrir facsímil")</f>
        <v>Abrir facsímil</v>
      </c>
      <c r="K25" s="15" t="s">
        <v>23</v>
      </c>
    </row>
    <row r="26" spans="1:11" ht="42" customHeight="1">
      <c r="A26" s="4" t="s">
        <v>99</v>
      </c>
      <c r="B26" s="5" t="s">
        <v>100</v>
      </c>
      <c r="C26" s="5" t="s">
        <v>101</v>
      </c>
      <c r="D26" s="5" t="s">
        <v>102</v>
      </c>
      <c r="E26" s="5" t="s">
        <v>96</v>
      </c>
      <c r="F26" s="9" t="s">
        <v>97</v>
      </c>
      <c r="G26" s="9">
        <v>260</v>
      </c>
      <c r="H26" s="5" t="s">
        <v>21</v>
      </c>
      <c r="I26" s="5" t="s">
        <v>103</v>
      </c>
      <c r="J26" s="12" t="str">
        <f>HYPERLINK("https://www.boe.es/gazeta/dias/1808/03/15/pdfs/GMD-1808-22.pdf#page=2","Abrir facsímil")</f>
        <v>Abrir facsímil</v>
      </c>
      <c r="K26" s="15" t="s">
        <v>23</v>
      </c>
    </row>
    <row r="27" spans="1:11" ht="42" customHeight="1">
      <c r="A27" s="4" t="s">
        <v>104</v>
      </c>
      <c r="B27" s="5" t="s">
        <v>104</v>
      </c>
      <c r="C27" s="5" t="s">
        <v>33</v>
      </c>
      <c r="D27" s="5" t="s">
        <v>34</v>
      </c>
      <c r="E27" s="5" t="s">
        <v>65</v>
      </c>
      <c r="F27" s="9" t="s">
        <v>105</v>
      </c>
      <c r="G27" s="9" t="s">
        <v>106</v>
      </c>
      <c r="H27" s="5" t="s">
        <v>21</v>
      </c>
      <c r="I27" s="5" t="s">
        <v>107</v>
      </c>
      <c r="J27" s="12" t="str">
        <f>HYPERLINK("https://www.boe.es/gazeta/dias/1808/10/18/pdfs/GMD-D-1808-135.pdf#page=3","Abrir facsímil")</f>
        <v>Abrir facsímil</v>
      </c>
      <c r="K27" s="15" t="s">
        <v>23</v>
      </c>
    </row>
    <row r="28" spans="1:11" ht="42" customHeight="1">
      <c r="A28" s="4" t="s">
        <v>108</v>
      </c>
      <c r="B28" s="5" t="s">
        <v>109</v>
      </c>
      <c r="C28" s="5" t="s">
        <v>17</v>
      </c>
      <c r="D28" s="5" t="s">
        <v>18</v>
      </c>
      <c r="E28" s="5" t="s">
        <v>110</v>
      </c>
      <c r="F28" s="9" t="s">
        <v>111</v>
      </c>
      <c r="G28" s="9">
        <v>1383</v>
      </c>
      <c r="H28" s="5" t="s">
        <v>21</v>
      </c>
      <c r="I28" s="5" t="s">
        <v>112</v>
      </c>
      <c r="J28" s="12" t="str">
        <f>HYPERLINK("https://www.boe.es/gazeta/dias/1808/10/28/pdfs/GMD-1808-138.pdf#page=9","Abrir facsímil")</f>
        <v>Abrir facsímil</v>
      </c>
      <c r="K28" s="15" t="s">
        <v>23</v>
      </c>
    </row>
    <row r="29" spans="1:11" ht="42" customHeight="1">
      <c r="A29" s="4" t="s">
        <v>113</v>
      </c>
      <c r="B29" s="5" t="s">
        <v>114</v>
      </c>
      <c r="C29" s="5" t="s">
        <v>33</v>
      </c>
      <c r="D29" s="5" t="s">
        <v>34</v>
      </c>
      <c r="E29" s="5" t="s">
        <v>115</v>
      </c>
      <c r="F29" s="9" t="s">
        <v>116</v>
      </c>
      <c r="G29" s="9" t="s">
        <v>117</v>
      </c>
      <c r="H29" s="5" t="s">
        <v>21</v>
      </c>
      <c r="I29" s="5" t="s">
        <v>118</v>
      </c>
      <c r="J29" s="12" t="str">
        <f>HYPERLINK("https://www.boe.es/gazeta/dias/1808/09/16/pdfs/GMD-C-1808-125.pdf#page=1","Abrir facsímil")</f>
        <v>Abrir facsímil</v>
      </c>
      <c r="K29" s="15" t="s">
        <v>23</v>
      </c>
    </row>
    <row r="30" spans="1:11" ht="42" customHeight="1">
      <c r="A30" s="4" t="s">
        <v>119</v>
      </c>
      <c r="B30" s="5" t="s">
        <v>119</v>
      </c>
      <c r="C30" s="5" t="s">
        <v>101</v>
      </c>
      <c r="D30" s="5" t="s">
        <v>102</v>
      </c>
      <c r="E30" s="5" t="s">
        <v>120</v>
      </c>
      <c r="F30" s="9" t="s">
        <v>121</v>
      </c>
      <c r="G30" s="9">
        <v>308</v>
      </c>
      <c r="H30" s="5" t="s">
        <v>21</v>
      </c>
      <c r="I30" s="5" t="s">
        <v>122</v>
      </c>
      <c r="J30" s="12" t="str">
        <f>HYPERLINK("https://www.boe.es/gazeta/dias/1808/03/29/pdfs/GMD-1808-27.pdf#page=4","Abrir facsímil")</f>
        <v>Abrir facsímil</v>
      </c>
      <c r="K30" s="15" t="s">
        <v>23</v>
      </c>
    </row>
    <row r="31" spans="1:11" ht="42" customHeight="1">
      <c r="A31" s="4" t="s">
        <v>123</v>
      </c>
      <c r="B31" s="5" t="s">
        <v>124</v>
      </c>
      <c r="C31" s="5" t="s">
        <v>33</v>
      </c>
      <c r="D31" s="5" t="s">
        <v>34</v>
      </c>
      <c r="E31" s="5" t="s">
        <v>125</v>
      </c>
      <c r="F31" s="9" t="s">
        <v>126</v>
      </c>
      <c r="G31" s="9" t="s">
        <v>106</v>
      </c>
      <c r="H31" s="5" t="s">
        <v>21</v>
      </c>
      <c r="I31" s="5" t="s">
        <v>127</v>
      </c>
      <c r="J31" s="12" t="str">
        <f>HYPERLINK("https://www.boe.es/gazeta/dias/1808/10/07/pdfs/GMD-C-1808-132.pdf#page=3","Abrir facsímil")</f>
        <v>Abrir facsímil</v>
      </c>
      <c r="K31" s="15" t="s">
        <v>23</v>
      </c>
    </row>
    <row r="32" spans="1:11" ht="42" customHeight="1">
      <c r="A32" s="4" t="s">
        <v>128</v>
      </c>
      <c r="B32" s="5" t="s">
        <v>129</v>
      </c>
      <c r="C32" s="5" t="s">
        <v>17</v>
      </c>
      <c r="D32" s="5" t="s">
        <v>18</v>
      </c>
      <c r="E32" s="5" t="s">
        <v>130</v>
      </c>
      <c r="F32" s="9" t="s">
        <v>131</v>
      </c>
      <c r="G32" s="9">
        <v>1603</v>
      </c>
      <c r="H32" s="5" t="s">
        <v>21</v>
      </c>
      <c r="I32" s="5" t="s">
        <v>132</v>
      </c>
      <c r="J32" s="12" t="str">
        <f>HYPERLINK("https://www.boe.es/gazeta/dias/1808/12/15/pdfs/GMD-1808-155.pdf#page=7","Abrir facsímil")</f>
        <v>Abrir facsímil</v>
      </c>
      <c r="K32" s="15" t="s">
        <v>23</v>
      </c>
    </row>
    <row r="33" spans="1:11" ht="42" customHeight="1">
      <c r="A33" s="4" t="s">
        <v>133</v>
      </c>
      <c r="B33" s="5" t="s">
        <v>134</v>
      </c>
      <c r="C33" s="5" t="s">
        <v>33</v>
      </c>
      <c r="D33" s="5" t="s">
        <v>34</v>
      </c>
      <c r="E33" s="5" t="s">
        <v>35</v>
      </c>
      <c r="F33" s="9" t="s">
        <v>36</v>
      </c>
      <c r="G33" s="9" t="s">
        <v>135</v>
      </c>
      <c r="H33" s="5" t="s">
        <v>21</v>
      </c>
      <c r="I33" s="5" t="s">
        <v>136</v>
      </c>
      <c r="J33" s="12" t="str">
        <f>HYPERLINK("https://www.boe.es/gazeta/dias/1808/04/22/pdfs/GMD-C-1808-38.pdf#page=26","Abrir facsímil")</f>
        <v>Abrir facsímil</v>
      </c>
      <c r="K33" s="15" t="s">
        <v>23</v>
      </c>
    </row>
    <row r="34" spans="1:11" ht="42" customHeight="1">
      <c r="A34" s="4" t="s">
        <v>137</v>
      </c>
      <c r="B34" s="5" t="s">
        <v>138</v>
      </c>
      <c r="C34" s="5" t="s">
        <v>17</v>
      </c>
      <c r="D34" s="5" t="s">
        <v>18</v>
      </c>
      <c r="E34" s="5" t="s">
        <v>139</v>
      </c>
      <c r="F34" s="9" t="s">
        <v>140</v>
      </c>
      <c r="G34" s="9">
        <v>1204</v>
      </c>
      <c r="H34" s="5" t="s">
        <v>21</v>
      </c>
      <c r="I34" s="5" t="s">
        <v>141</v>
      </c>
      <c r="J34" s="12" t="str">
        <f>HYPERLINK("https://www.boe.es/gazeta/dias/1808/09/23/pdfs/GMD-1808-127.pdf#page=12","Abrir facsímil")</f>
        <v>Abrir facsímil</v>
      </c>
      <c r="K34" s="15" t="s">
        <v>23</v>
      </c>
    </row>
    <row r="35" spans="1:11" ht="42" customHeight="1">
      <c r="A35" s="4" t="s">
        <v>142</v>
      </c>
      <c r="B35" s="5" t="s">
        <v>143</v>
      </c>
      <c r="C35" s="5" t="s">
        <v>41</v>
      </c>
      <c r="D35" s="5" t="s">
        <v>42</v>
      </c>
      <c r="E35" s="5" t="s">
        <v>35</v>
      </c>
      <c r="F35" s="9" t="s">
        <v>36</v>
      </c>
      <c r="G35" s="9" t="s">
        <v>144</v>
      </c>
      <c r="H35" s="5" t="s">
        <v>21</v>
      </c>
      <c r="I35" s="5" t="s">
        <v>145</v>
      </c>
      <c r="J35" s="12" t="str">
        <f>HYPERLINK("https://www.boe.es/gazeta/dias/1808/04/22/pdfs/GMD-C-1808-38.pdf#page=40","Abrir facsímil")</f>
        <v>Abrir facsímil</v>
      </c>
      <c r="K35" s="15" t="s">
        <v>23</v>
      </c>
    </row>
    <row r="36" spans="1:11" ht="42" customHeight="1">
      <c r="A36" s="4" t="s">
        <v>146</v>
      </c>
      <c r="B36" s="5" t="s">
        <v>147</v>
      </c>
      <c r="C36" s="5" t="s">
        <v>33</v>
      </c>
      <c r="D36" s="5" t="s">
        <v>34</v>
      </c>
      <c r="E36" s="5" t="s">
        <v>35</v>
      </c>
      <c r="F36" s="9" t="s">
        <v>36</v>
      </c>
      <c r="G36" s="9" t="s">
        <v>148</v>
      </c>
      <c r="H36" s="5" t="s">
        <v>21</v>
      </c>
      <c r="I36" s="5" t="s">
        <v>149</v>
      </c>
      <c r="J36" s="12" t="str">
        <f>HYPERLINK("https://www.boe.es/gazeta/dias/1808/04/22/pdfs/GMD-C-1808-38.pdf#page=38","Abrir facsímil")</f>
        <v>Abrir facsímil</v>
      </c>
      <c r="K36" s="15" t="s">
        <v>23</v>
      </c>
    </row>
    <row r="37" spans="1:11" ht="42" customHeight="1">
      <c r="A37" s="4" t="s">
        <v>146</v>
      </c>
      <c r="B37" s="5" t="s">
        <v>147</v>
      </c>
      <c r="C37" s="5" t="s">
        <v>17</v>
      </c>
      <c r="D37" s="5" t="s">
        <v>18</v>
      </c>
      <c r="E37" s="5" t="s">
        <v>61</v>
      </c>
      <c r="F37" s="9" t="s">
        <v>62</v>
      </c>
      <c r="G37" s="9">
        <v>1285</v>
      </c>
      <c r="H37" s="5" t="s">
        <v>21</v>
      </c>
      <c r="I37" s="5" t="s">
        <v>150</v>
      </c>
      <c r="J37" s="12" t="str">
        <f>HYPERLINK("https://www.boe.es/gazeta/dias/1808/10/11/pdfs/GMD-1808-133.pdf#page=13","Abrir facsímil")</f>
        <v>Abrir facsímil</v>
      </c>
      <c r="K37" s="15" t="s">
        <v>23</v>
      </c>
    </row>
    <row r="38" spans="1:11" ht="42" customHeight="1">
      <c r="A38" s="4" t="s">
        <v>151</v>
      </c>
      <c r="B38" s="5" t="s">
        <v>152</v>
      </c>
      <c r="C38" s="5" t="s">
        <v>33</v>
      </c>
      <c r="D38" s="5" t="s">
        <v>34</v>
      </c>
      <c r="E38" s="5" t="s">
        <v>153</v>
      </c>
      <c r="F38" s="9" t="s">
        <v>154</v>
      </c>
      <c r="G38" s="9" t="s">
        <v>75</v>
      </c>
      <c r="H38" s="5" t="s">
        <v>21</v>
      </c>
      <c r="I38" s="5" t="s">
        <v>155</v>
      </c>
      <c r="J38" s="12" t="str">
        <f>HYPERLINK("https://www.boe.es/gazeta/dias/1808/09/09/pdfs/GMD-C-1808-121.pdf#page=4","Abrir facsímil")</f>
        <v>Abrir facsímil</v>
      </c>
      <c r="K38" s="15" t="s">
        <v>23</v>
      </c>
    </row>
    <row r="39" spans="1:11" ht="42" customHeight="1">
      <c r="A39" s="4" t="s">
        <v>156</v>
      </c>
      <c r="B39" s="5" t="s">
        <v>156</v>
      </c>
      <c r="C39" s="5" t="s">
        <v>17</v>
      </c>
      <c r="D39" s="5" t="s">
        <v>18</v>
      </c>
      <c r="E39" s="5" t="s">
        <v>157</v>
      </c>
      <c r="F39" s="9" t="s">
        <v>158</v>
      </c>
      <c r="G39" s="9">
        <v>47</v>
      </c>
      <c r="H39" s="5" t="s">
        <v>21</v>
      </c>
      <c r="I39" s="5" t="s">
        <v>159</v>
      </c>
      <c r="J39" s="12" t="str">
        <f>HYPERLINK("https://www.boe.es/gazeta/dias/1808/06/18/pdfs/GMS-1808-6.pdf#page=7","Abrir facsímil")</f>
        <v>Abrir facsímil</v>
      </c>
      <c r="K39" s="15" t="s">
        <v>23</v>
      </c>
    </row>
    <row r="40" spans="1:11" ht="42" customHeight="1">
      <c r="A40" s="4" t="s">
        <v>160</v>
      </c>
      <c r="B40" s="5" t="s">
        <v>161</v>
      </c>
      <c r="C40" s="5" t="s">
        <v>33</v>
      </c>
      <c r="D40" s="5" t="s">
        <v>34</v>
      </c>
      <c r="E40" s="5" t="s">
        <v>35</v>
      </c>
      <c r="F40" s="9" t="s">
        <v>36</v>
      </c>
      <c r="G40" s="9" t="s">
        <v>162</v>
      </c>
      <c r="H40" s="5" t="s">
        <v>21</v>
      </c>
      <c r="I40" s="5" t="s">
        <v>163</v>
      </c>
      <c r="J40" s="12" t="str">
        <f>HYPERLINK("https://www.boe.es/gazeta/dias/1808/04/22/pdfs/GMD-C-1808-38.pdf#page=31","Abrir facsímil")</f>
        <v>Abrir facsímil</v>
      </c>
      <c r="K40" s="15" t="s">
        <v>23</v>
      </c>
    </row>
    <row r="41" spans="1:11" ht="42" customHeight="1">
      <c r="A41" s="4" t="s">
        <v>164</v>
      </c>
      <c r="B41" s="5" t="s">
        <v>165</v>
      </c>
      <c r="C41" s="5" t="s">
        <v>33</v>
      </c>
      <c r="D41" s="5" t="s">
        <v>34</v>
      </c>
      <c r="E41" s="5" t="s">
        <v>166</v>
      </c>
      <c r="F41" s="9" t="s">
        <v>167</v>
      </c>
      <c r="G41" s="9">
        <v>1511</v>
      </c>
      <c r="H41" s="5" t="s">
        <v>21</v>
      </c>
      <c r="I41" s="5" t="s">
        <v>168</v>
      </c>
      <c r="J41" s="12" t="str">
        <f>HYPERLINK("https://www.boe.es/gazeta/dias/1808/11/18/pdfs/GMD-C-1808-145.pdf#page=1","Abrir facsímil")</f>
        <v>Abrir facsímil</v>
      </c>
      <c r="K41" s="15" t="s">
        <v>23</v>
      </c>
    </row>
    <row r="42" spans="1:11" ht="42" customHeight="1">
      <c r="A42" s="4" t="s">
        <v>169</v>
      </c>
      <c r="B42" s="5" t="s">
        <v>170</v>
      </c>
      <c r="C42" s="5" t="s">
        <v>17</v>
      </c>
      <c r="D42" s="5" t="s">
        <v>18</v>
      </c>
      <c r="E42" s="5" t="s">
        <v>19</v>
      </c>
      <c r="F42" s="9" t="s">
        <v>59</v>
      </c>
      <c r="G42" s="9">
        <v>1230</v>
      </c>
      <c r="H42" s="5" t="s">
        <v>21</v>
      </c>
      <c r="I42" s="5" t="s">
        <v>171</v>
      </c>
      <c r="J42" s="12" t="str">
        <f>HYPERLINK("https://www.boe.es/gazeta/dias/1808/09/30/pdfs/GMD-1808-130.pdf#page=10","Abrir facsímil")</f>
        <v>Abrir facsímil</v>
      </c>
      <c r="K42" s="15" t="s">
        <v>23</v>
      </c>
    </row>
    <row r="43" spans="1:11" ht="42" customHeight="1">
      <c r="A43" s="4" t="s">
        <v>172</v>
      </c>
      <c r="B43" s="5" t="s">
        <v>173</v>
      </c>
      <c r="C43" s="5" t="s">
        <v>17</v>
      </c>
      <c r="D43" s="5" t="s">
        <v>18</v>
      </c>
      <c r="E43" s="5" t="s">
        <v>61</v>
      </c>
      <c r="F43" s="9" t="s">
        <v>62</v>
      </c>
      <c r="G43" s="9">
        <v>1285</v>
      </c>
      <c r="H43" s="5" t="s">
        <v>21</v>
      </c>
      <c r="I43" s="5" t="s">
        <v>174</v>
      </c>
      <c r="J43" s="12" t="str">
        <f>HYPERLINK("https://www.boe.es/gazeta/dias/1808/10/11/pdfs/GMD-1808-133.pdf#page=13","Abrir facsímil")</f>
        <v>Abrir facsímil</v>
      </c>
      <c r="K43" s="15" t="s">
        <v>23</v>
      </c>
    </row>
    <row r="44" spans="1:11" ht="42" customHeight="1">
      <c r="A44" s="4" t="s">
        <v>175</v>
      </c>
      <c r="B44" s="5" t="s">
        <v>176</v>
      </c>
      <c r="C44" s="5" t="s">
        <v>17</v>
      </c>
      <c r="D44" s="5" t="s">
        <v>18</v>
      </c>
      <c r="E44" s="5" t="s">
        <v>130</v>
      </c>
      <c r="F44" s="9" t="s">
        <v>131</v>
      </c>
      <c r="G44" s="9">
        <v>1604</v>
      </c>
      <c r="H44" s="5" t="s">
        <v>21</v>
      </c>
      <c r="I44" s="5" t="s">
        <v>177</v>
      </c>
      <c r="J44" s="12" t="str">
        <f>HYPERLINK("https://www.boe.es/gazeta/dias/1808/12/15/pdfs/GMD-1808-155.pdf#page=8","Abrir facsímil")</f>
        <v>Abrir facsímil</v>
      </c>
      <c r="K44" s="15" t="s">
        <v>23</v>
      </c>
    </row>
    <row r="45" spans="1:11" ht="42" customHeight="1">
      <c r="A45" s="4" t="s">
        <v>178</v>
      </c>
      <c r="B45" s="5" t="s">
        <v>179</v>
      </c>
      <c r="C45" s="5" t="s">
        <v>33</v>
      </c>
      <c r="D45" s="5" t="s">
        <v>34</v>
      </c>
      <c r="E45" s="5" t="s">
        <v>180</v>
      </c>
      <c r="F45" s="9" t="s">
        <v>181</v>
      </c>
      <c r="G45" s="9">
        <v>1499</v>
      </c>
      <c r="H45" s="5" t="s">
        <v>21</v>
      </c>
      <c r="I45" s="5" t="s">
        <v>182</v>
      </c>
      <c r="J45" s="12" t="str">
        <f>HYPERLINK("https://www.boe.es/gazeta/dias/1808/11/15/pdfs/GMD-C-1808-144.pdf#page=1","Abrir facsímil")</f>
        <v>Abrir facsímil</v>
      </c>
      <c r="K45" s="15" t="s">
        <v>23</v>
      </c>
    </row>
    <row r="46" spans="1:11" ht="42" customHeight="1">
      <c r="A46" s="4" t="s">
        <v>183</v>
      </c>
      <c r="B46" s="5" t="s">
        <v>184</v>
      </c>
      <c r="C46" s="5" t="s">
        <v>94</v>
      </c>
      <c r="D46" s="5" t="s">
        <v>95</v>
      </c>
      <c r="E46" s="5" t="s">
        <v>185</v>
      </c>
      <c r="F46" s="9" t="s">
        <v>186</v>
      </c>
      <c r="G46" s="9">
        <v>1101</v>
      </c>
      <c r="H46" s="5" t="s">
        <v>21</v>
      </c>
      <c r="I46" s="5" t="s">
        <v>187</v>
      </c>
      <c r="J46" s="12" t="str">
        <f>HYPERLINK("https://www.boe.es/gazeta/dias/1808/08/30/pdfs/GMD-1808-118.pdf#page=7","Abrir facsímil")</f>
        <v>Abrir facsímil</v>
      </c>
      <c r="K46" s="15" t="s">
        <v>23</v>
      </c>
    </row>
    <row r="47" spans="1:11" ht="42" customHeight="1">
      <c r="A47" s="4" t="s">
        <v>188</v>
      </c>
      <c r="B47" s="5" t="s">
        <v>189</v>
      </c>
      <c r="C47" s="5" t="s">
        <v>17</v>
      </c>
      <c r="D47" s="5" t="s">
        <v>18</v>
      </c>
      <c r="E47" s="5" t="s">
        <v>130</v>
      </c>
      <c r="F47" s="9" t="s">
        <v>131</v>
      </c>
      <c r="G47" s="9">
        <v>1603</v>
      </c>
      <c r="H47" s="5" t="s">
        <v>21</v>
      </c>
      <c r="I47" s="5" t="s">
        <v>190</v>
      </c>
      <c r="J47" s="12" t="str">
        <f>HYPERLINK("https://www.boe.es/gazeta/dias/1808/12/15/pdfs/GMD-1808-155.pdf#page=7","Abrir facsímil")</f>
        <v>Abrir facsímil</v>
      </c>
      <c r="K47" s="15" t="s">
        <v>23</v>
      </c>
    </row>
    <row r="48" spans="1:11" ht="42" customHeight="1">
      <c r="A48" s="4" t="s">
        <v>191</v>
      </c>
      <c r="B48" s="5" t="s">
        <v>191</v>
      </c>
      <c r="C48" s="5" t="s">
        <v>17</v>
      </c>
      <c r="D48" s="5" t="s">
        <v>18</v>
      </c>
      <c r="E48" s="5" t="s">
        <v>192</v>
      </c>
      <c r="F48" s="9" t="s">
        <v>193</v>
      </c>
      <c r="G48" s="9">
        <v>764</v>
      </c>
      <c r="H48" s="5" t="s">
        <v>21</v>
      </c>
      <c r="I48" s="5" t="s">
        <v>194</v>
      </c>
      <c r="J48" s="12" t="str">
        <f>HYPERLINK("https://www.boe.es/gazeta/dias/1808/07/09/pdfs/GMD-1808-81.pdf#page=6","Abrir facsímil")</f>
        <v>Abrir facsímil</v>
      </c>
      <c r="K48" s="15" t="s">
        <v>23</v>
      </c>
    </row>
    <row r="49" spans="1:11" ht="42" customHeight="1">
      <c r="A49" s="4" t="s">
        <v>195</v>
      </c>
      <c r="B49" s="5" t="s">
        <v>196</v>
      </c>
      <c r="C49" s="5" t="s">
        <v>41</v>
      </c>
      <c r="D49" s="5" t="s">
        <v>42</v>
      </c>
      <c r="E49" s="5" t="s">
        <v>197</v>
      </c>
      <c r="F49" s="9" t="s">
        <v>198</v>
      </c>
      <c r="G49" s="9" t="s">
        <v>199</v>
      </c>
      <c r="H49" s="5" t="s">
        <v>21</v>
      </c>
      <c r="I49" s="5" t="s">
        <v>200</v>
      </c>
      <c r="J49" s="12" t="str">
        <f>HYPERLINK("https://www.boe.es/gazeta/dias/1808/11/01/pdfs/GMD-D-1808-140.pdf#page=2","Abrir facsímil")</f>
        <v>Abrir facsímil</v>
      </c>
      <c r="K49" s="15" t="s">
        <v>23</v>
      </c>
    </row>
    <row r="50" spans="1:11" ht="42" customHeight="1">
      <c r="A50" s="4" t="s">
        <v>201</v>
      </c>
      <c r="B50" s="5" t="s">
        <v>202</v>
      </c>
      <c r="C50" s="5" t="s">
        <v>17</v>
      </c>
      <c r="D50" s="5" t="s">
        <v>18</v>
      </c>
      <c r="E50" s="5" t="s">
        <v>203</v>
      </c>
      <c r="F50" s="9" t="s">
        <v>204</v>
      </c>
      <c r="G50" s="9">
        <v>140</v>
      </c>
      <c r="H50" s="5" t="s">
        <v>21</v>
      </c>
      <c r="I50" s="5" t="s">
        <v>205</v>
      </c>
      <c r="J50" s="12" t="str">
        <f>HYPERLINK("https://www.boe.es/gazeta/dias/1808/02/09/pdfs/GMD-1808-12.pdf#page=8","Abrir facsímil")</f>
        <v>Abrir facsímil</v>
      </c>
      <c r="K50" s="15" t="s">
        <v>23</v>
      </c>
    </row>
    <row r="51" spans="1:11" ht="42" customHeight="1">
      <c r="A51" s="4" t="s">
        <v>206</v>
      </c>
      <c r="B51" s="5" t="s">
        <v>206</v>
      </c>
      <c r="C51" s="5" t="s">
        <v>101</v>
      </c>
      <c r="D51" s="5" t="s">
        <v>102</v>
      </c>
      <c r="E51" s="5" t="s">
        <v>207</v>
      </c>
      <c r="F51" s="9" t="s">
        <v>208</v>
      </c>
      <c r="G51" s="9">
        <v>189</v>
      </c>
      <c r="H51" s="5" t="s">
        <v>21</v>
      </c>
      <c r="I51" s="5" t="s">
        <v>209</v>
      </c>
      <c r="J51" s="12" t="str">
        <f>HYPERLINK("https://www.boe.es/gazeta/dias/1808/02/23/pdfs/GMD-1808-16.pdf#page=3","Abrir facsímil")</f>
        <v>Abrir facsímil</v>
      </c>
      <c r="K51" s="15" t="s">
        <v>23</v>
      </c>
    </row>
    <row r="52" spans="1:11" ht="42" customHeight="1">
      <c r="A52" s="4" t="s">
        <v>206</v>
      </c>
      <c r="B52" s="5" t="s">
        <v>206</v>
      </c>
      <c r="C52" s="5" t="s">
        <v>101</v>
      </c>
      <c r="D52" s="5" t="s">
        <v>102</v>
      </c>
      <c r="E52" s="5" t="s">
        <v>210</v>
      </c>
      <c r="F52" s="9" t="s">
        <v>211</v>
      </c>
      <c r="G52" s="9">
        <v>251</v>
      </c>
      <c r="H52" s="5" t="s">
        <v>21</v>
      </c>
      <c r="I52" s="5" t="s">
        <v>212</v>
      </c>
      <c r="J52" s="12" t="str">
        <f>HYPERLINK("https://www.boe.es/gazeta/dias/1808/03/11/pdfs/GMD-1808-21.pdf#page=5","Abrir facsímil")</f>
        <v>Abrir facsímil</v>
      </c>
      <c r="K52" s="15" t="s">
        <v>23</v>
      </c>
    </row>
    <row r="53" spans="1:11" ht="42" customHeight="1">
      <c r="A53" s="4" t="s">
        <v>213</v>
      </c>
      <c r="B53" s="5" t="s">
        <v>213</v>
      </c>
      <c r="C53" s="5" t="s">
        <v>17</v>
      </c>
      <c r="D53" s="5" t="s">
        <v>18</v>
      </c>
      <c r="E53" s="5" t="s">
        <v>210</v>
      </c>
      <c r="F53" s="9" t="s">
        <v>211</v>
      </c>
      <c r="G53" s="9">
        <v>253</v>
      </c>
      <c r="H53" s="5" t="s">
        <v>21</v>
      </c>
      <c r="I53" s="5" t="s">
        <v>214</v>
      </c>
      <c r="J53" s="12" t="str">
        <f>HYPERLINK("https://www.boe.es/gazeta/dias/1808/03/11/pdfs/GMD-1808-21.pdf#page=7","Abrir facsímil")</f>
        <v>Abrir facsímil</v>
      </c>
      <c r="K53" s="15" t="s">
        <v>23</v>
      </c>
    </row>
    <row r="54" spans="1:11" ht="42" customHeight="1">
      <c r="A54" s="4" t="s">
        <v>206</v>
      </c>
      <c r="B54" s="5" t="s">
        <v>206</v>
      </c>
      <c r="C54" s="5" t="s">
        <v>101</v>
      </c>
      <c r="D54" s="5" t="s">
        <v>102</v>
      </c>
      <c r="E54" s="5" t="s">
        <v>215</v>
      </c>
      <c r="F54" s="9" t="s">
        <v>216</v>
      </c>
      <c r="G54" s="9">
        <v>292</v>
      </c>
      <c r="H54" s="5" t="s">
        <v>21</v>
      </c>
      <c r="I54" s="5" t="s">
        <v>217</v>
      </c>
      <c r="J54" s="12" t="str">
        <f>HYPERLINK("https://www.boe.es/gazeta/dias/1808/03/25/pdfs/GMD-1808-25.pdf#page=2","Abrir facsímil")</f>
        <v>Abrir facsímil</v>
      </c>
      <c r="K54" s="15" t="s">
        <v>23</v>
      </c>
    </row>
    <row r="55" spans="1:11" ht="42" customHeight="1">
      <c r="A55" s="4" t="s">
        <v>206</v>
      </c>
      <c r="B55" s="5" t="s">
        <v>206</v>
      </c>
      <c r="C55" s="5" t="s">
        <v>101</v>
      </c>
      <c r="D55" s="5" t="s">
        <v>102</v>
      </c>
      <c r="E55" s="5" t="s">
        <v>218</v>
      </c>
      <c r="F55" s="9" t="s">
        <v>219</v>
      </c>
      <c r="G55" s="9">
        <v>326</v>
      </c>
      <c r="H55" s="5" t="s">
        <v>21</v>
      </c>
      <c r="I55" s="5" t="s">
        <v>220</v>
      </c>
      <c r="J55" s="12" t="str">
        <f>HYPERLINK("https://www.boe.es/gazeta/dias/1808/04/01/pdfs/GMD-1808-29.pdf#page=2","Abrir facsímil")</f>
        <v>Abrir facsímil</v>
      </c>
      <c r="K55" s="15" t="s">
        <v>23</v>
      </c>
    </row>
    <row r="56" spans="1:11" ht="42" customHeight="1">
      <c r="A56" s="4" t="s">
        <v>206</v>
      </c>
      <c r="B56" s="5" t="s">
        <v>206</v>
      </c>
      <c r="C56" s="5" t="s">
        <v>101</v>
      </c>
      <c r="D56" s="5" t="s">
        <v>102</v>
      </c>
      <c r="E56" s="5" t="s">
        <v>218</v>
      </c>
      <c r="F56" s="9" t="s">
        <v>219</v>
      </c>
      <c r="G56" s="9">
        <v>327</v>
      </c>
      <c r="H56" s="5" t="s">
        <v>21</v>
      </c>
      <c r="I56" s="5" t="s">
        <v>221</v>
      </c>
      <c r="J56" s="12" t="str">
        <f>HYPERLINK("https://www.boe.es/gazeta/dias/1808/04/01/pdfs/GMD-1808-29.pdf#page=3","Abrir facsímil")</f>
        <v>Abrir facsímil</v>
      </c>
      <c r="K56" s="15" t="s">
        <v>23</v>
      </c>
    </row>
    <row r="57" spans="1:11" ht="42" customHeight="1">
      <c r="A57" s="4" t="s">
        <v>206</v>
      </c>
      <c r="B57" s="5" t="s">
        <v>206</v>
      </c>
      <c r="C57" s="5" t="s">
        <v>17</v>
      </c>
      <c r="D57" s="5" t="s">
        <v>18</v>
      </c>
      <c r="E57" s="5" t="s">
        <v>222</v>
      </c>
      <c r="F57" s="9" t="s">
        <v>223</v>
      </c>
      <c r="G57" s="9">
        <v>353</v>
      </c>
      <c r="H57" s="5" t="s">
        <v>21</v>
      </c>
      <c r="I57" s="5" t="s">
        <v>224</v>
      </c>
      <c r="J57" s="12" t="str">
        <f>HYPERLINK("https://www.boe.es/gazeta/dias/1808/04/08/pdfs/GMD-1808-32.pdf#page=7","Abrir facsímil")</f>
        <v>Abrir facsímil</v>
      </c>
      <c r="K57" s="15" t="s">
        <v>23</v>
      </c>
    </row>
    <row r="58" spans="1:11" ht="42" customHeight="1">
      <c r="A58" s="4" t="s">
        <v>206</v>
      </c>
      <c r="B58" s="5" t="s">
        <v>206</v>
      </c>
      <c r="C58" s="5" t="s">
        <v>101</v>
      </c>
      <c r="D58" s="5" t="s">
        <v>102</v>
      </c>
      <c r="E58" s="5" t="s">
        <v>225</v>
      </c>
      <c r="F58" s="9" t="s">
        <v>226</v>
      </c>
      <c r="G58" s="9">
        <v>605</v>
      </c>
      <c r="H58" s="5" t="s">
        <v>21</v>
      </c>
      <c r="I58" s="5" t="s">
        <v>227</v>
      </c>
      <c r="J58" s="12" t="str">
        <f>HYPERLINK("https://www.boe.es/gazeta/dias/1808/06/20/pdfs/GMD-1808-62.pdf#page=3","Abrir facsímil")</f>
        <v>Abrir facsímil</v>
      </c>
      <c r="K58" s="15" t="s">
        <v>23</v>
      </c>
    </row>
    <row r="59" spans="1:11" ht="42" customHeight="1">
      <c r="A59" s="4" t="s">
        <v>206</v>
      </c>
      <c r="B59" s="5" t="s">
        <v>206</v>
      </c>
      <c r="C59" s="5" t="s">
        <v>94</v>
      </c>
      <c r="D59" s="5" t="s">
        <v>95</v>
      </c>
      <c r="E59" s="5" t="s">
        <v>228</v>
      </c>
      <c r="F59" s="9" t="s">
        <v>229</v>
      </c>
      <c r="G59" s="9">
        <v>835</v>
      </c>
      <c r="H59" s="5" t="s">
        <v>21</v>
      </c>
      <c r="I59" s="5" t="s">
        <v>230</v>
      </c>
      <c r="J59" s="12" t="str">
        <f>HYPERLINK("https://www.boe.es/gazeta/dias/1808/07/18/pdfs/GMD-1808-90.pdf#page=5","Abrir facsímil")</f>
        <v>Abrir facsímil</v>
      </c>
      <c r="K59" s="15" t="s">
        <v>23</v>
      </c>
    </row>
    <row r="60" spans="1:11" ht="42" customHeight="1">
      <c r="A60" s="4" t="s">
        <v>206</v>
      </c>
      <c r="B60" s="5" t="s">
        <v>206</v>
      </c>
      <c r="C60" s="5" t="s">
        <v>101</v>
      </c>
      <c r="D60" s="5" t="s">
        <v>102</v>
      </c>
      <c r="E60" s="5" t="s">
        <v>231</v>
      </c>
      <c r="F60" s="9" t="s">
        <v>232</v>
      </c>
      <c r="G60" s="9">
        <v>1680</v>
      </c>
      <c r="H60" s="5" t="s">
        <v>21</v>
      </c>
      <c r="I60" s="5" t="s">
        <v>233</v>
      </c>
      <c r="J60" s="12" t="str">
        <f>HYPERLINK("https://www.boe.es/gazeta/dias/1808/12/26/pdfs/GMD-1808-166.pdf#page=2","Abrir facsímil")</f>
        <v>Abrir facsímil</v>
      </c>
      <c r="K60" s="15" t="s">
        <v>23</v>
      </c>
    </row>
    <row r="61" spans="1:11" ht="42" customHeight="1">
      <c r="A61" s="4" t="s">
        <v>206</v>
      </c>
      <c r="B61" s="5" t="s">
        <v>206</v>
      </c>
      <c r="C61" s="5" t="s">
        <v>101</v>
      </c>
      <c r="D61" s="5" t="s">
        <v>102</v>
      </c>
      <c r="E61" s="5" t="s">
        <v>234</v>
      </c>
      <c r="F61" s="9" t="s">
        <v>235</v>
      </c>
      <c r="G61" s="9">
        <v>1699</v>
      </c>
      <c r="H61" s="5" t="s">
        <v>21</v>
      </c>
      <c r="I61" s="5" t="s">
        <v>236</v>
      </c>
      <c r="J61" s="12" t="str">
        <f>HYPERLINK("https://www.boe.es/gazeta/dias/1808/12/30/pdfs/GMD-1808-170.pdf#page=1","Abrir facsímil")</f>
        <v>Abrir facsímil</v>
      </c>
      <c r="K61" s="15" t="s">
        <v>23</v>
      </c>
    </row>
    <row r="62" spans="1:11" ht="42" customHeight="1">
      <c r="A62" s="4" t="s">
        <v>237</v>
      </c>
      <c r="B62" s="5" t="s">
        <v>237</v>
      </c>
      <c r="C62" s="5" t="s">
        <v>101</v>
      </c>
      <c r="D62" s="5" t="s">
        <v>102</v>
      </c>
      <c r="E62" s="5" t="s">
        <v>238</v>
      </c>
      <c r="F62" s="9" t="s">
        <v>239</v>
      </c>
      <c r="G62" s="9">
        <v>27</v>
      </c>
      <c r="H62" s="5" t="s">
        <v>21</v>
      </c>
      <c r="I62" s="5" t="s">
        <v>240</v>
      </c>
      <c r="J62" s="12" t="str">
        <f>HYPERLINK("https://www.boe.es/gazeta/dias/1808/01/08/pdfs/GMD-1808-3.pdf#page=3","Abrir facsímil")</f>
        <v>Abrir facsímil</v>
      </c>
      <c r="K62" s="15" t="s">
        <v>23</v>
      </c>
    </row>
    <row r="63" spans="1:11" ht="42" customHeight="1">
      <c r="A63" s="4" t="s">
        <v>241</v>
      </c>
      <c r="B63" s="5" t="s">
        <v>241</v>
      </c>
      <c r="C63" s="5" t="s">
        <v>101</v>
      </c>
      <c r="D63" s="5" t="s">
        <v>102</v>
      </c>
      <c r="E63" s="5" t="s">
        <v>242</v>
      </c>
      <c r="F63" s="9" t="s">
        <v>243</v>
      </c>
      <c r="G63" s="9">
        <v>4</v>
      </c>
      <c r="H63" s="5" t="s">
        <v>21</v>
      </c>
      <c r="I63" s="5" t="s">
        <v>244</v>
      </c>
      <c r="J63" s="12" t="str">
        <f>HYPERLINK("https://www.boe.es/gazeta/dias/1808/01/01/pdfs/GMD-1808-1.pdf#page=4","Abrir facsímil")</f>
        <v>Abrir facsímil</v>
      </c>
      <c r="K63" s="15" t="s">
        <v>23</v>
      </c>
    </row>
    <row r="64" spans="1:11" ht="42" customHeight="1">
      <c r="A64" s="4" t="s">
        <v>241</v>
      </c>
      <c r="B64" s="5" t="s">
        <v>241</v>
      </c>
      <c r="C64" s="5" t="s">
        <v>101</v>
      </c>
      <c r="D64" s="5" t="s">
        <v>102</v>
      </c>
      <c r="E64" s="5" t="s">
        <v>245</v>
      </c>
      <c r="F64" s="9" t="s">
        <v>246</v>
      </c>
      <c r="G64" s="9">
        <v>535</v>
      </c>
      <c r="H64" s="5" t="s">
        <v>21</v>
      </c>
      <c r="I64" s="5" t="s">
        <v>247</v>
      </c>
      <c r="J64" s="12" t="str">
        <f>HYPERLINK("https://www.boe.es/gazeta/dias/1808/06/07/pdfs/GMD-1808-54.pdf#page=1","Abrir facsímil")</f>
        <v>Abrir facsímil</v>
      </c>
      <c r="K64" s="15" t="s">
        <v>23</v>
      </c>
    </row>
    <row r="65" spans="1:11" ht="42" customHeight="1">
      <c r="A65" s="4" t="s">
        <v>241</v>
      </c>
      <c r="B65" s="5" t="s">
        <v>241</v>
      </c>
      <c r="C65" s="5" t="s">
        <v>17</v>
      </c>
      <c r="D65" s="5" t="s">
        <v>18</v>
      </c>
      <c r="E65" s="5" t="s">
        <v>248</v>
      </c>
      <c r="F65" s="9" t="s">
        <v>249</v>
      </c>
      <c r="G65" s="9">
        <v>1703</v>
      </c>
      <c r="H65" s="5" t="s">
        <v>21</v>
      </c>
      <c r="I65" s="5" t="s">
        <v>250</v>
      </c>
      <c r="J65" s="12" t="str">
        <f>HYPERLINK("https://www.boe.es/gazeta/dias/1808/12/31/pdfs/GMD-1808-171.pdf#page=1","Abrir facsímil")</f>
        <v>Abrir facsímil</v>
      </c>
      <c r="K65" s="15" t="s">
        <v>23</v>
      </c>
    </row>
    <row r="66" spans="1:11" ht="42" customHeight="1">
      <c r="A66" s="4" t="s">
        <v>251</v>
      </c>
      <c r="B66" s="5" t="s">
        <v>251</v>
      </c>
      <c r="C66" s="5" t="s">
        <v>101</v>
      </c>
      <c r="D66" s="5" t="s">
        <v>102</v>
      </c>
      <c r="E66" s="5" t="s">
        <v>207</v>
      </c>
      <c r="F66" s="9" t="s">
        <v>208</v>
      </c>
      <c r="G66" s="9">
        <v>191</v>
      </c>
      <c r="H66" s="5" t="s">
        <v>21</v>
      </c>
      <c r="I66" s="5" t="s">
        <v>252</v>
      </c>
      <c r="J66" s="12" t="str">
        <f>HYPERLINK("https://www.boe.es/gazeta/dias/1808/02/23/pdfs/GMD-1808-16.pdf#page=5","Abrir facsímil")</f>
        <v>Abrir facsímil</v>
      </c>
      <c r="K66" s="15" t="s">
        <v>23</v>
      </c>
    </row>
    <row r="67" spans="1:11" ht="42" customHeight="1">
      <c r="A67" s="4" t="s">
        <v>251</v>
      </c>
      <c r="B67" s="5" t="s">
        <v>251</v>
      </c>
      <c r="C67" s="5" t="s">
        <v>101</v>
      </c>
      <c r="D67" s="5" t="s">
        <v>102</v>
      </c>
      <c r="E67" s="5" t="s">
        <v>207</v>
      </c>
      <c r="F67" s="9" t="s">
        <v>208</v>
      </c>
      <c r="G67" s="9">
        <v>193</v>
      </c>
      <c r="H67" s="5" t="s">
        <v>21</v>
      </c>
      <c r="I67" s="5" t="s">
        <v>253</v>
      </c>
      <c r="J67" s="12" t="str">
        <f>HYPERLINK("https://www.boe.es/gazeta/dias/1808/02/23/pdfs/GMD-1808-16.pdf#page=7","Abrir facsímil")</f>
        <v>Abrir facsímil</v>
      </c>
      <c r="K67" s="15" t="s">
        <v>23</v>
      </c>
    </row>
    <row r="68" spans="1:11" ht="42" customHeight="1">
      <c r="A68" s="4" t="s">
        <v>251</v>
      </c>
      <c r="B68" s="5" t="s">
        <v>251</v>
      </c>
      <c r="C68" s="5" t="s">
        <v>101</v>
      </c>
      <c r="D68" s="5" t="s">
        <v>102</v>
      </c>
      <c r="E68" s="5" t="s">
        <v>207</v>
      </c>
      <c r="F68" s="9" t="s">
        <v>208</v>
      </c>
      <c r="G68" s="9">
        <v>194</v>
      </c>
      <c r="H68" s="5" t="s">
        <v>21</v>
      </c>
      <c r="I68" s="5" t="s">
        <v>254</v>
      </c>
      <c r="J68" s="12" t="str">
        <f>HYPERLINK("https://www.boe.es/gazeta/dias/1808/02/23/pdfs/GMD-1808-16.pdf#page=8","Abrir facsímil")</f>
        <v>Abrir facsímil</v>
      </c>
      <c r="K68" s="15" t="s">
        <v>23</v>
      </c>
    </row>
    <row r="69" spans="1:11" ht="42" customHeight="1">
      <c r="A69" s="4" t="s">
        <v>255</v>
      </c>
      <c r="B69" s="5" t="s">
        <v>255</v>
      </c>
      <c r="C69" s="5" t="s">
        <v>17</v>
      </c>
      <c r="D69" s="5" t="s">
        <v>18</v>
      </c>
      <c r="E69" s="5" t="s">
        <v>256</v>
      </c>
      <c r="F69" s="9" t="s">
        <v>257</v>
      </c>
      <c r="G69" s="9">
        <v>527</v>
      </c>
      <c r="H69" s="5" t="s">
        <v>21</v>
      </c>
      <c r="I69" s="5" t="s">
        <v>258</v>
      </c>
      <c r="J69" s="12" t="str">
        <f>HYPERLINK("https://www.boe.es/gazeta/dias/1808/06/03/pdfs/GMD-1808-53.pdf#page=5","Abrir facsímil")</f>
        <v>Abrir facsímil</v>
      </c>
      <c r="K69" s="15" t="s">
        <v>23</v>
      </c>
    </row>
    <row r="70" spans="1:11" ht="42" customHeight="1">
      <c r="A70" s="4" t="s">
        <v>259</v>
      </c>
      <c r="B70" s="5" t="s">
        <v>259</v>
      </c>
      <c r="C70" s="5" t="s">
        <v>260</v>
      </c>
      <c r="D70" s="5" t="s">
        <v>42</v>
      </c>
      <c r="E70" s="5" t="s">
        <v>256</v>
      </c>
      <c r="F70" s="9" t="s">
        <v>257</v>
      </c>
      <c r="G70" s="9">
        <v>526</v>
      </c>
      <c r="H70" s="5" t="s">
        <v>21</v>
      </c>
      <c r="I70" s="5" t="s">
        <v>261</v>
      </c>
      <c r="J70" s="12" t="str">
        <f>HYPERLINK("https://www.boe.es/gazeta/dias/1808/06/03/pdfs/GMD-1808-53.pdf#page=4","Abrir facsímil")</f>
        <v>Abrir facsímil</v>
      </c>
      <c r="K70" s="15" t="s">
        <v>23</v>
      </c>
    </row>
    <row r="71" spans="1:11" ht="42" customHeight="1">
      <c r="A71" s="4" t="s">
        <v>262</v>
      </c>
      <c r="B71" s="5" t="s">
        <v>263</v>
      </c>
      <c r="C71" s="5" t="s">
        <v>94</v>
      </c>
      <c r="D71" s="5" t="s">
        <v>95</v>
      </c>
      <c r="E71" s="5" t="s">
        <v>264</v>
      </c>
      <c r="F71" s="9" t="s">
        <v>265</v>
      </c>
      <c r="G71" s="9">
        <v>422</v>
      </c>
      <c r="H71" s="5" t="s">
        <v>21</v>
      </c>
      <c r="I71" s="5" t="s">
        <v>266</v>
      </c>
      <c r="J71" s="12" t="str">
        <f>HYPERLINK("https://www.boe.es/gazeta/dias/1808/11/29/pdfs/GMS-1808-53.pdf#page=6","Abrir facsímil")</f>
        <v>Abrir facsímil</v>
      </c>
      <c r="K71" s="15" t="s">
        <v>23</v>
      </c>
    </row>
    <row r="72" spans="1:11" ht="42" customHeight="1">
      <c r="A72" s="4" t="s">
        <v>267</v>
      </c>
      <c r="B72" s="5" t="s">
        <v>268</v>
      </c>
      <c r="C72" s="5" t="s">
        <v>94</v>
      </c>
      <c r="D72" s="5" t="s">
        <v>95</v>
      </c>
      <c r="E72" s="5" t="s">
        <v>269</v>
      </c>
      <c r="F72" s="9" t="s">
        <v>270</v>
      </c>
      <c r="G72" s="9">
        <v>69</v>
      </c>
      <c r="H72" s="5" t="s">
        <v>21</v>
      </c>
      <c r="I72" s="5" t="s">
        <v>271</v>
      </c>
      <c r="J72" s="12" t="str">
        <f>HYPERLINK("https://www.boe.es/gazeta/dias/1808/01/19/pdfs/GMD-1808-6.pdf#page=9","Abrir facsímil")</f>
        <v>Abrir facsímil</v>
      </c>
      <c r="K72" s="15" t="s">
        <v>23</v>
      </c>
    </row>
    <row r="73" spans="1:11" ht="42" customHeight="1">
      <c r="A73" s="4" t="s">
        <v>272</v>
      </c>
      <c r="B73" s="5" t="s">
        <v>272</v>
      </c>
      <c r="C73" s="5" t="s">
        <v>33</v>
      </c>
      <c r="D73" s="5" t="s">
        <v>34</v>
      </c>
      <c r="E73" s="5" t="s">
        <v>35</v>
      </c>
      <c r="F73" s="9" t="s">
        <v>36</v>
      </c>
      <c r="G73" s="9" t="s">
        <v>273</v>
      </c>
      <c r="H73" s="5" t="s">
        <v>21</v>
      </c>
      <c r="I73" s="5" t="s">
        <v>274</v>
      </c>
      <c r="J73" s="12" t="str">
        <f>HYPERLINK("https://www.boe.es/gazeta/dias/1808/04/22/pdfs/GMD-C-1808-38.pdf#page=12","Abrir facsímil")</f>
        <v>Abrir facsímil</v>
      </c>
      <c r="K73" s="15" t="s">
        <v>23</v>
      </c>
    </row>
    <row r="74" spans="1:11" ht="42" customHeight="1">
      <c r="A74" s="4" t="s">
        <v>275</v>
      </c>
      <c r="B74" s="5" t="s">
        <v>275</v>
      </c>
      <c r="C74" s="5" t="s">
        <v>33</v>
      </c>
      <c r="D74" s="5" t="s">
        <v>34</v>
      </c>
      <c r="E74" s="5" t="s">
        <v>35</v>
      </c>
      <c r="F74" s="9" t="s">
        <v>36</v>
      </c>
      <c r="G74" s="9" t="s">
        <v>117</v>
      </c>
      <c r="H74" s="5" t="s">
        <v>21</v>
      </c>
      <c r="I74" s="5" t="s">
        <v>276</v>
      </c>
      <c r="J74" s="12" t="str">
        <f>HYPERLINK("https://www.boe.es/gazeta/dias/1808/04/22/pdfs/GMD-C-1808-38.pdf#page=1","Abrir facsímil")</f>
        <v>Abrir facsímil</v>
      </c>
      <c r="K74" s="15" t="s">
        <v>23</v>
      </c>
    </row>
    <row r="75" spans="1:11" ht="42" customHeight="1">
      <c r="A75" s="4" t="s">
        <v>275</v>
      </c>
      <c r="B75" s="5" t="s">
        <v>275</v>
      </c>
      <c r="C75" s="5" t="s">
        <v>33</v>
      </c>
      <c r="D75" s="5" t="s">
        <v>34</v>
      </c>
      <c r="E75" s="5" t="s">
        <v>35</v>
      </c>
      <c r="F75" s="9" t="s">
        <v>36</v>
      </c>
      <c r="G75" s="9" t="s">
        <v>277</v>
      </c>
      <c r="H75" s="5" t="s">
        <v>21</v>
      </c>
      <c r="I75" s="5" t="s">
        <v>278</v>
      </c>
      <c r="J75" s="12" t="str">
        <f>HYPERLINK("https://www.boe.es/gazeta/dias/1808/04/22/pdfs/GMD-C-1808-38.pdf#page=34","Abrir facsímil")</f>
        <v>Abrir facsímil</v>
      </c>
      <c r="K75" s="15" t="s">
        <v>23</v>
      </c>
    </row>
    <row r="76" spans="1:11" ht="42" customHeight="1">
      <c r="A76" s="4" t="s">
        <v>275</v>
      </c>
      <c r="B76" s="5" t="s">
        <v>275</v>
      </c>
      <c r="C76" s="5" t="s">
        <v>33</v>
      </c>
      <c r="D76" s="5" t="s">
        <v>34</v>
      </c>
      <c r="E76" s="5" t="s">
        <v>35</v>
      </c>
      <c r="F76" s="9" t="s">
        <v>36</v>
      </c>
      <c r="G76" s="9" t="s">
        <v>279</v>
      </c>
      <c r="H76" s="5" t="s">
        <v>21</v>
      </c>
      <c r="I76" s="5" t="s">
        <v>280</v>
      </c>
      <c r="J76" s="12" t="str">
        <f>HYPERLINK("https://www.boe.es/gazeta/dias/1808/04/22/pdfs/GMD-C-1808-38.pdf#page=44","Abrir facsímil")</f>
        <v>Abrir facsímil</v>
      </c>
      <c r="K76" s="15" t="s">
        <v>23</v>
      </c>
    </row>
    <row r="77" spans="1:11" ht="42" customHeight="1">
      <c r="A77" s="4" t="s">
        <v>275</v>
      </c>
      <c r="B77" s="5" t="s">
        <v>275</v>
      </c>
      <c r="C77" s="5" t="s">
        <v>41</v>
      </c>
      <c r="D77" s="5" t="s">
        <v>42</v>
      </c>
      <c r="E77" s="5" t="s">
        <v>35</v>
      </c>
      <c r="F77" s="9" t="s">
        <v>36</v>
      </c>
      <c r="G77" s="9" t="s">
        <v>281</v>
      </c>
      <c r="H77" s="5" t="s">
        <v>21</v>
      </c>
      <c r="I77" s="5" t="s">
        <v>282</v>
      </c>
      <c r="J77" s="12" t="str">
        <f>HYPERLINK("https://www.boe.es/gazeta/dias/1808/04/22/pdfs/GMD-C-1808-38.pdf#page=47","Abrir facsímil")</f>
        <v>Abrir facsímil</v>
      </c>
      <c r="K77" s="15" t="s">
        <v>23</v>
      </c>
    </row>
    <row r="78" spans="1:11" ht="42" customHeight="1">
      <c r="A78" s="4" t="s">
        <v>283</v>
      </c>
      <c r="B78" s="5" t="s">
        <v>283</v>
      </c>
      <c r="C78" s="5" t="s">
        <v>33</v>
      </c>
      <c r="D78" s="5" t="s">
        <v>34</v>
      </c>
      <c r="E78" s="5" t="s">
        <v>35</v>
      </c>
      <c r="F78" s="9" t="s">
        <v>36</v>
      </c>
      <c r="G78" s="9" t="s">
        <v>284</v>
      </c>
      <c r="H78" s="5" t="s">
        <v>21</v>
      </c>
      <c r="I78" s="5" t="s">
        <v>285</v>
      </c>
      <c r="J78" s="12" t="str">
        <f>HYPERLINK("https://www.boe.es/gazeta/dias/1808/04/22/pdfs/GMD-C-1808-38.pdf#page=35","Abrir facsímil")</f>
        <v>Abrir facsímil</v>
      </c>
      <c r="K78" s="15" t="s">
        <v>23</v>
      </c>
    </row>
    <row r="79" spans="1:11" ht="42" customHeight="1">
      <c r="A79" s="4" t="s">
        <v>286</v>
      </c>
      <c r="B79" s="5" t="s">
        <v>286</v>
      </c>
      <c r="C79" s="5" t="s">
        <v>17</v>
      </c>
      <c r="D79" s="5" t="s">
        <v>18</v>
      </c>
      <c r="E79" s="5" t="s">
        <v>287</v>
      </c>
      <c r="F79" s="9" t="s">
        <v>288</v>
      </c>
      <c r="G79" s="9">
        <v>171</v>
      </c>
      <c r="H79" s="5" t="s">
        <v>21</v>
      </c>
      <c r="I79" s="5" t="s">
        <v>289</v>
      </c>
      <c r="J79" s="12" t="str">
        <f>HYPERLINK("https://www.boe.es/gazeta/dias/1808/08/12/pdfs/GMS-1808-22.pdf#page=3","Abrir facsímil")</f>
        <v>Abrir facsímil</v>
      </c>
      <c r="K79" s="15" t="s">
        <v>23</v>
      </c>
    </row>
    <row r="80" spans="1:11" ht="42" customHeight="1">
      <c r="A80" s="4" t="s">
        <v>286</v>
      </c>
      <c r="B80" s="5" t="s">
        <v>286</v>
      </c>
      <c r="C80" s="5" t="s">
        <v>101</v>
      </c>
      <c r="D80" s="5" t="s">
        <v>102</v>
      </c>
      <c r="E80" s="5" t="s">
        <v>290</v>
      </c>
      <c r="F80" s="9" t="s">
        <v>291</v>
      </c>
      <c r="G80" s="9">
        <v>1055</v>
      </c>
      <c r="H80" s="5" t="s">
        <v>21</v>
      </c>
      <c r="I80" s="5" t="s">
        <v>292</v>
      </c>
      <c r="J80" s="12" t="str">
        <f>HYPERLINK("https://www.boe.es/gazeta/dias/1808/08/23/pdfs/GMD-1808-116.pdf#page=1","Abrir facsímil")</f>
        <v>Abrir facsímil</v>
      </c>
      <c r="K80" s="15" t="s">
        <v>23</v>
      </c>
    </row>
    <row r="81" spans="1:11" ht="42" customHeight="1">
      <c r="A81" s="4" t="s">
        <v>286</v>
      </c>
      <c r="B81" s="5" t="s">
        <v>286</v>
      </c>
      <c r="C81" s="5" t="s">
        <v>41</v>
      </c>
      <c r="D81" s="5" t="s">
        <v>42</v>
      </c>
      <c r="E81" s="5" t="s">
        <v>293</v>
      </c>
      <c r="F81" s="9" t="s">
        <v>294</v>
      </c>
      <c r="G81" s="9">
        <v>1167</v>
      </c>
      <c r="H81" s="5" t="s">
        <v>21</v>
      </c>
      <c r="I81" s="5" t="s">
        <v>295</v>
      </c>
      <c r="J81" s="12" t="str">
        <f>HYPERLINK("https://www.boe.es/gazeta/dias/1808/09/14/pdfs/GMD-1808-124E.pdf#page=3","Abrir facsímil")</f>
        <v>Abrir facsímil</v>
      </c>
      <c r="K81" s="15" t="s">
        <v>23</v>
      </c>
    </row>
    <row r="82" spans="1:11" ht="42" customHeight="1">
      <c r="A82" s="4" t="s">
        <v>296</v>
      </c>
      <c r="B82" s="5" t="s">
        <v>296</v>
      </c>
      <c r="C82" s="5" t="s">
        <v>41</v>
      </c>
      <c r="D82" s="5" t="s">
        <v>42</v>
      </c>
      <c r="E82" s="5" t="s">
        <v>65</v>
      </c>
      <c r="F82" s="9" t="s">
        <v>66</v>
      </c>
      <c r="G82" s="9">
        <v>1312</v>
      </c>
      <c r="H82" s="5" t="s">
        <v>21</v>
      </c>
      <c r="I82" s="5" t="s">
        <v>297</v>
      </c>
      <c r="J82" s="12" t="str">
        <f>HYPERLINK("https://www.boe.es/gazeta/dias/1808/10/18/pdfs/GMD-1808-135.pdf#page=12","Abrir facsímil")</f>
        <v>Abrir facsímil</v>
      </c>
      <c r="K82" s="15" t="s">
        <v>23</v>
      </c>
    </row>
    <row r="83" spans="1:11" ht="42" customHeight="1">
      <c r="A83" s="4" t="s">
        <v>298</v>
      </c>
      <c r="B83" s="5" t="s">
        <v>298</v>
      </c>
      <c r="C83" s="5" t="s">
        <v>33</v>
      </c>
      <c r="D83" s="5" t="s">
        <v>34</v>
      </c>
      <c r="E83" s="5" t="s">
        <v>35</v>
      </c>
      <c r="F83" s="9" t="s">
        <v>36</v>
      </c>
      <c r="G83" s="9" t="s">
        <v>299</v>
      </c>
      <c r="H83" s="5" t="s">
        <v>21</v>
      </c>
      <c r="I83" s="5" t="s">
        <v>300</v>
      </c>
      <c r="J83" s="12" t="str">
        <f>HYPERLINK("https://www.boe.es/gazeta/dias/1808/04/22/pdfs/GMD-C-1808-38.pdf#page=14","Abrir facsímil")</f>
        <v>Abrir facsímil</v>
      </c>
      <c r="K83" s="15" t="s">
        <v>23</v>
      </c>
    </row>
    <row r="84" spans="1:11" ht="42" customHeight="1">
      <c r="A84" s="4" t="s">
        <v>301</v>
      </c>
      <c r="B84" s="5" t="s">
        <v>301</v>
      </c>
      <c r="C84" s="5" t="s">
        <v>33</v>
      </c>
      <c r="D84" s="5" t="s">
        <v>34</v>
      </c>
      <c r="E84" s="5" t="s">
        <v>125</v>
      </c>
      <c r="F84" s="9" t="s">
        <v>126</v>
      </c>
      <c r="G84" s="9" t="s">
        <v>75</v>
      </c>
      <c r="H84" s="5" t="s">
        <v>21</v>
      </c>
      <c r="I84" s="5" t="s">
        <v>302</v>
      </c>
      <c r="J84" s="12" t="str">
        <f>HYPERLINK("https://www.boe.es/gazeta/dias/1808/10/07/pdfs/GMD-C-1808-132.pdf#page=4","Abrir facsímil")</f>
        <v>Abrir facsímil</v>
      </c>
      <c r="K84" s="15" t="s">
        <v>23</v>
      </c>
    </row>
    <row r="85" spans="1:11" ht="42" customHeight="1">
      <c r="A85" s="4" t="s">
        <v>303</v>
      </c>
      <c r="B85" s="5" t="s">
        <v>303</v>
      </c>
      <c r="C85" s="5" t="s">
        <v>101</v>
      </c>
      <c r="D85" s="5" t="s">
        <v>102</v>
      </c>
      <c r="E85" s="5" t="s">
        <v>139</v>
      </c>
      <c r="F85" s="9" t="s">
        <v>140</v>
      </c>
      <c r="G85" s="9">
        <v>1193</v>
      </c>
      <c r="H85" s="5" t="s">
        <v>21</v>
      </c>
      <c r="I85" s="5" t="s">
        <v>304</v>
      </c>
      <c r="J85" s="12" t="str">
        <f>HYPERLINK("https://www.boe.es/gazeta/dias/1808/09/23/pdfs/GMD-1808-127.pdf#page=1","Abrir facsímil")</f>
        <v>Abrir facsímil</v>
      </c>
      <c r="K85" s="15" t="s">
        <v>23</v>
      </c>
    </row>
    <row r="86" spans="1:11" ht="42" customHeight="1">
      <c r="A86" s="4" t="s">
        <v>305</v>
      </c>
      <c r="B86" s="5" t="s">
        <v>305</v>
      </c>
      <c r="C86" s="5" t="s">
        <v>17</v>
      </c>
      <c r="D86" s="5" t="s">
        <v>18</v>
      </c>
      <c r="E86" s="5" t="s">
        <v>153</v>
      </c>
      <c r="F86" s="9" t="s">
        <v>306</v>
      </c>
      <c r="G86" s="9">
        <v>233</v>
      </c>
      <c r="H86" s="5" t="s">
        <v>21</v>
      </c>
      <c r="I86" s="5" t="s">
        <v>307</v>
      </c>
      <c r="J86" s="12" t="str">
        <f>HYPERLINK("https://www.boe.es/gazeta/dias/1808/09/09/pdfs/GMS-1808-30.pdf#page=1","Abrir facsímil")</f>
        <v>Abrir facsímil</v>
      </c>
      <c r="K86" s="15" t="s">
        <v>23</v>
      </c>
    </row>
    <row r="87" spans="1:11" ht="42" customHeight="1">
      <c r="A87" s="4" t="s">
        <v>308</v>
      </c>
      <c r="B87" s="5" t="s">
        <v>308</v>
      </c>
      <c r="C87" s="5" t="s">
        <v>33</v>
      </c>
      <c r="D87" s="5" t="s">
        <v>34</v>
      </c>
      <c r="E87" s="5" t="s">
        <v>68</v>
      </c>
      <c r="F87" s="9" t="s">
        <v>309</v>
      </c>
      <c r="G87" s="9" t="s">
        <v>199</v>
      </c>
      <c r="H87" s="5" t="s">
        <v>21</v>
      </c>
      <c r="I87" s="5" t="s">
        <v>310</v>
      </c>
      <c r="J87" s="12" t="str">
        <f>HYPERLINK("https://www.boe.es/gazeta/dias/1808/10/21/pdfs/GMD-D-1808-136.pdf#page=2","Abrir facsímil")</f>
        <v>Abrir facsímil</v>
      </c>
      <c r="K87" s="15" t="s">
        <v>23</v>
      </c>
    </row>
    <row r="88" spans="1:11" ht="42" customHeight="1">
      <c r="A88" s="4" t="s">
        <v>311</v>
      </c>
      <c r="B88" s="5" t="s">
        <v>312</v>
      </c>
      <c r="C88" s="5" t="s">
        <v>33</v>
      </c>
      <c r="D88" s="5" t="s">
        <v>34</v>
      </c>
      <c r="E88" s="5" t="s">
        <v>35</v>
      </c>
      <c r="F88" s="9" t="s">
        <v>36</v>
      </c>
      <c r="G88" s="9" t="s">
        <v>313</v>
      </c>
      <c r="H88" s="5" t="s">
        <v>21</v>
      </c>
      <c r="I88" s="5" t="s">
        <v>314</v>
      </c>
      <c r="J88" s="12" t="str">
        <f>HYPERLINK("https://www.boe.es/gazeta/dias/1808/04/22/pdfs/GMD-C-1808-38.pdf#page=29","Abrir facsímil")</f>
        <v>Abrir facsímil</v>
      </c>
      <c r="K88" s="15" t="s">
        <v>23</v>
      </c>
    </row>
    <row r="89" spans="1:11" ht="42" customHeight="1">
      <c r="A89" s="4" t="s">
        <v>311</v>
      </c>
      <c r="B89" s="5" t="s">
        <v>312</v>
      </c>
      <c r="C89" s="5" t="s">
        <v>33</v>
      </c>
      <c r="D89" s="5" t="s">
        <v>34</v>
      </c>
      <c r="E89" s="5" t="s">
        <v>35</v>
      </c>
      <c r="F89" s="9" t="s">
        <v>36</v>
      </c>
      <c r="G89" s="9" t="s">
        <v>284</v>
      </c>
      <c r="H89" s="5" t="s">
        <v>21</v>
      </c>
      <c r="I89" s="5" t="s">
        <v>315</v>
      </c>
      <c r="J89" s="12" t="str">
        <f>HYPERLINK("https://www.boe.es/gazeta/dias/1808/04/22/pdfs/GMD-C-1808-38.pdf#page=35","Abrir facsímil")</f>
        <v>Abrir facsímil</v>
      </c>
      <c r="K89" s="15" t="s">
        <v>23</v>
      </c>
    </row>
    <row r="90" spans="1:11" ht="42" customHeight="1">
      <c r="A90" s="4" t="s">
        <v>316</v>
      </c>
      <c r="B90" s="5" t="s">
        <v>317</v>
      </c>
      <c r="C90" s="5" t="s">
        <v>33</v>
      </c>
      <c r="D90" s="5" t="s">
        <v>34</v>
      </c>
      <c r="E90" s="5" t="s">
        <v>264</v>
      </c>
      <c r="F90" s="9" t="s">
        <v>318</v>
      </c>
      <c r="G90" s="9" t="s">
        <v>117</v>
      </c>
      <c r="H90" s="5" t="s">
        <v>21</v>
      </c>
      <c r="I90" s="5" t="s">
        <v>319</v>
      </c>
      <c r="J90" s="12" t="str">
        <f>HYPERLINK("https://www.boe.es/gazeta/dias/1808/11/29/pdfs/GMD-C-1808-148.pdf#page=1","Abrir facsímil")</f>
        <v>Abrir facsímil</v>
      </c>
      <c r="K90" s="15" t="s">
        <v>23</v>
      </c>
    </row>
    <row r="91" spans="1:11" ht="42" customHeight="1">
      <c r="A91" s="4" t="s">
        <v>320</v>
      </c>
      <c r="B91" s="5" t="s">
        <v>321</v>
      </c>
      <c r="C91" s="5" t="s">
        <v>33</v>
      </c>
      <c r="D91" s="5" t="s">
        <v>34</v>
      </c>
      <c r="E91" s="5" t="s">
        <v>35</v>
      </c>
      <c r="F91" s="9" t="s">
        <v>36</v>
      </c>
      <c r="G91" s="9" t="s">
        <v>322</v>
      </c>
      <c r="H91" s="5" t="s">
        <v>21</v>
      </c>
      <c r="I91" s="5" t="s">
        <v>323</v>
      </c>
      <c r="J91" s="12" t="str">
        <f>HYPERLINK("https://www.boe.es/gazeta/dias/1808/04/22/pdfs/GMD-C-1808-38.pdf#page=15","Abrir facsímil")</f>
        <v>Abrir facsímil</v>
      </c>
      <c r="K91" s="15" t="s">
        <v>23</v>
      </c>
    </row>
    <row r="92" spans="1:11" ht="42" customHeight="1">
      <c r="A92" s="4" t="s">
        <v>320</v>
      </c>
      <c r="B92" s="5" t="s">
        <v>321</v>
      </c>
      <c r="C92" s="5" t="s">
        <v>33</v>
      </c>
      <c r="D92" s="5" t="s">
        <v>34</v>
      </c>
      <c r="E92" s="5" t="s">
        <v>35</v>
      </c>
      <c r="F92" s="9" t="s">
        <v>36</v>
      </c>
      <c r="G92" s="9" t="s">
        <v>324</v>
      </c>
      <c r="H92" s="5" t="s">
        <v>21</v>
      </c>
      <c r="I92" s="5" t="s">
        <v>325</v>
      </c>
      <c r="J92" s="12" t="str">
        <f>HYPERLINK("https://www.boe.es/gazeta/dias/1808/04/22/pdfs/GMD-C-1808-38.pdf#page=24","Abrir facsímil")</f>
        <v>Abrir facsímil</v>
      </c>
      <c r="K92" s="15" t="s">
        <v>23</v>
      </c>
    </row>
    <row r="93" spans="1:11" ht="42" customHeight="1">
      <c r="A93" s="4" t="s">
        <v>326</v>
      </c>
      <c r="B93" s="5" t="s">
        <v>327</v>
      </c>
      <c r="C93" s="5" t="s">
        <v>33</v>
      </c>
      <c r="D93" s="5" t="s">
        <v>34</v>
      </c>
      <c r="E93" s="5" t="s">
        <v>73</v>
      </c>
      <c r="F93" s="9" t="s">
        <v>74</v>
      </c>
      <c r="G93" s="9" t="s">
        <v>117</v>
      </c>
      <c r="H93" s="5" t="s">
        <v>21</v>
      </c>
      <c r="I93" s="5" t="s">
        <v>328</v>
      </c>
      <c r="J93" s="12" t="str">
        <f>HYPERLINK("https://www.boe.es/gazeta/dias/1808/11/11/pdfs/GMD-D-1808-143.pdf#page=1","Abrir facsímil")</f>
        <v>Abrir facsímil</v>
      </c>
      <c r="K93" s="15" t="s">
        <v>23</v>
      </c>
    </row>
    <row r="94" spans="1:11" ht="42" customHeight="1">
      <c r="A94" s="4" t="s">
        <v>329</v>
      </c>
      <c r="B94" s="5" t="s">
        <v>330</v>
      </c>
      <c r="C94" s="5" t="s">
        <v>26</v>
      </c>
      <c r="D94" s="5" t="s">
        <v>27</v>
      </c>
      <c r="E94" s="5" t="s">
        <v>110</v>
      </c>
      <c r="F94" s="9" t="s">
        <v>111</v>
      </c>
      <c r="G94" s="9">
        <v>1384</v>
      </c>
      <c r="H94" s="5" t="s">
        <v>21</v>
      </c>
      <c r="I94" s="5" t="s">
        <v>331</v>
      </c>
      <c r="J94" s="12" t="str">
        <f>HYPERLINK("https://www.boe.es/gazeta/dias/1808/10/28/pdfs/GMD-1808-138.pdf#page=10","Abrir facsímil")</f>
        <v>Abrir facsímil</v>
      </c>
      <c r="K94" s="15" t="s">
        <v>23</v>
      </c>
    </row>
    <row r="95" spans="1:11" ht="42" customHeight="1">
      <c r="A95" s="4" t="s">
        <v>332</v>
      </c>
      <c r="B95" s="5" t="s">
        <v>333</v>
      </c>
      <c r="C95" s="5" t="s">
        <v>33</v>
      </c>
      <c r="D95" s="5" t="s">
        <v>34</v>
      </c>
      <c r="E95" s="5" t="s">
        <v>334</v>
      </c>
      <c r="F95" s="9" t="s">
        <v>335</v>
      </c>
      <c r="G95" s="9">
        <v>1251</v>
      </c>
      <c r="H95" s="5" t="s">
        <v>21</v>
      </c>
      <c r="I95" s="5" t="s">
        <v>336</v>
      </c>
      <c r="J95" s="12" t="str">
        <f>HYPERLINK("https://www.boe.es/gazeta/dias/1808/10/04/pdfs/GMD-C-1808-131.pdf#page=3","Abrir facsímil")</f>
        <v>Abrir facsímil</v>
      </c>
      <c r="K95" s="15" t="s">
        <v>23</v>
      </c>
    </row>
    <row r="96" spans="1:11" ht="42" customHeight="1">
      <c r="A96" s="4" t="s">
        <v>337</v>
      </c>
      <c r="B96" s="5" t="s">
        <v>338</v>
      </c>
      <c r="C96" s="5" t="s">
        <v>17</v>
      </c>
      <c r="D96" s="5" t="s">
        <v>18</v>
      </c>
      <c r="E96" s="5" t="s">
        <v>339</v>
      </c>
      <c r="F96" s="9" t="s">
        <v>340</v>
      </c>
      <c r="G96" s="9">
        <v>80</v>
      </c>
      <c r="H96" s="5" t="s">
        <v>21</v>
      </c>
      <c r="I96" s="5" t="s">
        <v>341</v>
      </c>
      <c r="J96" s="12" t="str">
        <f>HYPERLINK("https://www.boe.es/gazeta/dias/1808/01/22/pdfs/GMD-1808-7.pdf#page=8","Abrir facsímil")</f>
        <v>Abrir facsímil</v>
      </c>
      <c r="K96" s="15" t="s">
        <v>23</v>
      </c>
    </row>
    <row r="97" spans="1:11" ht="42" customHeight="1">
      <c r="A97" s="4" t="s">
        <v>342</v>
      </c>
      <c r="B97" s="5" t="s">
        <v>343</v>
      </c>
      <c r="C97" s="5" t="s">
        <v>33</v>
      </c>
      <c r="D97" s="5" t="s">
        <v>34</v>
      </c>
      <c r="E97" s="5" t="s">
        <v>35</v>
      </c>
      <c r="F97" s="9" t="s">
        <v>36</v>
      </c>
      <c r="G97" s="9" t="s">
        <v>162</v>
      </c>
      <c r="H97" s="5" t="s">
        <v>21</v>
      </c>
      <c r="I97" s="5" t="s">
        <v>344</v>
      </c>
      <c r="J97" s="12" t="str">
        <f>HYPERLINK("https://www.boe.es/gazeta/dias/1808/04/22/pdfs/GMD-C-1808-38.pdf#page=31","Abrir facsímil")</f>
        <v>Abrir facsímil</v>
      </c>
      <c r="K97" s="15" t="s">
        <v>23</v>
      </c>
    </row>
    <row r="98" spans="1:11" ht="42" customHeight="1">
      <c r="A98" s="4" t="s">
        <v>345</v>
      </c>
      <c r="B98" s="5" t="s">
        <v>346</v>
      </c>
      <c r="C98" s="5" t="s">
        <v>17</v>
      </c>
      <c r="D98" s="5" t="s">
        <v>18</v>
      </c>
      <c r="E98" s="5" t="s">
        <v>125</v>
      </c>
      <c r="F98" s="9" t="s">
        <v>347</v>
      </c>
      <c r="G98" s="9">
        <v>300</v>
      </c>
      <c r="H98" s="5" t="s">
        <v>21</v>
      </c>
      <c r="I98" s="5" t="s">
        <v>348</v>
      </c>
      <c r="J98" s="12" t="str">
        <f>HYPERLINK("https://www.boe.es/gazeta/dias/1808/10/07/pdfs/GMS-1808-38.pdf#page=4","Abrir facsímil")</f>
        <v>Abrir facsímil</v>
      </c>
      <c r="K98" s="15" t="s">
        <v>23</v>
      </c>
    </row>
    <row r="99" spans="1:11" ht="42" customHeight="1">
      <c r="A99" s="4" t="s">
        <v>349</v>
      </c>
      <c r="B99" s="5" t="s">
        <v>350</v>
      </c>
      <c r="C99" s="5" t="s">
        <v>17</v>
      </c>
      <c r="D99" s="5" t="s">
        <v>18</v>
      </c>
      <c r="E99" s="5" t="s">
        <v>351</v>
      </c>
      <c r="F99" s="9" t="s">
        <v>352</v>
      </c>
      <c r="G99" s="9">
        <v>31</v>
      </c>
      <c r="H99" s="5" t="s">
        <v>21</v>
      </c>
      <c r="I99" s="5" t="s">
        <v>353</v>
      </c>
      <c r="J99" s="12" t="str">
        <f>HYPERLINK("https://www.boe.es/gazeta/dias/1808/06/11/pdfs/GMS-1808-4.pdf#page=7","Abrir facsímil")</f>
        <v>Abrir facsímil</v>
      </c>
      <c r="K99" s="15" t="s">
        <v>23</v>
      </c>
    </row>
    <row r="100" spans="1:11" ht="42" customHeight="1">
      <c r="A100" s="4" t="s">
        <v>354</v>
      </c>
      <c r="B100" s="5" t="s">
        <v>355</v>
      </c>
      <c r="C100" s="5" t="s">
        <v>17</v>
      </c>
      <c r="D100" s="5" t="s">
        <v>18</v>
      </c>
      <c r="E100" s="5" t="s">
        <v>166</v>
      </c>
      <c r="F100" s="9" t="s">
        <v>356</v>
      </c>
      <c r="G100" s="9">
        <v>1509</v>
      </c>
      <c r="H100" s="5" t="s">
        <v>21</v>
      </c>
      <c r="I100" s="5" t="s">
        <v>357</v>
      </c>
      <c r="J100" s="12" t="str">
        <f>HYPERLINK("https://www.boe.es/gazeta/dias/1808/11/18/pdfs/GMD-1808-145.pdf#page=7","Abrir facsímil")</f>
        <v>Abrir facsímil</v>
      </c>
      <c r="K100" s="15" t="s">
        <v>23</v>
      </c>
    </row>
    <row r="101" spans="1:11" ht="42" customHeight="1">
      <c r="A101" s="4" t="s">
        <v>358</v>
      </c>
      <c r="B101" s="5" t="s">
        <v>359</v>
      </c>
      <c r="C101" s="5" t="s">
        <v>41</v>
      </c>
      <c r="D101" s="5" t="s">
        <v>42</v>
      </c>
      <c r="E101" s="5" t="s">
        <v>35</v>
      </c>
      <c r="F101" s="9" t="s">
        <v>36</v>
      </c>
      <c r="G101" s="9" t="s">
        <v>47</v>
      </c>
      <c r="H101" s="5" t="s">
        <v>21</v>
      </c>
      <c r="I101" s="5" t="s">
        <v>360</v>
      </c>
      <c r="J101" s="12" t="str">
        <f>HYPERLINK("https://www.boe.es/gazeta/dias/1808/04/22/pdfs/GMD-C-1808-38.pdf#page=13","Abrir facsímil")</f>
        <v>Abrir facsímil</v>
      </c>
      <c r="K101" s="15" t="s">
        <v>23</v>
      </c>
    </row>
    <row r="102" spans="1:11" ht="42" customHeight="1">
      <c r="A102" s="4" t="s">
        <v>361</v>
      </c>
      <c r="B102" s="5" t="s">
        <v>362</v>
      </c>
      <c r="C102" s="5" t="s">
        <v>94</v>
      </c>
      <c r="D102" s="5" t="s">
        <v>95</v>
      </c>
      <c r="E102" s="5" t="s">
        <v>363</v>
      </c>
      <c r="F102" s="9" t="s">
        <v>364</v>
      </c>
      <c r="G102" s="9" t="s">
        <v>199</v>
      </c>
      <c r="H102" s="5" t="s">
        <v>21</v>
      </c>
      <c r="I102" s="5" t="s">
        <v>365</v>
      </c>
      <c r="J102" s="12" t="str">
        <f>HYPERLINK("https://www.boe.es/gazeta/dias/1808/09/20/pdfs/GMD-C-1808-126.pdf#page=2","Abrir facsímil")</f>
        <v>Abrir facsímil</v>
      </c>
      <c r="K102" s="15" t="s">
        <v>23</v>
      </c>
    </row>
    <row r="103" spans="1:11" ht="42" customHeight="1">
      <c r="A103" s="4" t="s">
        <v>366</v>
      </c>
      <c r="B103" s="5" t="s">
        <v>367</v>
      </c>
      <c r="C103" s="5" t="s">
        <v>17</v>
      </c>
      <c r="D103" s="5" t="s">
        <v>18</v>
      </c>
      <c r="E103" s="5" t="s">
        <v>368</v>
      </c>
      <c r="F103" s="9" t="s">
        <v>369</v>
      </c>
      <c r="G103" s="9">
        <v>166</v>
      </c>
      <c r="H103" s="5" t="s">
        <v>21</v>
      </c>
      <c r="I103" s="5" t="s">
        <v>370</v>
      </c>
      <c r="J103" s="12" t="str">
        <f>HYPERLINK("https://www.boe.es/gazeta/dias/1808/02/16/pdfs/GMD-1808-14.pdf#page=8","Abrir facsímil")</f>
        <v>Abrir facsímil</v>
      </c>
      <c r="K103" s="15" t="s">
        <v>23</v>
      </c>
    </row>
    <row r="104" spans="1:11" ht="42" customHeight="1">
      <c r="A104" s="4" t="s">
        <v>371</v>
      </c>
      <c r="B104" s="5" t="s">
        <v>372</v>
      </c>
      <c r="C104" s="5" t="s">
        <v>33</v>
      </c>
      <c r="D104" s="5" t="s">
        <v>34</v>
      </c>
      <c r="E104" s="5" t="s">
        <v>35</v>
      </c>
      <c r="F104" s="9" t="s">
        <v>36</v>
      </c>
      <c r="G104" s="9" t="s">
        <v>80</v>
      </c>
      <c r="H104" s="5" t="s">
        <v>21</v>
      </c>
      <c r="I104" s="5" t="s">
        <v>373</v>
      </c>
      <c r="J104" s="12" t="str">
        <f>HYPERLINK("https://www.boe.es/gazeta/dias/1808/04/22/pdfs/GMD-C-1808-38.pdf#page=18","Abrir facsímil")</f>
        <v>Abrir facsímil</v>
      </c>
      <c r="K104" s="15" t="s">
        <v>23</v>
      </c>
    </row>
    <row r="105" spans="1:11" ht="42" customHeight="1">
      <c r="A105" s="4" t="s">
        <v>374</v>
      </c>
      <c r="B105" s="5" t="s">
        <v>375</v>
      </c>
      <c r="C105" s="5" t="s">
        <v>17</v>
      </c>
      <c r="D105" s="5" t="s">
        <v>18</v>
      </c>
      <c r="E105" s="5" t="s">
        <v>376</v>
      </c>
      <c r="F105" s="9" t="s">
        <v>377</v>
      </c>
      <c r="G105" s="9">
        <v>455</v>
      </c>
      <c r="H105" s="5" t="s">
        <v>21</v>
      </c>
      <c r="I105" s="5" t="s">
        <v>378</v>
      </c>
      <c r="J105" s="12" t="str">
        <f>HYPERLINK("https://www.boe.es/gazeta/dias/1808/12/13/pdfs/GMS-1808-57.pdf#page=7","Abrir facsímil")</f>
        <v>Abrir facsímil</v>
      </c>
      <c r="K105" s="15" t="s">
        <v>23</v>
      </c>
    </row>
    <row r="106" spans="1:11" ht="42" customHeight="1">
      <c r="A106" s="4" t="s">
        <v>379</v>
      </c>
      <c r="B106" s="5" t="s">
        <v>380</v>
      </c>
      <c r="C106" s="5" t="s">
        <v>17</v>
      </c>
      <c r="D106" s="5" t="s">
        <v>18</v>
      </c>
      <c r="E106" s="5" t="s">
        <v>68</v>
      </c>
      <c r="F106" s="9" t="s">
        <v>69</v>
      </c>
      <c r="G106" s="9">
        <v>1338</v>
      </c>
      <c r="H106" s="5" t="s">
        <v>21</v>
      </c>
      <c r="I106" s="5" t="s">
        <v>381</v>
      </c>
      <c r="J106" s="12" t="str">
        <f>HYPERLINK("https://www.boe.es/gazeta/dias/1808/10/21/pdfs/GMD-1808-136.pdf#page=10","Abrir facsímil")</f>
        <v>Abrir facsímil</v>
      </c>
      <c r="K106" s="15" t="s">
        <v>23</v>
      </c>
    </row>
    <row r="107" spans="1:11" ht="42" customHeight="1">
      <c r="A107" s="4" t="s">
        <v>382</v>
      </c>
      <c r="B107" s="5" t="s">
        <v>383</v>
      </c>
      <c r="C107" s="5" t="s">
        <v>17</v>
      </c>
      <c r="D107" s="5" t="s">
        <v>18</v>
      </c>
      <c r="E107" s="5" t="s">
        <v>130</v>
      </c>
      <c r="F107" s="9" t="s">
        <v>131</v>
      </c>
      <c r="G107" s="9">
        <v>1604</v>
      </c>
      <c r="H107" s="5" t="s">
        <v>21</v>
      </c>
      <c r="I107" s="5" t="s">
        <v>384</v>
      </c>
      <c r="J107" s="12" t="str">
        <f>HYPERLINK("https://www.boe.es/gazeta/dias/1808/12/15/pdfs/GMD-1808-155.pdf#page=8","Abrir facsímil")</f>
        <v>Abrir facsímil</v>
      </c>
      <c r="K107" s="15" t="s">
        <v>23</v>
      </c>
    </row>
    <row r="108" spans="1:11" ht="42" customHeight="1">
      <c r="A108" s="4" t="s">
        <v>385</v>
      </c>
      <c r="B108" s="5" t="s">
        <v>386</v>
      </c>
      <c r="C108" s="5" t="s">
        <v>41</v>
      </c>
      <c r="D108" s="5" t="s">
        <v>42</v>
      </c>
      <c r="E108" s="5" t="s">
        <v>363</v>
      </c>
      <c r="F108" s="9" t="s">
        <v>364</v>
      </c>
      <c r="G108" s="9" t="s">
        <v>106</v>
      </c>
      <c r="H108" s="5" t="s">
        <v>21</v>
      </c>
      <c r="I108" s="5" t="s">
        <v>387</v>
      </c>
      <c r="J108" s="12" t="str">
        <f>HYPERLINK("https://www.boe.es/gazeta/dias/1808/09/20/pdfs/GMD-C-1808-126.pdf#page=3","Abrir facsímil")</f>
        <v>Abrir facsímil</v>
      </c>
      <c r="K108" s="15" t="s">
        <v>23</v>
      </c>
    </row>
    <row r="109" spans="1:11" ht="42" customHeight="1">
      <c r="A109" s="4" t="s">
        <v>388</v>
      </c>
      <c r="B109" s="5" t="s">
        <v>388</v>
      </c>
      <c r="C109" s="5" t="s">
        <v>389</v>
      </c>
      <c r="D109" s="5" t="s">
        <v>390</v>
      </c>
      <c r="E109" s="5" t="s">
        <v>391</v>
      </c>
      <c r="F109" s="9" t="s">
        <v>392</v>
      </c>
      <c r="G109" s="9">
        <v>1216</v>
      </c>
      <c r="H109" s="5" t="s">
        <v>21</v>
      </c>
      <c r="I109" s="5" t="s">
        <v>393</v>
      </c>
      <c r="J109" s="12" t="str">
        <f>HYPERLINK("https://www.boe.es/gazeta/dias/1808/09/27/pdfs/GMD-1808-128.pdf#page=12","Abrir facsímil")</f>
        <v>Abrir facsímil</v>
      </c>
      <c r="K109" s="15" t="s">
        <v>23</v>
      </c>
    </row>
    <row r="110" spans="1:11" ht="42" customHeight="1">
      <c r="A110" s="4" t="s">
        <v>394</v>
      </c>
      <c r="B110" s="5" t="s">
        <v>394</v>
      </c>
      <c r="C110" s="5" t="s">
        <v>33</v>
      </c>
      <c r="D110" s="5" t="s">
        <v>34</v>
      </c>
      <c r="E110" s="5" t="s">
        <v>153</v>
      </c>
      <c r="F110" s="9" t="s">
        <v>154</v>
      </c>
      <c r="G110" s="9" t="s">
        <v>199</v>
      </c>
      <c r="H110" s="5" t="s">
        <v>21</v>
      </c>
      <c r="I110" s="5" t="s">
        <v>395</v>
      </c>
      <c r="J110" s="12" t="str">
        <f>HYPERLINK("https://www.boe.es/gazeta/dias/1808/09/09/pdfs/GMD-C-1808-121.pdf#page=2","Abrir facsímil")</f>
        <v>Abrir facsímil</v>
      </c>
      <c r="K110" s="15" t="s">
        <v>23</v>
      </c>
    </row>
    <row r="111" spans="1:11" ht="42" customHeight="1">
      <c r="A111" s="4" t="s">
        <v>396</v>
      </c>
      <c r="B111" s="5" t="s">
        <v>396</v>
      </c>
      <c r="C111" s="5" t="s">
        <v>17</v>
      </c>
      <c r="D111" s="5" t="s">
        <v>18</v>
      </c>
      <c r="E111" s="5" t="s">
        <v>125</v>
      </c>
      <c r="F111" s="9" t="s">
        <v>397</v>
      </c>
      <c r="G111" s="9">
        <v>1269</v>
      </c>
      <c r="H111" s="5" t="s">
        <v>21</v>
      </c>
      <c r="I111" s="5" t="s">
        <v>398</v>
      </c>
      <c r="J111" s="12" t="str">
        <f>HYPERLINK("https://www.boe.es/gazeta/dias/1808/10/07/pdfs/GMD-1808-132.pdf#page=9","Abrir facsímil")</f>
        <v>Abrir facsímil</v>
      </c>
      <c r="K111" s="15" t="s">
        <v>23</v>
      </c>
    </row>
    <row r="112" spans="1:11" ht="42" customHeight="1">
      <c r="A112" s="4" t="s">
        <v>399</v>
      </c>
      <c r="B112" s="5" t="s">
        <v>399</v>
      </c>
      <c r="C112" s="5" t="s">
        <v>33</v>
      </c>
      <c r="D112" s="5" t="s">
        <v>34</v>
      </c>
      <c r="E112" s="5" t="s">
        <v>166</v>
      </c>
      <c r="F112" s="9" t="s">
        <v>400</v>
      </c>
      <c r="G112" s="9" t="s">
        <v>117</v>
      </c>
      <c r="H112" s="5" t="s">
        <v>21</v>
      </c>
      <c r="I112" s="5" t="s">
        <v>401</v>
      </c>
      <c r="J112" s="12" t="str">
        <f>HYPERLINK("https://www.boe.es/gazeta/dias/1808/11/18/pdfs/D00069-00072.pdf#page=1","Abrir facsímil")</f>
        <v>Abrir facsímil</v>
      </c>
      <c r="K112" s="15" t="s">
        <v>23</v>
      </c>
    </row>
    <row r="113" spans="1:11" ht="42" customHeight="1">
      <c r="A113" s="4" t="s">
        <v>402</v>
      </c>
      <c r="B113" s="5" t="s">
        <v>402</v>
      </c>
      <c r="C113" s="5" t="s">
        <v>17</v>
      </c>
      <c r="D113" s="5" t="s">
        <v>18</v>
      </c>
      <c r="E113" s="5" t="s">
        <v>28</v>
      </c>
      <c r="F113" s="9" t="s">
        <v>29</v>
      </c>
      <c r="G113" s="9">
        <v>1429</v>
      </c>
      <c r="H113" s="5" t="s">
        <v>21</v>
      </c>
      <c r="I113" s="5" t="s">
        <v>403</v>
      </c>
      <c r="J113" s="12" t="str">
        <f>HYPERLINK("https://www.boe.es/gazeta/dias/1808/11/04/pdfs/GMD-1808-141.pdf#page=11","Abrir facsímil")</f>
        <v>Abrir facsímil</v>
      </c>
      <c r="K113" s="15" t="s">
        <v>23</v>
      </c>
    </row>
    <row r="114" spans="1:11" ht="42" customHeight="1">
      <c r="A114" s="4" t="s">
        <v>404</v>
      </c>
      <c r="B114" s="5" t="s">
        <v>405</v>
      </c>
      <c r="C114" s="5" t="s">
        <v>94</v>
      </c>
      <c r="D114" s="5" t="s">
        <v>95</v>
      </c>
      <c r="E114" s="5" t="s">
        <v>203</v>
      </c>
      <c r="F114" s="9" t="s">
        <v>204</v>
      </c>
      <c r="G114" s="9">
        <v>140</v>
      </c>
      <c r="H114" s="5" t="s">
        <v>21</v>
      </c>
      <c r="I114" s="5" t="s">
        <v>406</v>
      </c>
      <c r="J114" s="12" t="str">
        <f>HYPERLINK("https://www.boe.es/gazeta/dias/1808/02/09/pdfs/GMD-1808-12.pdf#page=8","Abrir facsímil")</f>
        <v>Abrir facsímil</v>
      </c>
      <c r="K114" s="15" t="s">
        <v>23</v>
      </c>
    </row>
    <row r="115" spans="1:11" ht="42" customHeight="1">
      <c r="A115" s="4" t="s">
        <v>407</v>
      </c>
      <c r="B115" s="5" t="s">
        <v>408</v>
      </c>
      <c r="C115" s="5" t="s">
        <v>389</v>
      </c>
      <c r="D115" s="5" t="s">
        <v>390</v>
      </c>
      <c r="E115" s="5" t="s">
        <v>115</v>
      </c>
      <c r="F115" s="9" t="s">
        <v>116</v>
      </c>
      <c r="G115" s="9" t="s">
        <v>199</v>
      </c>
      <c r="H115" s="5" t="s">
        <v>21</v>
      </c>
      <c r="I115" s="5" t="s">
        <v>409</v>
      </c>
      <c r="J115" s="12" t="str">
        <f>HYPERLINK("https://www.boe.es/gazeta/dias/1808/09/16/pdfs/GMD-C-1808-125.pdf#page=2","Abrir facsímil")</f>
        <v>Abrir facsímil</v>
      </c>
      <c r="K115" s="15" t="s">
        <v>23</v>
      </c>
    </row>
    <row r="116" spans="1:11" ht="42" customHeight="1">
      <c r="A116" s="4" t="s">
        <v>410</v>
      </c>
      <c r="B116" s="5" t="s">
        <v>410</v>
      </c>
      <c r="C116" s="5" t="s">
        <v>17</v>
      </c>
      <c r="D116" s="5" t="s">
        <v>18</v>
      </c>
      <c r="E116" s="5" t="s">
        <v>256</v>
      </c>
      <c r="F116" s="9" t="s">
        <v>257</v>
      </c>
      <c r="G116" s="9">
        <v>527</v>
      </c>
      <c r="H116" s="5" t="s">
        <v>21</v>
      </c>
      <c r="I116" s="5" t="s">
        <v>411</v>
      </c>
      <c r="J116" s="12" t="str">
        <f>HYPERLINK("https://www.boe.es/gazeta/dias/1808/06/03/pdfs/GMD-1808-53.pdf#page=5","Abrir facsímil")</f>
        <v>Abrir facsímil</v>
      </c>
      <c r="K116" s="15" t="s">
        <v>23</v>
      </c>
    </row>
    <row r="117" spans="1:11" ht="42" customHeight="1">
      <c r="A117" s="4" t="s">
        <v>412</v>
      </c>
      <c r="B117" s="5" t="s">
        <v>413</v>
      </c>
      <c r="C117" s="5" t="s">
        <v>33</v>
      </c>
      <c r="D117" s="5" t="s">
        <v>34</v>
      </c>
      <c r="E117" s="5" t="s">
        <v>35</v>
      </c>
      <c r="F117" s="9" t="s">
        <v>36</v>
      </c>
      <c r="G117" s="9" t="s">
        <v>414</v>
      </c>
      <c r="H117" s="5" t="s">
        <v>21</v>
      </c>
      <c r="I117" s="5" t="s">
        <v>415</v>
      </c>
      <c r="J117" s="12" t="str">
        <f>HYPERLINK("https://www.boe.es/gazeta/dias/1808/04/22/pdfs/GMD-C-1808-38.pdf#page=20","Abrir facsímil")</f>
        <v>Abrir facsímil</v>
      </c>
      <c r="K117" s="15" t="s">
        <v>23</v>
      </c>
    </row>
    <row r="118" spans="1:11" ht="42" customHeight="1">
      <c r="A118" s="4" t="s">
        <v>416</v>
      </c>
      <c r="B118" s="5" t="s">
        <v>417</v>
      </c>
      <c r="C118" s="5" t="s">
        <v>94</v>
      </c>
      <c r="D118" s="5" t="s">
        <v>95</v>
      </c>
      <c r="E118" s="5" t="s">
        <v>418</v>
      </c>
      <c r="F118" s="9" t="s">
        <v>419</v>
      </c>
      <c r="G118" s="9">
        <v>1136</v>
      </c>
      <c r="H118" s="5" t="s">
        <v>21</v>
      </c>
      <c r="I118" s="5" t="s">
        <v>420</v>
      </c>
      <c r="J118" s="12" t="str">
        <f>HYPERLINK("https://www.boe.es/gazeta/dias/1808/09/06/pdfs/GMD-C-1808-120.pdf#page=10","Abrir facsímil")</f>
        <v>Abrir facsímil</v>
      </c>
      <c r="K118" s="15" t="s">
        <v>23</v>
      </c>
    </row>
    <row r="119" spans="1:11" ht="42" customHeight="1">
      <c r="A119" s="4" t="s">
        <v>421</v>
      </c>
      <c r="B119" s="5" t="s">
        <v>422</v>
      </c>
      <c r="C119" s="5" t="s">
        <v>17</v>
      </c>
      <c r="D119" s="5" t="s">
        <v>18</v>
      </c>
      <c r="E119" s="5" t="s">
        <v>130</v>
      </c>
      <c r="F119" s="9" t="s">
        <v>131</v>
      </c>
      <c r="G119" s="9">
        <v>1604</v>
      </c>
      <c r="H119" s="5" t="s">
        <v>21</v>
      </c>
      <c r="I119" s="5" t="s">
        <v>423</v>
      </c>
      <c r="J119" s="12" t="str">
        <f>HYPERLINK("https://www.boe.es/gazeta/dias/1808/12/15/pdfs/GMD-1808-155.pdf#page=8","Abrir facsímil")</f>
        <v>Abrir facsímil</v>
      </c>
      <c r="K119" s="15" t="s">
        <v>23</v>
      </c>
    </row>
    <row r="120" spans="1:11" ht="42" customHeight="1">
      <c r="A120" s="4" t="s">
        <v>424</v>
      </c>
      <c r="B120" s="5" t="s">
        <v>424</v>
      </c>
      <c r="C120" s="5" t="s">
        <v>33</v>
      </c>
      <c r="D120" s="5" t="s">
        <v>34</v>
      </c>
      <c r="E120" s="5" t="s">
        <v>68</v>
      </c>
      <c r="F120" s="9" t="s">
        <v>309</v>
      </c>
      <c r="G120" s="9" t="s">
        <v>199</v>
      </c>
      <c r="H120" s="5" t="s">
        <v>21</v>
      </c>
      <c r="I120" s="5" t="s">
        <v>425</v>
      </c>
      <c r="J120" s="12" t="str">
        <f>HYPERLINK("https://www.boe.es/gazeta/dias/1808/10/21/pdfs/GMD-D-1808-136.pdf#page=2","Abrir facsímil")</f>
        <v>Abrir facsímil</v>
      </c>
      <c r="K120" s="15" t="s">
        <v>23</v>
      </c>
    </row>
    <row r="121" spans="1:11" ht="42" customHeight="1">
      <c r="A121" s="4" t="s">
        <v>426</v>
      </c>
      <c r="B121" s="5" t="s">
        <v>426</v>
      </c>
      <c r="C121" s="5" t="s">
        <v>33</v>
      </c>
      <c r="D121" s="5" t="s">
        <v>34</v>
      </c>
      <c r="E121" s="5" t="s">
        <v>427</v>
      </c>
      <c r="F121" s="9" t="s">
        <v>428</v>
      </c>
      <c r="G121" s="9" t="s">
        <v>199</v>
      </c>
      <c r="H121" s="5" t="s">
        <v>21</v>
      </c>
      <c r="I121" s="5" t="s">
        <v>429</v>
      </c>
      <c r="J121" s="12" t="str">
        <f>HYPERLINK("https://www.boe.es/gazeta/dias/1808/11/22/pdfs/GMD-D-1808-146.pdf#page=2","Abrir facsímil")</f>
        <v>Abrir facsímil</v>
      </c>
      <c r="K121" s="15" t="s">
        <v>23</v>
      </c>
    </row>
    <row r="122" spans="1:11" ht="42" customHeight="1">
      <c r="A122" s="4" t="s">
        <v>430</v>
      </c>
      <c r="B122" s="5" t="s">
        <v>430</v>
      </c>
      <c r="C122" s="5" t="s">
        <v>17</v>
      </c>
      <c r="D122" s="5" t="s">
        <v>18</v>
      </c>
      <c r="E122" s="5" t="s">
        <v>431</v>
      </c>
      <c r="F122" s="9" t="s">
        <v>432</v>
      </c>
      <c r="G122" s="9">
        <v>487</v>
      </c>
      <c r="H122" s="5" t="s">
        <v>21</v>
      </c>
      <c r="I122" s="5" t="s">
        <v>433</v>
      </c>
      <c r="J122" s="12" t="str">
        <f>HYPERLINK("https://www.boe.es/gazeta/dias/1808/12/27/pdfs/GMS-1808-61.pdf#page=3","Abrir facsímil")</f>
        <v>Abrir facsímil</v>
      </c>
      <c r="K122" s="15" t="s">
        <v>23</v>
      </c>
    </row>
    <row r="123" spans="1:11" ht="42" customHeight="1">
      <c r="A123" s="4" t="s">
        <v>434</v>
      </c>
      <c r="B123" s="5" t="s">
        <v>435</v>
      </c>
      <c r="C123" s="5" t="s">
        <v>33</v>
      </c>
      <c r="D123" s="5" t="s">
        <v>34</v>
      </c>
      <c r="E123" s="5" t="s">
        <v>334</v>
      </c>
      <c r="F123" s="9" t="s">
        <v>335</v>
      </c>
      <c r="G123" s="9">
        <v>1254</v>
      </c>
      <c r="H123" s="5" t="s">
        <v>21</v>
      </c>
      <c r="I123" s="5" t="s">
        <v>436</v>
      </c>
      <c r="J123" s="12" t="str">
        <f>HYPERLINK("https://www.boe.es/gazeta/dias/1808/10/04/pdfs/GMD-C-1808-131.pdf#page=6","Abrir facsímil")</f>
        <v>Abrir facsímil</v>
      </c>
      <c r="K123" s="15" t="s">
        <v>23</v>
      </c>
    </row>
    <row r="124" spans="1:11" ht="42" customHeight="1">
      <c r="A124" s="4" t="s">
        <v>437</v>
      </c>
      <c r="B124" s="5" t="s">
        <v>438</v>
      </c>
      <c r="C124" s="5" t="s">
        <v>17</v>
      </c>
      <c r="D124" s="5" t="s">
        <v>18</v>
      </c>
      <c r="E124" s="5" t="s">
        <v>125</v>
      </c>
      <c r="F124" s="9" t="s">
        <v>397</v>
      </c>
      <c r="G124" s="9">
        <v>1269</v>
      </c>
      <c r="H124" s="5" t="s">
        <v>21</v>
      </c>
      <c r="I124" s="5" t="s">
        <v>439</v>
      </c>
      <c r="J124" s="12" t="str">
        <f>HYPERLINK("https://www.boe.es/gazeta/dias/1808/10/07/pdfs/GMD-1808-132.pdf#page=9","Abrir facsímil")</f>
        <v>Abrir facsímil</v>
      </c>
      <c r="K124" s="15" t="s">
        <v>23</v>
      </c>
    </row>
    <row r="125" spans="1:11" ht="42" customHeight="1">
      <c r="A125" s="4" t="s">
        <v>437</v>
      </c>
      <c r="B125" s="5" t="s">
        <v>438</v>
      </c>
      <c r="C125" s="5" t="s">
        <v>33</v>
      </c>
      <c r="D125" s="5" t="s">
        <v>34</v>
      </c>
      <c r="E125" s="5" t="s">
        <v>166</v>
      </c>
      <c r="F125" s="9" t="s">
        <v>400</v>
      </c>
      <c r="G125" s="9" t="s">
        <v>199</v>
      </c>
      <c r="H125" s="5" t="s">
        <v>21</v>
      </c>
      <c r="I125" s="5" t="s">
        <v>440</v>
      </c>
      <c r="J125" s="12" t="str">
        <f>HYPERLINK("https://www.boe.es/gazeta/dias/1808/11/18/pdfs/D00069-00072.pdf#page=2","Abrir facsímil")</f>
        <v>Abrir facsímil</v>
      </c>
      <c r="K125" s="15" t="s">
        <v>23</v>
      </c>
    </row>
    <row r="126" spans="1:11" ht="42" customHeight="1">
      <c r="A126" s="4" t="s">
        <v>441</v>
      </c>
      <c r="B126" s="5" t="s">
        <v>442</v>
      </c>
      <c r="C126" s="5" t="s">
        <v>94</v>
      </c>
      <c r="D126" s="5" t="s">
        <v>95</v>
      </c>
      <c r="E126" s="5" t="s">
        <v>35</v>
      </c>
      <c r="F126" s="9" t="s">
        <v>36</v>
      </c>
      <c r="G126" s="9" t="s">
        <v>443</v>
      </c>
      <c r="H126" s="5" t="s">
        <v>21</v>
      </c>
      <c r="I126" s="5" t="s">
        <v>444</v>
      </c>
      <c r="J126" s="12" t="str">
        <f>HYPERLINK("https://www.boe.es/gazeta/dias/1808/04/22/pdfs/GMD-C-1808-38.pdf#page=16","Abrir facsímil")</f>
        <v>Abrir facsímil</v>
      </c>
      <c r="K126" s="15" t="s">
        <v>23</v>
      </c>
    </row>
    <row r="127" spans="1:11" ht="42" customHeight="1">
      <c r="A127" s="4" t="s">
        <v>445</v>
      </c>
      <c r="B127" s="5" t="s">
        <v>445</v>
      </c>
      <c r="C127" s="5" t="s">
        <v>33</v>
      </c>
      <c r="D127" s="5" t="s">
        <v>34</v>
      </c>
      <c r="E127" s="5" t="s">
        <v>28</v>
      </c>
      <c r="F127" s="9" t="s">
        <v>446</v>
      </c>
      <c r="G127" s="9" t="s">
        <v>106</v>
      </c>
      <c r="H127" s="5" t="s">
        <v>21</v>
      </c>
      <c r="I127" s="5" t="s">
        <v>447</v>
      </c>
      <c r="J127" s="12" t="str">
        <f>HYPERLINK("https://www.boe.es/gazeta/dias/1808/11/04/pdfs/GMD-D-1808-141.pdf#page=3","Abrir facsímil")</f>
        <v>Abrir facsímil</v>
      </c>
      <c r="K127" s="15" t="s">
        <v>23</v>
      </c>
    </row>
    <row r="128" spans="1:11" ht="42" customHeight="1">
      <c r="A128" s="4" t="s">
        <v>448</v>
      </c>
      <c r="B128" s="5" t="s">
        <v>449</v>
      </c>
      <c r="C128" s="5" t="s">
        <v>33</v>
      </c>
      <c r="D128" s="5" t="s">
        <v>34</v>
      </c>
      <c r="E128" s="5" t="s">
        <v>35</v>
      </c>
      <c r="F128" s="9" t="s">
        <v>36</v>
      </c>
      <c r="G128" s="9" t="s">
        <v>450</v>
      </c>
      <c r="H128" s="5" t="s">
        <v>21</v>
      </c>
      <c r="I128" s="5" t="s">
        <v>451</v>
      </c>
      <c r="J128" s="12" t="str">
        <f>HYPERLINK("https://www.boe.es/gazeta/dias/1808/04/22/pdfs/GMD-C-1808-38.pdf#page=45","Abrir facsímil")</f>
        <v>Abrir facsímil</v>
      </c>
      <c r="K128" s="15" t="s">
        <v>23</v>
      </c>
    </row>
    <row r="129" spans="1:11" ht="42" customHeight="1">
      <c r="A129" s="4" t="s">
        <v>452</v>
      </c>
      <c r="B129" s="5" t="s">
        <v>453</v>
      </c>
      <c r="C129" s="5" t="s">
        <v>41</v>
      </c>
      <c r="D129" s="5" t="s">
        <v>42</v>
      </c>
      <c r="E129" s="5" t="s">
        <v>391</v>
      </c>
      <c r="F129" s="9" t="s">
        <v>454</v>
      </c>
      <c r="G129" s="9">
        <v>277</v>
      </c>
      <c r="H129" s="5" t="s">
        <v>21</v>
      </c>
      <c r="I129" s="5" t="s">
        <v>455</v>
      </c>
      <c r="J129" s="12" t="str">
        <f>HYPERLINK("https://www.boe.es/gazeta/dias/1808/09/27/pdfs/GMS-1808-35.pdf#page=5","Abrir facsímil")</f>
        <v>Abrir facsímil</v>
      </c>
      <c r="K129" s="15" t="s">
        <v>23</v>
      </c>
    </row>
    <row r="130" spans="1:11" ht="42" customHeight="1">
      <c r="A130" s="4" t="s">
        <v>452</v>
      </c>
      <c r="B130" s="5" t="s">
        <v>453</v>
      </c>
      <c r="C130" s="5" t="s">
        <v>41</v>
      </c>
      <c r="D130" s="5" t="s">
        <v>42</v>
      </c>
      <c r="E130" s="5" t="s">
        <v>456</v>
      </c>
      <c r="F130" s="9" t="s">
        <v>457</v>
      </c>
      <c r="G130" s="9">
        <v>1296</v>
      </c>
      <c r="H130" s="5" t="s">
        <v>21</v>
      </c>
      <c r="I130" s="5" t="s">
        <v>458</v>
      </c>
      <c r="J130" s="12" t="str">
        <f>HYPERLINK("https://www.boe.es/gazeta/dias/1808/10/14/pdfs/GMD-1808-134.pdf#page=8","Abrir facsímil")</f>
        <v>Abrir facsímil</v>
      </c>
      <c r="K130" s="15" t="s">
        <v>23</v>
      </c>
    </row>
    <row r="131" spans="1:11" ht="42" customHeight="1">
      <c r="A131" s="4" t="s">
        <v>459</v>
      </c>
      <c r="B131" s="5" t="s">
        <v>460</v>
      </c>
      <c r="C131" s="5" t="s">
        <v>41</v>
      </c>
      <c r="D131" s="5" t="s">
        <v>42</v>
      </c>
      <c r="E131" s="5" t="s">
        <v>461</v>
      </c>
      <c r="F131" s="9" t="s">
        <v>462</v>
      </c>
      <c r="G131" s="9" t="s">
        <v>199</v>
      </c>
      <c r="H131" s="5" t="s">
        <v>21</v>
      </c>
      <c r="I131" s="5" t="s">
        <v>463</v>
      </c>
      <c r="J131" s="12" t="str">
        <f>HYPERLINK("https://www.boe.es/gazeta/dias/1808/11/08/pdfs/GMD-D-1808-142.pdf#page=2","Abrir facsímil")</f>
        <v>Abrir facsímil</v>
      </c>
      <c r="K131" s="15" t="s">
        <v>23</v>
      </c>
    </row>
    <row r="132" spans="1:11" ht="42" customHeight="1">
      <c r="A132" s="4" t="s">
        <v>464</v>
      </c>
      <c r="B132" s="5" t="s">
        <v>465</v>
      </c>
      <c r="C132" s="5" t="s">
        <v>17</v>
      </c>
      <c r="D132" s="5" t="s">
        <v>18</v>
      </c>
      <c r="E132" s="5" t="s">
        <v>139</v>
      </c>
      <c r="F132" s="9" t="s">
        <v>140</v>
      </c>
      <c r="G132" s="9">
        <v>1203</v>
      </c>
      <c r="H132" s="5" t="s">
        <v>21</v>
      </c>
      <c r="I132" s="5" t="s">
        <v>466</v>
      </c>
      <c r="J132" s="12" t="str">
        <f>HYPERLINK("https://www.boe.es/gazeta/dias/1808/09/23/pdfs/GMD-1808-127.pdf#page=11","Abrir facsímil")</f>
        <v>Abrir facsímil</v>
      </c>
      <c r="K132" s="15" t="s">
        <v>23</v>
      </c>
    </row>
    <row r="133" spans="1:11" ht="42" customHeight="1">
      <c r="A133" s="4" t="s">
        <v>467</v>
      </c>
      <c r="B133" s="5" t="s">
        <v>468</v>
      </c>
      <c r="C133" s="5" t="s">
        <v>260</v>
      </c>
      <c r="D133" s="5" t="s">
        <v>42</v>
      </c>
      <c r="E133" s="5" t="s">
        <v>469</v>
      </c>
      <c r="F133" s="9" t="s">
        <v>470</v>
      </c>
      <c r="G133" s="9">
        <v>153</v>
      </c>
      <c r="H133" s="5" t="s">
        <v>21</v>
      </c>
      <c r="I133" s="5" t="s">
        <v>471</v>
      </c>
      <c r="J133" s="12" t="str">
        <f>HYPERLINK("https://www.boe.es/gazeta/dias/1808/02/12/pdfs/GMD-1808-13.pdf#page=9","Abrir facsímil")</f>
        <v>Abrir facsímil</v>
      </c>
      <c r="K133" s="15" t="s">
        <v>23</v>
      </c>
    </row>
    <row r="134" spans="1:11" ht="42" customHeight="1">
      <c r="A134" s="4" t="s">
        <v>472</v>
      </c>
      <c r="B134" s="5" t="s">
        <v>472</v>
      </c>
      <c r="C134" s="5" t="s">
        <v>101</v>
      </c>
      <c r="D134" s="5" t="s">
        <v>102</v>
      </c>
      <c r="E134" s="5" t="s">
        <v>473</v>
      </c>
      <c r="F134" s="9" t="s">
        <v>474</v>
      </c>
      <c r="G134" s="9">
        <v>703</v>
      </c>
      <c r="H134" s="5" t="s">
        <v>21</v>
      </c>
      <c r="I134" s="5" t="s">
        <v>475</v>
      </c>
      <c r="J134" s="12" t="str">
        <f>HYPERLINK("https://www.boe.es/gazeta/dias/1808/07/02/pdfs/GMD-1808-74.pdf#page=1","Abrir facsímil")</f>
        <v>Abrir facsímil</v>
      </c>
      <c r="K134" s="15" t="s">
        <v>23</v>
      </c>
    </row>
    <row r="135" spans="1:11" ht="42" customHeight="1">
      <c r="A135" s="4" t="s">
        <v>476</v>
      </c>
      <c r="B135" s="5" t="s">
        <v>477</v>
      </c>
      <c r="C135" s="5" t="s">
        <v>41</v>
      </c>
      <c r="D135" s="5" t="s">
        <v>42</v>
      </c>
      <c r="E135" s="5" t="s">
        <v>478</v>
      </c>
      <c r="F135" s="9" t="s">
        <v>479</v>
      </c>
      <c r="G135" s="9">
        <v>244</v>
      </c>
      <c r="H135" s="5" t="s">
        <v>21</v>
      </c>
      <c r="I135" s="5" t="s">
        <v>480</v>
      </c>
      <c r="J135" s="12" t="str">
        <f>HYPERLINK("https://www.boe.es/gazeta/dias/1808/03/08/pdfs/GMD-1808-20.pdf#page=10","Abrir facsímil")</f>
        <v>Abrir facsímil</v>
      </c>
      <c r="K135" s="15" t="s">
        <v>23</v>
      </c>
    </row>
    <row r="136" spans="1:11" ht="42" customHeight="1">
      <c r="A136" s="4" t="s">
        <v>481</v>
      </c>
      <c r="B136" s="5" t="s">
        <v>482</v>
      </c>
      <c r="C136" s="5" t="s">
        <v>33</v>
      </c>
      <c r="D136" s="5" t="s">
        <v>34</v>
      </c>
      <c r="E136" s="5" t="s">
        <v>68</v>
      </c>
      <c r="F136" s="9" t="s">
        <v>309</v>
      </c>
      <c r="G136" s="9" t="s">
        <v>75</v>
      </c>
      <c r="H136" s="5" t="s">
        <v>21</v>
      </c>
      <c r="I136" s="5" t="s">
        <v>483</v>
      </c>
      <c r="J136" s="12" t="str">
        <f>HYPERLINK("https://www.boe.es/gazeta/dias/1808/10/21/pdfs/GMD-D-1808-136.pdf#page=4","Abrir facsímil")</f>
        <v>Abrir facsímil</v>
      </c>
      <c r="K136" s="15" t="s">
        <v>23</v>
      </c>
    </row>
    <row r="137" spans="1:11" ht="42" customHeight="1">
      <c r="A137" s="4" t="s">
        <v>484</v>
      </c>
      <c r="B137" s="5" t="s">
        <v>485</v>
      </c>
      <c r="C137" s="5" t="s">
        <v>260</v>
      </c>
      <c r="D137" s="5" t="s">
        <v>42</v>
      </c>
      <c r="E137" s="5" t="s">
        <v>120</v>
      </c>
      <c r="F137" s="9" t="s">
        <v>121</v>
      </c>
      <c r="G137" s="9">
        <v>315</v>
      </c>
      <c r="H137" s="5" t="s">
        <v>21</v>
      </c>
      <c r="I137" s="5" t="s">
        <v>486</v>
      </c>
      <c r="J137" s="12" t="str">
        <f>HYPERLINK("https://www.boe.es/gazeta/dias/1808/03/29/pdfs/GMD-1808-27.pdf#page=11","Abrir facsímil")</f>
        <v>Abrir facsímil</v>
      </c>
      <c r="K137" s="15" t="s">
        <v>23</v>
      </c>
    </row>
    <row r="138" spans="1:11" ht="42" customHeight="1">
      <c r="A138" s="4" t="s">
        <v>487</v>
      </c>
      <c r="B138" s="5" t="s">
        <v>488</v>
      </c>
      <c r="C138" s="5" t="s">
        <v>94</v>
      </c>
      <c r="D138" s="5" t="s">
        <v>95</v>
      </c>
      <c r="E138" s="5" t="s">
        <v>287</v>
      </c>
      <c r="F138" s="9" t="s">
        <v>489</v>
      </c>
      <c r="G138" s="9">
        <v>1005</v>
      </c>
      <c r="H138" s="5" t="s">
        <v>21</v>
      </c>
      <c r="I138" s="5" t="s">
        <v>490</v>
      </c>
      <c r="J138" s="12" t="str">
        <f>HYPERLINK("https://www.boe.es/gazeta/dias/1808/08/12/pdfs/GMD-1808-112.pdf#page=9","Abrir facsímil")</f>
        <v>Abrir facsímil</v>
      </c>
      <c r="K138" s="15" t="s">
        <v>23</v>
      </c>
    </row>
    <row r="139" spans="1:11" ht="42" customHeight="1">
      <c r="A139" s="4" t="s">
        <v>491</v>
      </c>
      <c r="B139" s="5" t="s">
        <v>492</v>
      </c>
      <c r="C139" s="5" t="s">
        <v>389</v>
      </c>
      <c r="D139" s="5" t="s">
        <v>390</v>
      </c>
      <c r="E139" s="5" t="s">
        <v>493</v>
      </c>
      <c r="F139" s="9" t="s">
        <v>494</v>
      </c>
      <c r="G139" s="9">
        <v>48</v>
      </c>
      <c r="H139" s="5" t="s">
        <v>21</v>
      </c>
      <c r="I139" s="5" t="s">
        <v>495</v>
      </c>
      <c r="J139" s="12" t="str">
        <f>HYPERLINK("https://www.boe.es/gazeta/dias/1808/01/12/pdfs/GMD-1808-4.pdf#page=12","Abrir facsímil")</f>
        <v>Abrir facsímil</v>
      </c>
      <c r="K139" s="15" t="s">
        <v>23</v>
      </c>
    </row>
    <row r="140" spans="1:11" ht="42" customHeight="1">
      <c r="A140" s="4" t="s">
        <v>496</v>
      </c>
      <c r="B140" s="5" t="s">
        <v>497</v>
      </c>
      <c r="C140" s="5" t="s">
        <v>41</v>
      </c>
      <c r="D140" s="5" t="s">
        <v>42</v>
      </c>
      <c r="E140" s="5" t="s">
        <v>35</v>
      </c>
      <c r="F140" s="9" t="s">
        <v>36</v>
      </c>
      <c r="G140" s="9" t="s">
        <v>498</v>
      </c>
      <c r="H140" s="5" t="s">
        <v>21</v>
      </c>
      <c r="I140" s="5" t="s">
        <v>499</v>
      </c>
      <c r="J140" s="12" t="str">
        <f>HYPERLINK("https://www.boe.es/gazeta/dias/1808/04/22/pdfs/GMD-C-1808-38.pdf#page=22","Abrir facsímil")</f>
        <v>Abrir facsímil</v>
      </c>
      <c r="K140" s="15" t="s">
        <v>23</v>
      </c>
    </row>
    <row r="141" spans="1:11" ht="42" customHeight="1">
      <c r="A141" s="4" t="s">
        <v>491</v>
      </c>
      <c r="B141" s="5" t="s">
        <v>492</v>
      </c>
      <c r="C141" s="5" t="s">
        <v>33</v>
      </c>
      <c r="D141" s="5" t="s">
        <v>34</v>
      </c>
      <c r="E141" s="5" t="s">
        <v>35</v>
      </c>
      <c r="F141" s="9" t="s">
        <v>36</v>
      </c>
      <c r="G141" s="9" t="s">
        <v>313</v>
      </c>
      <c r="H141" s="5" t="s">
        <v>21</v>
      </c>
      <c r="I141" s="5" t="s">
        <v>500</v>
      </c>
      <c r="J141" s="12" t="str">
        <f>HYPERLINK("https://www.boe.es/gazeta/dias/1808/04/22/pdfs/GMD-C-1808-38.pdf#page=29","Abrir facsímil")</f>
        <v>Abrir facsímil</v>
      </c>
      <c r="K141" s="15" t="s">
        <v>23</v>
      </c>
    </row>
    <row r="142" spans="1:11" ht="42" customHeight="1">
      <c r="A142" s="4" t="s">
        <v>491</v>
      </c>
      <c r="B142" s="5" t="s">
        <v>492</v>
      </c>
      <c r="C142" s="5" t="s">
        <v>33</v>
      </c>
      <c r="D142" s="5" t="s">
        <v>34</v>
      </c>
      <c r="E142" s="5" t="s">
        <v>35</v>
      </c>
      <c r="F142" s="9" t="s">
        <v>36</v>
      </c>
      <c r="G142" s="9" t="s">
        <v>501</v>
      </c>
      <c r="H142" s="5" t="s">
        <v>21</v>
      </c>
      <c r="I142" s="5" t="s">
        <v>502</v>
      </c>
      <c r="J142" s="12" t="str">
        <f>HYPERLINK("https://www.boe.es/gazeta/dias/1808/04/22/pdfs/GMD-C-1808-38.pdf#page=5","Abrir facsímil")</f>
        <v>Abrir facsímil</v>
      </c>
      <c r="K142" s="15" t="s">
        <v>23</v>
      </c>
    </row>
    <row r="143" spans="1:11" ht="42" customHeight="1">
      <c r="A143" s="4" t="s">
        <v>503</v>
      </c>
      <c r="B143" s="5" t="s">
        <v>504</v>
      </c>
      <c r="C143" s="5" t="s">
        <v>389</v>
      </c>
      <c r="D143" s="5" t="s">
        <v>390</v>
      </c>
      <c r="E143" s="5" t="s">
        <v>65</v>
      </c>
      <c r="F143" s="9" t="s">
        <v>66</v>
      </c>
      <c r="G143" s="9">
        <v>1312</v>
      </c>
      <c r="H143" s="5" t="s">
        <v>21</v>
      </c>
      <c r="I143" s="5" t="s">
        <v>505</v>
      </c>
      <c r="J143" s="12" t="str">
        <f>HYPERLINK("https://www.boe.es/gazeta/dias/1808/10/18/pdfs/GMD-1808-135.pdf#page=12","Abrir facsímil")</f>
        <v>Abrir facsímil</v>
      </c>
      <c r="K143" s="15" t="s">
        <v>23</v>
      </c>
    </row>
    <row r="144" spans="1:11" ht="42" customHeight="1">
      <c r="A144" s="4" t="s">
        <v>506</v>
      </c>
      <c r="B144" s="5" t="s">
        <v>507</v>
      </c>
      <c r="C144" s="5" t="s">
        <v>389</v>
      </c>
      <c r="D144" s="5" t="s">
        <v>390</v>
      </c>
      <c r="E144" s="5" t="s">
        <v>508</v>
      </c>
      <c r="F144" s="9" t="s">
        <v>509</v>
      </c>
      <c r="G144" s="9">
        <v>1020</v>
      </c>
      <c r="H144" s="5" t="s">
        <v>21</v>
      </c>
      <c r="I144" s="5" t="s">
        <v>510</v>
      </c>
      <c r="J144" s="12" t="str">
        <f>HYPERLINK("https://www.boe.es/gazeta/dias/1808/08/16/pdfs/GMD-1808-113.pdf#page=12","Abrir facsímil")</f>
        <v>Abrir facsímil</v>
      </c>
      <c r="K144" s="15" t="s">
        <v>23</v>
      </c>
    </row>
    <row r="145" spans="1:11" ht="42" customHeight="1">
      <c r="A145" s="4" t="s">
        <v>511</v>
      </c>
      <c r="B145" s="5" t="s">
        <v>512</v>
      </c>
      <c r="C145" s="5" t="s">
        <v>41</v>
      </c>
      <c r="D145" s="5" t="s">
        <v>42</v>
      </c>
      <c r="E145" s="5" t="s">
        <v>513</v>
      </c>
      <c r="F145" s="9" t="s">
        <v>514</v>
      </c>
      <c r="G145" s="9">
        <v>287</v>
      </c>
      <c r="H145" s="5" t="s">
        <v>21</v>
      </c>
      <c r="I145" s="5" t="s">
        <v>515</v>
      </c>
      <c r="J145" s="12" t="str">
        <f>HYPERLINK("https://www.boe.es/gazeta/dias/1808/03/22/pdfs/GMD-1808-24.pdf#page=9","Abrir facsímil")</f>
        <v>Abrir facsímil</v>
      </c>
      <c r="K145" s="15" t="s">
        <v>23</v>
      </c>
    </row>
    <row r="146" spans="1:11" ht="42" customHeight="1">
      <c r="A146" s="4" t="s">
        <v>511</v>
      </c>
      <c r="B146" s="5" t="s">
        <v>512</v>
      </c>
      <c r="C146" s="5" t="s">
        <v>389</v>
      </c>
      <c r="D146" s="5" t="s">
        <v>390</v>
      </c>
      <c r="E146" s="5" t="s">
        <v>516</v>
      </c>
      <c r="F146" s="9" t="s">
        <v>517</v>
      </c>
      <c r="G146" s="9">
        <v>602</v>
      </c>
      <c r="H146" s="5" t="s">
        <v>21</v>
      </c>
      <c r="I146" s="5" t="s">
        <v>518</v>
      </c>
      <c r="J146" s="12" t="str">
        <f>HYPERLINK("https://www.boe.es/gazeta/dias/1808/06/19/pdfs/GMD-1808-61.pdf#page=8","Abrir facsímil")</f>
        <v>Abrir facsímil</v>
      </c>
      <c r="K146" s="15" t="s">
        <v>23</v>
      </c>
    </row>
    <row r="147" spans="1:11" ht="42" customHeight="1">
      <c r="A147" s="4" t="s">
        <v>511</v>
      </c>
      <c r="B147" s="5" t="s">
        <v>512</v>
      </c>
      <c r="C147" s="5" t="s">
        <v>389</v>
      </c>
      <c r="D147" s="5" t="s">
        <v>390</v>
      </c>
      <c r="E147" s="5" t="s">
        <v>519</v>
      </c>
      <c r="F147" s="9" t="s">
        <v>520</v>
      </c>
      <c r="G147" s="9">
        <v>968</v>
      </c>
      <c r="H147" s="5" t="s">
        <v>21</v>
      </c>
      <c r="I147" s="5" t="s">
        <v>521</v>
      </c>
      <c r="J147" s="12" t="str">
        <f>HYPERLINK("https://www.boe.es/gazeta/dias/1808/08/04/pdfs/GMD-1808-107.pdf#page=2","Abrir facsímil")</f>
        <v>Abrir facsímil</v>
      </c>
      <c r="K147" s="15" t="s">
        <v>23</v>
      </c>
    </row>
    <row r="148" spans="1:11" ht="42" customHeight="1">
      <c r="A148" s="4" t="s">
        <v>511</v>
      </c>
      <c r="B148" s="5" t="s">
        <v>512</v>
      </c>
      <c r="C148" s="5" t="s">
        <v>17</v>
      </c>
      <c r="D148" s="5" t="s">
        <v>18</v>
      </c>
      <c r="E148" s="5" t="s">
        <v>522</v>
      </c>
      <c r="F148" s="9" t="s">
        <v>523</v>
      </c>
      <c r="G148" s="9">
        <v>984</v>
      </c>
      <c r="H148" s="5" t="s">
        <v>21</v>
      </c>
      <c r="I148" s="5" t="s">
        <v>524</v>
      </c>
      <c r="J148" s="12" t="str">
        <f>HYPERLINK("https://www.boe.es/gazeta/dias/1808/08/07/pdfs/GMD-1808-110.pdf#page=6","Abrir facsímil")</f>
        <v>Abrir facsímil</v>
      </c>
      <c r="K148" s="15" t="s">
        <v>23</v>
      </c>
    </row>
    <row r="149" spans="1:11" ht="42" customHeight="1">
      <c r="A149" s="4" t="s">
        <v>525</v>
      </c>
      <c r="B149" s="5" t="s">
        <v>526</v>
      </c>
      <c r="C149" s="5" t="s">
        <v>41</v>
      </c>
      <c r="D149" s="5" t="s">
        <v>42</v>
      </c>
      <c r="E149" s="5" t="s">
        <v>461</v>
      </c>
      <c r="F149" s="9" t="s">
        <v>462</v>
      </c>
      <c r="G149" s="9" t="s">
        <v>75</v>
      </c>
      <c r="H149" s="5" t="s">
        <v>21</v>
      </c>
      <c r="I149" s="5" t="s">
        <v>527</v>
      </c>
      <c r="J149" s="12" t="str">
        <f>HYPERLINK("https://www.boe.es/gazeta/dias/1808/11/08/pdfs/GMD-D-1808-142.pdf#page=4","Abrir facsímil")</f>
        <v>Abrir facsímil</v>
      </c>
      <c r="K149" s="15" t="s">
        <v>23</v>
      </c>
    </row>
    <row r="150" spans="1:11" ht="42" customHeight="1">
      <c r="A150" s="4" t="s">
        <v>528</v>
      </c>
      <c r="B150" s="5" t="s">
        <v>529</v>
      </c>
      <c r="C150" s="5" t="s">
        <v>389</v>
      </c>
      <c r="D150" s="5" t="s">
        <v>390</v>
      </c>
      <c r="E150" s="5" t="s">
        <v>28</v>
      </c>
      <c r="F150" s="9" t="s">
        <v>29</v>
      </c>
      <c r="G150" s="9">
        <v>1430</v>
      </c>
      <c r="H150" s="5" t="s">
        <v>21</v>
      </c>
      <c r="I150" s="5" t="s">
        <v>530</v>
      </c>
      <c r="J150" s="12" t="str">
        <f>HYPERLINK("https://www.boe.es/gazeta/dias/1808/11/04/pdfs/GMD-1808-141.pdf#page=12","Abrir facsímil")</f>
        <v>Abrir facsímil</v>
      </c>
      <c r="K150" s="15" t="s">
        <v>23</v>
      </c>
    </row>
    <row r="151" spans="1:11" ht="42" customHeight="1">
      <c r="A151" s="4" t="s">
        <v>531</v>
      </c>
      <c r="B151" s="5" t="s">
        <v>532</v>
      </c>
      <c r="C151" s="5" t="s">
        <v>17</v>
      </c>
      <c r="D151" s="5" t="s">
        <v>18</v>
      </c>
      <c r="E151" s="5" t="s">
        <v>203</v>
      </c>
      <c r="F151" s="9" t="s">
        <v>204</v>
      </c>
      <c r="G151" s="9">
        <v>142</v>
      </c>
      <c r="H151" s="5" t="s">
        <v>21</v>
      </c>
      <c r="I151" s="5" t="s">
        <v>533</v>
      </c>
      <c r="J151" s="12" t="str">
        <f>HYPERLINK("https://www.boe.es/gazeta/dias/1808/02/09/pdfs/GMD-1808-12.pdf#page=10","Abrir facsímil")</f>
        <v>Abrir facsímil</v>
      </c>
      <c r="K151" s="15" t="s">
        <v>23</v>
      </c>
    </row>
    <row r="152" spans="1:11" ht="42" customHeight="1">
      <c r="A152" s="4" t="s">
        <v>534</v>
      </c>
      <c r="B152" s="5" t="s">
        <v>535</v>
      </c>
      <c r="C152" s="5" t="s">
        <v>33</v>
      </c>
      <c r="D152" s="5" t="s">
        <v>34</v>
      </c>
      <c r="E152" s="5" t="s">
        <v>35</v>
      </c>
      <c r="F152" s="9" t="s">
        <v>36</v>
      </c>
      <c r="G152" s="9" t="s">
        <v>117</v>
      </c>
      <c r="H152" s="5" t="s">
        <v>21</v>
      </c>
      <c r="I152" s="5" t="s">
        <v>536</v>
      </c>
      <c r="J152" s="12" t="str">
        <f>HYPERLINK("https://www.boe.es/gazeta/dias/1808/04/22/pdfs/GMD-C-1808-38.pdf#page=1","Abrir facsímil")</f>
        <v>Abrir facsímil</v>
      </c>
      <c r="K152" s="15" t="s">
        <v>23</v>
      </c>
    </row>
    <row r="153" spans="1:11" ht="42" customHeight="1">
      <c r="A153" s="4" t="s">
        <v>537</v>
      </c>
      <c r="B153" s="5" t="s">
        <v>538</v>
      </c>
      <c r="C153" s="5" t="s">
        <v>94</v>
      </c>
      <c r="D153" s="5" t="s">
        <v>95</v>
      </c>
      <c r="E153" s="5" t="s">
        <v>539</v>
      </c>
      <c r="F153" s="9" t="s">
        <v>540</v>
      </c>
      <c r="G153" s="9">
        <v>1113</v>
      </c>
      <c r="H153" s="5" t="s">
        <v>21</v>
      </c>
      <c r="I153" s="5" t="s">
        <v>541</v>
      </c>
      <c r="J153" s="12" t="str">
        <f>HYPERLINK("https://www.boe.es/gazeta/dias/1808/09/02/pdfs/GMD-1808-119.pdf#page=7","Abrir facsímil")</f>
        <v>Abrir facsímil</v>
      </c>
      <c r="K153" s="15" t="s">
        <v>23</v>
      </c>
    </row>
    <row r="154" spans="1:11" ht="42" customHeight="1">
      <c r="A154" s="4" t="s">
        <v>537</v>
      </c>
      <c r="B154" s="5" t="s">
        <v>538</v>
      </c>
      <c r="C154" s="5" t="s">
        <v>94</v>
      </c>
      <c r="D154" s="5" t="s">
        <v>95</v>
      </c>
      <c r="E154" s="5" t="s">
        <v>539</v>
      </c>
      <c r="F154" s="9" t="s">
        <v>540</v>
      </c>
      <c r="G154" s="9">
        <v>1114</v>
      </c>
      <c r="H154" s="5" t="s">
        <v>21</v>
      </c>
      <c r="I154" s="5" t="s">
        <v>542</v>
      </c>
      <c r="J154" s="12" t="str">
        <f>HYPERLINK("https://www.boe.es/gazeta/dias/1808/09/02/pdfs/GMD-1808-119.pdf#page=8","Abrir facsímil")</f>
        <v>Abrir facsímil</v>
      </c>
      <c r="K154" s="15" t="s">
        <v>23</v>
      </c>
    </row>
    <row r="155" spans="1:11" ht="42" customHeight="1">
      <c r="A155" s="4" t="s">
        <v>543</v>
      </c>
      <c r="B155" s="5" t="s">
        <v>544</v>
      </c>
      <c r="C155" s="5" t="s">
        <v>17</v>
      </c>
      <c r="D155" s="5" t="s">
        <v>18</v>
      </c>
      <c r="E155" s="5" t="s">
        <v>130</v>
      </c>
      <c r="F155" s="9" t="s">
        <v>131</v>
      </c>
      <c r="G155" s="9">
        <v>1603</v>
      </c>
      <c r="H155" s="5" t="s">
        <v>21</v>
      </c>
      <c r="I155" s="5" t="s">
        <v>545</v>
      </c>
      <c r="J155" s="12" t="str">
        <f>HYPERLINK("https://www.boe.es/gazeta/dias/1808/12/15/pdfs/GMD-1808-155.pdf#page=7","Abrir facsímil")</f>
        <v>Abrir facsímil</v>
      </c>
      <c r="K155" s="15" t="s">
        <v>23</v>
      </c>
    </row>
    <row r="156" spans="1:11" ht="42" customHeight="1">
      <c r="A156" s="4" t="s">
        <v>546</v>
      </c>
      <c r="B156" s="5" t="s">
        <v>547</v>
      </c>
      <c r="C156" s="5" t="s">
        <v>94</v>
      </c>
      <c r="D156" s="5" t="s">
        <v>95</v>
      </c>
      <c r="E156" s="5" t="s">
        <v>548</v>
      </c>
      <c r="F156" s="9" t="s">
        <v>549</v>
      </c>
      <c r="G156" s="9">
        <v>277</v>
      </c>
      <c r="H156" s="5" t="s">
        <v>21</v>
      </c>
      <c r="I156" s="5" t="s">
        <v>550</v>
      </c>
      <c r="J156" s="12" t="str">
        <f>HYPERLINK("https://www.boe.es/gazeta/dias/1808/03/18/pdfs/GMD-1808-23.pdf#page=7","Abrir facsímil")</f>
        <v>Abrir facsímil</v>
      </c>
      <c r="K156" s="15" t="s">
        <v>23</v>
      </c>
    </row>
    <row r="157" spans="1:11" ht="42" customHeight="1">
      <c r="A157" s="4" t="s">
        <v>551</v>
      </c>
      <c r="B157" s="5" t="s">
        <v>552</v>
      </c>
      <c r="C157" s="5" t="s">
        <v>17</v>
      </c>
      <c r="D157" s="5" t="s">
        <v>18</v>
      </c>
      <c r="E157" s="5" t="s">
        <v>553</v>
      </c>
      <c r="F157" s="9" t="s">
        <v>554</v>
      </c>
      <c r="G157" s="9">
        <v>910</v>
      </c>
      <c r="H157" s="5" t="s">
        <v>21</v>
      </c>
      <c r="I157" s="5" t="s">
        <v>555</v>
      </c>
      <c r="J157" s="12" t="str">
        <f>HYPERLINK("https://www.boe.es/gazeta/dias/1808/07/27/pdfs/GMD-1808-99.pdf#page=8","Abrir facsímil")</f>
        <v>Abrir facsímil</v>
      </c>
      <c r="K157" s="15" t="s">
        <v>23</v>
      </c>
    </row>
    <row r="158" spans="1:11" ht="42" customHeight="1">
      <c r="A158" s="4" t="s">
        <v>556</v>
      </c>
      <c r="B158" s="5" t="s">
        <v>557</v>
      </c>
      <c r="C158" s="5" t="s">
        <v>41</v>
      </c>
      <c r="D158" s="5" t="s">
        <v>42</v>
      </c>
      <c r="E158" s="5" t="s">
        <v>558</v>
      </c>
      <c r="F158" s="9" t="s">
        <v>559</v>
      </c>
      <c r="G158" s="9">
        <v>1546</v>
      </c>
      <c r="H158" s="5" t="s">
        <v>21</v>
      </c>
      <c r="I158" s="5" t="s">
        <v>560</v>
      </c>
      <c r="J158" s="12" t="str">
        <f>HYPERLINK("https://www.boe.es/gazeta/dias/1808/11/25/pdfs/GMD-1808-147.pdf#page=12","Abrir facsímil")</f>
        <v>Abrir facsímil</v>
      </c>
      <c r="K158" s="15" t="s">
        <v>23</v>
      </c>
    </row>
    <row r="159" spans="1:11" ht="42" customHeight="1">
      <c r="A159" s="4" t="s">
        <v>561</v>
      </c>
      <c r="B159" s="5" t="s">
        <v>562</v>
      </c>
      <c r="C159" s="5" t="s">
        <v>33</v>
      </c>
      <c r="D159" s="5" t="s">
        <v>34</v>
      </c>
      <c r="E159" s="5" t="s">
        <v>89</v>
      </c>
      <c r="F159" s="9" t="s">
        <v>563</v>
      </c>
      <c r="G159" s="9" t="s">
        <v>117</v>
      </c>
      <c r="H159" s="5" t="s">
        <v>21</v>
      </c>
      <c r="I159" s="5" t="s">
        <v>564</v>
      </c>
      <c r="J159" s="12" t="str">
        <f>HYPERLINK("https://www.boe.es/gazeta/dias/1808/10/25/pdfs/GMD-D-1808-137.pdf#page=1","Abrir facsímil")</f>
        <v>Abrir facsímil</v>
      </c>
      <c r="K159" s="15" t="s">
        <v>23</v>
      </c>
    </row>
    <row r="160" spans="1:11" ht="42" customHeight="1">
      <c r="A160" s="4" t="s">
        <v>565</v>
      </c>
      <c r="B160" s="5" t="s">
        <v>566</v>
      </c>
      <c r="C160" s="5" t="s">
        <v>33</v>
      </c>
      <c r="D160" s="5" t="s">
        <v>34</v>
      </c>
      <c r="E160" s="5" t="s">
        <v>73</v>
      </c>
      <c r="F160" s="9" t="s">
        <v>74</v>
      </c>
      <c r="G160" s="9" t="s">
        <v>117</v>
      </c>
      <c r="H160" s="5" t="s">
        <v>21</v>
      </c>
      <c r="I160" s="5" t="s">
        <v>567</v>
      </c>
      <c r="J160" s="12" t="str">
        <f>HYPERLINK("https://www.boe.es/gazeta/dias/1808/11/11/pdfs/GMD-D-1808-143.pdf#page=1","Abrir facsímil")</f>
        <v>Abrir facsímil</v>
      </c>
      <c r="K160" s="15" t="s">
        <v>23</v>
      </c>
    </row>
    <row r="161" spans="1:11" ht="42" customHeight="1">
      <c r="A161" s="4" t="s">
        <v>568</v>
      </c>
      <c r="B161" s="5" t="s">
        <v>568</v>
      </c>
      <c r="C161" s="5" t="s">
        <v>33</v>
      </c>
      <c r="D161" s="5" t="s">
        <v>34</v>
      </c>
      <c r="E161" s="5" t="s">
        <v>35</v>
      </c>
      <c r="F161" s="9" t="s">
        <v>36</v>
      </c>
      <c r="G161" s="9" t="s">
        <v>450</v>
      </c>
      <c r="H161" s="5" t="s">
        <v>21</v>
      </c>
      <c r="I161" s="5" t="s">
        <v>569</v>
      </c>
      <c r="J161" s="12" t="str">
        <f>HYPERLINK("https://www.boe.es/gazeta/dias/1808/04/22/pdfs/GMD-C-1808-38.pdf#page=45","Abrir facsímil")</f>
        <v>Abrir facsímil</v>
      </c>
      <c r="K161" s="15" t="s">
        <v>23</v>
      </c>
    </row>
    <row r="162" spans="1:11" ht="42" customHeight="1">
      <c r="A162" s="4" t="s">
        <v>570</v>
      </c>
      <c r="B162" s="5" t="s">
        <v>571</v>
      </c>
      <c r="C162" s="5" t="s">
        <v>94</v>
      </c>
      <c r="D162" s="5" t="s">
        <v>95</v>
      </c>
      <c r="E162" s="5" t="s">
        <v>572</v>
      </c>
      <c r="F162" s="9" t="s">
        <v>573</v>
      </c>
      <c r="G162" s="9">
        <v>15</v>
      </c>
      <c r="H162" s="5" t="s">
        <v>21</v>
      </c>
      <c r="I162" s="5" t="s">
        <v>574</v>
      </c>
      <c r="J162" s="12" t="str">
        <f>HYPERLINK("https://www.boe.es/gazeta/dias/1808/01/05/pdfs/GMD-1808-2.pdf#page=3","Abrir facsímil")</f>
        <v>Abrir facsímil</v>
      </c>
      <c r="K162" s="15" t="s">
        <v>23</v>
      </c>
    </row>
    <row r="163" spans="1:11" ht="42" customHeight="1">
      <c r="A163" s="4" t="s">
        <v>575</v>
      </c>
      <c r="B163" s="5" t="s">
        <v>575</v>
      </c>
      <c r="C163" s="5" t="s">
        <v>101</v>
      </c>
      <c r="D163" s="5" t="s">
        <v>102</v>
      </c>
      <c r="E163" s="5" t="s">
        <v>256</v>
      </c>
      <c r="F163" s="9" t="s">
        <v>257</v>
      </c>
      <c r="G163" s="9">
        <v>523</v>
      </c>
      <c r="H163" s="5" t="s">
        <v>21</v>
      </c>
      <c r="I163" s="5" t="s">
        <v>576</v>
      </c>
      <c r="J163" s="12" t="str">
        <f>HYPERLINK("https://www.boe.es/gazeta/dias/1808/06/03/pdfs/GMD-1808-53.pdf#page=1","Abrir facsímil")</f>
        <v>Abrir facsímil</v>
      </c>
      <c r="K163" s="15" t="s">
        <v>23</v>
      </c>
    </row>
    <row r="164" spans="1:11" ht="42" customHeight="1">
      <c r="A164" s="4" t="s">
        <v>577</v>
      </c>
      <c r="B164" s="5" t="s">
        <v>578</v>
      </c>
      <c r="C164" s="5" t="s">
        <v>17</v>
      </c>
      <c r="D164" s="5" t="s">
        <v>18</v>
      </c>
      <c r="E164" s="5" t="s">
        <v>130</v>
      </c>
      <c r="F164" s="9" t="s">
        <v>131</v>
      </c>
      <c r="G164" s="9">
        <v>1604</v>
      </c>
      <c r="H164" s="5" t="s">
        <v>21</v>
      </c>
      <c r="I164" s="5" t="s">
        <v>579</v>
      </c>
      <c r="J164" s="12" t="str">
        <f>HYPERLINK("https://www.boe.es/gazeta/dias/1808/12/15/pdfs/GMD-1808-155.pdf#page=8","Abrir facsímil")</f>
        <v>Abrir facsímil</v>
      </c>
      <c r="K164" s="15" t="s">
        <v>23</v>
      </c>
    </row>
    <row r="165" spans="1:11" ht="42" customHeight="1">
      <c r="A165" s="4" t="s">
        <v>580</v>
      </c>
      <c r="B165" s="5" t="s">
        <v>580</v>
      </c>
      <c r="C165" s="5" t="s">
        <v>41</v>
      </c>
      <c r="D165" s="5" t="s">
        <v>42</v>
      </c>
      <c r="E165" s="5" t="s">
        <v>73</v>
      </c>
      <c r="F165" s="9" t="s">
        <v>581</v>
      </c>
      <c r="G165" s="9">
        <v>1469</v>
      </c>
      <c r="H165" s="5" t="s">
        <v>21</v>
      </c>
      <c r="I165" s="5" t="s">
        <v>582</v>
      </c>
      <c r="J165" s="12" t="str">
        <f>HYPERLINK("https://www.boe.es/gazeta/dias/1808/11/11/pdfs/GMD-1808-143.pdf#page=11","Abrir facsímil")</f>
        <v>Abrir facsímil</v>
      </c>
      <c r="K165" s="15" t="s">
        <v>23</v>
      </c>
    </row>
    <row r="166" spans="1:11" ht="42" customHeight="1">
      <c r="A166" s="4" t="s">
        <v>583</v>
      </c>
      <c r="B166" s="5" t="s">
        <v>583</v>
      </c>
      <c r="C166" s="5" t="s">
        <v>17</v>
      </c>
      <c r="D166" s="5" t="s">
        <v>18</v>
      </c>
      <c r="E166" s="5" t="s">
        <v>19</v>
      </c>
      <c r="F166" s="9" t="s">
        <v>59</v>
      </c>
      <c r="G166" s="9">
        <v>1228</v>
      </c>
      <c r="H166" s="5" t="s">
        <v>21</v>
      </c>
      <c r="I166" s="5" t="s">
        <v>584</v>
      </c>
      <c r="J166" s="12" t="str">
        <f>HYPERLINK("https://www.boe.es/gazeta/dias/1808/09/30/pdfs/GMD-1808-130.pdf#page=8","Abrir facsímil")</f>
        <v>Abrir facsímil</v>
      </c>
      <c r="K166" s="15" t="s">
        <v>23</v>
      </c>
    </row>
    <row r="167" spans="1:11" ht="42" customHeight="1">
      <c r="A167" s="4" t="s">
        <v>585</v>
      </c>
      <c r="B167" s="5" t="s">
        <v>585</v>
      </c>
      <c r="C167" s="5" t="s">
        <v>33</v>
      </c>
      <c r="D167" s="5" t="s">
        <v>34</v>
      </c>
      <c r="E167" s="5" t="s">
        <v>35</v>
      </c>
      <c r="F167" s="9" t="s">
        <v>36</v>
      </c>
      <c r="G167" s="9" t="s">
        <v>443</v>
      </c>
      <c r="H167" s="5" t="s">
        <v>21</v>
      </c>
      <c r="I167" s="5" t="s">
        <v>586</v>
      </c>
      <c r="J167" s="12" t="str">
        <f>HYPERLINK("https://www.boe.es/gazeta/dias/1808/04/22/pdfs/GMD-C-1808-38.pdf#page=16","Abrir facsímil")</f>
        <v>Abrir facsímil</v>
      </c>
      <c r="K167" s="15" t="s">
        <v>23</v>
      </c>
    </row>
    <row r="168" spans="1:11" ht="42" customHeight="1">
      <c r="A168" s="4" t="s">
        <v>587</v>
      </c>
      <c r="B168" s="5" t="s">
        <v>587</v>
      </c>
      <c r="C168" s="5" t="s">
        <v>33</v>
      </c>
      <c r="D168" s="5" t="s">
        <v>34</v>
      </c>
      <c r="E168" s="5" t="s">
        <v>391</v>
      </c>
      <c r="F168" s="9" t="s">
        <v>588</v>
      </c>
      <c r="G168" s="9" t="s">
        <v>117</v>
      </c>
      <c r="H168" s="5" t="s">
        <v>21</v>
      </c>
      <c r="I168" s="5" t="s">
        <v>589</v>
      </c>
      <c r="J168" s="12" t="str">
        <f>HYPERLINK("https://www.boe.es/gazeta/dias/1808/09/27/pdfs/GMD-C-1808-128.pdf#page=1","Abrir facsímil")</f>
        <v>Abrir facsímil</v>
      </c>
      <c r="K168" s="15" t="s">
        <v>23</v>
      </c>
    </row>
    <row r="169" spans="1:11" ht="42" customHeight="1">
      <c r="A169" s="4" t="s">
        <v>590</v>
      </c>
      <c r="B169" s="5" t="s">
        <v>590</v>
      </c>
      <c r="C169" s="5" t="s">
        <v>17</v>
      </c>
      <c r="D169" s="5" t="s">
        <v>18</v>
      </c>
      <c r="E169" s="5" t="s">
        <v>61</v>
      </c>
      <c r="F169" s="9" t="s">
        <v>62</v>
      </c>
      <c r="G169" s="9">
        <v>1284</v>
      </c>
      <c r="H169" s="5" t="s">
        <v>21</v>
      </c>
      <c r="I169" s="5" t="s">
        <v>591</v>
      </c>
      <c r="J169" s="12" t="str">
        <f>HYPERLINK("https://www.boe.es/gazeta/dias/1808/10/11/pdfs/GMD-1808-133.pdf#page=12","Abrir facsímil")</f>
        <v>Abrir facsímil</v>
      </c>
      <c r="K169" s="15" t="s">
        <v>23</v>
      </c>
    </row>
    <row r="170" spans="1:11" ht="42" customHeight="1">
      <c r="A170" s="4" t="s">
        <v>590</v>
      </c>
      <c r="B170" s="5" t="s">
        <v>590</v>
      </c>
      <c r="C170" s="5" t="s">
        <v>41</v>
      </c>
      <c r="D170" s="5" t="s">
        <v>42</v>
      </c>
      <c r="E170" s="5" t="s">
        <v>61</v>
      </c>
      <c r="F170" s="9" t="s">
        <v>62</v>
      </c>
      <c r="G170" s="9">
        <v>1287</v>
      </c>
      <c r="H170" s="5" t="s">
        <v>21</v>
      </c>
      <c r="I170" s="5" t="s">
        <v>592</v>
      </c>
      <c r="J170" s="12" t="str">
        <f>HYPERLINK("https://www.boe.es/gazeta/dias/1808/10/11/pdfs/GMD-1808-133.pdf#page=15","Abrir facsímil")</f>
        <v>Abrir facsímil</v>
      </c>
      <c r="K170" s="15" t="s">
        <v>23</v>
      </c>
    </row>
    <row r="171" spans="1:11" ht="42" customHeight="1">
      <c r="A171" s="4" t="s">
        <v>590</v>
      </c>
      <c r="B171" s="5" t="s">
        <v>590</v>
      </c>
      <c r="C171" s="5" t="s">
        <v>389</v>
      </c>
      <c r="D171" s="5" t="s">
        <v>390</v>
      </c>
      <c r="E171" s="5" t="s">
        <v>65</v>
      </c>
      <c r="F171" s="9" t="s">
        <v>105</v>
      </c>
      <c r="G171" s="9" t="s">
        <v>117</v>
      </c>
      <c r="H171" s="5" t="s">
        <v>21</v>
      </c>
      <c r="I171" s="5" t="s">
        <v>593</v>
      </c>
      <c r="J171" s="12" t="str">
        <f>HYPERLINK("https://www.boe.es/gazeta/dias/1808/10/18/pdfs/GMD-D-1808-135.pdf#page=1","Abrir facsímil")</f>
        <v>Abrir facsímil</v>
      </c>
      <c r="K171" s="15" t="s">
        <v>23</v>
      </c>
    </row>
    <row r="172" spans="1:11" ht="42" customHeight="1">
      <c r="A172" s="4" t="s">
        <v>590</v>
      </c>
      <c r="B172" s="5" t="s">
        <v>590</v>
      </c>
      <c r="C172" s="5" t="s">
        <v>33</v>
      </c>
      <c r="D172" s="5" t="s">
        <v>34</v>
      </c>
      <c r="E172" s="5" t="s">
        <v>166</v>
      </c>
      <c r="F172" s="9" t="s">
        <v>400</v>
      </c>
      <c r="G172" s="9" t="s">
        <v>199</v>
      </c>
      <c r="H172" s="5" t="s">
        <v>21</v>
      </c>
      <c r="I172" s="5" t="s">
        <v>594</v>
      </c>
      <c r="J172" s="12" t="str">
        <f>HYPERLINK("https://www.boe.es/gazeta/dias/1808/11/18/pdfs/D00069-00072.pdf#page=2","Abrir facsímil")</f>
        <v>Abrir facsímil</v>
      </c>
      <c r="K172" s="15" t="s">
        <v>23</v>
      </c>
    </row>
    <row r="173" spans="1:11" ht="42" customHeight="1">
      <c r="A173" s="4" t="s">
        <v>595</v>
      </c>
      <c r="B173" s="5" t="s">
        <v>595</v>
      </c>
      <c r="C173" s="5" t="s">
        <v>17</v>
      </c>
      <c r="D173" s="5" t="s">
        <v>18</v>
      </c>
      <c r="E173" s="5" t="s">
        <v>19</v>
      </c>
      <c r="F173" s="9" t="s">
        <v>59</v>
      </c>
      <c r="G173" s="9">
        <v>1230</v>
      </c>
      <c r="H173" s="5" t="s">
        <v>21</v>
      </c>
      <c r="I173" s="5" t="s">
        <v>596</v>
      </c>
      <c r="J173" s="12" t="str">
        <f>HYPERLINK("https://www.boe.es/gazeta/dias/1808/09/30/pdfs/GMD-1808-130.pdf#page=10","Abrir facsímil")</f>
        <v>Abrir facsímil</v>
      </c>
      <c r="K173" s="15" t="s">
        <v>23</v>
      </c>
    </row>
    <row r="174" spans="1:11" ht="42" customHeight="1">
      <c r="A174" s="4" t="s">
        <v>597</v>
      </c>
      <c r="B174" s="5" t="s">
        <v>597</v>
      </c>
      <c r="C174" s="5" t="s">
        <v>41</v>
      </c>
      <c r="D174" s="5" t="s">
        <v>42</v>
      </c>
      <c r="E174" s="5" t="s">
        <v>65</v>
      </c>
      <c r="F174" s="9" t="s">
        <v>66</v>
      </c>
      <c r="G174" s="9">
        <v>1312</v>
      </c>
      <c r="H174" s="5" t="s">
        <v>21</v>
      </c>
      <c r="I174" s="5" t="s">
        <v>598</v>
      </c>
      <c r="J174" s="12" t="str">
        <f>HYPERLINK("https://www.boe.es/gazeta/dias/1808/10/18/pdfs/GMD-1808-135.pdf#page=12","Abrir facsímil")</f>
        <v>Abrir facsímil</v>
      </c>
      <c r="K174" s="15" t="s">
        <v>23</v>
      </c>
    </row>
    <row r="175" spans="1:11" ht="42" customHeight="1">
      <c r="A175" s="4" t="s">
        <v>599</v>
      </c>
      <c r="B175" s="5" t="s">
        <v>599</v>
      </c>
      <c r="C175" s="5" t="s">
        <v>17</v>
      </c>
      <c r="D175" s="5" t="s">
        <v>18</v>
      </c>
      <c r="E175" s="5" t="s">
        <v>65</v>
      </c>
      <c r="F175" s="9" t="s">
        <v>66</v>
      </c>
      <c r="G175" s="9">
        <v>1313</v>
      </c>
      <c r="H175" s="5" t="s">
        <v>21</v>
      </c>
      <c r="I175" s="5" t="s">
        <v>600</v>
      </c>
      <c r="J175" s="12" t="str">
        <f>HYPERLINK("https://www.boe.es/gazeta/dias/1808/10/18/pdfs/GMD-1808-135.pdf#page=13","Abrir facsímil")</f>
        <v>Abrir facsímil</v>
      </c>
      <c r="K175" s="15" t="s">
        <v>23</v>
      </c>
    </row>
    <row r="176" spans="1:11" ht="42" customHeight="1">
      <c r="A176" s="4" t="s">
        <v>601</v>
      </c>
      <c r="B176" s="5" t="s">
        <v>601</v>
      </c>
      <c r="C176" s="5" t="s">
        <v>94</v>
      </c>
      <c r="D176" s="5" t="s">
        <v>95</v>
      </c>
      <c r="E176" s="5" t="s">
        <v>65</v>
      </c>
      <c r="F176" s="9" t="s">
        <v>66</v>
      </c>
      <c r="G176" s="9">
        <v>1310</v>
      </c>
      <c r="H176" s="5" t="s">
        <v>21</v>
      </c>
      <c r="I176" s="5" t="s">
        <v>602</v>
      </c>
      <c r="J176" s="12" t="str">
        <f>HYPERLINK("https://www.boe.es/gazeta/dias/1808/10/18/pdfs/GMD-1808-135.pdf#page=10","Abrir facsímil")</f>
        <v>Abrir facsímil</v>
      </c>
      <c r="K176" s="15" t="s">
        <v>23</v>
      </c>
    </row>
    <row r="177" spans="1:11" ht="42" customHeight="1">
      <c r="A177" s="4" t="s">
        <v>603</v>
      </c>
      <c r="B177" s="5" t="s">
        <v>603</v>
      </c>
      <c r="C177" s="5" t="s">
        <v>33</v>
      </c>
      <c r="D177" s="5" t="s">
        <v>34</v>
      </c>
      <c r="E177" s="5" t="s">
        <v>197</v>
      </c>
      <c r="F177" s="9" t="s">
        <v>198</v>
      </c>
      <c r="G177" s="9" t="s">
        <v>117</v>
      </c>
      <c r="H177" s="5" t="s">
        <v>21</v>
      </c>
      <c r="I177" s="5" t="s">
        <v>604</v>
      </c>
      <c r="J177" s="12" t="str">
        <f>HYPERLINK("https://www.boe.es/gazeta/dias/1808/11/01/pdfs/GMD-D-1808-140.pdf#page=1","Abrir facsímil")</f>
        <v>Abrir facsímil</v>
      </c>
      <c r="K177" s="15" t="s">
        <v>23</v>
      </c>
    </row>
    <row r="178" spans="1:11" ht="42" customHeight="1">
      <c r="A178" s="4" t="s">
        <v>605</v>
      </c>
      <c r="B178" s="5" t="s">
        <v>605</v>
      </c>
      <c r="C178" s="5" t="s">
        <v>33</v>
      </c>
      <c r="D178" s="5" t="s">
        <v>34</v>
      </c>
      <c r="E178" s="5" t="s">
        <v>28</v>
      </c>
      <c r="F178" s="9" t="s">
        <v>446</v>
      </c>
      <c r="G178" s="9" t="s">
        <v>106</v>
      </c>
      <c r="H178" s="5" t="s">
        <v>21</v>
      </c>
      <c r="I178" s="5" t="s">
        <v>606</v>
      </c>
      <c r="J178" s="12" t="str">
        <f>HYPERLINK("https://www.boe.es/gazeta/dias/1808/11/04/pdfs/GMD-D-1808-141.pdf#page=3","Abrir facsímil")</f>
        <v>Abrir facsímil</v>
      </c>
      <c r="K178" s="15" t="s">
        <v>23</v>
      </c>
    </row>
    <row r="179" spans="1:11" ht="42" customHeight="1">
      <c r="A179" s="4" t="s">
        <v>607</v>
      </c>
      <c r="B179" s="5" t="s">
        <v>607</v>
      </c>
      <c r="C179" s="5" t="s">
        <v>33</v>
      </c>
      <c r="D179" s="5" t="s">
        <v>34</v>
      </c>
      <c r="E179" s="5" t="s">
        <v>28</v>
      </c>
      <c r="F179" s="9" t="s">
        <v>446</v>
      </c>
      <c r="G179" s="9" t="s">
        <v>117</v>
      </c>
      <c r="H179" s="5" t="s">
        <v>21</v>
      </c>
      <c r="I179" s="5" t="s">
        <v>608</v>
      </c>
      <c r="J179" s="12" t="str">
        <f>HYPERLINK("https://www.boe.es/gazeta/dias/1808/11/04/pdfs/GMD-D-1808-141.pdf#page=1","Abrir facsímil")</f>
        <v>Abrir facsímil</v>
      </c>
      <c r="K179" s="15" t="s">
        <v>23</v>
      </c>
    </row>
    <row r="180" spans="1:11" ht="42" customHeight="1">
      <c r="A180" s="4" t="s">
        <v>609</v>
      </c>
      <c r="B180" s="5" t="s">
        <v>609</v>
      </c>
      <c r="C180" s="5" t="s">
        <v>94</v>
      </c>
      <c r="D180" s="5" t="s">
        <v>95</v>
      </c>
      <c r="E180" s="5" t="s">
        <v>139</v>
      </c>
      <c r="F180" s="9" t="s">
        <v>140</v>
      </c>
      <c r="G180" s="9">
        <v>1202</v>
      </c>
      <c r="H180" s="5" t="s">
        <v>21</v>
      </c>
      <c r="I180" s="5" t="s">
        <v>610</v>
      </c>
      <c r="J180" s="12" t="str">
        <f>HYPERLINK("https://www.boe.es/gazeta/dias/1808/09/23/pdfs/GMD-1808-127.pdf#page=10","Abrir facsímil")</f>
        <v>Abrir facsímil</v>
      </c>
      <c r="K180" s="15" t="s">
        <v>23</v>
      </c>
    </row>
    <row r="181" spans="1:11" ht="42" customHeight="1">
      <c r="A181" s="4" t="s">
        <v>611</v>
      </c>
      <c r="B181" s="5" t="s">
        <v>611</v>
      </c>
      <c r="C181" s="5" t="s">
        <v>33</v>
      </c>
      <c r="D181" s="5" t="s">
        <v>34</v>
      </c>
      <c r="E181" s="5" t="s">
        <v>89</v>
      </c>
      <c r="F181" s="9" t="s">
        <v>563</v>
      </c>
      <c r="G181" s="9" t="s">
        <v>117</v>
      </c>
      <c r="H181" s="5" t="s">
        <v>21</v>
      </c>
      <c r="I181" s="5" t="s">
        <v>612</v>
      </c>
      <c r="J181" s="12" t="str">
        <f>HYPERLINK("https://www.boe.es/gazeta/dias/1808/10/25/pdfs/GMD-D-1808-137.pdf#page=1","Abrir facsímil")</f>
        <v>Abrir facsímil</v>
      </c>
      <c r="K181" s="15" t="s">
        <v>23</v>
      </c>
    </row>
    <row r="182" spans="1:11" ht="42" customHeight="1">
      <c r="A182" s="4" t="s">
        <v>613</v>
      </c>
      <c r="B182" s="5" t="s">
        <v>613</v>
      </c>
      <c r="C182" s="5" t="s">
        <v>41</v>
      </c>
      <c r="D182" s="5" t="s">
        <v>42</v>
      </c>
      <c r="E182" s="5" t="s">
        <v>339</v>
      </c>
      <c r="F182" s="9" t="s">
        <v>340</v>
      </c>
      <c r="G182" s="9">
        <v>82</v>
      </c>
      <c r="H182" s="5" t="s">
        <v>21</v>
      </c>
      <c r="I182" s="5" t="s">
        <v>614</v>
      </c>
      <c r="J182" s="12" t="str">
        <f>HYPERLINK("https://www.boe.es/gazeta/dias/1808/01/22/pdfs/GMD-1808-7.pdf#page=10","Abrir facsímil")</f>
        <v>Abrir facsímil</v>
      </c>
      <c r="K182" s="15" t="s">
        <v>23</v>
      </c>
    </row>
    <row r="183" spans="1:11" ht="42" customHeight="1">
      <c r="A183" s="4" t="s">
        <v>615</v>
      </c>
      <c r="B183" s="5" t="s">
        <v>615</v>
      </c>
      <c r="C183" s="5" t="s">
        <v>17</v>
      </c>
      <c r="D183" s="5" t="s">
        <v>18</v>
      </c>
      <c r="E183" s="5" t="s">
        <v>616</v>
      </c>
      <c r="F183" s="9" t="s">
        <v>617</v>
      </c>
      <c r="G183" s="9">
        <v>1041</v>
      </c>
      <c r="H183" s="5" t="s">
        <v>21</v>
      </c>
      <c r="I183" s="5" t="s">
        <v>618</v>
      </c>
      <c r="J183" s="12" t="str">
        <f>HYPERLINK("https://www.boe.es/gazeta/dias/1808/08/19/pdfs/GMD-1808-115.pdf#page=7","Abrir facsímil")</f>
        <v>Abrir facsímil</v>
      </c>
      <c r="K183" s="15" t="s">
        <v>23</v>
      </c>
    </row>
    <row r="184" spans="1:11" ht="42" customHeight="1">
      <c r="A184" s="4" t="s">
        <v>619</v>
      </c>
      <c r="B184" s="5" t="s">
        <v>619</v>
      </c>
      <c r="C184" s="5" t="s">
        <v>33</v>
      </c>
      <c r="D184" s="5" t="s">
        <v>34</v>
      </c>
      <c r="E184" s="5" t="s">
        <v>65</v>
      </c>
      <c r="F184" s="9" t="s">
        <v>105</v>
      </c>
      <c r="G184" s="9" t="s">
        <v>199</v>
      </c>
      <c r="H184" s="5" t="s">
        <v>21</v>
      </c>
      <c r="I184" s="5" t="s">
        <v>620</v>
      </c>
      <c r="J184" s="12" t="str">
        <f>HYPERLINK("https://www.boe.es/gazeta/dias/1808/10/18/pdfs/GMD-D-1808-135.pdf#page=2","Abrir facsímil")</f>
        <v>Abrir facsímil</v>
      </c>
      <c r="K184" s="15" t="s">
        <v>23</v>
      </c>
    </row>
    <row r="185" spans="1:11" ht="42" customHeight="1">
      <c r="A185" s="4" t="s">
        <v>621</v>
      </c>
      <c r="B185" s="5" t="s">
        <v>621</v>
      </c>
      <c r="C185" s="5" t="s">
        <v>33</v>
      </c>
      <c r="D185" s="5" t="s">
        <v>34</v>
      </c>
      <c r="E185" s="5" t="s">
        <v>427</v>
      </c>
      <c r="F185" s="9" t="s">
        <v>428</v>
      </c>
      <c r="G185" s="9" t="s">
        <v>117</v>
      </c>
      <c r="H185" s="5" t="s">
        <v>21</v>
      </c>
      <c r="I185" s="5" t="s">
        <v>622</v>
      </c>
      <c r="J185" s="12" t="str">
        <f>HYPERLINK("https://www.boe.es/gazeta/dias/1808/11/22/pdfs/GMD-D-1808-146.pdf#page=1","Abrir facsímil")</f>
        <v>Abrir facsímil</v>
      </c>
      <c r="K185" s="15" t="s">
        <v>23</v>
      </c>
    </row>
    <row r="186" spans="1:11" ht="42" customHeight="1">
      <c r="A186" s="4" t="s">
        <v>623</v>
      </c>
      <c r="B186" s="5" t="s">
        <v>623</v>
      </c>
      <c r="C186" s="5" t="s">
        <v>17</v>
      </c>
      <c r="D186" s="5" t="s">
        <v>18</v>
      </c>
      <c r="E186" s="5" t="s">
        <v>139</v>
      </c>
      <c r="F186" s="9" t="s">
        <v>140</v>
      </c>
      <c r="G186" s="9">
        <v>1204</v>
      </c>
      <c r="H186" s="5" t="s">
        <v>21</v>
      </c>
      <c r="I186" s="5" t="s">
        <v>624</v>
      </c>
      <c r="J186" s="12" t="str">
        <f>HYPERLINK("https://www.boe.es/gazeta/dias/1808/09/23/pdfs/GMD-1808-127.pdf#page=12","Abrir facsímil")</f>
        <v>Abrir facsímil</v>
      </c>
      <c r="K186" s="15" t="s">
        <v>23</v>
      </c>
    </row>
    <row r="187" spans="1:11" ht="42" customHeight="1">
      <c r="A187" s="4" t="s">
        <v>623</v>
      </c>
      <c r="B187" s="5" t="s">
        <v>623</v>
      </c>
      <c r="C187" s="5" t="s">
        <v>17</v>
      </c>
      <c r="D187" s="5" t="s">
        <v>18</v>
      </c>
      <c r="E187" s="5" t="s">
        <v>19</v>
      </c>
      <c r="F187" s="9" t="s">
        <v>59</v>
      </c>
      <c r="G187" s="9">
        <v>1228</v>
      </c>
      <c r="H187" s="5" t="s">
        <v>21</v>
      </c>
      <c r="I187" s="5" t="s">
        <v>625</v>
      </c>
      <c r="J187" s="12" t="str">
        <f>HYPERLINK("https://www.boe.es/gazeta/dias/1808/09/30/pdfs/GMD-1808-130.pdf#page=8","Abrir facsímil")</f>
        <v>Abrir facsímil</v>
      </c>
      <c r="K187" s="15" t="s">
        <v>23</v>
      </c>
    </row>
    <row r="188" spans="1:11" ht="42" customHeight="1">
      <c r="A188" s="4" t="s">
        <v>623</v>
      </c>
      <c r="B188" s="5" t="s">
        <v>623</v>
      </c>
      <c r="C188" s="5" t="s">
        <v>41</v>
      </c>
      <c r="D188" s="5" t="s">
        <v>42</v>
      </c>
      <c r="E188" s="5" t="s">
        <v>28</v>
      </c>
      <c r="F188" s="9" t="s">
        <v>446</v>
      </c>
      <c r="G188" s="9" t="s">
        <v>75</v>
      </c>
      <c r="H188" s="5" t="s">
        <v>21</v>
      </c>
      <c r="I188" s="5" t="s">
        <v>626</v>
      </c>
      <c r="J188" s="12" t="str">
        <f>HYPERLINK("https://www.boe.es/gazeta/dias/1808/11/04/pdfs/GMD-D-1808-141.pdf#page=4","Abrir facsímil")</f>
        <v>Abrir facsímil</v>
      </c>
      <c r="K188" s="15" t="s">
        <v>23</v>
      </c>
    </row>
    <row r="189" spans="1:11" ht="42" customHeight="1">
      <c r="A189" s="4" t="s">
        <v>627</v>
      </c>
      <c r="B189" s="5" t="s">
        <v>627</v>
      </c>
      <c r="C189" s="5" t="s">
        <v>33</v>
      </c>
      <c r="D189" s="5" t="s">
        <v>34</v>
      </c>
      <c r="E189" s="5" t="s">
        <v>115</v>
      </c>
      <c r="F189" s="9" t="s">
        <v>116</v>
      </c>
      <c r="G189" s="9" t="s">
        <v>117</v>
      </c>
      <c r="H189" s="5" t="s">
        <v>21</v>
      </c>
      <c r="I189" s="5" t="s">
        <v>628</v>
      </c>
      <c r="J189" s="12" t="str">
        <f>HYPERLINK("https://www.boe.es/gazeta/dias/1808/09/16/pdfs/GMD-C-1808-125.pdf#page=1","Abrir facsímil")</f>
        <v>Abrir facsímil</v>
      </c>
      <c r="K189" s="15" t="s">
        <v>23</v>
      </c>
    </row>
    <row r="190" spans="1:11" ht="42" customHeight="1">
      <c r="A190" s="4" t="s">
        <v>629</v>
      </c>
      <c r="B190" s="5" t="s">
        <v>629</v>
      </c>
      <c r="C190" s="5" t="s">
        <v>17</v>
      </c>
      <c r="D190" s="5" t="s">
        <v>18</v>
      </c>
      <c r="E190" s="5" t="s">
        <v>130</v>
      </c>
      <c r="F190" s="9" t="s">
        <v>131</v>
      </c>
      <c r="G190" s="9">
        <v>1604</v>
      </c>
      <c r="H190" s="5" t="s">
        <v>21</v>
      </c>
      <c r="I190" s="5" t="s">
        <v>630</v>
      </c>
      <c r="J190" s="12" t="str">
        <f>HYPERLINK("https://www.boe.es/gazeta/dias/1808/12/15/pdfs/GMD-1808-155.pdf#page=8","Abrir facsímil")</f>
        <v>Abrir facsímil</v>
      </c>
      <c r="K190" s="15" t="s">
        <v>23</v>
      </c>
    </row>
    <row r="191" spans="1:11" ht="42" customHeight="1">
      <c r="A191" s="4" t="s">
        <v>631</v>
      </c>
      <c r="B191" s="5" t="s">
        <v>631</v>
      </c>
      <c r="C191" s="5" t="s">
        <v>17</v>
      </c>
      <c r="D191" s="5" t="s">
        <v>18</v>
      </c>
      <c r="E191" s="5" t="s">
        <v>130</v>
      </c>
      <c r="F191" s="9" t="s">
        <v>131</v>
      </c>
      <c r="G191" s="9">
        <v>1603</v>
      </c>
      <c r="H191" s="5" t="s">
        <v>21</v>
      </c>
      <c r="I191" s="5" t="s">
        <v>632</v>
      </c>
      <c r="J191" s="12" t="str">
        <f>HYPERLINK("https://www.boe.es/gazeta/dias/1808/12/15/pdfs/GMD-1808-155.pdf#page=7","Abrir facsímil")</f>
        <v>Abrir facsímil</v>
      </c>
      <c r="K191" s="15" t="s">
        <v>23</v>
      </c>
    </row>
    <row r="192" spans="1:11" ht="42" customHeight="1">
      <c r="A192" s="4" t="s">
        <v>633</v>
      </c>
      <c r="B192" s="5" t="s">
        <v>633</v>
      </c>
      <c r="C192" s="5" t="s">
        <v>17</v>
      </c>
      <c r="D192" s="5" t="s">
        <v>18</v>
      </c>
      <c r="E192" s="5" t="s">
        <v>634</v>
      </c>
      <c r="F192" s="9" t="s">
        <v>635</v>
      </c>
      <c r="G192" s="9">
        <v>918</v>
      </c>
      <c r="H192" s="5" t="s">
        <v>21</v>
      </c>
      <c r="I192" s="5" t="s">
        <v>636</v>
      </c>
      <c r="J192" s="12" t="str">
        <f>HYPERLINK("https://www.boe.es/gazeta/dias/1808/07/28/pdfs/GMD-1808-100.pdf#page=8","Abrir facsímil")</f>
        <v>Abrir facsímil</v>
      </c>
      <c r="K192" s="15" t="s">
        <v>23</v>
      </c>
    </row>
    <row r="193" spans="1:11" ht="42" customHeight="1">
      <c r="A193" s="4" t="s">
        <v>637</v>
      </c>
      <c r="B193" s="5" t="s">
        <v>638</v>
      </c>
      <c r="C193" s="5" t="s">
        <v>41</v>
      </c>
      <c r="D193" s="5" t="s">
        <v>42</v>
      </c>
      <c r="E193" s="5" t="s">
        <v>558</v>
      </c>
      <c r="F193" s="9" t="s">
        <v>559</v>
      </c>
      <c r="G193" s="9">
        <v>1546</v>
      </c>
      <c r="H193" s="5" t="s">
        <v>21</v>
      </c>
      <c r="I193" s="5" t="s">
        <v>639</v>
      </c>
      <c r="J193" s="12" t="str">
        <f>HYPERLINK("https://www.boe.es/gazeta/dias/1808/11/25/pdfs/GMD-1808-147.pdf#page=12","Abrir facsímil")</f>
        <v>Abrir facsímil</v>
      </c>
      <c r="K193" s="15" t="s">
        <v>23</v>
      </c>
    </row>
    <row r="194" spans="1:11" ht="42" customHeight="1">
      <c r="A194" s="4" t="s">
        <v>640</v>
      </c>
      <c r="B194" s="5" t="s">
        <v>641</v>
      </c>
      <c r="C194" s="5" t="s">
        <v>642</v>
      </c>
      <c r="D194" s="5" t="s">
        <v>643</v>
      </c>
      <c r="E194" s="5" t="s">
        <v>644</v>
      </c>
      <c r="F194" s="9" t="s">
        <v>645</v>
      </c>
      <c r="G194" s="9">
        <v>320</v>
      </c>
      <c r="H194" s="5" t="s">
        <v>21</v>
      </c>
      <c r="I194" s="5" t="s">
        <v>646</v>
      </c>
      <c r="J194" s="12" t="str">
        <f>HYPERLINK("https://www.boe.es/gazeta/dias/1808/03/31/pdfs/GMD-1808-28E.pdf#page=4","Abrir facsímil")</f>
        <v>Abrir facsímil</v>
      </c>
      <c r="K194" s="15" t="s">
        <v>23</v>
      </c>
    </row>
    <row r="195" spans="1:11" ht="42" customHeight="1">
      <c r="A195" s="4" t="s">
        <v>647</v>
      </c>
      <c r="B195" s="5" t="s">
        <v>648</v>
      </c>
      <c r="C195" s="5" t="s">
        <v>389</v>
      </c>
      <c r="D195" s="5" t="s">
        <v>390</v>
      </c>
      <c r="E195" s="5" t="s">
        <v>616</v>
      </c>
      <c r="F195" s="9" t="s">
        <v>617</v>
      </c>
      <c r="G195" s="9">
        <v>1041</v>
      </c>
      <c r="H195" s="5" t="s">
        <v>21</v>
      </c>
      <c r="I195" s="5" t="s">
        <v>649</v>
      </c>
      <c r="J195" s="12" t="str">
        <f>HYPERLINK("https://www.boe.es/gazeta/dias/1808/08/19/pdfs/GMD-1808-115.pdf#page=7","Abrir facsímil")</f>
        <v>Abrir facsímil</v>
      </c>
      <c r="K195" s="15" t="s">
        <v>23</v>
      </c>
    </row>
    <row r="196" spans="1:11" ht="42" customHeight="1">
      <c r="A196" s="4" t="s">
        <v>650</v>
      </c>
      <c r="B196" s="5" t="s">
        <v>651</v>
      </c>
      <c r="C196" s="5" t="s">
        <v>94</v>
      </c>
      <c r="D196" s="5" t="s">
        <v>95</v>
      </c>
      <c r="E196" s="5" t="s">
        <v>644</v>
      </c>
      <c r="F196" s="9" t="s">
        <v>645</v>
      </c>
      <c r="G196" s="9">
        <v>321</v>
      </c>
      <c r="H196" s="5" t="s">
        <v>21</v>
      </c>
      <c r="I196" s="5" t="s">
        <v>652</v>
      </c>
      <c r="J196" s="12" t="str">
        <f>HYPERLINK("https://www.boe.es/gazeta/dias/1808/03/31/pdfs/GMD-1808-28E.pdf#page=5","Abrir facsímil")</f>
        <v>Abrir facsímil</v>
      </c>
      <c r="K196" s="15" t="s">
        <v>23</v>
      </c>
    </row>
    <row r="197" spans="1:11" ht="42" customHeight="1">
      <c r="A197" s="4" t="s">
        <v>650</v>
      </c>
      <c r="B197" s="5" t="s">
        <v>651</v>
      </c>
      <c r="C197" s="5" t="s">
        <v>642</v>
      </c>
      <c r="D197" s="5" t="s">
        <v>643</v>
      </c>
      <c r="E197" s="5" t="s">
        <v>644</v>
      </c>
      <c r="F197" s="9" t="s">
        <v>645</v>
      </c>
      <c r="G197" s="9">
        <v>322</v>
      </c>
      <c r="H197" s="5" t="s">
        <v>21</v>
      </c>
      <c r="I197" s="5" t="s">
        <v>653</v>
      </c>
      <c r="J197" s="12" t="str">
        <f>HYPERLINK("https://www.boe.es/gazeta/dias/1808/03/31/pdfs/GMD-1808-28E.pdf#page=6","Abrir facsímil")</f>
        <v>Abrir facsímil</v>
      </c>
      <c r="K197" s="15" t="s">
        <v>23</v>
      </c>
    </row>
    <row r="198" spans="1:11" ht="42" customHeight="1">
      <c r="A198" s="4" t="s">
        <v>654</v>
      </c>
      <c r="B198" s="5" t="s">
        <v>654</v>
      </c>
      <c r="C198" s="5" t="s">
        <v>33</v>
      </c>
      <c r="D198" s="5" t="s">
        <v>34</v>
      </c>
      <c r="E198" s="5" t="s">
        <v>35</v>
      </c>
      <c r="F198" s="9" t="s">
        <v>36</v>
      </c>
      <c r="G198" s="9" t="s">
        <v>655</v>
      </c>
      <c r="H198" s="5" t="s">
        <v>21</v>
      </c>
      <c r="I198" s="5" t="s">
        <v>656</v>
      </c>
      <c r="J198" s="12" t="str">
        <f>HYPERLINK("https://www.boe.es/gazeta/dias/1808/04/22/pdfs/GMD-C-1808-38.pdf#page=43","Abrir facsímil")</f>
        <v>Abrir facsímil</v>
      </c>
      <c r="K198" s="15" t="s">
        <v>23</v>
      </c>
    </row>
    <row r="199" spans="1:11" ht="42" customHeight="1">
      <c r="A199" s="4" t="s">
        <v>657</v>
      </c>
      <c r="B199" s="5" t="s">
        <v>657</v>
      </c>
      <c r="C199" s="5" t="s">
        <v>389</v>
      </c>
      <c r="D199" s="5" t="s">
        <v>390</v>
      </c>
      <c r="E199" s="5" t="s">
        <v>658</v>
      </c>
      <c r="F199" s="9" t="s">
        <v>659</v>
      </c>
      <c r="G199" s="9">
        <v>1033</v>
      </c>
      <c r="H199" s="5" t="s">
        <v>21</v>
      </c>
      <c r="I199" s="5" t="s">
        <v>660</v>
      </c>
      <c r="J199" s="12" t="str">
        <f>HYPERLINK("https://www.boe.es/gazeta/dias/1808/08/18/pdfs/GMD-1808-114E.pdf#page=1","Abrir facsímil")</f>
        <v>Abrir facsímil</v>
      </c>
      <c r="K199" s="15" t="s">
        <v>23</v>
      </c>
    </row>
    <row r="200" spans="1:11" ht="42" customHeight="1">
      <c r="A200" s="4" t="s">
        <v>661</v>
      </c>
      <c r="B200" s="5" t="s">
        <v>662</v>
      </c>
      <c r="C200" s="5" t="s">
        <v>94</v>
      </c>
      <c r="D200" s="5" t="s">
        <v>95</v>
      </c>
      <c r="E200" s="5" t="s">
        <v>663</v>
      </c>
      <c r="F200" s="9" t="s">
        <v>664</v>
      </c>
      <c r="G200" s="9">
        <v>208</v>
      </c>
      <c r="H200" s="5" t="s">
        <v>21</v>
      </c>
      <c r="I200" s="5" t="s">
        <v>665</v>
      </c>
      <c r="J200" s="12" t="str">
        <f>HYPERLINK("https://www.boe.es/gazeta/dias/1808/02/26/pdfs/GMD-1808-17.pdf#page=10","Abrir facsímil")</f>
        <v>Abrir facsímil</v>
      </c>
      <c r="K200" s="15" t="s">
        <v>23</v>
      </c>
    </row>
    <row r="201" spans="1:11" ht="42" customHeight="1">
      <c r="A201" s="4" t="s">
        <v>666</v>
      </c>
      <c r="B201" s="5" t="s">
        <v>666</v>
      </c>
      <c r="C201" s="5" t="s">
        <v>41</v>
      </c>
      <c r="D201" s="5" t="s">
        <v>42</v>
      </c>
      <c r="E201" s="5" t="s">
        <v>663</v>
      </c>
      <c r="F201" s="9" t="s">
        <v>664</v>
      </c>
      <c r="G201" s="9">
        <v>202</v>
      </c>
      <c r="H201" s="5" t="s">
        <v>21</v>
      </c>
      <c r="I201" s="5" t="s">
        <v>667</v>
      </c>
      <c r="J201" s="12" t="str">
        <f>HYPERLINK("https://www.boe.es/gazeta/dias/1808/02/26/pdfs/GMD-1808-17.pdf#page=4","Abrir facsímil")</f>
        <v>Abrir facsímil</v>
      </c>
      <c r="K201" s="15" t="s">
        <v>23</v>
      </c>
    </row>
    <row r="202" spans="1:11" ht="42" customHeight="1">
      <c r="A202" s="4" t="s">
        <v>668</v>
      </c>
      <c r="B202" s="5" t="s">
        <v>669</v>
      </c>
      <c r="C202" s="5" t="s">
        <v>94</v>
      </c>
      <c r="D202" s="5" t="s">
        <v>95</v>
      </c>
      <c r="E202" s="5" t="s">
        <v>203</v>
      </c>
      <c r="F202" s="9" t="s">
        <v>204</v>
      </c>
      <c r="G202" s="9">
        <v>141</v>
      </c>
      <c r="H202" s="5" t="s">
        <v>21</v>
      </c>
      <c r="I202" s="5" t="s">
        <v>670</v>
      </c>
      <c r="J202" s="12" t="str">
        <f>HYPERLINK("https://www.boe.es/gazeta/dias/1808/02/09/pdfs/GMD-1808-12.pdf#page=9","Abrir facsímil")</f>
        <v>Abrir facsímil</v>
      </c>
      <c r="K202" s="15" t="s">
        <v>23</v>
      </c>
    </row>
    <row r="203" spans="1:11" ht="42" customHeight="1">
      <c r="A203" s="4" t="s">
        <v>671</v>
      </c>
      <c r="B203" s="5" t="s">
        <v>672</v>
      </c>
      <c r="C203" s="5" t="s">
        <v>17</v>
      </c>
      <c r="D203" s="5" t="s">
        <v>18</v>
      </c>
      <c r="E203" s="5" t="s">
        <v>28</v>
      </c>
      <c r="F203" s="9" t="s">
        <v>29</v>
      </c>
      <c r="G203" s="9">
        <v>1429</v>
      </c>
      <c r="H203" s="5" t="s">
        <v>21</v>
      </c>
      <c r="I203" s="5" t="s">
        <v>673</v>
      </c>
      <c r="J203" s="12" t="str">
        <f>HYPERLINK("https://www.boe.es/gazeta/dias/1808/11/04/pdfs/GMD-1808-141.pdf#page=11","Abrir facsímil")</f>
        <v>Abrir facsímil</v>
      </c>
      <c r="K203" s="15" t="s">
        <v>23</v>
      </c>
    </row>
    <row r="204" spans="1:11" ht="42" customHeight="1">
      <c r="A204" s="4" t="s">
        <v>674</v>
      </c>
      <c r="B204" s="5" t="s">
        <v>675</v>
      </c>
      <c r="C204" s="5" t="s">
        <v>33</v>
      </c>
      <c r="D204" s="5" t="s">
        <v>34</v>
      </c>
      <c r="E204" s="5" t="s">
        <v>153</v>
      </c>
      <c r="F204" s="9" t="s">
        <v>154</v>
      </c>
      <c r="G204" s="9" t="s">
        <v>199</v>
      </c>
      <c r="H204" s="5" t="s">
        <v>21</v>
      </c>
      <c r="I204" s="5" t="s">
        <v>676</v>
      </c>
      <c r="J204" s="12" t="str">
        <f>HYPERLINK("https://www.boe.es/gazeta/dias/1808/09/09/pdfs/GMD-C-1808-121.pdf#page=2","Abrir facsímil")</f>
        <v>Abrir facsímil</v>
      </c>
      <c r="K204" s="15" t="s">
        <v>23</v>
      </c>
    </row>
    <row r="205" spans="1:11" ht="42" customHeight="1">
      <c r="A205" s="4" t="s">
        <v>677</v>
      </c>
      <c r="B205" s="5" t="s">
        <v>678</v>
      </c>
      <c r="C205" s="5" t="s">
        <v>94</v>
      </c>
      <c r="D205" s="5" t="s">
        <v>95</v>
      </c>
      <c r="E205" s="5" t="s">
        <v>287</v>
      </c>
      <c r="F205" s="9" t="s">
        <v>489</v>
      </c>
      <c r="G205" s="9">
        <v>1005</v>
      </c>
      <c r="H205" s="5" t="s">
        <v>21</v>
      </c>
      <c r="I205" s="5" t="s">
        <v>679</v>
      </c>
      <c r="J205" s="12" t="str">
        <f>HYPERLINK("https://www.boe.es/gazeta/dias/1808/08/12/pdfs/GMD-1808-112.pdf#page=9","Abrir facsímil")</f>
        <v>Abrir facsímil</v>
      </c>
      <c r="K205" s="15" t="s">
        <v>23</v>
      </c>
    </row>
    <row r="206" spans="1:11" ht="42" customHeight="1">
      <c r="A206" s="4" t="s">
        <v>680</v>
      </c>
      <c r="B206" s="5" t="s">
        <v>681</v>
      </c>
      <c r="C206" s="5" t="s">
        <v>94</v>
      </c>
      <c r="D206" s="5" t="s">
        <v>95</v>
      </c>
      <c r="E206" s="5" t="s">
        <v>513</v>
      </c>
      <c r="F206" s="9" t="s">
        <v>514</v>
      </c>
      <c r="G206" s="9">
        <v>286</v>
      </c>
      <c r="H206" s="5" t="s">
        <v>21</v>
      </c>
      <c r="I206" s="5" t="s">
        <v>682</v>
      </c>
      <c r="J206" s="12" t="str">
        <f>HYPERLINK("https://www.boe.es/gazeta/dias/1808/03/22/pdfs/GMD-1808-24.pdf#page=8","Abrir facsímil")</f>
        <v>Abrir facsímil</v>
      </c>
      <c r="K206" s="15" t="s">
        <v>23</v>
      </c>
    </row>
    <row r="207" spans="1:11" ht="42" customHeight="1">
      <c r="A207" s="4" t="s">
        <v>683</v>
      </c>
      <c r="B207" s="5" t="s">
        <v>683</v>
      </c>
      <c r="C207" s="5" t="s">
        <v>101</v>
      </c>
      <c r="D207" s="5" t="s">
        <v>102</v>
      </c>
      <c r="E207" s="5" t="s">
        <v>684</v>
      </c>
      <c r="F207" s="9" t="s">
        <v>685</v>
      </c>
      <c r="G207" s="9">
        <v>377</v>
      </c>
      <c r="H207" s="5" t="s">
        <v>21</v>
      </c>
      <c r="I207" s="5" t="s">
        <v>686</v>
      </c>
      <c r="J207" s="12" t="str">
        <f>HYPERLINK("https://www.boe.es/gazeta/dias/1808/04/15/pdfs/GMD-1808-35.pdf#page=3","Abrir facsímil")</f>
        <v>Abrir facsímil</v>
      </c>
      <c r="K207" s="15" t="s">
        <v>23</v>
      </c>
    </row>
    <row r="208" spans="1:11" ht="42" customHeight="1">
      <c r="A208" s="4" t="s">
        <v>687</v>
      </c>
      <c r="B208" s="5" t="s">
        <v>687</v>
      </c>
      <c r="C208" s="5" t="s">
        <v>94</v>
      </c>
      <c r="D208" s="5" t="s">
        <v>95</v>
      </c>
      <c r="E208" s="5" t="s">
        <v>120</v>
      </c>
      <c r="F208" s="9" t="s">
        <v>121</v>
      </c>
      <c r="G208" s="9">
        <v>308</v>
      </c>
      <c r="H208" s="5" t="s">
        <v>21</v>
      </c>
      <c r="I208" s="5" t="s">
        <v>688</v>
      </c>
      <c r="J208" s="12" t="str">
        <f>HYPERLINK("https://www.boe.es/gazeta/dias/1808/03/29/pdfs/GMD-1808-27.pdf#page=4","Abrir facsímil")</f>
        <v>Abrir facsímil</v>
      </c>
      <c r="K208" s="15" t="s">
        <v>23</v>
      </c>
    </row>
    <row r="209" spans="1:11" ht="42" customHeight="1">
      <c r="A209" s="4" t="s">
        <v>687</v>
      </c>
      <c r="B209" s="5" t="s">
        <v>687</v>
      </c>
      <c r="C209" s="5" t="s">
        <v>101</v>
      </c>
      <c r="D209" s="5" t="s">
        <v>102</v>
      </c>
      <c r="E209" s="5" t="s">
        <v>222</v>
      </c>
      <c r="F209" s="9" t="s">
        <v>223</v>
      </c>
      <c r="G209" s="9">
        <v>348</v>
      </c>
      <c r="H209" s="5" t="s">
        <v>21</v>
      </c>
      <c r="I209" s="5" t="s">
        <v>689</v>
      </c>
      <c r="J209" s="12" t="str">
        <f>HYPERLINK("https://www.boe.es/gazeta/dias/1808/04/08/pdfs/GMD-1808-32.pdf#page=2","Abrir facsímil")</f>
        <v>Abrir facsímil</v>
      </c>
      <c r="K209" s="15" t="s">
        <v>23</v>
      </c>
    </row>
    <row r="210" spans="1:11" ht="42" customHeight="1">
      <c r="A210" s="4" t="s">
        <v>687</v>
      </c>
      <c r="B210" s="5" t="s">
        <v>687</v>
      </c>
      <c r="C210" s="5" t="s">
        <v>101</v>
      </c>
      <c r="D210" s="5" t="s">
        <v>102</v>
      </c>
      <c r="E210" s="5" t="s">
        <v>245</v>
      </c>
      <c r="F210" s="9" t="s">
        <v>246</v>
      </c>
      <c r="G210" s="9">
        <v>540</v>
      </c>
      <c r="H210" s="5" t="s">
        <v>21</v>
      </c>
      <c r="I210" s="5" t="s">
        <v>690</v>
      </c>
      <c r="J210" s="12" t="str">
        <f>HYPERLINK("https://www.boe.es/gazeta/dias/1808/06/07/pdfs/GMD-1808-54.pdf#page=6","Abrir facsímil")</f>
        <v>Abrir facsímil</v>
      </c>
      <c r="K210" s="15" t="s">
        <v>23</v>
      </c>
    </row>
    <row r="211" spans="1:11" ht="42" customHeight="1">
      <c r="A211" s="4" t="s">
        <v>687</v>
      </c>
      <c r="B211" s="5" t="s">
        <v>687</v>
      </c>
      <c r="C211" s="5" t="s">
        <v>33</v>
      </c>
      <c r="D211" s="5" t="s">
        <v>34</v>
      </c>
      <c r="E211" s="5" t="s">
        <v>65</v>
      </c>
      <c r="F211" s="9" t="s">
        <v>691</v>
      </c>
      <c r="G211" s="9">
        <v>1319</v>
      </c>
      <c r="H211" s="5" t="s">
        <v>21</v>
      </c>
      <c r="I211" s="5" t="s">
        <v>692</v>
      </c>
      <c r="J211" s="12" t="str">
        <f>HYPERLINK("https://www.boe.es/gazeta/dias/1808/10/18/pdfs/GMD-C-1808-135.pdf#page=3","Abrir facsímil")</f>
        <v>Abrir facsímil</v>
      </c>
      <c r="K211" s="15" t="s">
        <v>23</v>
      </c>
    </row>
    <row r="212" spans="1:11" ht="42" customHeight="1">
      <c r="A212" s="4" t="s">
        <v>693</v>
      </c>
      <c r="B212" s="5" t="s">
        <v>693</v>
      </c>
      <c r="C212" s="5" t="s">
        <v>94</v>
      </c>
      <c r="D212" s="5" t="s">
        <v>95</v>
      </c>
      <c r="E212" s="5" t="s">
        <v>210</v>
      </c>
      <c r="F212" s="9" t="s">
        <v>211</v>
      </c>
      <c r="G212" s="9">
        <v>251</v>
      </c>
      <c r="H212" s="5" t="s">
        <v>21</v>
      </c>
      <c r="I212" s="5" t="s">
        <v>694</v>
      </c>
      <c r="J212" s="12" t="str">
        <f>HYPERLINK("https://www.boe.es/gazeta/dias/1808/03/11/pdfs/GMD-1808-21.pdf#page=5","Abrir facsímil")</f>
        <v>Abrir facsímil</v>
      </c>
      <c r="K212" s="15" t="s">
        <v>23</v>
      </c>
    </row>
    <row r="213" spans="1:11" ht="42" customHeight="1">
      <c r="A213" s="4" t="s">
        <v>693</v>
      </c>
      <c r="B213" s="5" t="s">
        <v>693</v>
      </c>
      <c r="C213" s="5" t="s">
        <v>17</v>
      </c>
      <c r="D213" s="5" t="s">
        <v>18</v>
      </c>
      <c r="E213" s="5" t="s">
        <v>218</v>
      </c>
      <c r="F213" s="9" t="s">
        <v>219</v>
      </c>
      <c r="G213" s="9">
        <v>328</v>
      </c>
      <c r="H213" s="5" t="s">
        <v>21</v>
      </c>
      <c r="I213" s="5" t="s">
        <v>695</v>
      </c>
      <c r="J213" s="12" t="str">
        <f>HYPERLINK("https://www.boe.es/gazeta/dias/1808/04/01/pdfs/GMD-1808-29.pdf#page=4","Abrir facsímil")</f>
        <v>Abrir facsímil</v>
      </c>
      <c r="K213" s="15" t="s">
        <v>23</v>
      </c>
    </row>
    <row r="214" spans="1:11" ht="42" customHeight="1">
      <c r="A214" s="4" t="s">
        <v>696</v>
      </c>
      <c r="B214" s="5" t="s">
        <v>697</v>
      </c>
      <c r="C214" s="5" t="s">
        <v>94</v>
      </c>
      <c r="D214" s="5" t="s">
        <v>95</v>
      </c>
      <c r="E214" s="5" t="s">
        <v>54</v>
      </c>
      <c r="F214" s="9" t="s">
        <v>55</v>
      </c>
      <c r="G214" s="9">
        <v>1088</v>
      </c>
      <c r="H214" s="5" t="s">
        <v>21</v>
      </c>
      <c r="I214" s="5" t="s">
        <v>698</v>
      </c>
      <c r="J214" s="12" t="str">
        <f>HYPERLINK("https://www.boe.es/gazeta/dias/1808/08/26/pdfs/GMD-1808-117.pdf#page=10","Abrir facsímil")</f>
        <v>Abrir facsímil</v>
      </c>
      <c r="K214" s="15" t="s">
        <v>23</v>
      </c>
    </row>
    <row r="215" spans="1:11" ht="42" customHeight="1">
      <c r="A215" s="4" t="s">
        <v>699</v>
      </c>
      <c r="B215" s="5" t="s">
        <v>700</v>
      </c>
      <c r="C215" s="5" t="s">
        <v>33</v>
      </c>
      <c r="D215" s="5" t="s">
        <v>34</v>
      </c>
      <c r="E215" s="5" t="s">
        <v>28</v>
      </c>
      <c r="F215" s="9" t="s">
        <v>446</v>
      </c>
      <c r="G215" s="9" t="s">
        <v>117</v>
      </c>
      <c r="H215" s="5" t="s">
        <v>21</v>
      </c>
      <c r="I215" s="5" t="s">
        <v>701</v>
      </c>
      <c r="J215" s="12" t="str">
        <f>HYPERLINK("https://www.boe.es/gazeta/dias/1808/11/04/pdfs/GMD-D-1808-141.pdf#page=1","Abrir facsímil")</f>
        <v>Abrir facsímil</v>
      </c>
      <c r="K215" s="15" t="s">
        <v>23</v>
      </c>
    </row>
    <row r="216" spans="1:11" ht="42" customHeight="1">
      <c r="A216" s="4" t="s">
        <v>702</v>
      </c>
      <c r="B216" s="5" t="s">
        <v>703</v>
      </c>
      <c r="C216" s="5" t="s">
        <v>33</v>
      </c>
      <c r="D216" s="5" t="s">
        <v>34</v>
      </c>
      <c r="E216" s="5" t="s">
        <v>35</v>
      </c>
      <c r="F216" s="9" t="s">
        <v>36</v>
      </c>
      <c r="G216" s="9" t="s">
        <v>277</v>
      </c>
      <c r="H216" s="5" t="s">
        <v>21</v>
      </c>
      <c r="I216" s="5" t="s">
        <v>704</v>
      </c>
      <c r="J216" s="12" t="str">
        <f>HYPERLINK("https://www.boe.es/gazeta/dias/1808/04/22/pdfs/GMD-C-1808-38.pdf#page=34","Abrir facsímil")</f>
        <v>Abrir facsímil</v>
      </c>
      <c r="K216" s="15" t="s">
        <v>23</v>
      </c>
    </row>
    <row r="217" spans="1:11" ht="42" customHeight="1">
      <c r="A217" s="4" t="s">
        <v>705</v>
      </c>
      <c r="B217" s="5" t="s">
        <v>706</v>
      </c>
      <c r="C217" s="5" t="s">
        <v>33</v>
      </c>
      <c r="D217" s="5" t="s">
        <v>34</v>
      </c>
      <c r="E217" s="5" t="s">
        <v>35</v>
      </c>
      <c r="F217" s="9" t="s">
        <v>36</v>
      </c>
      <c r="G217" s="9" t="s">
        <v>707</v>
      </c>
      <c r="H217" s="5" t="s">
        <v>21</v>
      </c>
      <c r="I217" s="5" t="s">
        <v>708</v>
      </c>
      <c r="J217" s="12" t="str">
        <f>HYPERLINK("https://www.boe.es/gazeta/dias/1808/04/22/pdfs/GMD-C-1808-38.pdf#page=42","Abrir facsímil")</f>
        <v>Abrir facsímil</v>
      </c>
      <c r="K217" s="15" t="s">
        <v>23</v>
      </c>
    </row>
    <row r="218" spans="1:11" ht="42" customHeight="1">
      <c r="A218" s="4" t="s">
        <v>709</v>
      </c>
      <c r="B218" s="5" t="s">
        <v>710</v>
      </c>
      <c r="C218" s="5" t="s">
        <v>642</v>
      </c>
      <c r="D218" s="5" t="s">
        <v>643</v>
      </c>
      <c r="E218" s="5" t="s">
        <v>644</v>
      </c>
      <c r="F218" s="9" t="s">
        <v>645</v>
      </c>
      <c r="G218" s="9">
        <v>320</v>
      </c>
      <c r="H218" s="5" t="s">
        <v>21</v>
      </c>
      <c r="I218" s="5" t="s">
        <v>711</v>
      </c>
      <c r="J218" s="12" t="str">
        <f>HYPERLINK("https://www.boe.es/gazeta/dias/1808/03/31/pdfs/GMD-1808-28E.pdf#page=4","Abrir facsímil")</f>
        <v>Abrir facsímil</v>
      </c>
      <c r="K218" s="15" t="s">
        <v>23</v>
      </c>
    </row>
    <row r="219" spans="1:11" ht="42" customHeight="1">
      <c r="A219" s="4" t="s">
        <v>712</v>
      </c>
      <c r="B219" s="5" t="s">
        <v>713</v>
      </c>
      <c r="C219" s="5" t="s">
        <v>94</v>
      </c>
      <c r="D219" s="5" t="s">
        <v>95</v>
      </c>
      <c r="E219" s="5" t="s">
        <v>714</v>
      </c>
      <c r="F219" s="9" t="s">
        <v>715</v>
      </c>
      <c r="G219" s="9">
        <v>111</v>
      </c>
      <c r="H219" s="5" t="s">
        <v>21</v>
      </c>
      <c r="I219" s="5" t="s">
        <v>716</v>
      </c>
      <c r="J219" s="12" t="str">
        <f>HYPERLINK("https://www.boe.es/gazeta/dias/1808/07/16/pdfs/GMS-1808-14.pdf#page=7","Abrir facsímil")</f>
        <v>Abrir facsímil</v>
      </c>
      <c r="K219" s="15" t="s">
        <v>23</v>
      </c>
    </row>
    <row r="220" spans="1:11" ht="42" customHeight="1">
      <c r="A220" s="4" t="s">
        <v>717</v>
      </c>
      <c r="B220" s="5" t="s">
        <v>718</v>
      </c>
      <c r="C220" s="5" t="s">
        <v>94</v>
      </c>
      <c r="D220" s="5" t="s">
        <v>95</v>
      </c>
      <c r="E220" s="5" t="s">
        <v>719</v>
      </c>
      <c r="F220" s="9" t="s">
        <v>720</v>
      </c>
      <c r="G220" s="9">
        <v>1611</v>
      </c>
      <c r="H220" s="5" t="s">
        <v>21</v>
      </c>
      <c r="I220" s="5" t="s">
        <v>721</v>
      </c>
      <c r="J220" s="12" t="str">
        <f>HYPERLINK("https://www.boe.es/gazeta/dias/1808/12/16/pdfs/GMD-1808-156.pdf#page=3","Abrir facsímil")</f>
        <v>Abrir facsímil</v>
      </c>
      <c r="K220" s="15" t="s">
        <v>23</v>
      </c>
    </row>
    <row r="221" spans="1:11" ht="42" customHeight="1">
      <c r="A221" s="4" t="s">
        <v>722</v>
      </c>
      <c r="B221" s="5" t="s">
        <v>723</v>
      </c>
      <c r="C221" s="5" t="s">
        <v>33</v>
      </c>
      <c r="D221" s="5" t="s">
        <v>34</v>
      </c>
      <c r="E221" s="5" t="s">
        <v>197</v>
      </c>
      <c r="F221" s="9" t="s">
        <v>198</v>
      </c>
      <c r="G221" s="9" t="s">
        <v>117</v>
      </c>
      <c r="H221" s="5" t="s">
        <v>21</v>
      </c>
      <c r="I221" s="5" t="s">
        <v>724</v>
      </c>
      <c r="J221" s="12" t="str">
        <f>HYPERLINK("https://www.boe.es/gazeta/dias/1808/11/01/pdfs/GMD-D-1808-140.pdf#page=1","Abrir facsímil")</f>
        <v>Abrir facsímil</v>
      </c>
      <c r="K221" s="15" t="s">
        <v>23</v>
      </c>
    </row>
    <row r="222" spans="1:11" ht="42" customHeight="1">
      <c r="A222" s="4" t="s">
        <v>725</v>
      </c>
      <c r="B222" s="5" t="s">
        <v>726</v>
      </c>
      <c r="C222" s="5" t="s">
        <v>33</v>
      </c>
      <c r="D222" s="5" t="s">
        <v>34</v>
      </c>
      <c r="E222" s="5" t="s">
        <v>166</v>
      </c>
      <c r="F222" s="9" t="s">
        <v>400</v>
      </c>
      <c r="G222" s="9" t="s">
        <v>75</v>
      </c>
      <c r="H222" s="5" t="s">
        <v>21</v>
      </c>
      <c r="I222" s="5" t="s">
        <v>727</v>
      </c>
      <c r="J222" s="12" t="str">
        <f>HYPERLINK("https://www.boe.es/gazeta/dias/1808/11/18/pdfs/D00069-00072.pdf#page=4","Abrir facsímil")</f>
        <v>Abrir facsímil</v>
      </c>
      <c r="K222" s="15" t="s">
        <v>23</v>
      </c>
    </row>
    <row r="223" spans="1:11" ht="42" customHeight="1">
      <c r="A223" s="4" t="s">
        <v>728</v>
      </c>
      <c r="B223" s="5" t="s">
        <v>729</v>
      </c>
      <c r="C223" s="5" t="s">
        <v>33</v>
      </c>
      <c r="D223" s="5" t="s">
        <v>34</v>
      </c>
      <c r="E223" s="5" t="s">
        <v>35</v>
      </c>
      <c r="F223" s="9" t="s">
        <v>36</v>
      </c>
      <c r="G223" s="9" t="s">
        <v>117</v>
      </c>
      <c r="H223" s="5" t="s">
        <v>21</v>
      </c>
      <c r="I223" s="5" t="s">
        <v>730</v>
      </c>
      <c r="J223" s="12" t="str">
        <f>HYPERLINK("https://www.boe.es/gazeta/dias/1808/04/22/pdfs/GMD-C-1808-38.pdf#page=1","Abrir facsímil")</f>
        <v>Abrir facsímil</v>
      </c>
      <c r="K223" s="15" t="s">
        <v>23</v>
      </c>
    </row>
    <row r="224" spans="1:11" ht="42" customHeight="1">
      <c r="A224" s="4" t="s">
        <v>731</v>
      </c>
      <c r="B224" s="5" t="s">
        <v>732</v>
      </c>
      <c r="C224" s="5" t="s">
        <v>389</v>
      </c>
      <c r="D224" s="5" t="s">
        <v>390</v>
      </c>
      <c r="E224" s="5" t="s">
        <v>461</v>
      </c>
      <c r="F224" s="9" t="s">
        <v>733</v>
      </c>
      <c r="G224" s="9">
        <v>1449</v>
      </c>
      <c r="H224" s="5" t="s">
        <v>21</v>
      </c>
      <c r="I224" s="5" t="s">
        <v>734</v>
      </c>
      <c r="J224" s="12" t="str">
        <f>HYPERLINK("https://www.boe.es/gazeta/dias/1808/11/08/pdfs/GMD-1808-142.pdf#page=11","Abrir facsímil")</f>
        <v>Abrir facsímil</v>
      </c>
      <c r="K224" s="15" t="s">
        <v>23</v>
      </c>
    </row>
    <row r="225" spans="1:11" ht="42" customHeight="1">
      <c r="A225" s="4" t="s">
        <v>735</v>
      </c>
      <c r="B225" s="5" t="s">
        <v>736</v>
      </c>
      <c r="C225" s="5" t="s">
        <v>94</v>
      </c>
      <c r="D225" s="5" t="s">
        <v>95</v>
      </c>
      <c r="E225" s="5" t="s">
        <v>644</v>
      </c>
      <c r="F225" s="9" t="s">
        <v>645</v>
      </c>
      <c r="G225" s="9">
        <v>321</v>
      </c>
      <c r="H225" s="5" t="s">
        <v>21</v>
      </c>
      <c r="I225" s="5" t="s">
        <v>737</v>
      </c>
      <c r="J225" s="12" t="str">
        <f>HYPERLINK("https://www.boe.es/gazeta/dias/1808/03/31/pdfs/GMD-1808-28E.pdf#page=5","Abrir facsímil")</f>
        <v>Abrir facsímil</v>
      </c>
      <c r="K225" s="15" t="s">
        <v>23</v>
      </c>
    </row>
    <row r="226" spans="1:11" ht="42" customHeight="1">
      <c r="A226" s="4" t="s">
        <v>738</v>
      </c>
      <c r="B226" s="5" t="s">
        <v>739</v>
      </c>
      <c r="C226" s="5" t="s">
        <v>642</v>
      </c>
      <c r="D226" s="5" t="s">
        <v>643</v>
      </c>
      <c r="E226" s="5" t="s">
        <v>644</v>
      </c>
      <c r="F226" s="9" t="s">
        <v>645</v>
      </c>
      <c r="G226" s="9">
        <v>322</v>
      </c>
      <c r="H226" s="5" t="s">
        <v>21</v>
      </c>
      <c r="I226" s="5" t="s">
        <v>740</v>
      </c>
      <c r="J226" s="12" t="str">
        <f>HYPERLINK("https://www.boe.es/gazeta/dias/1808/03/31/pdfs/GMD-1808-28E.pdf#page=6","Abrir facsímil")</f>
        <v>Abrir facsímil</v>
      </c>
      <c r="K226" s="15" t="s">
        <v>23</v>
      </c>
    </row>
    <row r="227" spans="1:11" ht="42" customHeight="1">
      <c r="A227" s="4" t="s">
        <v>741</v>
      </c>
      <c r="B227" s="5" t="s">
        <v>742</v>
      </c>
      <c r="C227" s="5" t="s">
        <v>389</v>
      </c>
      <c r="D227" s="5" t="s">
        <v>390</v>
      </c>
      <c r="E227" s="5" t="s">
        <v>28</v>
      </c>
      <c r="F227" s="9" t="s">
        <v>29</v>
      </c>
      <c r="G227" s="9">
        <v>1428</v>
      </c>
      <c r="H227" s="5" t="s">
        <v>21</v>
      </c>
      <c r="I227" s="5" t="s">
        <v>743</v>
      </c>
      <c r="J227" s="12" t="str">
        <f>HYPERLINK("https://www.boe.es/gazeta/dias/1808/11/04/pdfs/GMD-1808-141.pdf#page=10","Abrir facsímil")</f>
        <v>Abrir facsímil</v>
      </c>
      <c r="K227" s="15" t="s">
        <v>23</v>
      </c>
    </row>
    <row r="228" spans="1:11" ht="42" customHeight="1">
      <c r="A228" s="4" t="s">
        <v>744</v>
      </c>
      <c r="B228" s="5" t="s">
        <v>745</v>
      </c>
      <c r="C228" s="5" t="s">
        <v>94</v>
      </c>
      <c r="D228" s="5" t="s">
        <v>95</v>
      </c>
      <c r="E228" s="5" t="s">
        <v>203</v>
      </c>
      <c r="F228" s="9" t="s">
        <v>204</v>
      </c>
      <c r="G228" s="9">
        <v>141</v>
      </c>
      <c r="H228" s="5" t="s">
        <v>21</v>
      </c>
      <c r="I228" s="5" t="s">
        <v>746</v>
      </c>
      <c r="J228" s="12" t="str">
        <f>HYPERLINK("https://www.boe.es/gazeta/dias/1808/02/09/pdfs/GMD-1808-12.pdf#page=9","Abrir facsímil")</f>
        <v>Abrir facsímil</v>
      </c>
      <c r="K228" s="15" t="s">
        <v>23</v>
      </c>
    </row>
    <row r="229" spans="1:11" ht="42" customHeight="1">
      <c r="A229" s="4" t="s">
        <v>747</v>
      </c>
      <c r="B229" s="5" t="s">
        <v>747</v>
      </c>
      <c r="C229" s="5" t="s">
        <v>33</v>
      </c>
      <c r="D229" s="5" t="s">
        <v>34</v>
      </c>
      <c r="E229" s="5" t="s">
        <v>456</v>
      </c>
      <c r="F229" s="9" t="s">
        <v>748</v>
      </c>
      <c r="G229" s="9" t="s">
        <v>199</v>
      </c>
      <c r="H229" s="5" t="s">
        <v>21</v>
      </c>
      <c r="I229" s="5" t="s">
        <v>749</v>
      </c>
      <c r="J229" s="12" t="str">
        <f>HYPERLINK("https://www.boe.es/gazeta/dias/1808/10/14/pdfs/GMD-C-1808-134.pdf#page=2","Abrir facsímil")</f>
        <v>Abrir facsímil</v>
      </c>
      <c r="K229" s="15" t="s">
        <v>23</v>
      </c>
    </row>
    <row r="230" spans="1:11" ht="42" customHeight="1">
      <c r="A230" s="4" t="s">
        <v>750</v>
      </c>
      <c r="B230" s="5" t="s">
        <v>751</v>
      </c>
      <c r="C230" s="5" t="s">
        <v>94</v>
      </c>
      <c r="D230" s="5" t="s">
        <v>95</v>
      </c>
      <c r="E230" s="5" t="s">
        <v>203</v>
      </c>
      <c r="F230" s="9" t="s">
        <v>204</v>
      </c>
      <c r="G230" s="9">
        <v>141</v>
      </c>
      <c r="H230" s="5" t="s">
        <v>21</v>
      </c>
      <c r="I230" s="5" t="s">
        <v>752</v>
      </c>
      <c r="J230" s="12" t="str">
        <f>HYPERLINK("https://www.boe.es/gazeta/dias/1808/02/09/pdfs/GMD-1808-12.pdf#page=9","Abrir facsímil")</f>
        <v>Abrir facsímil</v>
      </c>
      <c r="K230" s="15" t="s">
        <v>23</v>
      </c>
    </row>
    <row r="231" spans="1:11" ht="42" customHeight="1">
      <c r="A231" s="4" t="s">
        <v>753</v>
      </c>
      <c r="B231" s="5" t="s">
        <v>754</v>
      </c>
      <c r="C231" s="5" t="s">
        <v>33</v>
      </c>
      <c r="D231" s="5" t="s">
        <v>34</v>
      </c>
      <c r="E231" s="5" t="s">
        <v>89</v>
      </c>
      <c r="F231" s="9" t="s">
        <v>563</v>
      </c>
      <c r="G231" s="9" t="s">
        <v>75</v>
      </c>
      <c r="H231" s="5" t="s">
        <v>21</v>
      </c>
      <c r="I231" s="5" t="s">
        <v>755</v>
      </c>
      <c r="J231" s="12" t="str">
        <f>HYPERLINK("https://www.boe.es/gazeta/dias/1808/10/25/pdfs/GMD-D-1808-137.pdf#page=4","Abrir facsímil")</f>
        <v>Abrir facsímil</v>
      </c>
      <c r="K231" s="15" t="s">
        <v>23</v>
      </c>
    </row>
    <row r="232" spans="1:11" ht="42" customHeight="1">
      <c r="A232" s="4" t="s">
        <v>756</v>
      </c>
      <c r="B232" s="5" t="s">
        <v>757</v>
      </c>
      <c r="C232" s="5" t="s">
        <v>33</v>
      </c>
      <c r="D232" s="5" t="s">
        <v>34</v>
      </c>
      <c r="E232" s="5" t="s">
        <v>558</v>
      </c>
      <c r="F232" s="9" t="s">
        <v>758</v>
      </c>
      <c r="G232" s="9" t="s">
        <v>117</v>
      </c>
      <c r="H232" s="5" t="s">
        <v>21</v>
      </c>
      <c r="I232" s="5" t="s">
        <v>759</v>
      </c>
      <c r="J232" s="12" t="str">
        <f>HYPERLINK("https://www.boe.es/gazeta/dias/1808/11/25/pdfs/GMD-E-1808-147.pdf#page=1","Abrir facsímil")</f>
        <v>Abrir facsímil</v>
      </c>
      <c r="K232" s="15" t="s">
        <v>23</v>
      </c>
    </row>
    <row r="233" spans="1:11" ht="42" customHeight="1">
      <c r="A233" s="4" t="s">
        <v>760</v>
      </c>
      <c r="B233" s="5" t="s">
        <v>761</v>
      </c>
      <c r="C233" s="5" t="s">
        <v>94</v>
      </c>
      <c r="D233" s="5" t="s">
        <v>95</v>
      </c>
      <c r="E233" s="5" t="s">
        <v>469</v>
      </c>
      <c r="F233" s="9" t="s">
        <v>470</v>
      </c>
      <c r="G233" s="9">
        <v>153</v>
      </c>
      <c r="H233" s="5" t="s">
        <v>21</v>
      </c>
      <c r="I233" s="5" t="s">
        <v>762</v>
      </c>
      <c r="J233" s="12" t="str">
        <f>HYPERLINK("https://www.boe.es/gazeta/dias/1808/02/12/pdfs/GMD-1808-13.pdf#page=9","Abrir facsímil")</f>
        <v>Abrir facsímil</v>
      </c>
      <c r="K233" s="15" t="s">
        <v>23</v>
      </c>
    </row>
    <row r="234" spans="1:11" ht="42" customHeight="1">
      <c r="A234" s="4" t="s">
        <v>763</v>
      </c>
      <c r="B234" s="5" t="s">
        <v>764</v>
      </c>
      <c r="C234" s="5" t="s">
        <v>33</v>
      </c>
      <c r="D234" s="5" t="s">
        <v>34</v>
      </c>
      <c r="E234" s="5" t="s">
        <v>153</v>
      </c>
      <c r="F234" s="9" t="s">
        <v>154</v>
      </c>
      <c r="G234" s="9" t="s">
        <v>199</v>
      </c>
      <c r="H234" s="5" t="s">
        <v>21</v>
      </c>
      <c r="I234" s="5" t="s">
        <v>765</v>
      </c>
      <c r="J234" s="12" t="str">
        <f>HYPERLINK("https://www.boe.es/gazeta/dias/1808/09/09/pdfs/GMD-C-1808-121.pdf#page=2","Abrir facsímil")</f>
        <v>Abrir facsímil</v>
      </c>
      <c r="K234" s="15" t="s">
        <v>23</v>
      </c>
    </row>
    <row r="235" spans="1:11" ht="42" customHeight="1">
      <c r="A235" s="4" t="s">
        <v>766</v>
      </c>
      <c r="B235" s="5" t="s">
        <v>767</v>
      </c>
      <c r="C235" s="5" t="s">
        <v>33</v>
      </c>
      <c r="D235" s="5" t="s">
        <v>34</v>
      </c>
      <c r="E235" s="5" t="s">
        <v>180</v>
      </c>
      <c r="F235" s="9" t="s">
        <v>768</v>
      </c>
      <c r="G235" s="9" t="s">
        <v>199</v>
      </c>
      <c r="H235" s="5" t="s">
        <v>21</v>
      </c>
      <c r="I235" s="5" t="s">
        <v>769</v>
      </c>
      <c r="J235" s="12" t="str">
        <f>HYPERLINK("https://www.boe.es/gazeta/dias/1808/11/15/pdfs/GMD-D-1808-144.pdf#page=2","Abrir facsímil")</f>
        <v>Abrir facsímil</v>
      </c>
      <c r="K235" s="15" t="s">
        <v>23</v>
      </c>
    </row>
    <row r="236" spans="1:11" ht="42" customHeight="1">
      <c r="A236" s="4" t="s">
        <v>770</v>
      </c>
      <c r="B236" s="5" t="s">
        <v>771</v>
      </c>
      <c r="C236" s="5" t="s">
        <v>17</v>
      </c>
      <c r="D236" s="5" t="s">
        <v>18</v>
      </c>
      <c r="E236" s="5" t="s">
        <v>130</v>
      </c>
      <c r="F236" s="9" t="s">
        <v>131</v>
      </c>
      <c r="G236" s="9">
        <v>1603</v>
      </c>
      <c r="H236" s="5" t="s">
        <v>21</v>
      </c>
      <c r="I236" s="5" t="s">
        <v>772</v>
      </c>
      <c r="J236" s="12" t="str">
        <f>HYPERLINK("https://www.boe.es/gazeta/dias/1808/12/15/pdfs/GMD-1808-155.pdf#page=7","Abrir facsímil")</f>
        <v>Abrir facsímil</v>
      </c>
      <c r="K236" s="15" t="s">
        <v>23</v>
      </c>
    </row>
    <row r="237" spans="1:11" ht="42" customHeight="1">
      <c r="A237" s="4" t="s">
        <v>773</v>
      </c>
      <c r="B237" s="5" t="s">
        <v>774</v>
      </c>
      <c r="C237" s="5" t="s">
        <v>33</v>
      </c>
      <c r="D237" s="5" t="s">
        <v>34</v>
      </c>
      <c r="E237" s="5" t="s">
        <v>418</v>
      </c>
      <c r="F237" s="9" t="s">
        <v>419</v>
      </c>
      <c r="G237" s="9">
        <v>1137</v>
      </c>
      <c r="H237" s="5" t="s">
        <v>21</v>
      </c>
      <c r="I237" s="5" t="s">
        <v>775</v>
      </c>
      <c r="J237" s="12" t="str">
        <f>HYPERLINK("https://www.boe.es/gazeta/dias/1808/09/06/pdfs/GMD-C-1808-120.pdf#page=11","Abrir facsímil")</f>
        <v>Abrir facsímil</v>
      </c>
      <c r="K237" s="15" t="s">
        <v>23</v>
      </c>
    </row>
    <row r="238" spans="1:11" ht="42" customHeight="1">
      <c r="A238" s="4" t="s">
        <v>776</v>
      </c>
      <c r="B238" s="5" t="s">
        <v>777</v>
      </c>
      <c r="C238" s="5" t="s">
        <v>17</v>
      </c>
      <c r="D238" s="5" t="s">
        <v>18</v>
      </c>
      <c r="E238" s="5" t="s">
        <v>130</v>
      </c>
      <c r="F238" s="9" t="s">
        <v>131</v>
      </c>
      <c r="G238" s="9">
        <v>1602</v>
      </c>
      <c r="H238" s="5" t="s">
        <v>21</v>
      </c>
      <c r="I238" s="5" t="s">
        <v>778</v>
      </c>
      <c r="J238" s="12" t="str">
        <f>HYPERLINK("https://www.boe.es/gazeta/dias/1808/12/15/pdfs/GMD-1808-155.pdf#page=6","Abrir facsímil")</f>
        <v>Abrir facsímil</v>
      </c>
      <c r="K238" s="15" t="s">
        <v>23</v>
      </c>
    </row>
    <row r="239" spans="1:11" ht="42" customHeight="1">
      <c r="A239" s="4" t="s">
        <v>779</v>
      </c>
      <c r="B239" s="5" t="s">
        <v>780</v>
      </c>
      <c r="C239" s="5" t="s">
        <v>17</v>
      </c>
      <c r="D239" s="5" t="s">
        <v>18</v>
      </c>
      <c r="E239" s="5" t="s">
        <v>663</v>
      </c>
      <c r="F239" s="9" t="s">
        <v>664</v>
      </c>
      <c r="G239" s="9">
        <v>207</v>
      </c>
      <c r="H239" s="5" t="s">
        <v>21</v>
      </c>
      <c r="I239" s="5" t="s">
        <v>781</v>
      </c>
      <c r="J239" s="12" t="str">
        <f>HYPERLINK("https://www.boe.es/gazeta/dias/1808/02/26/pdfs/GMD-1808-17.pdf#page=9","Abrir facsímil")</f>
        <v>Abrir facsímil</v>
      </c>
      <c r="K239" s="15" t="s">
        <v>23</v>
      </c>
    </row>
    <row r="240" spans="1:11" ht="42" customHeight="1">
      <c r="A240" s="4" t="s">
        <v>782</v>
      </c>
      <c r="B240" s="5" t="s">
        <v>783</v>
      </c>
      <c r="C240" s="5" t="s">
        <v>41</v>
      </c>
      <c r="D240" s="5" t="s">
        <v>42</v>
      </c>
      <c r="E240" s="5" t="s">
        <v>73</v>
      </c>
      <c r="F240" s="9" t="s">
        <v>74</v>
      </c>
      <c r="G240" s="9" t="s">
        <v>75</v>
      </c>
      <c r="H240" s="5" t="s">
        <v>21</v>
      </c>
      <c r="I240" s="5" t="s">
        <v>784</v>
      </c>
      <c r="J240" s="12" t="str">
        <f>HYPERLINK("https://www.boe.es/gazeta/dias/1808/11/11/pdfs/GMD-D-1808-143.pdf#page=4","Abrir facsímil")</f>
        <v>Abrir facsímil</v>
      </c>
      <c r="K240" s="15" t="s">
        <v>23</v>
      </c>
    </row>
    <row r="241" spans="1:11" ht="42" customHeight="1">
      <c r="A241" s="4" t="s">
        <v>785</v>
      </c>
      <c r="B241" s="5" t="s">
        <v>786</v>
      </c>
      <c r="C241" s="5" t="s">
        <v>41</v>
      </c>
      <c r="D241" s="5" t="s">
        <v>42</v>
      </c>
      <c r="E241" s="5" t="s">
        <v>125</v>
      </c>
      <c r="F241" s="9" t="s">
        <v>126</v>
      </c>
      <c r="G241" s="9" t="s">
        <v>117</v>
      </c>
      <c r="H241" s="5" t="s">
        <v>21</v>
      </c>
      <c r="I241" s="5" t="s">
        <v>787</v>
      </c>
      <c r="J241" s="12" t="str">
        <f>HYPERLINK("https://www.boe.es/gazeta/dias/1808/10/07/pdfs/GMD-C-1808-132.pdf#page=1","Abrir facsímil")</f>
        <v>Abrir facsímil</v>
      </c>
      <c r="K241" s="15" t="s">
        <v>23</v>
      </c>
    </row>
    <row r="242" spans="1:11" ht="42" customHeight="1">
      <c r="A242" s="4" t="s">
        <v>788</v>
      </c>
      <c r="B242" s="5" t="s">
        <v>789</v>
      </c>
      <c r="C242" s="5" t="s">
        <v>17</v>
      </c>
      <c r="D242" s="5" t="s">
        <v>18</v>
      </c>
      <c r="E242" s="5" t="s">
        <v>197</v>
      </c>
      <c r="F242" s="9" t="s">
        <v>790</v>
      </c>
      <c r="G242" s="9">
        <v>1404</v>
      </c>
      <c r="H242" s="5" t="s">
        <v>21</v>
      </c>
      <c r="I242" s="5" t="s">
        <v>791</v>
      </c>
      <c r="J242" s="12" t="str">
        <f>HYPERLINK("https://www.boe.es/gazeta/dias/1808/11/01/pdfs/GMD-1808-140.pdf#page=6","Abrir facsímil")</f>
        <v>Abrir facsímil</v>
      </c>
      <c r="K242" s="15" t="s">
        <v>23</v>
      </c>
    </row>
    <row r="243" spans="1:11" ht="42" customHeight="1">
      <c r="A243" s="4" t="s">
        <v>788</v>
      </c>
      <c r="B243" s="5" t="s">
        <v>789</v>
      </c>
      <c r="C243" s="5" t="s">
        <v>33</v>
      </c>
      <c r="D243" s="5" t="s">
        <v>34</v>
      </c>
      <c r="E243" s="5" t="s">
        <v>28</v>
      </c>
      <c r="F243" s="9" t="s">
        <v>446</v>
      </c>
      <c r="G243" s="9" t="s">
        <v>106</v>
      </c>
      <c r="H243" s="5" t="s">
        <v>21</v>
      </c>
      <c r="I243" s="5" t="s">
        <v>792</v>
      </c>
      <c r="J243" s="12" t="str">
        <f>HYPERLINK("https://www.boe.es/gazeta/dias/1808/11/04/pdfs/GMD-D-1808-141.pdf#page=3","Abrir facsímil")</f>
        <v>Abrir facsímil</v>
      </c>
      <c r="K243" s="15" t="s">
        <v>23</v>
      </c>
    </row>
    <row r="244" spans="1:11" ht="42" customHeight="1">
      <c r="A244" s="4" t="s">
        <v>793</v>
      </c>
      <c r="B244" s="5" t="s">
        <v>794</v>
      </c>
      <c r="C244" s="5" t="s">
        <v>33</v>
      </c>
      <c r="D244" s="5" t="s">
        <v>34</v>
      </c>
      <c r="E244" s="5" t="s">
        <v>35</v>
      </c>
      <c r="F244" s="9" t="s">
        <v>36</v>
      </c>
      <c r="G244" s="9" t="s">
        <v>795</v>
      </c>
      <c r="H244" s="5" t="s">
        <v>21</v>
      </c>
      <c r="I244" s="5" t="s">
        <v>796</v>
      </c>
      <c r="J244" s="12" t="str">
        <f>HYPERLINK("https://www.boe.es/gazeta/dias/1808/04/22/pdfs/GMD-C-1808-38.pdf#page=21","Abrir facsímil")</f>
        <v>Abrir facsímil</v>
      </c>
      <c r="K244" s="15" t="s">
        <v>23</v>
      </c>
    </row>
    <row r="245" spans="1:11" ht="42" customHeight="1">
      <c r="A245" s="4" t="s">
        <v>797</v>
      </c>
      <c r="B245" s="5" t="s">
        <v>798</v>
      </c>
      <c r="C245" s="5" t="s">
        <v>33</v>
      </c>
      <c r="D245" s="5" t="s">
        <v>34</v>
      </c>
      <c r="E245" s="5" t="s">
        <v>73</v>
      </c>
      <c r="F245" s="9" t="s">
        <v>74</v>
      </c>
      <c r="G245" s="9" t="s">
        <v>117</v>
      </c>
      <c r="H245" s="5" t="s">
        <v>21</v>
      </c>
      <c r="I245" s="5" t="s">
        <v>799</v>
      </c>
      <c r="J245" s="12" t="str">
        <f>HYPERLINK("https://www.boe.es/gazeta/dias/1808/11/11/pdfs/GMD-D-1808-143.pdf#page=1","Abrir facsímil")</f>
        <v>Abrir facsímil</v>
      </c>
      <c r="K245" s="15" t="s">
        <v>23</v>
      </c>
    </row>
    <row r="246" spans="1:11" ht="42" customHeight="1">
      <c r="A246" s="4" t="s">
        <v>800</v>
      </c>
      <c r="B246" s="5" t="s">
        <v>801</v>
      </c>
      <c r="C246" s="5" t="s">
        <v>94</v>
      </c>
      <c r="D246" s="5" t="s">
        <v>95</v>
      </c>
      <c r="E246" s="5" t="s">
        <v>663</v>
      </c>
      <c r="F246" s="9" t="s">
        <v>664</v>
      </c>
      <c r="G246" s="9">
        <v>209</v>
      </c>
      <c r="H246" s="5" t="s">
        <v>21</v>
      </c>
      <c r="I246" s="5" t="s">
        <v>802</v>
      </c>
      <c r="J246" s="12" t="str">
        <f>HYPERLINK("https://www.boe.es/gazeta/dias/1808/02/26/pdfs/GMD-1808-17.pdf#page=11","Abrir facsímil")</f>
        <v>Abrir facsímil</v>
      </c>
      <c r="K246" s="15" t="s">
        <v>23</v>
      </c>
    </row>
    <row r="247" spans="1:11" ht="42" customHeight="1">
      <c r="A247" s="4" t="s">
        <v>803</v>
      </c>
      <c r="B247" s="5" t="s">
        <v>803</v>
      </c>
      <c r="C247" s="5" t="s">
        <v>17</v>
      </c>
      <c r="D247" s="5" t="s">
        <v>18</v>
      </c>
      <c r="E247" s="5" t="s">
        <v>804</v>
      </c>
      <c r="F247" s="9" t="s">
        <v>805</v>
      </c>
      <c r="G247" s="9">
        <v>972</v>
      </c>
      <c r="H247" s="5" t="s">
        <v>21</v>
      </c>
      <c r="I247" s="5" t="s">
        <v>806</v>
      </c>
      <c r="J247" s="12" t="str">
        <f>HYPERLINK("https://www.boe.es/gazeta/dias/1808/08/05/pdfs/GMD-1808-108.pdf#page=2","Abrir facsímil")</f>
        <v>Abrir facsímil</v>
      </c>
      <c r="K247" s="15" t="s">
        <v>23</v>
      </c>
    </row>
    <row r="248" spans="1:11" ht="42" customHeight="1">
      <c r="A248" s="4" t="s">
        <v>807</v>
      </c>
      <c r="B248" s="5" t="s">
        <v>807</v>
      </c>
      <c r="C248" s="5" t="s">
        <v>17</v>
      </c>
      <c r="D248" s="5" t="s">
        <v>18</v>
      </c>
      <c r="E248" s="5" t="s">
        <v>553</v>
      </c>
      <c r="F248" s="9" t="s">
        <v>554</v>
      </c>
      <c r="G248" s="9">
        <v>910</v>
      </c>
      <c r="H248" s="5" t="s">
        <v>21</v>
      </c>
      <c r="I248" s="5" t="s">
        <v>808</v>
      </c>
      <c r="J248" s="12" t="str">
        <f>HYPERLINK("https://www.boe.es/gazeta/dias/1808/07/27/pdfs/GMD-1808-99.pdf#page=8","Abrir facsímil")</f>
        <v>Abrir facsímil</v>
      </c>
      <c r="K248" s="15" t="s">
        <v>23</v>
      </c>
    </row>
    <row r="249" spans="1:11" ht="42" customHeight="1">
      <c r="A249" s="4" t="s">
        <v>809</v>
      </c>
      <c r="B249" s="5" t="s">
        <v>810</v>
      </c>
      <c r="C249" s="5" t="s">
        <v>260</v>
      </c>
      <c r="D249" s="5" t="s">
        <v>42</v>
      </c>
      <c r="E249" s="5" t="s">
        <v>469</v>
      </c>
      <c r="F249" s="9" t="s">
        <v>470</v>
      </c>
      <c r="G249" s="9">
        <v>152</v>
      </c>
      <c r="H249" s="5" t="s">
        <v>21</v>
      </c>
      <c r="I249" s="5" t="s">
        <v>811</v>
      </c>
      <c r="J249" s="12" t="str">
        <f>HYPERLINK("https://www.boe.es/gazeta/dias/1808/02/12/pdfs/GMD-1808-13.pdf#page=8","Abrir facsímil")</f>
        <v>Abrir facsímil</v>
      </c>
      <c r="K249" s="15" t="s">
        <v>23</v>
      </c>
    </row>
    <row r="250" spans="1:11" ht="42" customHeight="1">
      <c r="A250" s="4" t="s">
        <v>812</v>
      </c>
      <c r="B250" s="5" t="s">
        <v>813</v>
      </c>
      <c r="C250" s="5" t="s">
        <v>33</v>
      </c>
      <c r="D250" s="5" t="s">
        <v>34</v>
      </c>
      <c r="E250" s="5" t="s">
        <v>35</v>
      </c>
      <c r="F250" s="9" t="s">
        <v>36</v>
      </c>
      <c r="G250" s="9" t="s">
        <v>814</v>
      </c>
      <c r="H250" s="5" t="s">
        <v>21</v>
      </c>
      <c r="I250" s="5" t="s">
        <v>815</v>
      </c>
      <c r="J250" s="12" t="str">
        <f>HYPERLINK("https://www.boe.es/gazeta/dias/1808/04/22/pdfs/GMD-C-1808-38.pdf#page=25","Abrir facsímil")</f>
        <v>Abrir facsímil</v>
      </c>
      <c r="K250" s="15" t="s">
        <v>23</v>
      </c>
    </row>
    <row r="251" spans="1:11" ht="42" customHeight="1">
      <c r="A251" s="4" t="s">
        <v>816</v>
      </c>
      <c r="B251" s="5" t="s">
        <v>817</v>
      </c>
      <c r="C251" s="5" t="s">
        <v>41</v>
      </c>
      <c r="D251" s="5" t="s">
        <v>42</v>
      </c>
      <c r="E251" s="5" t="s">
        <v>35</v>
      </c>
      <c r="F251" s="9" t="s">
        <v>36</v>
      </c>
      <c r="G251" s="9" t="s">
        <v>818</v>
      </c>
      <c r="H251" s="5" t="s">
        <v>21</v>
      </c>
      <c r="I251" s="5" t="s">
        <v>819</v>
      </c>
      <c r="J251" s="12" t="str">
        <f>HYPERLINK("https://www.boe.es/gazeta/dias/1808/04/22/pdfs/GMD-C-1808-38.pdf#page=7","Abrir facsímil")</f>
        <v>Abrir facsímil</v>
      </c>
      <c r="K251" s="15" t="s">
        <v>23</v>
      </c>
    </row>
    <row r="252" spans="1:11" ht="42" customHeight="1">
      <c r="A252" s="4" t="s">
        <v>820</v>
      </c>
      <c r="B252" s="5" t="s">
        <v>821</v>
      </c>
      <c r="C252" s="5" t="s">
        <v>94</v>
      </c>
      <c r="D252" s="5" t="s">
        <v>95</v>
      </c>
      <c r="E252" s="5" t="s">
        <v>225</v>
      </c>
      <c r="F252" s="9" t="s">
        <v>226</v>
      </c>
      <c r="G252" s="9">
        <v>607</v>
      </c>
      <c r="H252" s="5" t="s">
        <v>21</v>
      </c>
      <c r="I252" s="5" t="s">
        <v>822</v>
      </c>
      <c r="J252" s="12" t="str">
        <f>HYPERLINK("https://www.boe.es/gazeta/dias/1808/06/20/pdfs/GMD-1808-62.pdf#page=5","Abrir facsímil")</f>
        <v>Abrir facsímil</v>
      </c>
      <c r="K252" s="15" t="s">
        <v>23</v>
      </c>
    </row>
    <row r="253" spans="1:11" ht="42" customHeight="1">
      <c r="A253" s="4" t="s">
        <v>823</v>
      </c>
      <c r="B253" s="5" t="s">
        <v>824</v>
      </c>
      <c r="C253" s="5" t="s">
        <v>33</v>
      </c>
      <c r="D253" s="5" t="s">
        <v>34</v>
      </c>
      <c r="E253" s="5" t="s">
        <v>35</v>
      </c>
      <c r="F253" s="9" t="s">
        <v>36</v>
      </c>
      <c r="G253" s="9" t="s">
        <v>322</v>
      </c>
      <c r="H253" s="5" t="s">
        <v>21</v>
      </c>
      <c r="I253" s="5" t="s">
        <v>825</v>
      </c>
      <c r="J253" s="12" t="str">
        <f>HYPERLINK("https://www.boe.es/gazeta/dias/1808/04/22/pdfs/GMD-C-1808-38.pdf#page=15","Abrir facsímil")</f>
        <v>Abrir facsímil</v>
      </c>
      <c r="K253" s="15" t="s">
        <v>23</v>
      </c>
    </row>
    <row r="254" spans="1:11" ht="42" customHeight="1">
      <c r="A254" s="4" t="s">
        <v>826</v>
      </c>
      <c r="B254" s="5" t="s">
        <v>827</v>
      </c>
      <c r="C254" s="5" t="s">
        <v>33</v>
      </c>
      <c r="D254" s="5" t="s">
        <v>34</v>
      </c>
      <c r="E254" s="5" t="s">
        <v>110</v>
      </c>
      <c r="F254" s="9" t="s">
        <v>828</v>
      </c>
      <c r="G254" s="9" t="s">
        <v>117</v>
      </c>
      <c r="H254" s="5" t="s">
        <v>21</v>
      </c>
      <c r="I254" s="5" t="s">
        <v>829</v>
      </c>
      <c r="J254" s="12" t="str">
        <f>HYPERLINK("https://www.boe.es/gazeta/dias/1808/10/28/pdfs/GMD-D-1808-138.pdf#page=1","Abrir facsímil")</f>
        <v>Abrir facsímil</v>
      </c>
      <c r="K254" s="15" t="s">
        <v>23</v>
      </c>
    </row>
    <row r="255" spans="1:11" ht="42" customHeight="1">
      <c r="A255" s="4" t="s">
        <v>830</v>
      </c>
      <c r="B255" s="5" t="s">
        <v>831</v>
      </c>
      <c r="C255" s="5" t="s">
        <v>389</v>
      </c>
      <c r="D255" s="5" t="s">
        <v>390</v>
      </c>
      <c r="E255" s="5" t="s">
        <v>832</v>
      </c>
      <c r="F255" s="9" t="s">
        <v>833</v>
      </c>
      <c r="G255" s="9">
        <v>522</v>
      </c>
      <c r="H255" s="5" t="s">
        <v>21</v>
      </c>
      <c r="I255" s="5" t="s">
        <v>834</v>
      </c>
      <c r="J255" s="12" t="str">
        <f>HYPERLINK("https://www.boe.es/gazeta/dias/1808/05/31/pdfs/GMD-1808-52.pdf#page=12","Abrir facsímil")</f>
        <v>Abrir facsímil</v>
      </c>
      <c r="K255" s="15" t="s">
        <v>23</v>
      </c>
    </row>
    <row r="256" spans="1:11" ht="42" customHeight="1">
      <c r="A256" s="4" t="s">
        <v>835</v>
      </c>
      <c r="B256" s="5" t="s">
        <v>836</v>
      </c>
      <c r="C256" s="5" t="s">
        <v>41</v>
      </c>
      <c r="D256" s="5" t="s">
        <v>42</v>
      </c>
      <c r="E256" s="5" t="s">
        <v>35</v>
      </c>
      <c r="F256" s="9" t="s">
        <v>36</v>
      </c>
      <c r="G256" s="9" t="s">
        <v>837</v>
      </c>
      <c r="H256" s="5" t="s">
        <v>21</v>
      </c>
      <c r="I256" s="5" t="s">
        <v>838</v>
      </c>
      <c r="J256" s="12" t="str">
        <f>HYPERLINK("https://www.boe.es/gazeta/dias/1808/04/22/pdfs/GMD-C-1808-38.pdf#page=10","Abrir facsímil")</f>
        <v>Abrir facsímil</v>
      </c>
      <c r="K256" s="15" t="s">
        <v>23</v>
      </c>
    </row>
    <row r="257" spans="1:11" ht="42" customHeight="1">
      <c r="A257" s="4" t="s">
        <v>839</v>
      </c>
      <c r="B257" s="5" t="s">
        <v>840</v>
      </c>
      <c r="C257" s="5" t="s">
        <v>33</v>
      </c>
      <c r="D257" s="5" t="s">
        <v>34</v>
      </c>
      <c r="E257" s="5" t="s">
        <v>35</v>
      </c>
      <c r="F257" s="9" t="s">
        <v>36</v>
      </c>
      <c r="G257" s="9" t="s">
        <v>43</v>
      </c>
      <c r="H257" s="5" t="s">
        <v>21</v>
      </c>
      <c r="I257" s="5" t="s">
        <v>841</v>
      </c>
      <c r="J257" s="12" t="str">
        <f>HYPERLINK("https://www.boe.es/gazeta/dias/1808/04/22/pdfs/GMD-C-1808-38.pdf#page=30","Abrir facsímil")</f>
        <v>Abrir facsímil</v>
      </c>
      <c r="K257" s="15" t="s">
        <v>23</v>
      </c>
    </row>
    <row r="258" spans="1:11" ht="42" customHeight="1">
      <c r="A258" s="4" t="s">
        <v>842</v>
      </c>
      <c r="B258" s="5" t="s">
        <v>842</v>
      </c>
      <c r="C258" s="5" t="s">
        <v>389</v>
      </c>
      <c r="D258" s="5" t="s">
        <v>390</v>
      </c>
      <c r="E258" s="5" t="s">
        <v>19</v>
      </c>
      <c r="F258" s="9" t="s">
        <v>59</v>
      </c>
      <c r="G258" s="9">
        <v>1232</v>
      </c>
      <c r="H258" s="5" t="s">
        <v>21</v>
      </c>
      <c r="I258" s="5" t="s">
        <v>843</v>
      </c>
      <c r="J258" s="12" t="str">
        <f>HYPERLINK("https://www.boe.es/gazeta/dias/1808/09/30/pdfs/GMD-1808-130.pdf#page=12","Abrir facsímil")</f>
        <v>Abrir facsímil</v>
      </c>
      <c r="K258" s="15" t="s">
        <v>23</v>
      </c>
    </row>
    <row r="259" spans="1:11" ht="42" customHeight="1">
      <c r="A259" s="4" t="s">
        <v>844</v>
      </c>
      <c r="B259" s="5" t="s">
        <v>845</v>
      </c>
      <c r="C259" s="5" t="s">
        <v>94</v>
      </c>
      <c r="D259" s="5" t="s">
        <v>95</v>
      </c>
      <c r="E259" s="5" t="s">
        <v>663</v>
      </c>
      <c r="F259" s="9" t="s">
        <v>664</v>
      </c>
      <c r="G259" s="9">
        <v>209</v>
      </c>
      <c r="H259" s="5" t="s">
        <v>21</v>
      </c>
      <c r="I259" s="5" t="s">
        <v>846</v>
      </c>
      <c r="J259" s="12" t="str">
        <f>HYPERLINK("https://www.boe.es/gazeta/dias/1808/02/26/pdfs/GMD-1808-17.pdf#page=11","Abrir facsímil")</f>
        <v>Abrir facsímil</v>
      </c>
      <c r="K259" s="15" t="s">
        <v>23</v>
      </c>
    </row>
    <row r="260" spans="1:11" ht="42" customHeight="1">
      <c r="A260" s="4" t="s">
        <v>847</v>
      </c>
      <c r="B260" s="5" t="s">
        <v>848</v>
      </c>
      <c r="C260" s="5" t="s">
        <v>94</v>
      </c>
      <c r="D260" s="5" t="s">
        <v>95</v>
      </c>
      <c r="E260" s="5" t="s">
        <v>68</v>
      </c>
      <c r="F260" s="9" t="s">
        <v>849</v>
      </c>
      <c r="G260" s="9">
        <v>1346</v>
      </c>
      <c r="H260" s="5" t="s">
        <v>21</v>
      </c>
      <c r="I260" s="5" t="s">
        <v>850</v>
      </c>
      <c r="J260" s="12" t="str">
        <f>HYPERLINK("https://www.boe.es/gazeta/dias/1808/10/21/pdfs/GMD-C-1808-136.pdf#page=6","Abrir facsímil")</f>
        <v>Abrir facsímil</v>
      </c>
      <c r="K260" s="15" t="s">
        <v>23</v>
      </c>
    </row>
    <row r="261" spans="1:11" ht="42" customHeight="1">
      <c r="A261" s="4" t="s">
        <v>847</v>
      </c>
      <c r="B261" s="5" t="s">
        <v>848</v>
      </c>
      <c r="C261" s="5" t="s">
        <v>33</v>
      </c>
      <c r="D261" s="5" t="s">
        <v>34</v>
      </c>
      <c r="E261" s="5" t="s">
        <v>89</v>
      </c>
      <c r="F261" s="9" t="s">
        <v>563</v>
      </c>
      <c r="G261" s="9" t="s">
        <v>106</v>
      </c>
      <c r="H261" s="5" t="s">
        <v>21</v>
      </c>
      <c r="I261" s="5" t="s">
        <v>851</v>
      </c>
      <c r="J261" s="12" t="str">
        <f>HYPERLINK("https://www.boe.es/gazeta/dias/1808/10/25/pdfs/GMD-D-1808-137.pdf#page=3","Abrir facsímil")</f>
        <v>Abrir facsímil</v>
      </c>
      <c r="K261" s="15" t="s">
        <v>23</v>
      </c>
    </row>
    <row r="262" spans="1:11" ht="42" customHeight="1">
      <c r="A262" s="4" t="s">
        <v>852</v>
      </c>
      <c r="B262" s="5" t="s">
        <v>853</v>
      </c>
      <c r="C262" s="5" t="s">
        <v>94</v>
      </c>
      <c r="D262" s="5" t="s">
        <v>95</v>
      </c>
      <c r="E262" s="5" t="s">
        <v>663</v>
      </c>
      <c r="F262" s="9" t="s">
        <v>664</v>
      </c>
      <c r="G262" s="9">
        <v>209</v>
      </c>
      <c r="H262" s="5" t="s">
        <v>21</v>
      </c>
      <c r="I262" s="5" t="s">
        <v>854</v>
      </c>
      <c r="J262" s="12" t="str">
        <f>HYPERLINK("https://www.boe.es/gazeta/dias/1808/02/26/pdfs/GMD-1808-17.pdf#page=11","Abrir facsímil")</f>
        <v>Abrir facsímil</v>
      </c>
      <c r="K262" s="15" t="s">
        <v>23</v>
      </c>
    </row>
    <row r="263" spans="1:11" ht="42" customHeight="1">
      <c r="A263" s="4" t="s">
        <v>855</v>
      </c>
      <c r="B263" s="5" t="s">
        <v>856</v>
      </c>
      <c r="C263" s="5" t="s">
        <v>17</v>
      </c>
      <c r="D263" s="5" t="s">
        <v>18</v>
      </c>
      <c r="E263" s="5" t="s">
        <v>197</v>
      </c>
      <c r="F263" s="9" t="s">
        <v>857</v>
      </c>
      <c r="G263" s="9">
        <v>357</v>
      </c>
      <c r="H263" s="5" t="s">
        <v>21</v>
      </c>
      <c r="I263" s="5" t="s">
        <v>858</v>
      </c>
      <c r="J263" s="12" t="str">
        <f>HYPERLINK("https://www.boe.es/gazeta/dias/1808/11/01/pdfs/GMS-1808-45.pdf#page=5","Abrir facsímil")</f>
        <v>Abrir facsímil</v>
      </c>
      <c r="K263" s="15" t="s">
        <v>23</v>
      </c>
    </row>
    <row r="264" spans="1:11" ht="42" customHeight="1">
      <c r="A264" s="4" t="s">
        <v>859</v>
      </c>
      <c r="B264" s="5" t="s">
        <v>860</v>
      </c>
      <c r="C264" s="5" t="s">
        <v>94</v>
      </c>
      <c r="D264" s="5" t="s">
        <v>95</v>
      </c>
      <c r="E264" s="5" t="s">
        <v>68</v>
      </c>
      <c r="F264" s="9" t="s">
        <v>849</v>
      </c>
      <c r="G264" s="9">
        <v>1342</v>
      </c>
      <c r="H264" s="5" t="s">
        <v>21</v>
      </c>
      <c r="I264" s="5" t="s">
        <v>861</v>
      </c>
      <c r="J264" s="12" t="str">
        <f>HYPERLINK("https://www.boe.es/gazeta/dias/1808/10/21/pdfs/GMD-C-1808-136.pdf#page=2","Abrir facsímil")</f>
        <v>Abrir facsímil</v>
      </c>
      <c r="K264" s="15" t="s">
        <v>23</v>
      </c>
    </row>
    <row r="265" spans="1:11" ht="42" customHeight="1">
      <c r="A265" s="4" t="s">
        <v>862</v>
      </c>
      <c r="B265" s="5" t="s">
        <v>863</v>
      </c>
      <c r="C265" s="5" t="s">
        <v>389</v>
      </c>
      <c r="D265" s="5" t="s">
        <v>390</v>
      </c>
      <c r="E265" s="5" t="s">
        <v>68</v>
      </c>
      <c r="F265" s="9" t="s">
        <v>309</v>
      </c>
      <c r="G265" s="9" t="s">
        <v>106</v>
      </c>
      <c r="H265" s="5" t="s">
        <v>21</v>
      </c>
      <c r="I265" s="5" t="s">
        <v>864</v>
      </c>
      <c r="J265" s="12" t="str">
        <f>HYPERLINK("https://www.boe.es/gazeta/dias/1808/10/21/pdfs/GMD-D-1808-136.pdf#page=3","Abrir facsímil")</f>
        <v>Abrir facsímil</v>
      </c>
      <c r="K265" s="15" t="s">
        <v>23</v>
      </c>
    </row>
    <row r="266" spans="1:11" ht="42" customHeight="1">
      <c r="A266" s="4" t="s">
        <v>865</v>
      </c>
      <c r="B266" s="5" t="s">
        <v>866</v>
      </c>
      <c r="C266" s="5" t="s">
        <v>33</v>
      </c>
      <c r="D266" s="5" t="s">
        <v>34</v>
      </c>
      <c r="E266" s="5" t="s">
        <v>35</v>
      </c>
      <c r="F266" s="9" t="s">
        <v>36</v>
      </c>
      <c r="G266" s="9" t="s">
        <v>867</v>
      </c>
      <c r="H266" s="5" t="s">
        <v>21</v>
      </c>
      <c r="I266" s="5" t="s">
        <v>868</v>
      </c>
      <c r="J266" s="12" t="str">
        <f>HYPERLINK("https://www.boe.es/gazeta/dias/1808/04/22/pdfs/GMD-C-1808-38.pdf#page=19","Abrir facsímil")</f>
        <v>Abrir facsímil</v>
      </c>
      <c r="K266" s="15" t="s">
        <v>23</v>
      </c>
    </row>
    <row r="267" spans="1:11" ht="42" customHeight="1">
      <c r="A267" s="4" t="s">
        <v>869</v>
      </c>
      <c r="B267" s="5" t="s">
        <v>869</v>
      </c>
      <c r="C267" s="5" t="s">
        <v>17</v>
      </c>
      <c r="D267" s="5" t="s">
        <v>18</v>
      </c>
      <c r="E267" s="5" t="s">
        <v>870</v>
      </c>
      <c r="F267" s="9" t="s">
        <v>871</v>
      </c>
      <c r="G267" s="9">
        <v>586</v>
      </c>
      <c r="H267" s="5" t="s">
        <v>21</v>
      </c>
      <c r="I267" s="5" t="s">
        <v>872</v>
      </c>
      <c r="J267" s="12" t="str">
        <f>HYPERLINK("https://www.boe.es/gazeta/dias/1808/06/17/pdfs/GMD-1808-59.pdf#page=8","Abrir facsímil")</f>
        <v>Abrir facsímil</v>
      </c>
      <c r="K267" s="15" t="s">
        <v>23</v>
      </c>
    </row>
    <row r="268" spans="1:11" ht="42" customHeight="1">
      <c r="A268" s="4" t="s">
        <v>873</v>
      </c>
      <c r="B268" s="5" t="s">
        <v>873</v>
      </c>
      <c r="C268" s="5" t="s">
        <v>41</v>
      </c>
      <c r="D268" s="5" t="s">
        <v>42</v>
      </c>
      <c r="E268" s="5" t="s">
        <v>391</v>
      </c>
      <c r="F268" s="9" t="s">
        <v>454</v>
      </c>
      <c r="G268" s="9">
        <v>277</v>
      </c>
      <c r="H268" s="5" t="s">
        <v>21</v>
      </c>
      <c r="I268" s="5" t="s">
        <v>874</v>
      </c>
      <c r="J268" s="12" t="str">
        <f>HYPERLINK("https://www.boe.es/gazeta/dias/1808/09/27/pdfs/GMS-1808-35.pdf#page=5","Abrir facsímil")</f>
        <v>Abrir facsímil</v>
      </c>
      <c r="K268" s="15" t="s">
        <v>23</v>
      </c>
    </row>
    <row r="269" spans="1:11" ht="42" customHeight="1">
      <c r="A269" s="4" t="s">
        <v>875</v>
      </c>
      <c r="B269" s="5" t="s">
        <v>876</v>
      </c>
      <c r="C269" s="5" t="s">
        <v>94</v>
      </c>
      <c r="D269" s="5" t="s">
        <v>95</v>
      </c>
      <c r="E269" s="5" t="s">
        <v>877</v>
      </c>
      <c r="F269" s="9" t="s">
        <v>878</v>
      </c>
      <c r="G269" s="9">
        <v>118</v>
      </c>
      <c r="H269" s="5" t="s">
        <v>21</v>
      </c>
      <c r="I269" s="5" t="s">
        <v>879</v>
      </c>
      <c r="J269" s="12" t="str">
        <f>HYPERLINK("https://www.boe.es/gazeta/dias/1808/02/02/pdfs/GMD-1808-10.pdf#page=10","Abrir facsímil")</f>
        <v>Abrir facsímil</v>
      </c>
      <c r="K269" s="15" t="s">
        <v>23</v>
      </c>
    </row>
    <row r="270" spans="1:11" ht="42" customHeight="1">
      <c r="A270" s="4" t="s">
        <v>880</v>
      </c>
      <c r="B270" s="5" t="s">
        <v>881</v>
      </c>
      <c r="C270" s="5" t="s">
        <v>17</v>
      </c>
      <c r="D270" s="5" t="s">
        <v>18</v>
      </c>
      <c r="E270" s="5" t="s">
        <v>115</v>
      </c>
      <c r="F270" s="9" t="s">
        <v>882</v>
      </c>
      <c r="G270" s="9">
        <v>253</v>
      </c>
      <c r="H270" s="5" t="s">
        <v>21</v>
      </c>
      <c r="I270" s="5" t="s">
        <v>883</v>
      </c>
      <c r="J270" s="12" t="str">
        <f>HYPERLINK("https://www.boe.es/gazeta/dias/1808/09/16/pdfs/GMS-1808-32.pdf#page=5","Abrir facsímil")</f>
        <v>Abrir facsímil</v>
      </c>
      <c r="K270" s="15" t="s">
        <v>23</v>
      </c>
    </row>
    <row r="271" spans="1:11" ht="42" customHeight="1">
      <c r="A271" s="4" t="s">
        <v>884</v>
      </c>
      <c r="B271" s="5" t="s">
        <v>885</v>
      </c>
      <c r="C271" s="5" t="s">
        <v>41</v>
      </c>
      <c r="D271" s="5" t="s">
        <v>42</v>
      </c>
      <c r="E271" s="5" t="s">
        <v>110</v>
      </c>
      <c r="F271" s="9" t="s">
        <v>828</v>
      </c>
      <c r="G271" s="9" t="s">
        <v>106</v>
      </c>
      <c r="H271" s="5" t="s">
        <v>21</v>
      </c>
      <c r="I271" s="5" t="s">
        <v>886</v>
      </c>
      <c r="J271" s="12" t="str">
        <f>HYPERLINK("https://www.boe.es/gazeta/dias/1808/10/28/pdfs/GMD-D-1808-138.pdf#page=3","Abrir facsímil")</f>
        <v>Abrir facsímil</v>
      </c>
      <c r="K271" s="15" t="s">
        <v>23</v>
      </c>
    </row>
    <row r="272" spans="1:11" ht="42" customHeight="1">
      <c r="A272" s="4" t="s">
        <v>887</v>
      </c>
      <c r="B272" s="5" t="s">
        <v>888</v>
      </c>
      <c r="C272" s="5" t="s">
        <v>94</v>
      </c>
      <c r="D272" s="5" t="s">
        <v>95</v>
      </c>
      <c r="E272" s="5" t="s">
        <v>644</v>
      </c>
      <c r="F272" s="9" t="s">
        <v>645</v>
      </c>
      <c r="G272" s="9">
        <v>320</v>
      </c>
      <c r="H272" s="5" t="s">
        <v>21</v>
      </c>
      <c r="I272" s="5" t="s">
        <v>889</v>
      </c>
      <c r="J272" s="12" t="str">
        <f>HYPERLINK("https://www.boe.es/gazeta/dias/1808/03/31/pdfs/GMD-1808-28E.pdf#page=4","Abrir facsímil")</f>
        <v>Abrir facsímil</v>
      </c>
      <c r="K272" s="15" t="s">
        <v>23</v>
      </c>
    </row>
    <row r="273" spans="1:11" ht="42" customHeight="1">
      <c r="A273" s="4" t="s">
        <v>890</v>
      </c>
      <c r="B273" s="5" t="s">
        <v>891</v>
      </c>
      <c r="C273" s="5" t="s">
        <v>33</v>
      </c>
      <c r="D273" s="5" t="s">
        <v>34</v>
      </c>
      <c r="E273" s="5" t="s">
        <v>197</v>
      </c>
      <c r="F273" s="9" t="s">
        <v>198</v>
      </c>
      <c r="G273" s="9" t="s">
        <v>117</v>
      </c>
      <c r="H273" s="5" t="s">
        <v>21</v>
      </c>
      <c r="I273" s="5" t="s">
        <v>892</v>
      </c>
      <c r="J273" s="12" t="str">
        <f>HYPERLINK("https://www.boe.es/gazeta/dias/1808/11/01/pdfs/GMD-D-1808-140.pdf#page=1","Abrir facsímil")</f>
        <v>Abrir facsímil</v>
      </c>
      <c r="K273" s="15" t="s">
        <v>23</v>
      </c>
    </row>
    <row r="274" spans="1:11" ht="42" customHeight="1">
      <c r="A274" s="4" t="s">
        <v>893</v>
      </c>
      <c r="B274" s="5" t="s">
        <v>894</v>
      </c>
      <c r="C274" s="5" t="s">
        <v>33</v>
      </c>
      <c r="D274" s="5" t="s">
        <v>34</v>
      </c>
      <c r="E274" s="5" t="s">
        <v>68</v>
      </c>
      <c r="F274" s="9" t="s">
        <v>309</v>
      </c>
      <c r="G274" s="9" t="s">
        <v>199</v>
      </c>
      <c r="H274" s="5" t="s">
        <v>21</v>
      </c>
      <c r="I274" s="5" t="s">
        <v>895</v>
      </c>
      <c r="J274" s="12" t="str">
        <f>HYPERLINK("https://www.boe.es/gazeta/dias/1808/10/21/pdfs/GMD-D-1808-136.pdf#page=2","Abrir facsímil")</f>
        <v>Abrir facsímil</v>
      </c>
      <c r="K274" s="15" t="s">
        <v>23</v>
      </c>
    </row>
    <row r="275" spans="1:11" ht="42" customHeight="1">
      <c r="A275" s="4" t="s">
        <v>896</v>
      </c>
      <c r="B275" s="5" t="s">
        <v>897</v>
      </c>
      <c r="C275" s="5" t="s">
        <v>41</v>
      </c>
      <c r="D275" s="5" t="s">
        <v>42</v>
      </c>
      <c r="E275" s="5" t="s">
        <v>130</v>
      </c>
      <c r="F275" s="9" t="s">
        <v>131</v>
      </c>
      <c r="G275" s="9">
        <v>1603</v>
      </c>
      <c r="H275" s="5" t="s">
        <v>21</v>
      </c>
      <c r="I275" s="5" t="s">
        <v>898</v>
      </c>
      <c r="J275" s="12" t="str">
        <f>HYPERLINK("https://www.boe.es/gazeta/dias/1808/12/15/pdfs/GMD-1808-155.pdf#page=7","Abrir facsímil")</f>
        <v>Abrir facsímil</v>
      </c>
      <c r="K275" s="15" t="s">
        <v>23</v>
      </c>
    </row>
    <row r="276" spans="1:11" ht="42" customHeight="1">
      <c r="A276" s="4" t="s">
        <v>899</v>
      </c>
      <c r="B276" s="5" t="s">
        <v>900</v>
      </c>
      <c r="C276" s="5" t="s">
        <v>389</v>
      </c>
      <c r="D276" s="5" t="s">
        <v>390</v>
      </c>
      <c r="E276" s="5" t="s">
        <v>290</v>
      </c>
      <c r="F276" s="9" t="s">
        <v>291</v>
      </c>
      <c r="G276" s="9">
        <v>1065</v>
      </c>
      <c r="H276" s="5" t="s">
        <v>21</v>
      </c>
      <c r="I276" s="5" t="s">
        <v>901</v>
      </c>
      <c r="J276" s="12" t="str">
        <f>HYPERLINK("https://www.boe.es/gazeta/dias/1808/08/23/pdfs/GMD-1808-116.pdf#page=11","Abrir facsímil")</f>
        <v>Abrir facsímil</v>
      </c>
      <c r="K276" s="15" t="s">
        <v>23</v>
      </c>
    </row>
    <row r="277" spans="1:11" ht="42" customHeight="1">
      <c r="A277" s="4" t="s">
        <v>902</v>
      </c>
      <c r="B277" s="5" t="s">
        <v>903</v>
      </c>
      <c r="C277" s="5" t="s">
        <v>17</v>
      </c>
      <c r="D277" s="5" t="s">
        <v>18</v>
      </c>
      <c r="E277" s="5" t="s">
        <v>54</v>
      </c>
      <c r="F277" s="9" t="s">
        <v>55</v>
      </c>
      <c r="G277" s="9">
        <v>1087</v>
      </c>
      <c r="H277" s="5" t="s">
        <v>21</v>
      </c>
      <c r="I277" s="5" t="s">
        <v>904</v>
      </c>
      <c r="J277" s="12" t="str">
        <f>HYPERLINK("https://www.boe.es/gazeta/dias/1808/08/26/pdfs/GMD-1808-117.pdf#page=9","Abrir facsímil")</f>
        <v>Abrir facsímil</v>
      </c>
      <c r="K277" s="15" t="s">
        <v>23</v>
      </c>
    </row>
    <row r="278" spans="1:11" ht="42" customHeight="1">
      <c r="A278" s="4" t="s">
        <v>905</v>
      </c>
      <c r="B278" s="5" t="s">
        <v>905</v>
      </c>
      <c r="C278" s="5" t="s">
        <v>17</v>
      </c>
      <c r="D278" s="5" t="s">
        <v>18</v>
      </c>
      <c r="E278" s="5" t="s">
        <v>61</v>
      </c>
      <c r="F278" s="9" t="s">
        <v>62</v>
      </c>
      <c r="G278" s="9">
        <v>1286</v>
      </c>
      <c r="H278" s="5" t="s">
        <v>21</v>
      </c>
      <c r="I278" s="5" t="s">
        <v>906</v>
      </c>
      <c r="J278" s="12" t="str">
        <f>HYPERLINK("https://www.boe.es/gazeta/dias/1808/10/11/pdfs/GMD-1808-133.pdf#page=14","Abrir facsímil")</f>
        <v>Abrir facsímil</v>
      </c>
      <c r="K278" s="15" t="s">
        <v>23</v>
      </c>
    </row>
    <row r="279" spans="1:11" ht="42" customHeight="1">
      <c r="A279" s="4" t="s">
        <v>907</v>
      </c>
      <c r="B279" s="5" t="s">
        <v>907</v>
      </c>
      <c r="C279" s="5" t="s">
        <v>17</v>
      </c>
      <c r="D279" s="5" t="s">
        <v>18</v>
      </c>
      <c r="E279" s="5" t="s">
        <v>539</v>
      </c>
      <c r="F279" s="9" t="s">
        <v>908</v>
      </c>
      <c r="G279" s="9">
        <v>223</v>
      </c>
      <c r="H279" s="5" t="s">
        <v>21</v>
      </c>
      <c r="I279" s="5" t="s">
        <v>909</v>
      </c>
      <c r="J279" s="12" t="str">
        <f>HYPERLINK("https://www.boe.es/gazeta/dias/1808/09/02/pdfs/GMS-1808-28.pdf#page=7","Abrir facsímil")</f>
        <v>Abrir facsímil</v>
      </c>
      <c r="K279" s="15" t="s">
        <v>23</v>
      </c>
    </row>
    <row r="280" spans="1:11" ht="42" customHeight="1">
      <c r="A280" s="4" t="s">
        <v>910</v>
      </c>
      <c r="B280" s="5" t="s">
        <v>910</v>
      </c>
      <c r="C280" s="5" t="s">
        <v>260</v>
      </c>
      <c r="D280" s="5" t="s">
        <v>42</v>
      </c>
      <c r="E280" s="5" t="s">
        <v>469</v>
      </c>
      <c r="F280" s="9" t="s">
        <v>470</v>
      </c>
      <c r="G280" s="9">
        <v>153</v>
      </c>
      <c r="H280" s="5" t="s">
        <v>21</v>
      </c>
      <c r="I280" s="5" t="s">
        <v>911</v>
      </c>
      <c r="J280" s="12" t="str">
        <f>HYPERLINK("https://www.boe.es/gazeta/dias/1808/02/12/pdfs/GMD-1808-13.pdf#page=9","Abrir facsímil")</f>
        <v>Abrir facsímil</v>
      </c>
      <c r="K280" s="15" t="s">
        <v>23</v>
      </c>
    </row>
    <row r="281" spans="1:11" ht="42" customHeight="1">
      <c r="A281" s="4" t="s">
        <v>912</v>
      </c>
      <c r="B281" s="5" t="s">
        <v>912</v>
      </c>
      <c r="C281" s="5" t="s">
        <v>94</v>
      </c>
      <c r="D281" s="5" t="s">
        <v>95</v>
      </c>
      <c r="E281" s="5" t="s">
        <v>68</v>
      </c>
      <c r="F281" s="9" t="s">
        <v>69</v>
      </c>
      <c r="G281" s="9">
        <v>1338</v>
      </c>
      <c r="H281" s="5" t="s">
        <v>21</v>
      </c>
      <c r="I281" s="5" t="s">
        <v>913</v>
      </c>
      <c r="J281" s="12" t="str">
        <f>HYPERLINK("https://www.boe.es/gazeta/dias/1808/10/21/pdfs/GMD-1808-136.pdf#page=10","Abrir facsímil")</f>
        <v>Abrir facsímil</v>
      </c>
      <c r="K281" s="15" t="s">
        <v>23</v>
      </c>
    </row>
    <row r="282" spans="1:11" ht="42" customHeight="1">
      <c r="A282" s="4" t="s">
        <v>914</v>
      </c>
      <c r="B282" s="5" t="s">
        <v>914</v>
      </c>
      <c r="C282" s="5" t="s">
        <v>17</v>
      </c>
      <c r="D282" s="5" t="s">
        <v>18</v>
      </c>
      <c r="E282" s="5" t="s">
        <v>130</v>
      </c>
      <c r="F282" s="9" t="s">
        <v>131</v>
      </c>
      <c r="G282" s="9">
        <v>1603</v>
      </c>
      <c r="H282" s="5" t="s">
        <v>21</v>
      </c>
      <c r="I282" s="5" t="s">
        <v>915</v>
      </c>
      <c r="J282" s="12" t="str">
        <f>HYPERLINK("https://www.boe.es/gazeta/dias/1808/12/15/pdfs/GMD-1808-155.pdf#page=7","Abrir facsímil")</f>
        <v>Abrir facsímil</v>
      </c>
      <c r="K282" s="15" t="s">
        <v>23</v>
      </c>
    </row>
    <row r="283" spans="1:11" ht="42" customHeight="1">
      <c r="A283" s="4" t="s">
        <v>916</v>
      </c>
      <c r="B283" s="5" t="s">
        <v>916</v>
      </c>
      <c r="C283" s="5" t="s">
        <v>94</v>
      </c>
      <c r="D283" s="5" t="s">
        <v>95</v>
      </c>
      <c r="E283" s="5" t="s">
        <v>493</v>
      </c>
      <c r="F283" s="9" t="s">
        <v>494</v>
      </c>
      <c r="G283" s="9">
        <v>44</v>
      </c>
      <c r="H283" s="5" t="s">
        <v>21</v>
      </c>
      <c r="I283" s="5" t="s">
        <v>917</v>
      </c>
      <c r="J283" s="12" t="str">
        <f>HYPERLINK("https://www.boe.es/gazeta/dias/1808/01/12/pdfs/GMD-1808-4.pdf#page=8","Abrir facsímil")</f>
        <v>Abrir facsímil</v>
      </c>
      <c r="K283" s="15" t="s">
        <v>23</v>
      </c>
    </row>
    <row r="284" spans="1:11" ht="42" customHeight="1">
      <c r="A284" s="4" t="s">
        <v>918</v>
      </c>
      <c r="B284" s="5" t="s">
        <v>918</v>
      </c>
      <c r="C284" s="5" t="s">
        <v>94</v>
      </c>
      <c r="D284" s="5" t="s">
        <v>95</v>
      </c>
      <c r="E284" s="5" t="s">
        <v>919</v>
      </c>
      <c r="F284" s="9" t="s">
        <v>920</v>
      </c>
      <c r="G284" s="9">
        <v>493</v>
      </c>
      <c r="H284" s="5" t="s">
        <v>21</v>
      </c>
      <c r="I284" s="5" t="s">
        <v>921</v>
      </c>
      <c r="J284" s="12" t="str">
        <f>HYPERLINK("https://www.boe.es/gazeta/dias/1808/05/24/pdfs/GMD-1808-49.pdf#page=9","Abrir facsímil")</f>
        <v>Abrir facsímil</v>
      </c>
      <c r="K284" s="15" t="s">
        <v>23</v>
      </c>
    </row>
    <row r="285" spans="1:11" ht="42" customHeight="1">
      <c r="A285" s="4" t="s">
        <v>922</v>
      </c>
      <c r="B285" s="5" t="s">
        <v>923</v>
      </c>
      <c r="C285" s="5" t="s">
        <v>41</v>
      </c>
      <c r="D285" s="5" t="s">
        <v>42</v>
      </c>
      <c r="E285" s="5" t="s">
        <v>35</v>
      </c>
      <c r="F285" s="9" t="s">
        <v>36</v>
      </c>
      <c r="G285" s="9" t="s">
        <v>924</v>
      </c>
      <c r="H285" s="5" t="s">
        <v>21</v>
      </c>
      <c r="I285" s="5" t="s">
        <v>925</v>
      </c>
      <c r="J285" s="12" t="str">
        <f>HYPERLINK("https://www.boe.es/gazeta/dias/1808/04/22/pdfs/GMD-C-1808-38.pdf#page=27","Abrir facsímil")</f>
        <v>Abrir facsímil</v>
      </c>
      <c r="K285" s="15" t="s">
        <v>23</v>
      </c>
    </row>
    <row r="286" spans="1:11" ht="42" customHeight="1">
      <c r="A286" s="4" t="s">
        <v>926</v>
      </c>
      <c r="B286" s="5" t="s">
        <v>927</v>
      </c>
      <c r="C286" s="5" t="s">
        <v>33</v>
      </c>
      <c r="D286" s="5" t="s">
        <v>34</v>
      </c>
      <c r="E286" s="5" t="s">
        <v>153</v>
      </c>
      <c r="F286" s="9" t="s">
        <v>154</v>
      </c>
      <c r="G286" s="9" t="s">
        <v>75</v>
      </c>
      <c r="H286" s="5" t="s">
        <v>21</v>
      </c>
      <c r="I286" s="5" t="s">
        <v>928</v>
      </c>
      <c r="J286" s="12" t="str">
        <f>HYPERLINK("https://www.boe.es/gazeta/dias/1808/09/09/pdfs/GMD-C-1808-121.pdf#page=4","Abrir facsímil")</f>
        <v>Abrir facsímil</v>
      </c>
      <c r="K286" s="15" t="s">
        <v>23</v>
      </c>
    </row>
    <row r="287" spans="1:11" ht="42" customHeight="1">
      <c r="A287" s="4" t="s">
        <v>929</v>
      </c>
      <c r="B287" s="5" t="s">
        <v>929</v>
      </c>
      <c r="C287" s="5" t="s">
        <v>33</v>
      </c>
      <c r="D287" s="5" t="s">
        <v>34</v>
      </c>
      <c r="E287" s="5" t="s">
        <v>363</v>
      </c>
      <c r="F287" s="9" t="s">
        <v>364</v>
      </c>
      <c r="G287" s="9" t="s">
        <v>106</v>
      </c>
      <c r="H287" s="5" t="s">
        <v>21</v>
      </c>
      <c r="I287" s="5" t="s">
        <v>930</v>
      </c>
      <c r="J287" s="12" t="str">
        <f>HYPERLINK("https://www.boe.es/gazeta/dias/1808/09/20/pdfs/GMD-C-1808-126.pdf#page=3","Abrir facsímil")</f>
        <v>Abrir facsímil</v>
      </c>
      <c r="K287" s="15" t="s">
        <v>23</v>
      </c>
    </row>
    <row r="288" spans="1:11" ht="42" customHeight="1">
      <c r="A288" s="4" t="s">
        <v>931</v>
      </c>
      <c r="B288" s="5" t="s">
        <v>931</v>
      </c>
      <c r="C288" s="5" t="s">
        <v>41</v>
      </c>
      <c r="D288" s="5" t="s">
        <v>42</v>
      </c>
      <c r="E288" s="5" t="s">
        <v>461</v>
      </c>
      <c r="F288" s="9" t="s">
        <v>733</v>
      </c>
      <c r="G288" s="9">
        <v>1447</v>
      </c>
      <c r="H288" s="5" t="s">
        <v>21</v>
      </c>
      <c r="I288" s="5" t="s">
        <v>932</v>
      </c>
      <c r="J288" s="12" t="str">
        <f>HYPERLINK("https://www.boe.es/gazeta/dias/1808/11/08/pdfs/GMD-1808-142.pdf#page=9","Abrir facsímil")</f>
        <v>Abrir facsímil</v>
      </c>
      <c r="K288" s="15" t="s">
        <v>23</v>
      </c>
    </row>
    <row r="289" spans="1:11" ht="42" customHeight="1">
      <c r="A289" s="4" t="s">
        <v>933</v>
      </c>
      <c r="B289" s="5" t="s">
        <v>933</v>
      </c>
      <c r="C289" s="5" t="s">
        <v>33</v>
      </c>
      <c r="D289" s="5" t="s">
        <v>34</v>
      </c>
      <c r="E289" s="5" t="s">
        <v>35</v>
      </c>
      <c r="F289" s="9" t="s">
        <v>36</v>
      </c>
      <c r="G289" s="9" t="s">
        <v>106</v>
      </c>
      <c r="H289" s="5" t="s">
        <v>21</v>
      </c>
      <c r="I289" s="5" t="s">
        <v>934</v>
      </c>
      <c r="J289" s="12" t="str">
        <f>HYPERLINK("https://www.boe.es/gazeta/dias/1808/04/22/pdfs/GMD-C-1808-38.pdf#page=3","Abrir facsímil")</f>
        <v>Abrir facsímil</v>
      </c>
      <c r="K289" s="15" t="s">
        <v>23</v>
      </c>
    </row>
    <row r="290" spans="1:11" ht="42" customHeight="1">
      <c r="A290" s="4" t="s">
        <v>935</v>
      </c>
      <c r="B290" s="5" t="s">
        <v>935</v>
      </c>
      <c r="C290" s="5" t="s">
        <v>33</v>
      </c>
      <c r="D290" s="5" t="s">
        <v>34</v>
      </c>
      <c r="E290" s="5" t="s">
        <v>35</v>
      </c>
      <c r="F290" s="9" t="s">
        <v>36</v>
      </c>
      <c r="G290" s="9" t="s">
        <v>47</v>
      </c>
      <c r="H290" s="5" t="s">
        <v>21</v>
      </c>
      <c r="I290" s="5" t="s">
        <v>936</v>
      </c>
      <c r="J290" s="12" t="str">
        <f>HYPERLINK("https://www.boe.es/gazeta/dias/1808/04/22/pdfs/GMD-C-1808-38.pdf#page=13","Abrir facsímil")</f>
        <v>Abrir facsímil</v>
      </c>
      <c r="K290" s="15" t="s">
        <v>23</v>
      </c>
    </row>
    <row r="291" spans="1:11" ht="42" customHeight="1">
      <c r="A291" s="4" t="s">
        <v>937</v>
      </c>
      <c r="B291" s="5" t="s">
        <v>937</v>
      </c>
      <c r="C291" s="5" t="s">
        <v>33</v>
      </c>
      <c r="D291" s="5" t="s">
        <v>34</v>
      </c>
      <c r="E291" s="5" t="s">
        <v>35</v>
      </c>
      <c r="F291" s="9" t="s">
        <v>36</v>
      </c>
      <c r="G291" s="9" t="s">
        <v>273</v>
      </c>
      <c r="H291" s="5" t="s">
        <v>21</v>
      </c>
      <c r="I291" s="5" t="s">
        <v>938</v>
      </c>
      <c r="J291" s="12" t="str">
        <f>HYPERLINK("https://www.boe.es/gazeta/dias/1808/04/22/pdfs/GMD-C-1808-38.pdf#page=12","Abrir facsímil")</f>
        <v>Abrir facsímil</v>
      </c>
      <c r="K291" s="15" t="s">
        <v>23</v>
      </c>
    </row>
    <row r="292" spans="1:11" ht="42" customHeight="1">
      <c r="A292" s="4" t="s">
        <v>939</v>
      </c>
      <c r="B292" s="5" t="s">
        <v>939</v>
      </c>
      <c r="C292" s="5" t="s">
        <v>17</v>
      </c>
      <c r="D292" s="5" t="s">
        <v>18</v>
      </c>
      <c r="E292" s="5" t="s">
        <v>110</v>
      </c>
      <c r="F292" s="9" t="s">
        <v>111</v>
      </c>
      <c r="G292" s="9">
        <v>1383</v>
      </c>
      <c r="H292" s="5" t="s">
        <v>21</v>
      </c>
      <c r="I292" s="5" t="s">
        <v>940</v>
      </c>
      <c r="J292" s="12" t="str">
        <f>HYPERLINK("https://www.boe.es/gazeta/dias/1808/10/28/pdfs/GMD-1808-138.pdf#page=9","Abrir facsímil")</f>
        <v>Abrir facsímil</v>
      </c>
      <c r="K292" s="15" t="s">
        <v>23</v>
      </c>
    </row>
    <row r="293" spans="1:11" ht="42" customHeight="1">
      <c r="A293" s="4" t="s">
        <v>941</v>
      </c>
      <c r="B293" s="5" t="s">
        <v>941</v>
      </c>
      <c r="C293" s="5" t="s">
        <v>33</v>
      </c>
      <c r="D293" s="5" t="s">
        <v>34</v>
      </c>
      <c r="E293" s="5" t="s">
        <v>264</v>
      </c>
      <c r="F293" s="9" t="s">
        <v>318</v>
      </c>
      <c r="G293" s="9" t="s">
        <v>117</v>
      </c>
      <c r="H293" s="5" t="s">
        <v>21</v>
      </c>
      <c r="I293" s="5" t="s">
        <v>942</v>
      </c>
      <c r="J293" s="12" t="str">
        <f>HYPERLINK("https://www.boe.es/gazeta/dias/1808/11/29/pdfs/GMD-C-1808-148.pdf#page=1","Abrir facsímil")</f>
        <v>Abrir facsímil</v>
      </c>
      <c r="K293" s="15" t="s">
        <v>23</v>
      </c>
    </row>
    <row r="294" spans="1:11" ht="42" customHeight="1">
      <c r="A294" s="4" t="s">
        <v>943</v>
      </c>
      <c r="B294" s="5" t="s">
        <v>943</v>
      </c>
      <c r="C294" s="5" t="s">
        <v>17</v>
      </c>
      <c r="D294" s="5" t="s">
        <v>18</v>
      </c>
      <c r="E294" s="5" t="s">
        <v>125</v>
      </c>
      <c r="F294" s="9" t="s">
        <v>397</v>
      </c>
      <c r="G294" s="9">
        <v>1269</v>
      </c>
      <c r="H294" s="5" t="s">
        <v>21</v>
      </c>
      <c r="I294" s="5" t="s">
        <v>944</v>
      </c>
      <c r="J294" s="12" t="str">
        <f>HYPERLINK("https://www.boe.es/gazeta/dias/1808/10/07/pdfs/GMD-1808-132.pdf#page=9","Abrir facsímil")</f>
        <v>Abrir facsímil</v>
      </c>
      <c r="K294" s="15" t="s">
        <v>23</v>
      </c>
    </row>
    <row r="295" spans="1:11" ht="42" customHeight="1">
      <c r="A295" s="4" t="s">
        <v>945</v>
      </c>
      <c r="B295" s="5" t="s">
        <v>945</v>
      </c>
      <c r="C295" s="5" t="s">
        <v>17</v>
      </c>
      <c r="D295" s="5" t="s">
        <v>18</v>
      </c>
      <c r="E295" s="5" t="s">
        <v>125</v>
      </c>
      <c r="F295" s="9" t="s">
        <v>397</v>
      </c>
      <c r="G295" s="9">
        <v>1269</v>
      </c>
      <c r="H295" s="5" t="s">
        <v>21</v>
      </c>
      <c r="I295" s="5" t="s">
        <v>946</v>
      </c>
      <c r="J295" s="12" t="str">
        <f>HYPERLINK("https://www.boe.es/gazeta/dias/1808/10/07/pdfs/GMD-1808-132.pdf#page=9","Abrir facsímil")</f>
        <v>Abrir facsímil</v>
      </c>
      <c r="K295" s="15" t="s">
        <v>23</v>
      </c>
    </row>
    <row r="296" spans="1:11" ht="42" customHeight="1">
      <c r="A296" s="4" t="s">
        <v>947</v>
      </c>
      <c r="B296" s="5" t="s">
        <v>948</v>
      </c>
      <c r="C296" s="5" t="s">
        <v>33</v>
      </c>
      <c r="D296" s="5" t="s">
        <v>34</v>
      </c>
      <c r="E296" s="5" t="s">
        <v>19</v>
      </c>
      <c r="F296" s="9" t="s">
        <v>949</v>
      </c>
      <c r="G296" s="9" t="s">
        <v>75</v>
      </c>
      <c r="H296" s="5" t="s">
        <v>21</v>
      </c>
      <c r="I296" s="5" t="s">
        <v>950</v>
      </c>
      <c r="J296" s="12" t="str">
        <f>HYPERLINK("https://www.boe.es/gazeta/dias/1808/09/30/pdfs/GMD-C-1808-130.pdf#page=4","Abrir facsímil")</f>
        <v>Abrir facsímil</v>
      </c>
      <c r="K296" s="15" t="s">
        <v>23</v>
      </c>
    </row>
    <row r="297" spans="1:11" ht="42" customHeight="1">
      <c r="A297" s="4" t="s">
        <v>951</v>
      </c>
      <c r="B297" s="5" t="s">
        <v>952</v>
      </c>
      <c r="C297" s="5" t="s">
        <v>41</v>
      </c>
      <c r="D297" s="5" t="s">
        <v>42</v>
      </c>
      <c r="E297" s="5" t="s">
        <v>558</v>
      </c>
      <c r="F297" s="9" t="s">
        <v>559</v>
      </c>
      <c r="G297" s="9">
        <v>1546</v>
      </c>
      <c r="H297" s="5" t="s">
        <v>21</v>
      </c>
      <c r="I297" s="5" t="s">
        <v>953</v>
      </c>
      <c r="J297" s="12" t="str">
        <f>HYPERLINK("https://www.boe.es/gazeta/dias/1808/11/25/pdfs/GMD-1808-147.pdf#page=12","Abrir facsímil")</f>
        <v>Abrir facsímil</v>
      </c>
      <c r="K297" s="15" t="s">
        <v>23</v>
      </c>
    </row>
    <row r="298" spans="1:11" ht="42" customHeight="1">
      <c r="A298" s="4" t="s">
        <v>954</v>
      </c>
      <c r="B298" s="5" t="s">
        <v>955</v>
      </c>
      <c r="C298" s="5" t="s">
        <v>33</v>
      </c>
      <c r="D298" s="5" t="s">
        <v>34</v>
      </c>
      <c r="E298" s="5" t="s">
        <v>35</v>
      </c>
      <c r="F298" s="9" t="s">
        <v>36</v>
      </c>
      <c r="G298" s="9" t="s">
        <v>956</v>
      </c>
      <c r="H298" s="5" t="s">
        <v>21</v>
      </c>
      <c r="I298" s="5" t="s">
        <v>957</v>
      </c>
      <c r="J298" s="12" t="str">
        <f>HYPERLINK("https://www.boe.es/gazeta/dias/1808/04/22/pdfs/GMD-C-1808-38.pdf#page=41","Abrir facsímil")</f>
        <v>Abrir facsímil</v>
      </c>
      <c r="K298" s="15" t="s">
        <v>23</v>
      </c>
    </row>
    <row r="299" spans="1:11" ht="42" customHeight="1">
      <c r="A299" s="4" t="s">
        <v>958</v>
      </c>
      <c r="B299" s="5" t="s">
        <v>959</v>
      </c>
      <c r="C299" s="5" t="s">
        <v>17</v>
      </c>
      <c r="D299" s="5" t="s">
        <v>18</v>
      </c>
      <c r="E299" s="5" t="s">
        <v>960</v>
      </c>
      <c r="F299" s="9" t="s">
        <v>961</v>
      </c>
      <c r="G299" s="9">
        <v>860</v>
      </c>
      <c r="H299" s="5" t="s">
        <v>21</v>
      </c>
      <c r="I299" s="5" t="s">
        <v>962</v>
      </c>
      <c r="J299" s="12" t="str">
        <f>HYPERLINK("https://www.boe.es/gazeta/dias/1808/07/21/pdfs/GMD-1808-93.pdf#page=6","Abrir facsímil")</f>
        <v>Abrir facsímil</v>
      </c>
      <c r="K299" s="15" t="s">
        <v>23</v>
      </c>
    </row>
    <row r="300" spans="1:11" ht="42" customHeight="1">
      <c r="A300" s="4" t="s">
        <v>963</v>
      </c>
      <c r="B300" s="5" t="s">
        <v>964</v>
      </c>
      <c r="C300" s="5" t="s">
        <v>33</v>
      </c>
      <c r="D300" s="5" t="s">
        <v>34</v>
      </c>
      <c r="E300" s="5" t="s">
        <v>197</v>
      </c>
      <c r="F300" s="9" t="s">
        <v>198</v>
      </c>
      <c r="G300" s="9" t="s">
        <v>106</v>
      </c>
      <c r="H300" s="5" t="s">
        <v>21</v>
      </c>
      <c r="I300" s="5" t="s">
        <v>965</v>
      </c>
      <c r="J300" s="12" t="str">
        <f>HYPERLINK("https://www.boe.es/gazeta/dias/1808/11/01/pdfs/GMD-D-1808-140.pdf#page=3","Abrir facsímil")</f>
        <v>Abrir facsímil</v>
      </c>
      <c r="K300" s="15" t="s">
        <v>23</v>
      </c>
    </row>
    <row r="301" spans="1:11" ht="42" customHeight="1">
      <c r="A301" s="4" t="s">
        <v>966</v>
      </c>
      <c r="B301" s="5" t="s">
        <v>967</v>
      </c>
      <c r="C301" s="5" t="s">
        <v>17</v>
      </c>
      <c r="D301" s="5" t="s">
        <v>18</v>
      </c>
      <c r="E301" s="5" t="s">
        <v>968</v>
      </c>
      <c r="F301" s="9" t="s">
        <v>969</v>
      </c>
      <c r="G301" s="9">
        <v>899</v>
      </c>
      <c r="H301" s="5" t="s">
        <v>21</v>
      </c>
      <c r="I301" s="5" t="s">
        <v>970</v>
      </c>
      <c r="J301" s="12" t="str">
        <f>HYPERLINK("https://www.boe.es/gazeta/dias/1808/07/26/pdfs/GMD-1808-98.pdf#page=5","Abrir facsímil")</f>
        <v>Abrir facsímil</v>
      </c>
      <c r="K301" s="15" t="s">
        <v>23</v>
      </c>
    </row>
    <row r="302" spans="1:11" ht="42" customHeight="1">
      <c r="A302" s="4" t="s">
        <v>966</v>
      </c>
      <c r="B302" s="5" t="s">
        <v>967</v>
      </c>
      <c r="C302" s="5" t="s">
        <v>33</v>
      </c>
      <c r="D302" s="5" t="s">
        <v>34</v>
      </c>
      <c r="E302" s="5" t="s">
        <v>558</v>
      </c>
      <c r="F302" s="9" t="s">
        <v>758</v>
      </c>
      <c r="G302" s="9" t="s">
        <v>199</v>
      </c>
      <c r="H302" s="5" t="s">
        <v>21</v>
      </c>
      <c r="I302" s="5" t="s">
        <v>971</v>
      </c>
      <c r="J302" s="12" t="str">
        <f>HYPERLINK("https://www.boe.es/gazeta/dias/1808/11/25/pdfs/GMD-E-1808-147.pdf#page=2","Abrir facsímil")</f>
        <v>Abrir facsímil</v>
      </c>
      <c r="K302" s="15" t="s">
        <v>23</v>
      </c>
    </row>
    <row r="303" spans="1:11" ht="42" customHeight="1">
      <c r="A303" s="4" t="s">
        <v>972</v>
      </c>
      <c r="B303" s="5" t="s">
        <v>973</v>
      </c>
      <c r="C303" s="5" t="s">
        <v>94</v>
      </c>
      <c r="D303" s="5" t="s">
        <v>95</v>
      </c>
      <c r="E303" s="5" t="s">
        <v>974</v>
      </c>
      <c r="F303" s="9" t="s">
        <v>975</v>
      </c>
      <c r="G303" s="9">
        <v>391</v>
      </c>
      <c r="H303" s="5" t="s">
        <v>21</v>
      </c>
      <c r="I303" s="5" t="s">
        <v>976</v>
      </c>
      <c r="J303" s="12" t="str">
        <f>HYPERLINK("https://www.boe.es/gazeta/dias/1808/04/19/pdfs/GMD-1808-37.pdf#page=7","Abrir facsímil")</f>
        <v>Abrir facsímil</v>
      </c>
      <c r="K303" s="15" t="s">
        <v>23</v>
      </c>
    </row>
    <row r="304" spans="1:11" ht="42" customHeight="1">
      <c r="A304" s="4" t="s">
        <v>977</v>
      </c>
      <c r="B304" s="5" t="s">
        <v>977</v>
      </c>
      <c r="C304" s="5" t="s">
        <v>33</v>
      </c>
      <c r="D304" s="5" t="s">
        <v>34</v>
      </c>
      <c r="E304" s="5" t="s">
        <v>68</v>
      </c>
      <c r="F304" s="9" t="s">
        <v>309</v>
      </c>
      <c r="G304" s="9" t="s">
        <v>106</v>
      </c>
      <c r="H304" s="5" t="s">
        <v>21</v>
      </c>
      <c r="I304" s="5" t="s">
        <v>978</v>
      </c>
      <c r="J304" s="12" t="str">
        <f>HYPERLINK("https://www.boe.es/gazeta/dias/1808/10/21/pdfs/GMD-D-1808-136.pdf#page=3","Abrir facsímil")</f>
        <v>Abrir facsímil</v>
      </c>
      <c r="K304" s="15" t="s">
        <v>23</v>
      </c>
    </row>
    <row r="305" spans="1:11" ht="42" customHeight="1">
      <c r="A305" s="4" t="s">
        <v>979</v>
      </c>
      <c r="B305" s="5" t="s">
        <v>979</v>
      </c>
      <c r="C305" s="5" t="s">
        <v>94</v>
      </c>
      <c r="D305" s="5" t="s">
        <v>95</v>
      </c>
      <c r="E305" s="5" t="s">
        <v>166</v>
      </c>
      <c r="F305" s="9" t="s">
        <v>400</v>
      </c>
      <c r="G305" s="9" t="s">
        <v>199</v>
      </c>
      <c r="H305" s="5" t="s">
        <v>21</v>
      </c>
      <c r="I305" s="5" t="s">
        <v>980</v>
      </c>
      <c r="J305" s="12" t="str">
        <f>HYPERLINK("https://www.boe.es/gazeta/dias/1808/11/18/pdfs/D00069-00072.pdf#page=2","Abrir facsímil")</f>
        <v>Abrir facsímil</v>
      </c>
      <c r="K305" s="15" t="s">
        <v>23</v>
      </c>
    </row>
    <row r="306" spans="1:11" ht="42" customHeight="1">
      <c r="A306" s="4" t="s">
        <v>981</v>
      </c>
      <c r="B306" s="5" t="s">
        <v>982</v>
      </c>
      <c r="C306" s="5" t="s">
        <v>33</v>
      </c>
      <c r="D306" s="5" t="s">
        <v>34</v>
      </c>
      <c r="E306" s="5" t="s">
        <v>115</v>
      </c>
      <c r="F306" s="9" t="s">
        <v>116</v>
      </c>
      <c r="G306" s="9" t="s">
        <v>106</v>
      </c>
      <c r="H306" s="5" t="s">
        <v>21</v>
      </c>
      <c r="I306" s="5" t="s">
        <v>983</v>
      </c>
      <c r="J306" s="12" t="str">
        <f>HYPERLINK("https://www.boe.es/gazeta/dias/1808/09/16/pdfs/GMD-C-1808-125.pdf#page=3","Abrir facsímil")</f>
        <v>Abrir facsímil</v>
      </c>
      <c r="K306" s="15" t="s">
        <v>23</v>
      </c>
    </row>
    <row r="307" spans="1:11" ht="42" customHeight="1">
      <c r="A307" s="4" t="s">
        <v>984</v>
      </c>
      <c r="B307" s="5" t="s">
        <v>984</v>
      </c>
      <c r="C307" s="5" t="s">
        <v>33</v>
      </c>
      <c r="D307" s="5" t="s">
        <v>34</v>
      </c>
      <c r="E307" s="5" t="s">
        <v>35</v>
      </c>
      <c r="F307" s="9" t="s">
        <v>36</v>
      </c>
      <c r="G307" s="9" t="s">
        <v>985</v>
      </c>
      <c r="H307" s="5" t="s">
        <v>21</v>
      </c>
      <c r="I307" s="5" t="s">
        <v>986</v>
      </c>
      <c r="J307" s="12" t="str">
        <f>HYPERLINK("https://www.boe.es/gazeta/dias/1808/04/22/pdfs/GMD-C-1808-38.pdf#page=39","Abrir facsímil")</f>
        <v>Abrir facsímil</v>
      </c>
      <c r="K307" s="15" t="s">
        <v>23</v>
      </c>
    </row>
    <row r="308" spans="1:11" ht="42" customHeight="1">
      <c r="A308" s="4" t="s">
        <v>987</v>
      </c>
      <c r="B308" s="5" t="s">
        <v>988</v>
      </c>
      <c r="C308" s="5" t="s">
        <v>17</v>
      </c>
      <c r="D308" s="5" t="s">
        <v>18</v>
      </c>
      <c r="E308" s="5" t="s">
        <v>110</v>
      </c>
      <c r="F308" s="9" t="s">
        <v>111</v>
      </c>
      <c r="G308" s="9">
        <v>1384</v>
      </c>
      <c r="H308" s="5" t="s">
        <v>21</v>
      </c>
      <c r="I308" s="5" t="s">
        <v>989</v>
      </c>
      <c r="J308" s="12" t="str">
        <f>HYPERLINK("https://www.boe.es/gazeta/dias/1808/10/28/pdfs/GMD-1808-138.pdf#page=10","Abrir facsímil")</f>
        <v>Abrir facsímil</v>
      </c>
      <c r="K308" s="15" t="s">
        <v>23</v>
      </c>
    </row>
    <row r="309" spans="1:11" ht="42" customHeight="1">
      <c r="A309" s="4" t="s">
        <v>990</v>
      </c>
      <c r="B309" s="5" t="s">
        <v>990</v>
      </c>
      <c r="C309" s="5" t="s">
        <v>389</v>
      </c>
      <c r="D309" s="5" t="s">
        <v>390</v>
      </c>
      <c r="E309" s="5" t="s">
        <v>991</v>
      </c>
      <c r="F309" s="9" t="s">
        <v>992</v>
      </c>
      <c r="G309" s="9">
        <v>220</v>
      </c>
      <c r="H309" s="5" t="s">
        <v>21</v>
      </c>
      <c r="I309" s="5" t="s">
        <v>993</v>
      </c>
      <c r="J309" s="12" t="str">
        <f>HYPERLINK("https://www.boe.es/gazeta/dias/1808/03/01/pdfs/GMD-1808-18.pdf#page=10","Abrir facsímil")</f>
        <v>Abrir facsímil</v>
      </c>
      <c r="K309" s="15" t="s">
        <v>23</v>
      </c>
    </row>
    <row r="310" spans="1:11" ht="42" customHeight="1">
      <c r="A310" s="4" t="s">
        <v>994</v>
      </c>
      <c r="B310" s="5" t="s">
        <v>994</v>
      </c>
      <c r="C310" s="5" t="s">
        <v>33</v>
      </c>
      <c r="D310" s="5" t="s">
        <v>34</v>
      </c>
      <c r="E310" s="5" t="s">
        <v>35</v>
      </c>
      <c r="F310" s="9" t="s">
        <v>36</v>
      </c>
      <c r="G310" s="9" t="s">
        <v>199</v>
      </c>
      <c r="H310" s="5" t="s">
        <v>21</v>
      </c>
      <c r="I310" s="5" t="s">
        <v>995</v>
      </c>
      <c r="J310" s="12" t="str">
        <f>HYPERLINK("https://www.boe.es/gazeta/dias/1808/04/22/pdfs/GMD-C-1808-38.pdf#page=2","Abrir facsímil")</f>
        <v>Abrir facsímil</v>
      </c>
      <c r="K310" s="15" t="s">
        <v>23</v>
      </c>
    </row>
    <row r="311" spans="1:11" ht="42" customHeight="1">
      <c r="A311" s="4" t="s">
        <v>996</v>
      </c>
      <c r="B311" s="5" t="s">
        <v>997</v>
      </c>
      <c r="C311" s="5" t="s">
        <v>17</v>
      </c>
      <c r="D311" s="5" t="s">
        <v>18</v>
      </c>
      <c r="E311" s="5" t="s">
        <v>203</v>
      </c>
      <c r="F311" s="9" t="s">
        <v>204</v>
      </c>
      <c r="G311" s="9">
        <v>141</v>
      </c>
      <c r="H311" s="5" t="s">
        <v>21</v>
      </c>
      <c r="I311" s="5" t="s">
        <v>998</v>
      </c>
      <c r="J311" s="12" t="str">
        <f>HYPERLINK("https://www.boe.es/gazeta/dias/1808/02/09/pdfs/GMD-1808-12.pdf#page=9","Abrir facsímil")</f>
        <v>Abrir facsímil</v>
      </c>
      <c r="K311" s="15" t="s">
        <v>23</v>
      </c>
    </row>
    <row r="312" spans="1:11" ht="42" customHeight="1">
      <c r="A312" s="4" t="s">
        <v>999</v>
      </c>
      <c r="B312" s="5" t="s">
        <v>999</v>
      </c>
      <c r="C312" s="5" t="s">
        <v>94</v>
      </c>
      <c r="D312" s="5" t="s">
        <v>95</v>
      </c>
      <c r="E312" s="5" t="s">
        <v>558</v>
      </c>
      <c r="F312" s="9" t="s">
        <v>559</v>
      </c>
      <c r="G312" s="9">
        <v>1543</v>
      </c>
      <c r="H312" s="5" t="s">
        <v>21</v>
      </c>
      <c r="I312" s="5" t="s">
        <v>1000</v>
      </c>
      <c r="J312" s="12" t="str">
        <f>HYPERLINK("https://www.boe.es/gazeta/dias/1808/11/25/pdfs/GMD-1808-147.pdf#page=9","Abrir facsímil")</f>
        <v>Abrir facsímil</v>
      </c>
      <c r="K312" s="15" t="s">
        <v>23</v>
      </c>
    </row>
    <row r="313" spans="1:11" ht="42" customHeight="1">
      <c r="A313" s="4" t="s">
        <v>1001</v>
      </c>
      <c r="B313" s="5" t="s">
        <v>1002</v>
      </c>
      <c r="C313" s="5" t="s">
        <v>33</v>
      </c>
      <c r="D313" s="5" t="s">
        <v>34</v>
      </c>
      <c r="E313" s="5" t="s">
        <v>363</v>
      </c>
      <c r="F313" s="9" t="s">
        <v>364</v>
      </c>
      <c r="G313" s="9" t="s">
        <v>199</v>
      </c>
      <c r="H313" s="5" t="s">
        <v>21</v>
      </c>
      <c r="I313" s="5" t="s">
        <v>1003</v>
      </c>
      <c r="J313" s="12" t="str">
        <f>HYPERLINK("https://www.boe.es/gazeta/dias/1808/09/20/pdfs/GMD-C-1808-126.pdf#page=2","Abrir facsímil")</f>
        <v>Abrir facsímil</v>
      </c>
      <c r="K313" s="15" t="s">
        <v>23</v>
      </c>
    </row>
    <row r="314" spans="1:11" ht="42" customHeight="1">
      <c r="A314" s="4" t="s">
        <v>1004</v>
      </c>
      <c r="B314" s="5" t="s">
        <v>1005</v>
      </c>
      <c r="C314" s="5" t="s">
        <v>33</v>
      </c>
      <c r="D314" s="5" t="s">
        <v>34</v>
      </c>
      <c r="E314" s="5" t="s">
        <v>35</v>
      </c>
      <c r="F314" s="9" t="s">
        <v>36</v>
      </c>
      <c r="G314" s="9" t="s">
        <v>1006</v>
      </c>
      <c r="H314" s="5" t="s">
        <v>21</v>
      </c>
      <c r="I314" s="5" t="s">
        <v>1007</v>
      </c>
      <c r="J314" s="12" t="str">
        <f>HYPERLINK("https://www.boe.es/gazeta/dias/1808/04/22/pdfs/GMD-C-1808-38.pdf#page=46","Abrir facsímil")</f>
        <v>Abrir facsímil</v>
      </c>
      <c r="K314" s="15" t="s">
        <v>23</v>
      </c>
    </row>
    <row r="315" spans="1:11" ht="42" customHeight="1">
      <c r="A315" s="4" t="s">
        <v>1008</v>
      </c>
      <c r="B315" s="5" t="s">
        <v>1009</v>
      </c>
      <c r="C315" s="5" t="s">
        <v>94</v>
      </c>
      <c r="D315" s="5" t="s">
        <v>95</v>
      </c>
      <c r="E315" s="5" t="s">
        <v>473</v>
      </c>
      <c r="F315" s="9" t="s">
        <v>474</v>
      </c>
      <c r="G315" s="9">
        <v>708</v>
      </c>
      <c r="H315" s="5" t="s">
        <v>21</v>
      </c>
      <c r="I315" s="5" t="s">
        <v>1010</v>
      </c>
      <c r="J315" s="12" t="str">
        <f>HYPERLINK("https://www.boe.es/gazeta/dias/1808/07/02/pdfs/GMD-1808-74.pdf#page=6","Abrir facsímil")</f>
        <v>Abrir facsímil</v>
      </c>
      <c r="K315" s="15" t="s">
        <v>23</v>
      </c>
    </row>
    <row r="316" spans="1:11" ht="42" customHeight="1">
      <c r="A316" s="4" t="s">
        <v>1011</v>
      </c>
      <c r="B316" s="5" t="s">
        <v>1012</v>
      </c>
      <c r="C316" s="5" t="s">
        <v>260</v>
      </c>
      <c r="D316" s="5" t="s">
        <v>42</v>
      </c>
      <c r="E316" s="5" t="s">
        <v>120</v>
      </c>
      <c r="F316" s="9" t="s">
        <v>121</v>
      </c>
      <c r="G316" s="9">
        <v>315</v>
      </c>
      <c r="H316" s="5" t="s">
        <v>21</v>
      </c>
      <c r="I316" s="5" t="s">
        <v>1013</v>
      </c>
      <c r="J316" s="12" t="str">
        <f>HYPERLINK("https://www.boe.es/gazeta/dias/1808/03/29/pdfs/GMD-1808-27.pdf#page=11","Abrir facsímil")</f>
        <v>Abrir facsímil</v>
      </c>
      <c r="K316" s="15" t="s">
        <v>23</v>
      </c>
    </row>
    <row r="317" spans="1:11" ht="42" customHeight="1">
      <c r="A317" s="4" t="s">
        <v>1014</v>
      </c>
      <c r="B317" s="5" t="s">
        <v>1014</v>
      </c>
      <c r="C317" s="5" t="s">
        <v>17</v>
      </c>
      <c r="D317" s="5" t="s">
        <v>18</v>
      </c>
      <c r="E317" s="5" t="s">
        <v>19</v>
      </c>
      <c r="F317" s="9" t="s">
        <v>59</v>
      </c>
      <c r="G317" s="9">
        <v>1229</v>
      </c>
      <c r="H317" s="5" t="s">
        <v>21</v>
      </c>
      <c r="I317" s="5" t="s">
        <v>1015</v>
      </c>
      <c r="J317" s="12" t="str">
        <f>HYPERLINK("https://www.boe.es/gazeta/dias/1808/09/30/pdfs/GMD-1808-130.pdf#page=9","Abrir facsímil")</f>
        <v>Abrir facsímil</v>
      </c>
      <c r="K317" s="15" t="s">
        <v>23</v>
      </c>
    </row>
    <row r="318" spans="1:11" ht="42" customHeight="1">
      <c r="A318" s="4" t="s">
        <v>1016</v>
      </c>
      <c r="B318" s="5" t="s">
        <v>1016</v>
      </c>
      <c r="C318" s="5" t="s">
        <v>33</v>
      </c>
      <c r="D318" s="5" t="s">
        <v>34</v>
      </c>
      <c r="E318" s="5" t="s">
        <v>35</v>
      </c>
      <c r="F318" s="9" t="s">
        <v>36</v>
      </c>
      <c r="G318" s="9" t="s">
        <v>284</v>
      </c>
      <c r="H318" s="5" t="s">
        <v>21</v>
      </c>
      <c r="I318" s="5" t="s">
        <v>1017</v>
      </c>
      <c r="J318" s="12" t="str">
        <f>HYPERLINK("https://www.boe.es/gazeta/dias/1808/04/22/pdfs/GMD-C-1808-38.pdf#page=35","Abrir facsímil")</f>
        <v>Abrir facsímil</v>
      </c>
      <c r="K318" s="15" t="s">
        <v>23</v>
      </c>
    </row>
    <row r="319" spans="1:11" ht="42" customHeight="1">
      <c r="A319" s="4" t="s">
        <v>1018</v>
      </c>
      <c r="B319" s="5" t="s">
        <v>1019</v>
      </c>
      <c r="C319" s="5" t="s">
        <v>17</v>
      </c>
      <c r="D319" s="5" t="s">
        <v>18</v>
      </c>
      <c r="E319" s="5" t="s">
        <v>65</v>
      </c>
      <c r="F319" s="9" t="s">
        <v>66</v>
      </c>
      <c r="G319" s="9">
        <v>1306</v>
      </c>
      <c r="H319" s="5" t="s">
        <v>21</v>
      </c>
      <c r="I319" s="5" t="s">
        <v>1020</v>
      </c>
      <c r="J319" s="12" t="str">
        <f>HYPERLINK("https://www.boe.es/gazeta/dias/1808/10/18/pdfs/GMD-1808-135.pdf#page=6","Abrir facsímil")</f>
        <v>Abrir facsímil</v>
      </c>
      <c r="K319" s="15" t="s">
        <v>23</v>
      </c>
    </row>
    <row r="320" spans="1:11" ht="42" customHeight="1">
      <c r="A320" s="4" t="s">
        <v>1021</v>
      </c>
      <c r="B320" s="5" t="s">
        <v>1021</v>
      </c>
      <c r="C320" s="5" t="s">
        <v>17</v>
      </c>
      <c r="D320" s="5" t="s">
        <v>18</v>
      </c>
      <c r="E320" s="5" t="s">
        <v>203</v>
      </c>
      <c r="F320" s="9" t="s">
        <v>204</v>
      </c>
      <c r="G320" s="9">
        <v>141</v>
      </c>
      <c r="H320" s="5" t="s">
        <v>21</v>
      </c>
      <c r="I320" s="5" t="s">
        <v>1022</v>
      </c>
      <c r="J320" s="12" t="str">
        <f>HYPERLINK("https://www.boe.es/gazeta/dias/1808/02/09/pdfs/GMD-1808-12.pdf#page=9","Abrir facsímil")</f>
        <v>Abrir facsímil</v>
      </c>
      <c r="K320" s="15" t="s">
        <v>23</v>
      </c>
    </row>
    <row r="321" spans="1:11" ht="42" customHeight="1">
      <c r="A321" s="4" t="s">
        <v>1023</v>
      </c>
      <c r="B321" s="5" t="s">
        <v>1023</v>
      </c>
      <c r="C321" s="5" t="s">
        <v>33</v>
      </c>
      <c r="D321" s="5" t="s">
        <v>34</v>
      </c>
      <c r="E321" s="5" t="s">
        <v>166</v>
      </c>
      <c r="F321" s="9" t="s">
        <v>400</v>
      </c>
      <c r="G321" s="9" t="s">
        <v>199</v>
      </c>
      <c r="H321" s="5" t="s">
        <v>21</v>
      </c>
      <c r="I321" s="5" t="s">
        <v>1024</v>
      </c>
      <c r="J321" s="12" t="str">
        <f>HYPERLINK("https://www.boe.es/gazeta/dias/1808/11/18/pdfs/D00069-00072.pdf#page=2","Abrir facsímil")</f>
        <v>Abrir facsímil</v>
      </c>
      <c r="K321" s="15" t="s">
        <v>23</v>
      </c>
    </row>
    <row r="322" spans="1:11" ht="42" customHeight="1">
      <c r="A322" s="4" t="s">
        <v>1025</v>
      </c>
      <c r="B322" s="5" t="s">
        <v>1025</v>
      </c>
      <c r="C322" s="5" t="s">
        <v>17</v>
      </c>
      <c r="D322" s="5" t="s">
        <v>18</v>
      </c>
      <c r="E322" s="5" t="s">
        <v>125</v>
      </c>
      <c r="F322" s="9" t="s">
        <v>397</v>
      </c>
      <c r="G322" s="9">
        <v>1269</v>
      </c>
      <c r="H322" s="5" t="s">
        <v>21</v>
      </c>
      <c r="I322" s="5" t="s">
        <v>1026</v>
      </c>
      <c r="J322" s="12" t="str">
        <f>HYPERLINK("https://www.boe.es/gazeta/dias/1808/10/07/pdfs/GMD-1808-132.pdf#page=9","Abrir facsímil")</f>
        <v>Abrir facsímil</v>
      </c>
      <c r="K322" s="15" t="s">
        <v>23</v>
      </c>
    </row>
    <row r="323" spans="1:11" ht="42" customHeight="1">
      <c r="A323" s="4" t="s">
        <v>1027</v>
      </c>
      <c r="B323" s="5" t="s">
        <v>1027</v>
      </c>
      <c r="C323" s="5" t="s">
        <v>33</v>
      </c>
      <c r="D323" s="5" t="s">
        <v>34</v>
      </c>
      <c r="E323" s="5" t="s">
        <v>35</v>
      </c>
      <c r="F323" s="9" t="s">
        <v>36</v>
      </c>
      <c r="G323" s="9" t="s">
        <v>273</v>
      </c>
      <c r="H323" s="5" t="s">
        <v>21</v>
      </c>
      <c r="I323" s="5" t="s">
        <v>1028</v>
      </c>
      <c r="J323" s="12" t="str">
        <f>HYPERLINK("https://www.boe.es/gazeta/dias/1808/04/22/pdfs/GMD-C-1808-38.pdf#page=12","Abrir facsímil")</f>
        <v>Abrir facsímil</v>
      </c>
      <c r="K323" s="15" t="s">
        <v>23</v>
      </c>
    </row>
    <row r="324" spans="1:11" ht="42" customHeight="1">
      <c r="A324" s="4" t="s">
        <v>1029</v>
      </c>
      <c r="B324" s="5" t="s">
        <v>1030</v>
      </c>
      <c r="C324" s="5" t="s">
        <v>17</v>
      </c>
      <c r="D324" s="5" t="s">
        <v>18</v>
      </c>
      <c r="E324" s="5" t="s">
        <v>125</v>
      </c>
      <c r="F324" s="9" t="s">
        <v>397</v>
      </c>
      <c r="G324" s="9">
        <v>1269</v>
      </c>
      <c r="H324" s="5" t="s">
        <v>21</v>
      </c>
      <c r="I324" s="5" t="s">
        <v>1031</v>
      </c>
      <c r="J324" s="12" t="str">
        <f>HYPERLINK("https://www.boe.es/gazeta/dias/1808/10/07/pdfs/GMD-1808-132.pdf#page=9","Abrir facsímil")</f>
        <v>Abrir facsímil</v>
      </c>
      <c r="K324" s="15" t="s">
        <v>23</v>
      </c>
    </row>
    <row r="325" spans="1:11" ht="42" customHeight="1">
      <c r="A325" s="4" t="s">
        <v>1032</v>
      </c>
      <c r="B325" s="5" t="s">
        <v>1032</v>
      </c>
      <c r="C325" s="5" t="s">
        <v>33</v>
      </c>
      <c r="D325" s="5" t="s">
        <v>34</v>
      </c>
      <c r="E325" s="5" t="s">
        <v>35</v>
      </c>
      <c r="F325" s="9" t="s">
        <v>36</v>
      </c>
      <c r="G325" s="9" t="s">
        <v>498</v>
      </c>
      <c r="H325" s="5" t="s">
        <v>21</v>
      </c>
      <c r="I325" s="5" t="s">
        <v>1033</v>
      </c>
      <c r="J325" s="12" t="str">
        <f>HYPERLINK("https://www.boe.es/gazeta/dias/1808/04/22/pdfs/GMD-C-1808-38.pdf#page=22","Abrir facsímil")</f>
        <v>Abrir facsímil</v>
      </c>
      <c r="K325" s="15" t="s">
        <v>23</v>
      </c>
    </row>
    <row r="326" spans="1:11" ht="42" customHeight="1">
      <c r="A326" s="4" t="s">
        <v>1034</v>
      </c>
      <c r="B326" s="5" t="s">
        <v>1034</v>
      </c>
      <c r="C326" s="5" t="s">
        <v>33</v>
      </c>
      <c r="D326" s="5" t="s">
        <v>34</v>
      </c>
      <c r="E326" s="5" t="s">
        <v>35</v>
      </c>
      <c r="F326" s="9" t="s">
        <v>36</v>
      </c>
      <c r="G326" s="9" t="s">
        <v>313</v>
      </c>
      <c r="H326" s="5" t="s">
        <v>21</v>
      </c>
      <c r="I326" s="5" t="s">
        <v>1035</v>
      </c>
      <c r="J326" s="12" t="str">
        <f>HYPERLINK("https://www.boe.es/gazeta/dias/1808/04/22/pdfs/GMD-C-1808-38.pdf#page=29","Abrir facsímil")</f>
        <v>Abrir facsímil</v>
      </c>
      <c r="K326" s="15" t="s">
        <v>23</v>
      </c>
    </row>
    <row r="327" spans="1:11" ht="42" customHeight="1">
      <c r="A327" s="4" t="s">
        <v>1036</v>
      </c>
      <c r="B327" s="5" t="s">
        <v>1037</v>
      </c>
      <c r="C327" s="5" t="s">
        <v>389</v>
      </c>
      <c r="D327" s="5" t="s">
        <v>390</v>
      </c>
      <c r="E327" s="5" t="s">
        <v>110</v>
      </c>
      <c r="F327" s="9" t="s">
        <v>111</v>
      </c>
      <c r="G327" s="9">
        <v>1386</v>
      </c>
      <c r="H327" s="5" t="s">
        <v>21</v>
      </c>
      <c r="I327" s="5" t="s">
        <v>1038</v>
      </c>
      <c r="J327" s="12" t="str">
        <f>HYPERLINK("https://www.boe.es/gazeta/dias/1808/10/28/pdfs/GMD-1808-138.pdf#page=12","Abrir facsímil")</f>
        <v>Abrir facsímil</v>
      </c>
      <c r="K327" s="15" t="s">
        <v>23</v>
      </c>
    </row>
    <row r="328" spans="1:11" ht="42" customHeight="1">
      <c r="A328" s="4" t="s">
        <v>1039</v>
      </c>
      <c r="B328" s="5" t="s">
        <v>1040</v>
      </c>
      <c r="C328" s="5" t="s">
        <v>389</v>
      </c>
      <c r="D328" s="5" t="s">
        <v>390</v>
      </c>
      <c r="E328" s="5" t="s">
        <v>427</v>
      </c>
      <c r="F328" s="9" t="s">
        <v>428</v>
      </c>
      <c r="G328" s="9" t="s">
        <v>199</v>
      </c>
      <c r="H328" s="5" t="s">
        <v>21</v>
      </c>
      <c r="I328" s="5" t="s">
        <v>1041</v>
      </c>
      <c r="J328" s="12" t="str">
        <f>HYPERLINK("https://www.boe.es/gazeta/dias/1808/11/22/pdfs/GMD-D-1808-146.pdf#page=2","Abrir facsímil")</f>
        <v>Abrir facsímil</v>
      </c>
      <c r="K328" s="15" t="s">
        <v>23</v>
      </c>
    </row>
    <row r="329" spans="1:11" ht="42" customHeight="1">
      <c r="A329" s="4" t="s">
        <v>1042</v>
      </c>
      <c r="B329" s="5" t="s">
        <v>1042</v>
      </c>
      <c r="C329" s="5" t="s">
        <v>33</v>
      </c>
      <c r="D329" s="5" t="s">
        <v>34</v>
      </c>
      <c r="E329" s="5" t="s">
        <v>558</v>
      </c>
      <c r="F329" s="9" t="s">
        <v>758</v>
      </c>
      <c r="G329" s="9" t="s">
        <v>117</v>
      </c>
      <c r="H329" s="5" t="s">
        <v>21</v>
      </c>
      <c r="I329" s="5" t="s">
        <v>1043</v>
      </c>
      <c r="J329" s="12" t="str">
        <f>HYPERLINK("https://www.boe.es/gazeta/dias/1808/11/25/pdfs/GMD-E-1808-147.pdf#page=1","Abrir facsímil")</f>
        <v>Abrir facsímil</v>
      </c>
      <c r="K329" s="15" t="s">
        <v>23</v>
      </c>
    </row>
    <row r="330" spans="1:11" ht="42" customHeight="1">
      <c r="A330" s="4" t="s">
        <v>1044</v>
      </c>
      <c r="B330" s="5" t="s">
        <v>1045</v>
      </c>
      <c r="C330" s="5" t="s">
        <v>33</v>
      </c>
      <c r="D330" s="5" t="s">
        <v>34</v>
      </c>
      <c r="E330" s="5" t="s">
        <v>19</v>
      </c>
      <c r="F330" s="9" t="s">
        <v>949</v>
      </c>
      <c r="G330" s="9" t="s">
        <v>117</v>
      </c>
      <c r="H330" s="5" t="s">
        <v>21</v>
      </c>
      <c r="I330" s="5" t="s">
        <v>1046</v>
      </c>
      <c r="J330" s="12" t="str">
        <f>HYPERLINK("https://www.boe.es/gazeta/dias/1808/09/30/pdfs/GMD-C-1808-130.pdf#page=1","Abrir facsímil")</f>
        <v>Abrir facsímil</v>
      </c>
      <c r="K330" s="15" t="s">
        <v>23</v>
      </c>
    </row>
    <row r="331" spans="1:11" ht="42" customHeight="1">
      <c r="A331" s="4" t="s">
        <v>1047</v>
      </c>
      <c r="B331" s="5" t="s">
        <v>1047</v>
      </c>
      <c r="C331" s="5" t="s">
        <v>33</v>
      </c>
      <c r="D331" s="5" t="s">
        <v>34</v>
      </c>
      <c r="E331" s="5" t="s">
        <v>35</v>
      </c>
      <c r="F331" s="9" t="s">
        <v>36</v>
      </c>
      <c r="G331" s="9" t="s">
        <v>144</v>
      </c>
      <c r="H331" s="5" t="s">
        <v>21</v>
      </c>
      <c r="I331" s="5" t="s">
        <v>1048</v>
      </c>
      <c r="J331" s="12" t="str">
        <f>HYPERLINK("https://www.boe.es/gazeta/dias/1808/04/22/pdfs/GMD-C-1808-38.pdf#page=40","Abrir facsímil")</f>
        <v>Abrir facsímil</v>
      </c>
      <c r="K331" s="15" t="s">
        <v>23</v>
      </c>
    </row>
    <row r="332" spans="1:11" ht="42" customHeight="1">
      <c r="A332" s="4" t="s">
        <v>1049</v>
      </c>
      <c r="B332" s="5" t="s">
        <v>1049</v>
      </c>
      <c r="C332" s="5" t="s">
        <v>33</v>
      </c>
      <c r="D332" s="5" t="s">
        <v>34</v>
      </c>
      <c r="E332" s="5" t="s">
        <v>456</v>
      </c>
      <c r="F332" s="9" t="s">
        <v>748</v>
      </c>
      <c r="G332" s="9" t="s">
        <v>106</v>
      </c>
      <c r="H332" s="5" t="s">
        <v>21</v>
      </c>
      <c r="I332" s="5" t="s">
        <v>1050</v>
      </c>
      <c r="J332" s="12" t="str">
        <f>HYPERLINK("https://www.boe.es/gazeta/dias/1808/10/14/pdfs/GMD-C-1808-134.pdf#page=3","Abrir facsímil")</f>
        <v>Abrir facsímil</v>
      </c>
      <c r="K332" s="15" t="s">
        <v>23</v>
      </c>
    </row>
    <row r="333" spans="1:11" ht="42" customHeight="1">
      <c r="A333" s="4" t="s">
        <v>1051</v>
      </c>
      <c r="B333" s="5" t="s">
        <v>1052</v>
      </c>
      <c r="C333" s="5" t="s">
        <v>17</v>
      </c>
      <c r="D333" s="5" t="s">
        <v>18</v>
      </c>
      <c r="E333" s="5" t="s">
        <v>125</v>
      </c>
      <c r="F333" s="9" t="s">
        <v>397</v>
      </c>
      <c r="G333" s="9">
        <v>1270</v>
      </c>
      <c r="H333" s="5" t="s">
        <v>21</v>
      </c>
      <c r="I333" s="5" t="s">
        <v>1053</v>
      </c>
      <c r="J333" s="12" t="str">
        <f>HYPERLINK("https://www.boe.es/gazeta/dias/1808/10/07/pdfs/GMD-1808-132.pdf#page=10","Abrir facsímil")</f>
        <v>Abrir facsímil</v>
      </c>
      <c r="K333" s="15" t="s">
        <v>23</v>
      </c>
    </row>
    <row r="334" spans="1:11" ht="42" customHeight="1">
      <c r="A334" s="4" t="s">
        <v>1054</v>
      </c>
      <c r="B334" s="5" t="s">
        <v>1054</v>
      </c>
      <c r="C334" s="5" t="s">
        <v>33</v>
      </c>
      <c r="D334" s="5" t="s">
        <v>34</v>
      </c>
      <c r="E334" s="5" t="s">
        <v>35</v>
      </c>
      <c r="F334" s="9" t="s">
        <v>36</v>
      </c>
      <c r="G334" s="9" t="s">
        <v>324</v>
      </c>
      <c r="H334" s="5" t="s">
        <v>21</v>
      </c>
      <c r="I334" s="5" t="s">
        <v>1055</v>
      </c>
      <c r="J334" s="12" t="str">
        <f>HYPERLINK("https://www.boe.es/gazeta/dias/1808/04/22/pdfs/GMD-C-1808-38.pdf#page=24","Abrir facsímil")</f>
        <v>Abrir facsímil</v>
      </c>
      <c r="K334" s="15" t="s">
        <v>23</v>
      </c>
    </row>
    <row r="335" spans="1:11" ht="42" customHeight="1">
      <c r="A335" s="4" t="s">
        <v>1056</v>
      </c>
      <c r="B335" s="5" t="s">
        <v>1057</v>
      </c>
      <c r="C335" s="5" t="s">
        <v>33</v>
      </c>
      <c r="D335" s="5" t="s">
        <v>34</v>
      </c>
      <c r="E335" s="5" t="s">
        <v>35</v>
      </c>
      <c r="F335" s="9" t="s">
        <v>36</v>
      </c>
      <c r="G335" s="9" t="s">
        <v>277</v>
      </c>
      <c r="H335" s="5" t="s">
        <v>21</v>
      </c>
      <c r="I335" s="5" t="s">
        <v>1058</v>
      </c>
      <c r="J335" s="12" t="str">
        <f>HYPERLINK("https://www.boe.es/gazeta/dias/1808/04/22/pdfs/GMD-C-1808-38.pdf#page=34","Abrir facsímil")</f>
        <v>Abrir facsímil</v>
      </c>
      <c r="K335" s="15" t="s">
        <v>23</v>
      </c>
    </row>
    <row r="336" spans="1:11" ht="42" customHeight="1">
      <c r="A336" s="4" t="s">
        <v>1059</v>
      </c>
      <c r="B336" s="5" t="s">
        <v>1059</v>
      </c>
      <c r="C336" s="5" t="s">
        <v>33</v>
      </c>
      <c r="D336" s="5" t="s">
        <v>34</v>
      </c>
      <c r="E336" s="5" t="s">
        <v>89</v>
      </c>
      <c r="F336" s="9" t="s">
        <v>563</v>
      </c>
      <c r="G336" s="9" t="s">
        <v>199</v>
      </c>
      <c r="H336" s="5" t="s">
        <v>21</v>
      </c>
      <c r="I336" s="5" t="s">
        <v>1060</v>
      </c>
      <c r="J336" s="12" t="str">
        <f>HYPERLINK("https://www.boe.es/gazeta/dias/1808/10/25/pdfs/GMD-D-1808-137.pdf#page=2","Abrir facsímil")</f>
        <v>Abrir facsímil</v>
      </c>
      <c r="K336" s="15" t="s">
        <v>23</v>
      </c>
    </row>
    <row r="337" spans="1:11" ht="42" customHeight="1">
      <c r="A337" s="4" t="s">
        <v>1061</v>
      </c>
      <c r="B337" s="5" t="s">
        <v>1061</v>
      </c>
      <c r="C337" s="5" t="s">
        <v>33</v>
      </c>
      <c r="D337" s="5" t="s">
        <v>34</v>
      </c>
      <c r="E337" s="5" t="s">
        <v>35</v>
      </c>
      <c r="F337" s="9" t="s">
        <v>36</v>
      </c>
      <c r="G337" s="9" t="s">
        <v>707</v>
      </c>
      <c r="H337" s="5" t="s">
        <v>21</v>
      </c>
      <c r="I337" s="5" t="s">
        <v>1062</v>
      </c>
      <c r="J337" s="12" t="str">
        <f>HYPERLINK("https://www.boe.es/gazeta/dias/1808/04/22/pdfs/GMD-C-1808-38.pdf#page=42","Abrir facsímil")</f>
        <v>Abrir facsímil</v>
      </c>
      <c r="K337" s="15" t="s">
        <v>23</v>
      </c>
    </row>
    <row r="338" spans="1:11" ht="42" customHeight="1">
      <c r="A338" s="4" t="s">
        <v>1063</v>
      </c>
      <c r="B338" s="5" t="s">
        <v>1063</v>
      </c>
      <c r="C338" s="5" t="s">
        <v>41</v>
      </c>
      <c r="D338" s="5" t="s">
        <v>42</v>
      </c>
      <c r="E338" s="5" t="s">
        <v>35</v>
      </c>
      <c r="F338" s="9" t="s">
        <v>36</v>
      </c>
      <c r="G338" s="9" t="s">
        <v>414</v>
      </c>
      <c r="H338" s="5" t="s">
        <v>21</v>
      </c>
      <c r="I338" s="5" t="s">
        <v>1064</v>
      </c>
      <c r="J338" s="12" t="str">
        <f>HYPERLINK("https://www.boe.es/gazeta/dias/1808/04/22/pdfs/GMD-C-1808-38.pdf#page=20","Abrir facsímil")</f>
        <v>Abrir facsímil</v>
      </c>
      <c r="K338" s="15" t="s">
        <v>23</v>
      </c>
    </row>
    <row r="339" spans="1:11" ht="42" customHeight="1">
      <c r="A339" s="4" t="s">
        <v>1065</v>
      </c>
      <c r="B339" s="5" t="s">
        <v>1065</v>
      </c>
      <c r="C339" s="5" t="s">
        <v>33</v>
      </c>
      <c r="D339" s="5" t="s">
        <v>34</v>
      </c>
      <c r="E339" s="5" t="s">
        <v>35</v>
      </c>
      <c r="F339" s="9" t="s">
        <v>36</v>
      </c>
      <c r="G339" s="9" t="s">
        <v>75</v>
      </c>
      <c r="H339" s="5" t="s">
        <v>21</v>
      </c>
      <c r="I339" s="5" t="s">
        <v>1066</v>
      </c>
      <c r="J339" s="12" t="str">
        <f>HYPERLINK("https://www.boe.es/gazeta/dias/1808/04/22/pdfs/GMD-C-1808-38.pdf#page=4","Abrir facsímil")</f>
        <v>Abrir facsímil</v>
      </c>
      <c r="K339" s="15" t="s">
        <v>23</v>
      </c>
    </row>
    <row r="340" spans="1:11" ht="42" customHeight="1">
      <c r="A340" s="4" t="s">
        <v>1067</v>
      </c>
      <c r="B340" s="5" t="s">
        <v>1068</v>
      </c>
      <c r="C340" s="5" t="s">
        <v>33</v>
      </c>
      <c r="D340" s="5" t="s">
        <v>34</v>
      </c>
      <c r="E340" s="5" t="s">
        <v>35</v>
      </c>
      <c r="F340" s="9" t="s">
        <v>36</v>
      </c>
      <c r="G340" s="9" t="s">
        <v>655</v>
      </c>
      <c r="H340" s="5" t="s">
        <v>21</v>
      </c>
      <c r="I340" s="5" t="s">
        <v>1069</v>
      </c>
      <c r="J340" s="12" t="str">
        <f>HYPERLINK("https://www.boe.es/gazeta/dias/1808/04/22/pdfs/GMD-C-1808-38.pdf#page=43","Abrir facsímil")</f>
        <v>Abrir facsímil</v>
      </c>
      <c r="K340" s="15" t="s">
        <v>23</v>
      </c>
    </row>
    <row r="341" spans="1:11" ht="42" customHeight="1">
      <c r="A341" s="4" t="s">
        <v>1070</v>
      </c>
      <c r="B341" s="5" t="s">
        <v>1070</v>
      </c>
      <c r="C341" s="5" t="s">
        <v>17</v>
      </c>
      <c r="D341" s="5" t="s">
        <v>18</v>
      </c>
      <c r="E341" s="5" t="s">
        <v>130</v>
      </c>
      <c r="F341" s="9" t="s">
        <v>131</v>
      </c>
      <c r="G341" s="9">
        <v>1602</v>
      </c>
      <c r="H341" s="5" t="s">
        <v>21</v>
      </c>
      <c r="I341" s="5" t="s">
        <v>1071</v>
      </c>
      <c r="J341" s="12" t="str">
        <f>HYPERLINK("https://www.boe.es/gazeta/dias/1808/12/15/pdfs/GMD-1808-155.pdf#page=6","Abrir facsímil")</f>
        <v>Abrir facsímil</v>
      </c>
      <c r="K341" s="15" t="s">
        <v>23</v>
      </c>
    </row>
    <row r="342" spans="1:11" ht="42" customHeight="1">
      <c r="A342" s="4" t="s">
        <v>1072</v>
      </c>
      <c r="B342" s="5" t="s">
        <v>1072</v>
      </c>
      <c r="C342" s="5" t="s">
        <v>94</v>
      </c>
      <c r="D342" s="5" t="s">
        <v>95</v>
      </c>
      <c r="E342" s="5" t="s">
        <v>203</v>
      </c>
      <c r="F342" s="9" t="s">
        <v>204</v>
      </c>
      <c r="G342" s="9">
        <v>141</v>
      </c>
      <c r="H342" s="5" t="s">
        <v>21</v>
      </c>
      <c r="I342" s="5" t="s">
        <v>1073</v>
      </c>
      <c r="J342" s="12" t="str">
        <f>HYPERLINK("https://www.boe.es/gazeta/dias/1808/02/09/pdfs/GMD-1808-12.pdf#page=9","Abrir facsímil")</f>
        <v>Abrir facsímil</v>
      </c>
      <c r="K342" s="15" t="s">
        <v>23</v>
      </c>
    </row>
    <row r="343" spans="1:11" ht="42" customHeight="1">
      <c r="A343" s="4" t="s">
        <v>1074</v>
      </c>
      <c r="B343" s="5" t="s">
        <v>1074</v>
      </c>
      <c r="C343" s="5" t="s">
        <v>94</v>
      </c>
      <c r="D343" s="5" t="s">
        <v>95</v>
      </c>
      <c r="E343" s="5" t="s">
        <v>35</v>
      </c>
      <c r="F343" s="9" t="s">
        <v>36</v>
      </c>
      <c r="G343" s="9" t="s">
        <v>1075</v>
      </c>
      <c r="H343" s="5" t="s">
        <v>21</v>
      </c>
      <c r="I343" s="5" t="s">
        <v>1076</v>
      </c>
      <c r="J343" s="12" t="str">
        <f>HYPERLINK("https://www.boe.es/gazeta/dias/1808/04/22/pdfs/GMD-C-1808-38.pdf#page=32","Abrir facsímil")</f>
        <v>Abrir facsímil</v>
      </c>
      <c r="K343" s="15" t="s">
        <v>23</v>
      </c>
    </row>
    <row r="344" spans="1:11" ht="42" customHeight="1">
      <c r="A344" s="4" t="s">
        <v>1077</v>
      </c>
      <c r="B344" s="5" t="s">
        <v>1078</v>
      </c>
      <c r="C344" s="5" t="s">
        <v>101</v>
      </c>
      <c r="D344" s="5" t="s">
        <v>102</v>
      </c>
      <c r="E344" s="5" t="s">
        <v>516</v>
      </c>
      <c r="F344" s="9" t="s">
        <v>517</v>
      </c>
      <c r="G344" s="9">
        <v>597</v>
      </c>
      <c r="H344" s="5" t="s">
        <v>21</v>
      </c>
      <c r="I344" s="5" t="s">
        <v>1079</v>
      </c>
      <c r="J344" s="12" t="str">
        <f>HYPERLINK("https://www.boe.es/gazeta/dias/1808/06/19/pdfs/GMD-1808-61.pdf#page=3","Abrir facsímil")</f>
        <v>Abrir facsímil</v>
      </c>
      <c r="K344" s="15" t="s">
        <v>23</v>
      </c>
    </row>
    <row r="345" spans="1:11" ht="42" customHeight="1">
      <c r="A345" s="4" t="s">
        <v>1080</v>
      </c>
      <c r="B345" s="5" t="s">
        <v>1080</v>
      </c>
      <c r="C345" s="5" t="s">
        <v>33</v>
      </c>
      <c r="D345" s="5" t="s">
        <v>34</v>
      </c>
      <c r="E345" s="5" t="s">
        <v>35</v>
      </c>
      <c r="F345" s="9" t="s">
        <v>36</v>
      </c>
      <c r="G345" s="9" t="s">
        <v>37</v>
      </c>
      <c r="H345" s="5" t="s">
        <v>21</v>
      </c>
      <c r="I345" s="5" t="s">
        <v>1081</v>
      </c>
      <c r="J345" s="12" t="str">
        <f>HYPERLINK("https://www.boe.es/gazeta/dias/1808/04/22/pdfs/GMD-C-1808-38.pdf#page=33","Abrir facsímil")</f>
        <v>Abrir facsímil</v>
      </c>
      <c r="K345" s="15" t="s">
        <v>23</v>
      </c>
    </row>
    <row r="346" spans="1:11" ht="42" customHeight="1">
      <c r="A346" s="4" t="s">
        <v>1082</v>
      </c>
      <c r="B346" s="5" t="s">
        <v>1082</v>
      </c>
      <c r="C346" s="5" t="s">
        <v>33</v>
      </c>
      <c r="D346" s="5" t="s">
        <v>34</v>
      </c>
      <c r="E346" s="5" t="s">
        <v>456</v>
      </c>
      <c r="F346" s="9" t="s">
        <v>748</v>
      </c>
      <c r="G346" s="9" t="s">
        <v>117</v>
      </c>
      <c r="H346" s="5" t="s">
        <v>21</v>
      </c>
      <c r="I346" s="5" t="s">
        <v>1083</v>
      </c>
      <c r="J346" s="12" t="str">
        <f>HYPERLINK("https://www.boe.es/gazeta/dias/1808/10/14/pdfs/GMD-C-1808-134.pdf#page=1","Abrir facsímil")</f>
        <v>Abrir facsímil</v>
      </c>
      <c r="K346" s="15" t="s">
        <v>23</v>
      </c>
    </row>
    <row r="347" spans="1:11" ht="42" customHeight="1">
      <c r="A347" s="4" t="s">
        <v>1084</v>
      </c>
      <c r="B347" s="5" t="s">
        <v>1084</v>
      </c>
      <c r="C347" s="5" t="s">
        <v>17</v>
      </c>
      <c r="D347" s="5" t="s">
        <v>18</v>
      </c>
      <c r="E347" s="5" t="s">
        <v>1085</v>
      </c>
      <c r="F347" s="9" t="s">
        <v>1086</v>
      </c>
      <c r="G347" s="9">
        <v>106</v>
      </c>
      <c r="H347" s="5" t="s">
        <v>21</v>
      </c>
      <c r="I347" s="5" t="s">
        <v>1087</v>
      </c>
      <c r="J347" s="12" t="str">
        <f>HYPERLINK("https://www.boe.es/gazeta/dias/1808/01/29/pdfs/GMD-1808-9.pdf#page=10","Abrir facsímil")</f>
        <v>Abrir facsímil</v>
      </c>
      <c r="K347" s="15" t="s">
        <v>23</v>
      </c>
    </row>
    <row r="348" spans="1:11" ht="42" customHeight="1">
      <c r="A348" s="4" t="s">
        <v>1088</v>
      </c>
      <c r="B348" s="5" t="s">
        <v>1088</v>
      </c>
      <c r="C348" s="5" t="s">
        <v>33</v>
      </c>
      <c r="D348" s="5" t="s">
        <v>34</v>
      </c>
      <c r="E348" s="5" t="s">
        <v>139</v>
      </c>
      <c r="F348" s="9" t="s">
        <v>1089</v>
      </c>
      <c r="G348" s="9" t="s">
        <v>106</v>
      </c>
      <c r="H348" s="5" t="s">
        <v>21</v>
      </c>
      <c r="I348" s="5" t="s">
        <v>1090</v>
      </c>
      <c r="J348" s="12" t="str">
        <f>HYPERLINK("https://www.boe.es/gazeta/dias/1808/09/23/pdfs/GMD-C-1808-127.pdf#page=3","Abrir facsímil")</f>
        <v>Abrir facsímil</v>
      </c>
      <c r="K348" s="15" t="s">
        <v>23</v>
      </c>
    </row>
    <row r="349" spans="1:11" ht="42" customHeight="1">
      <c r="A349" s="4" t="s">
        <v>1091</v>
      </c>
      <c r="B349" s="5" t="s">
        <v>1092</v>
      </c>
      <c r="C349" s="5" t="s">
        <v>17</v>
      </c>
      <c r="D349" s="5" t="s">
        <v>18</v>
      </c>
      <c r="E349" s="5" t="s">
        <v>616</v>
      </c>
      <c r="F349" s="9" t="s">
        <v>617</v>
      </c>
      <c r="G349" s="9">
        <v>1041</v>
      </c>
      <c r="H349" s="5" t="s">
        <v>21</v>
      </c>
      <c r="I349" s="5" t="s">
        <v>1093</v>
      </c>
      <c r="J349" s="12" t="str">
        <f>HYPERLINK("https://www.boe.es/gazeta/dias/1808/08/19/pdfs/GMD-1808-115.pdf#page=7","Abrir facsímil")</f>
        <v>Abrir facsímil</v>
      </c>
      <c r="K349" s="15" t="s">
        <v>23</v>
      </c>
    </row>
    <row r="350" spans="1:11" ht="42" customHeight="1">
      <c r="A350" s="4" t="s">
        <v>1094</v>
      </c>
      <c r="B350" s="5" t="s">
        <v>1094</v>
      </c>
      <c r="C350" s="5" t="s">
        <v>94</v>
      </c>
      <c r="D350" s="5" t="s">
        <v>95</v>
      </c>
      <c r="E350" s="5" t="s">
        <v>663</v>
      </c>
      <c r="F350" s="9" t="s">
        <v>664</v>
      </c>
      <c r="G350" s="9">
        <v>209</v>
      </c>
      <c r="H350" s="5" t="s">
        <v>21</v>
      </c>
      <c r="I350" s="5" t="s">
        <v>1095</v>
      </c>
      <c r="J350" s="12" t="str">
        <f>HYPERLINK("https://www.boe.es/gazeta/dias/1808/02/26/pdfs/GMD-1808-17.pdf#page=11","Abrir facsímil")</f>
        <v>Abrir facsímil</v>
      </c>
      <c r="K350" s="15" t="s">
        <v>23</v>
      </c>
    </row>
    <row r="351" spans="1:11" ht="42" customHeight="1">
      <c r="A351" s="4" t="s">
        <v>1096</v>
      </c>
      <c r="B351" s="5" t="s">
        <v>1096</v>
      </c>
      <c r="C351" s="5" t="s">
        <v>33</v>
      </c>
      <c r="D351" s="5" t="s">
        <v>34</v>
      </c>
      <c r="E351" s="5" t="s">
        <v>35</v>
      </c>
      <c r="F351" s="9" t="s">
        <v>36</v>
      </c>
      <c r="G351" s="9" t="s">
        <v>199</v>
      </c>
      <c r="H351" s="5" t="s">
        <v>21</v>
      </c>
      <c r="I351" s="5" t="s">
        <v>1097</v>
      </c>
      <c r="J351" s="12" t="str">
        <f>HYPERLINK("https://www.boe.es/gazeta/dias/1808/04/22/pdfs/GMD-C-1808-38.pdf#page=2","Abrir facsímil")</f>
        <v>Abrir facsímil</v>
      </c>
      <c r="K351" s="15" t="s">
        <v>23</v>
      </c>
    </row>
    <row r="352" spans="1:11" ht="42" customHeight="1">
      <c r="A352" s="4" t="s">
        <v>1098</v>
      </c>
      <c r="B352" s="5" t="s">
        <v>1098</v>
      </c>
      <c r="C352" s="5" t="s">
        <v>17</v>
      </c>
      <c r="D352" s="5" t="s">
        <v>18</v>
      </c>
      <c r="E352" s="5" t="s">
        <v>61</v>
      </c>
      <c r="F352" s="9" t="s">
        <v>62</v>
      </c>
      <c r="G352" s="9">
        <v>1284</v>
      </c>
      <c r="H352" s="5" t="s">
        <v>21</v>
      </c>
      <c r="I352" s="5" t="s">
        <v>1099</v>
      </c>
      <c r="J352" s="12" t="str">
        <f>HYPERLINK("https://www.boe.es/gazeta/dias/1808/10/11/pdfs/GMD-1808-133.pdf#page=12","Abrir facsímil")</f>
        <v>Abrir facsímil</v>
      </c>
      <c r="K352" s="15" t="s">
        <v>23</v>
      </c>
    </row>
    <row r="353" spans="1:11" ht="42" customHeight="1">
      <c r="A353" s="4" t="s">
        <v>1100</v>
      </c>
      <c r="B353" s="5" t="s">
        <v>1100</v>
      </c>
      <c r="C353" s="5" t="s">
        <v>41</v>
      </c>
      <c r="D353" s="5" t="s">
        <v>42</v>
      </c>
      <c r="E353" s="5" t="s">
        <v>28</v>
      </c>
      <c r="F353" s="9" t="s">
        <v>446</v>
      </c>
      <c r="G353" s="9" t="s">
        <v>106</v>
      </c>
      <c r="H353" s="5" t="s">
        <v>21</v>
      </c>
      <c r="I353" s="5" t="s">
        <v>1101</v>
      </c>
      <c r="J353" s="12" t="str">
        <f>HYPERLINK("https://www.boe.es/gazeta/dias/1808/11/04/pdfs/GMD-D-1808-141.pdf#page=3","Abrir facsímil")</f>
        <v>Abrir facsímil</v>
      </c>
      <c r="K353" s="15" t="s">
        <v>23</v>
      </c>
    </row>
    <row r="354" spans="1:11" ht="42" customHeight="1">
      <c r="A354" s="4" t="s">
        <v>1102</v>
      </c>
      <c r="B354" s="5" t="s">
        <v>1102</v>
      </c>
      <c r="C354" s="5" t="s">
        <v>33</v>
      </c>
      <c r="D354" s="5" t="s">
        <v>34</v>
      </c>
      <c r="E354" s="5" t="s">
        <v>35</v>
      </c>
      <c r="F354" s="9" t="s">
        <v>36</v>
      </c>
      <c r="G354" s="9" t="s">
        <v>501</v>
      </c>
      <c r="H354" s="5" t="s">
        <v>21</v>
      </c>
      <c r="I354" s="5" t="s">
        <v>1103</v>
      </c>
      <c r="J354" s="12" t="str">
        <f>HYPERLINK("https://www.boe.es/gazeta/dias/1808/04/22/pdfs/GMD-C-1808-38.pdf#page=5","Abrir facsímil")</f>
        <v>Abrir facsímil</v>
      </c>
      <c r="K354" s="15" t="s">
        <v>23</v>
      </c>
    </row>
    <row r="355" spans="1:11" ht="42" customHeight="1">
      <c r="A355" s="4" t="s">
        <v>1104</v>
      </c>
      <c r="B355" s="5" t="s">
        <v>1105</v>
      </c>
      <c r="C355" s="5" t="s">
        <v>41</v>
      </c>
      <c r="D355" s="5" t="s">
        <v>42</v>
      </c>
      <c r="E355" s="5" t="s">
        <v>153</v>
      </c>
      <c r="F355" s="9" t="s">
        <v>154</v>
      </c>
      <c r="G355" s="9" t="s">
        <v>75</v>
      </c>
      <c r="H355" s="5" t="s">
        <v>21</v>
      </c>
      <c r="I355" s="5" t="s">
        <v>1106</v>
      </c>
      <c r="J355" s="12" t="str">
        <f>HYPERLINK("https://www.boe.es/gazeta/dias/1808/09/09/pdfs/GMD-C-1808-121.pdf#page=4","Abrir facsímil")</f>
        <v>Abrir facsímil</v>
      </c>
      <c r="K355" s="15" t="s">
        <v>23</v>
      </c>
    </row>
    <row r="356" spans="1:11" ht="42" customHeight="1">
      <c r="A356" s="4" t="s">
        <v>1107</v>
      </c>
      <c r="B356" s="5" t="s">
        <v>1108</v>
      </c>
      <c r="C356" s="5" t="s">
        <v>17</v>
      </c>
      <c r="D356" s="5" t="s">
        <v>18</v>
      </c>
      <c r="E356" s="5" t="s">
        <v>539</v>
      </c>
      <c r="F356" s="9" t="s">
        <v>540</v>
      </c>
      <c r="G356" s="9">
        <v>1113</v>
      </c>
      <c r="H356" s="5" t="s">
        <v>21</v>
      </c>
      <c r="I356" s="5" t="s">
        <v>1109</v>
      </c>
      <c r="J356" s="12" t="str">
        <f>HYPERLINK("https://www.boe.es/gazeta/dias/1808/09/02/pdfs/GMD-1808-119.pdf#page=7","Abrir facsímil")</f>
        <v>Abrir facsímil</v>
      </c>
      <c r="K356" s="15" t="s">
        <v>23</v>
      </c>
    </row>
    <row r="357" spans="1:11" ht="42" customHeight="1">
      <c r="A357" s="4" t="s">
        <v>1110</v>
      </c>
      <c r="B357" s="5" t="s">
        <v>1110</v>
      </c>
      <c r="C357" s="5" t="s">
        <v>33</v>
      </c>
      <c r="D357" s="5" t="s">
        <v>34</v>
      </c>
      <c r="E357" s="5" t="s">
        <v>139</v>
      </c>
      <c r="F357" s="9" t="s">
        <v>1089</v>
      </c>
      <c r="G357" s="9" t="s">
        <v>106</v>
      </c>
      <c r="H357" s="5" t="s">
        <v>21</v>
      </c>
      <c r="I357" s="5" t="s">
        <v>1111</v>
      </c>
      <c r="J357" s="12" t="str">
        <f>HYPERLINK("https://www.boe.es/gazeta/dias/1808/09/23/pdfs/GMD-C-1808-127.pdf#page=3","Abrir facsímil")</f>
        <v>Abrir facsímil</v>
      </c>
      <c r="K357" s="15" t="s">
        <v>23</v>
      </c>
    </row>
    <row r="358" spans="1:11" ht="42" customHeight="1">
      <c r="A358" s="4" t="s">
        <v>1112</v>
      </c>
      <c r="B358" s="5" t="s">
        <v>1112</v>
      </c>
      <c r="C358" s="5" t="s">
        <v>17</v>
      </c>
      <c r="D358" s="5" t="s">
        <v>18</v>
      </c>
      <c r="E358" s="5" t="s">
        <v>203</v>
      </c>
      <c r="F358" s="9" t="s">
        <v>204</v>
      </c>
      <c r="G358" s="9">
        <v>140</v>
      </c>
      <c r="H358" s="5" t="s">
        <v>21</v>
      </c>
      <c r="I358" s="5" t="s">
        <v>1113</v>
      </c>
      <c r="J358" s="12" t="str">
        <f>HYPERLINK("https://www.boe.es/gazeta/dias/1808/02/09/pdfs/GMD-1808-12.pdf#page=8","Abrir facsímil")</f>
        <v>Abrir facsímil</v>
      </c>
      <c r="K358" s="15" t="s">
        <v>23</v>
      </c>
    </row>
    <row r="359" spans="1:11" ht="42" customHeight="1">
      <c r="A359" s="4" t="s">
        <v>1114</v>
      </c>
      <c r="B359" s="5" t="s">
        <v>1115</v>
      </c>
      <c r="C359" s="5" t="s">
        <v>33</v>
      </c>
      <c r="D359" s="5" t="s">
        <v>34</v>
      </c>
      <c r="E359" s="5" t="s">
        <v>35</v>
      </c>
      <c r="F359" s="9" t="s">
        <v>36</v>
      </c>
      <c r="G359" s="9" t="s">
        <v>273</v>
      </c>
      <c r="H359" s="5" t="s">
        <v>21</v>
      </c>
      <c r="I359" s="5" t="s">
        <v>1116</v>
      </c>
      <c r="J359" s="12" t="str">
        <f>HYPERLINK("https://www.boe.es/gazeta/dias/1808/04/22/pdfs/GMD-C-1808-38.pdf#page=12","Abrir facsímil")</f>
        <v>Abrir facsímil</v>
      </c>
      <c r="K359" s="15" t="s">
        <v>23</v>
      </c>
    </row>
    <row r="360" spans="1:11" ht="42" customHeight="1">
      <c r="A360" s="4" t="s">
        <v>1114</v>
      </c>
      <c r="B360" s="5" t="s">
        <v>1115</v>
      </c>
      <c r="C360" s="5" t="s">
        <v>33</v>
      </c>
      <c r="D360" s="5" t="s">
        <v>34</v>
      </c>
      <c r="E360" s="5" t="s">
        <v>35</v>
      </c>
      <c r="F360" s="9" t="s">
        <v>36</v>
      </c>
      <c r="G360" s="9" t="s">
        <v>279</v>
      </c>
      <c r="H360" s="5" t="s">
        <v>21</v>
      </c>
      <c r="I360" s="5" t="s">
        <v>1117</v>
      </c>
      <c r="J360" s="12" t="str">
        <f>HYPERLINK("https://www.boe.es/gazeta/dias/1808/04/22/pdfs/GMD-C-1808-38.pdf#page=44","Abrir facsímil")</f>
        <v>Abrir facsímil</v>
      </c>
      <c r="K360" s="15" t="s">
        <v>23</v>
      </c>
    </row>
    <row r="361" spans="1:11" ht="42" customHeight="1">
      <c r="A361" s="4" t="s">
        <v>1118</v>
      </c>
      <c r="B361" s="5" t="s">
        <v>1119</v>
      </c>
      <c r="C361" s="5" t="s">
        <v>33</v>
      </c>
      <c r="D361" s="5" t="s">
        <v>34</v>
      </c>
      <c r="E361" s="5" t="s">
        <v>19</v>
      </c>
      <c r="F361" s="9" t="s">
        <v>949</v>
      </c>
      <c r="G361" s="9" t="s">
        <v>106</v>
      </c>
      <c r="H361" s="5" t="s">
        <v>21</v>
      </c>
      <c r="I361" s="5" t="s">
        <v>1120</v>
      </c>
      <c r="J361" s="12" t="str">
        <f>HYPERLINK("https://www.boe.es/gazeta/dias/1808/09/30/pdfs/GMD-C-1808-130.pdf#page=3","Abrir facsímil")</f>
        <v>Abrir facsímil</v>
      </c>
      <c r="K361" s="15" t="s">
        <v>23</v>
      </c>
    </row>
    <row r="362" spans="1:11" ht="42" customHeight="1">
      <c r="A362" s="4" t="s">
        <v>1121</v>
      </c>
      <c r="B362" s="5" t="s">
        <v>1122</v>
      </c>
      <c r="C362" s="5" t="s">
        <v>17</v>
      </c>
      <c r="D362" s="5" t="s">
        <v>18</v>
      </c>
      <c r="E362" s="5" t="s">
        <v>166</v>
      </c>
      <c r="F362" s="9" t="s">
        <v>356</v>
      </c>
      <c r="G362" s="9">
        <v>1508</v>
      </c>
      <c r="H362" s="5" t="s">
        <v>21</v>
      </c>
      <c r="I362" s="5" t="s">
        <v>1123</v>
      </c>
      <c r="J362" s="12" t="str">
        <f>HYPERLINK("https://www.boe.es/gazeta/dias/1808/11/18/pdfs/GMD-1808-145.pdf#page=6","Abrir facsímil")</f>
        <v>Abrir facsímil</v>
      </c>
      <c r="K362" s="15" t="s">
        <v>23</v>
      </c>
    </row>
    <row r="363" spans="1:11" ht="42" customHeight="1">
      <c r="A363" s="4" t="s">
        <v>1124</v>
      </c>
      <c r="B363" s="5" t="s">
        <v>1124</v>
      </c>
      <c r="C363" s="5" t="s">
        <v>17</v>
      </c>
      <c r="D363" s="5" t="s">
        <v>18</v>
      </c>
      <c r="E363" s="5" t="s">
        <v>19</v>
      </c>
      <c r="F363" s="9" t="s">
        <v>59</v>
      </c>
      <c r="G363" s="9">
        <v>1230</v>
      </c>
      <c r="H363" s="5" t="s">
        <v>21</v>
      </c>
      <c r="I363" s="5" t="s">
        <v>1125</v>
      </c>
      <c r="J363" s="12" t="str">
        <f>HYPERLINK("https://www.boe.es/gazeta/dias/1808/09/30/pdfs/GMD-1808-130.pdf#page=10","Abrir facsímil")</f>
        <v>Abrir facsímil</v>
      </c>
      <c r="K363" s="15" t="s">
        <v>23</v>
      </c>
    </row>
    <row r="364" spans="1:11" ht="42" customHeight="1">
      <c r="A364" s="4" t="s">
        <v>1124</v>
      </c>
      <c r="B364" s="5" t="s">
        <v>1124</v>
      </c>
      <c r="C364" s="5" t="s">
        <v>33</v>
      </c>
      <c r="D364" s="5" t="s">
        <v>34</v>
      </c>
      <c r="E364" s="5" t="s">
        <v>180</v>
      </c>
      <c r="F364" s="9" t="s">
        <v>768</v>
      </c>
      <c r="G364" s="9" t="s">
        <v>106</v>
      </c>
      <c r="H364" s="5" t="s">
        <v>21</v>
      </c>
      <c r="I364" s="5" t="s">
        <v>1126</v>
      </c>
      <c r="J364" s="12" t="str">
        <f>HYPERLINK("https://www.boe.es/gazeta/dias/1808/11/15/pdfs/GMD-D-1808-144.pdf#page=3","Abrir facsímil")</f>
        <v>Abrir facsímil</v>
      </c>
      <c r="K364" s="15" t="s">
        <v>23</v>
      </c>
    </row>
    <row r="365" spans="1:11" ht="42" customHeight="1">
      <c r="A365" s="4" t="s">
        <v>1127</v>
      </c>
      <c r="B365" s="5" t="s">
        <v>1127</v>
      </c>
      <c r="C365" s="5" t="s">
        <v>33</v>
      </c>
      <c r="D365" s="5" t="s">
        <v>34</v>
      </c>
      <c r="E365" s="5" t="s">
        <v>35</v>
      </c>
      <c r="F365" s="9" t="s">
        <v>36</v>
      </c>
      <c r="G365" s="9" t="s">
        <v>1128</v>
      </c>
      <c r="H365" s="5" t="s">
        <v>21</v>
      </c>
      <c r="I365" s="5" t="s">
        <v>1129</v>
      </c>
      <c r="J365" s="12" t="str">
        <f>HYPERLINK("https://www.boe.es/gazeta/dias/1808/04/22/pdfs/GMD-C-1808-38.pdf#page=11","Abrir facsímil")</f>
        <v>Abrir facsímil</v>
      </c>
      <c r="K365" s="15" t="s">
        <v>23</v>
      </c>
    </row>
    <row r="366" spans="1:11" ht="42" customHeight="1">
      <c r="A366" s="4" t="s">
        <v>1127</v>
      </c>
      <c r="B366" s="5" t="s">
        <v>1127</v>
      </c>
      <c r="C366" s="5" t="s">
        <v>41</v>
      </c>
      <c r="D366" s="5" t="s">
        <v>42</v>
      </c>
      <c r="E366" s="5" t="s">
        <v>35</v>
      </c>
      <c r="F366" s="9" t="s">
        <v>36</v>
      </c>
      <c r="G366" s="9" t="s">
        <v>162</v>
      </c>
      <c r="H366" s="5" t="s">
        <v>21</v>
      </c>
      <c r="I366" s="5" t="s">
        <v>1130</v>
      </c>
      <c r="J366" s="12" t="str">
        <f>HYPERLINK("https://www.boe.es/gazeta/dias/1808/04/22/pdfs/GMD-C-1808-38.pdf#page=31","Abrir facsímil")</f>
        <v>Abrir facsímil</v>
      </c>
      <c r="K366" s="15" t="s">
        <v>23</v>
      </c>
    </row>
    <row r="367" spans="1:11" ht="42" customHeight="1">
      <c r="A367" s="4" t="s">
        <v>1127</v>
      </c>
      <c r="B367" s="5" t="s">
        <v>1127</v>
      </c>
      <c r="C367" s="5" t="s">
        <v>33</v>
      </c>
      <c r="D367" s="5" t="s">
        <v>34</v>
      </c>
      <c r="E367" s="5" t="s">
        <v>35</v>
      </c>
      <c r="F367" s="9" t="s">
        <v>36</v>
      </c>
      <c r="G367" s="9" t="s">
        <v>1075</v>
      </c>
      <c r="H367" s="5" t="s">
        <v>21</v>
      </c>
      <c r="I367" s="5" t="s">
        <v>1131</v>
      </c>
      <c r="J367" s="12" t="str">
        <f>HYPERLINK("https://www.boe.es/gazeta/dias/1808/04/22/pdfs/GMD-C-1808-38.pdf#page=32","Abrir facsímil")</f>
        <v>Abrir facsímil</v>
      </c>
      <c r="K367" s="15" t="s">
        <v>23</v>
      </c>
    </row>
    <row r="368" spans="1:11" ht="42" customHeight="1">
      <c r="A368" s="4" t="s">
        <v>1132</v>
      </c>
      <c r="B368" s="5" t="s">
        <v>1132</v>
      </c>
      <c r="C368" s="5" t="s">
        <v>41</v>
      </c>
      <c r="D368" s="5" t="s">
        <v>42</v>
      </c>
      <c r="E368" s="5" t="s">
        <v>35</v>
      </c>
      <c r="F368" s="9" t="s">
        <v>36</v>
      </c>
      <c r="G368" s="9" t="s">
        <v>277</v>
      </c>
      <c r="H368" s="5" t="s">
        <v>21</v>
      </c>
      <c r="I368" s="5" t="s">
        <v>1133</v>
      </c>
      <c r="J368" s="12" t="str">
        <f>HYPERLINK("https://www.boe.es/gazeta/dias/1808/04/22/pdfs/GMD-C-1808-38.pdf#page=34","Abrir facsímil")</f>
        <v>Abrir facsímil</v>
      </c>
      <c r="K368" s="15" t="s">
        <v>23</v>
      </c>
    </row>
    <row r="369" spans="1:11" ht="42" customHeight="1">
      <c r="A369" s="4" t="s">
        <v>1134</v>
      </c>
      <c r="B369" s="5" t="s">
        <v>1134</v>
      </c>
      <c r="C369" s="5" t="s">
        <v>33</v>
      </c>
      <c r="D369" s="5" t="s">
        <v>34</v>
      </c>
      <c r="E369" s="5" t="s">
        <v>35</v>
      </c>
      <c r="F369" s="9" t="s">
        <v>36</v>
      </c>
      <c r="G369" s="9" t="s">
        <v>707</v>
      </c>
      <c r="H369" s="5" t="s">
        <v>21</v>
      </c>
      <c r="I369" s="5" t="s">
        <v>1135</v>
      </c>
      <c r="J369" s="12" t="str">
        <f>HYPERLINK("https://www.boe.es/gazeta/dias/1808/04/22/pdfs/GMD-C-1808-38.pdf#page=42","Abrir facsímil")</f>
        <v>Abrir facsímil</v>
      </c>
      <c r="K369" s="15" t="s">
        <v>23</v>
      </c>
    </row>
    <row r="370" spans="1:11" ht="42" customHeight="1">
      <c r="A370" s="4" t="s">
        <v>1136</v>
      </c>
      <c r="B370" s="5" t="s">
        <v>1136</v>
      </c>
      <c r="C370" s="5" t="s">
        <v>389</v>
      </c>
      <c r="D370" s="5" t="s">
        <v>390</v>
      </c>
      <c r="E370" s="5" t="s">
        <v>339</v>
      </c>
      <c r="F370" s="9" t="s">
        <v>340</v>
      </c>
      <c r="G370" s="9">
        <v>84</v>
      </c>
      <c r="H370" s="5" t="s">
        <v>21</v>
      </c>
      <c r="I370" s="5" t="s">
        <v>1137</v>
      </c>
      <c r="J370" s="12" t="str">
        <f>HYPERLINK("https://www.boe.es/gazeta/dias/1808/01/22/pdfs/GMD-1808-7.pdf#page=12","Abrir facsímil")</f>
        <v>Abrir facsímil</v>
      </c>
      <c r="K370" s="15" t="s">
        <v>23</v>
      </c>
    </row>
    <row r="371" spans="1:11" ht="42" customHeight="1">
      <c r="A371" s="4" t="s">
        <v>1138</v>
      </c>
      <c r="B371" s="5" t="s">
        <v>1139</v>
      </c>
      <c r="C371" s="5" t="s">
        <v>17</v>
      </c>
      <c r="D371" s="5" t="s">
        <v>18</v>
      </c>
      <c r="E371" s="5" t="s">
        <v>130</v>
      </c>
      <c r="F371" s="9" t="s">
        <v>131</v>
      </c>
      <c r="G371" s="9">
        <v>1604</v>
      </c>
      <c r="H371" s="5" t="s">
        <v>21</v>
      </c>
      <c r="I371" s="5" t="s">
        <v>1140</v>
      </c>
      <c r="J371" s="12" t="str">
        <f>HYPERLINK("https://www.boe.es/gazeta/dias/1808/12/15/pdfs/GMD-1808-155.pdf#page=8","Abrir facsímil")</f>
        <v>Abrir facsímil</v>
      </c>
      <c r="K371" s="15" t="s">
        <v>23</v>
      </c>
    </row>
    <row r="372" spans="1:11" ht="42" customHeight="1">
      <c r="A372" s="4" t="s">
        <v>1141</v>
      </c>
      <c r="B372" s="5" t="s">
        <v>1142</v>
      </c>
      <c r="C372" s="5" t="s">
        <v>33</v>
      </c>
      <c r="D372" s="5" t="s">
        <v>34</v>
      </c>
      <c r="E372" s="5" t="s">
        <v>153</v>
      </c>
      <c r="F372" s="9" t="s">
        <v>154</v>
      </c>
      <c r="G372" s="9" t="s">
        <v>199</v>
      </c>
      <c r="H372" s="5" t="s">
        <v>21</v>
      </c>
      <c r="I372" s="5" t="s">
        <v>1143</v>
      </c>
      <c r="J372" s="12" t="str">
        <f>HYPERLINK("https://www.boe.es/gazeta/dias/1808/09/09/pdfs/GMD-C-1808-121.pdf#page=2","Abrir facsímil")</f>
        <v>Abrir facsímil</v>
      </c>
      <c r="K372" s="15" t="s">
        <v>23</v>
      </c>
    </row>
    <row r="373" spans="1:11" ht="42" customHeight="1">
      <c r="A373" s="4" t="s">
        <v>1144</v>
      </c>
      <c r="B373" s="5" t="s">
        <v>1145</v>
      </c>
      <c r="C373" s="5" t="s">
        <v>17</v>
      </c>
      <c r="D373" s="5" t="s">
        <v>18</v>
      </c>
      <c r="E373" s="5" t="s">
        <v>130</v>
      </c>
      <c r="F373" s="9" t="s">
        <v>131</v>
      </c>
      <c r="G373" s="9">
        <v>1603</v>
      </c>
      <c r="H373" s="5" t="s">
        <v>21</v>
      </c>
      <c r="I373" s="5" t="s">
        <v>1146</v>
      </c>
      <c r="J373" s="12" t="str">
        <f>HYPERLINK("https://www.boe.es/gazeta/dias/1808/12/15/pdfs/GMD-1808-155.pdf#page=7","Abrir facsímil")</f>
        <v>Abrir facsímil</v>
      </c>
      <c r="K373" s="15" t="s">
        <v>23</v>
      </c>
    </row>
    <row r="374" spans="1:11" ht="42" customHeight="1">
      <c r="A374" s="4" t="s">
        <v>1147</v>
      </c>
      <c r="B374" s="5" t="s">
        <v>1147</v>
      </c>
      <c r="C374" s="5" t="s">
        <v>17</v>
      </c>
      <c r="D374" s="5" t="s">
        <v>18</v>
      </c>
      <c r="E374" s="5" t="s">
        <v>1148</v>
      </c>
      <c r="F374" s="9" t="s">
        <v>1149</v>
      </c>
      <c r="G374" s="9">
        <v>504</v>
      </c>
      <c r="H374" s="5" t="s">
        <v>21</v>
      </c>
      <c r="I374" s="5" t="s">
        <v>1150</v>
      </c>
      <c r="J374" s="12" t="str">
        <f>HYPERLINK("https://www.boe.es/gazeta/dias/1808/05/27/pdfs/GMD-1808-50.pdf#page=8","Abrir facsímil")</f>
        <v>Abrir facsímil</v>
      </c>
      <c r="K374" s="15" t="s">
        <v>23</v>
      </c>
    </row>
    <row r="375" spans="1:11" ht="42" customHeight="1">
      <c r="A375" s="4" t="s">
        <v>1151</v>
      </c>
      <c r="B375" s="5" t="s">
        <v>1151</v>
      </c>
      <c r="C375" s="5" t="s">
        <v>101</v>
      </c>
      <c r="D375" s="5" t="s">
        <v>102</v>
      </c>
      <c r="E375" s="5" t="s">
        <v>120</v>
      </c>
      <c r="F375" s="9" t="s">
        <v>121</v>
      </c>
      <c r="G375" s="9">
        <v>307</v>
      </c>
      <c r="H375" s="5" t="s">
        <v>21</v>
      </c>
      <c r="I375" s="5" t="s">
        <v>1152</v>
      </c>
      <c r="J375" s="12" t="str">
        <f>HYPERLINK("https://www.boe.es/gazeta/dias/1808/03/29/pdfs/GMD-1808-27.pdf#page=3","Abrir facsímil")</f>
        <v>Abrir facsímil</v>
      </c>
      <c r="K375" s="15" t="s">
        <v>23</v>
      </c>
    </row>
    <row r="376" spans="1:11" ht="42" customHeight="1">
      <c r="A376" s="4" t="s">
        <v>1153</v>
      </c>
      <c r="B376" s="5" t="s">
        <v>1153</v>
      </c>
      <c r="C376" s="5" t="s">
        <v>101</v>
      </c>
      <c r="D376" s="5" t="s">
        <v>102</v>
      </c>
      <c r="E376" s="5" t="s">
        <v>1154</v>
      </c>
      <c r="F376" s="9" t="s">
        <v>1155</v>
      </c>
      <c r="G376" s="9">
        <v>866</v>
      </c>
      <c r="H376" s="5" t="s">
        <v>21</v>
      </c>
      <c r="I376" s="5" t="s">
        <v>1156</v>
      </c>
      <c r="J376" s="12" t="str">
        <f>HYPERLINK("https://www.boe.es/gazeta/dias/1808/07/22/pdfs/GMD-1808-94.pdf#page=4","Abrir facsímil")</f>
        <v>Abrir facsímil</v>
      </c>
      <c r="K376" s="15" t="s">
        <v>23</v>
      </c>
    </row>
    <row r="377" spans="1:11" ht="42" customHeight="1">
      <c r="A377" s="4" t="s">
        <v>1157</v>
      </c>
      <c r="B377" s="5" t="s">
        <v>1158</v>
      </c>
      <c r="C377" s="5" t="s">
        <v>17</v>
      </c>
      <c r="D377" s="5" t="s">
        <v>18</v>
      </c>
      <c r="E377" s="5" t="s">
        <v>513</v>
      </c>
      <c r="F377" s="9" t="s">
        <v>514</v>
      </c>
      <c r="G377" s="9">
        <v>288</v>
      </c>
      <c r="H377" s="5" t="s">
        <v>21</v>
      </c>
      <c r="I377" s="5" t="s">
        <v>1159</v>
      </c>
      <c r="J377" s="12" t="str">
        <f>HYPERLINK("https://www.boe.es/gazeta/dias/1808/03/22/pdfs/GMD-1808-24.pdf#page=10","Abrir facsímil")</f>
        <v>Abrir facsímil</v>
      </c>
      <c r="K377" s="15" t="s">
        <v>23</v>
      </c>
    </row>
    <row r="378" spans="1:11" ht="42" customHeight="1">
      <c r="A378" s="4" t="s">
        <v>1160</v>
      </c>
      <c r="B378" s="5" t="s">
        <v>1161</v>
      </c>
      <c r="C378" s="5" t="s">
        <v>33</v>
      </c>
      <c r="D378" s="5" t="s">
        <v>34</v>
      </c>
      <c r="E378" s="5" t="s">
        <v>456</v>
      </c>
      <c r="F378" s="9" t="s">
        <v>748</v>
      </c>
      <c r="G378" s="9" t="s">
        <v>199</v>
      </c>
      <c r="H378" s="5" t="s">
        <v>21</v>
      </c>
      <c r="I378" s="5" t="s">
        <v>1162</v>
      </c>
      <c r="J378" s="12" t="str">
        <f>HYPERLINK("https://www.boe.es/gazeta/dias/1808/10/14/pdfs/GMD-C-1808-134.pdf#page=2","Abrir facsímil")</f>
        <v>Abrir facsímil</v>
      </c>
      <c r="K378" s="15" t="s">
        <v>23</v>
      </c>
    </row>
    <row r="379" spans="1:11" ht="42" customHeight="1">
      <c r="A379" s="4" t="s">
        <v>1163</v>
      </c>
      <c r="B379" s="5" t="s">
        <v>1164</v>
      </c>
      <c r="C379" s="5" t="s">
        <v>41</v>
      </c>
      <c r="D379" s="5" t="s">
        <v>42</v>
      </c>
      <c r="E379" s="5" t="s">
        <v>877</v>
      </c>
      <c r="F379" s="9" t="s">
        <v>878</v>
      </c>
      <c r="G379" s="9">
        <v>118</v>
      </c>
      <c r="H379" s="5" t="s">
        <v>21</v>
      </c>
      <c r="I379" s="5" t="s">
        <v>1165</v>
      </c>
      <c r="J379" s="12" t="str">
        <f>HYPERLINK("https://www.boe.es/gazeta/dias/1808/02/02/pdfs/GMD-1808-10.pdf#page=10","Abrir facsímil")</f>
        <v>Abrir facsímil</v>
      </c>
      <c r="K379" s="15" t="s">
        <v>23</v>
      </c>
    </row>
    <row r="380" spans="1:11" ht="42" customHeight="1">
      <c r="A380" s="4" t="s">
        <v>1166</v>
      </c>
      <c r="B380" s="5" t="s">
        <v>1167</v>
      </c>
      <c r="C380" s="5" t="s">
        <v>17</v>
      </c>
      <c r="D380" s="5" t="s">
        <v>18</v>
      </c>
      <c r="E380" s="5" t="s">
        <v>663</v>
      </c>
      <c r="F380" s="9" t="s">
        <v>664</v>
      </c>
      <c r="G380" s="9">
        <v>207</v>
      </c>
      <c r="H380" s="5" t="s">
        <v>21</v>
      </c>
      <c r="I380" s="5" t="s">
        <v>1168</v>
      </c>
      <c r="J380" s="12" t="str">
        <f>HYPERLINK("https://www.boe.es/gazeta/dias/1808/02/26/pdfs/GMD-1808-17.pdf#page=9","Abrir facsímil")</f>
        <v>Abrir facsímil</v>
      </c>
      <c r="K380" s="15" t="s">
        <v>23</v>
      </c>
    </row>
    <row r="381" spans="1:11" ht="42" customHeight="1">
      <c r="A381" s="4" t="s">
        <v>1169</v>
      </c>
      <c r="B381" s="5" t="s">
        <v>1170</v>
      </c>
      <c r="C381" s="5" t="s">
        <v>389</v>
      </c>
      <c r="D381" s="5" t="s">
        <v>390</v>
      </c>
      <c r="E381" s="5" t="s">
        <v>125</v>
      </c>
      <c r="F381" s="9" t="s">
        <v>126</v>
      </c>
      <c r="G381" s="9" t="s">
        <v>106</v>
      </c>
      <c r="H381" s="5" t="s">
        <v>21</v>
      </c>
      <c r="I381" s="5" t="s">
        <v>1171</v>
      </c>
      <c r="J381" s="12" t="str">
        <f>HYPERLINK("https://www.boe.es/gazeta/dias/1808/10/07/pdfs/GMD-C-1808-132.pdf#page=3","Abrir facsímil")</f>
        <v>Abrir facsímil</v>
      </c>
      <c r="K381" s="15" t="s">
        <v>23</v>
      </c>
    </row>
    <row r="382" spans="1:11" ht="42" customHeight="1">
      <c r="A382" s="4" t="s">
        <v>1169</v>
      </c>
      <c r="B382" s="5" t="s">
        <v>1170</v>
      </c>
      <c r="C382" s="5" t="s">
        <v>33</v>
      </c>
      <c r="D382" s="5" t="s">
        <v>34</v>
      </c>
      <c r="E382" s="5" t="s">
        <v>65</v>
      </c>
      <c r="F382" s="9" t="s">
        <v>691</v>
      </c>
      <c r="G382" s="9">
        <v>1327</v>
      </c>
      <c r="H382" s="5" t="s">
        <v>21</v>
      </c>
      <c r="I382" s="5" t="s">
        <v>1172</v>
      </c>
      <c r="J382" s="12" t="str">
        <f>HYPERLINK("https://www.boe.es/gazeta/dias/1808/10/18/pdfs/GMD-C-1808-135.pdf#page=11","Abrir facsímil")</f>
        <v>Abrir facsímil</v>
      </c>
      <c r="K382" s="15" t="s">
        <v>23</v>
      </c>
    </row>
    <row r="383" spans="1:11" ht="42" customHeight="1">
      <c r="A383" s="4" t="s">
        <v>1173</v>
      </c>
      <c r="B383" s="5" t="s">
        <v>1174</v>
      </c>
      <c r="C383" s="5" t="s">
        <v>389</v>
      </c>
      <c r="D383" s="5" t="s">
        <v>390</v>
      </c>
      <c r="E383" s="5" t="s">
        <v>125</v>
      </c>
      <c r="F383" s="9" t="s">
        <v>126</v>
      </c>
      <c r="G383" s="9" t="s">
        <v>106</v>
      </c>
      <c r="H383" s="5" t="s">
        <v>21</v>
      </c>
      <c r="I383" s="5" t="s">
        <v>1175</v>
      </c>
      <c r="J383" s="12" t="str">
        <f>HYPERLINK("https://www.boe.es/gazeta/dias/1808/10/07/pdfs/GMD-C-1808-132.pdf#page=3","Abrir facsímil")</f>
        <v>Abrir facsímil</v>
      </c>
      <c r="K383" s="15" t="s">
        <v>23</v>
      </c>
    </row>
    <row r="384" spans="1:11" ht="42" customHeight="1">
      <c r="A384" s="4" t="s">
        <v>1176</v>
      </c>
      <c r="B384" s="5" t="s">
        <v>1177</v>
      </c>
      <c r="C384" s="5" t="s">
        <v>41</v>
      </c>
      <c r="D384" s="5" t="s">
        <v>42</v>
      </c>
      <c r="E384" s="5" t="s">
        <v>35</v>
      </c>
      <c r="F384" s="9" t="s">
        <v>36</v>
      </c>
      <c r="G384" s="9" t="s">
        <v>1178</v>
      </c>
      <c r="H384" s="5" t="s">
        <v>21</v>
      </c>
      <c r="I384" s="5" t="s">
        <v>1179</v>
      </c>
      <c r="J384" s="12" t="str">
        <f>HYPERLINK("https://www.boe.es/gazeta/dias/1808/04/22/pdfs/GMD-C-1808-38.pdf#page=9","Abrir facsímil")</f>
        <v>Abrir facsímil</v>
      </c>
      <c r="K384" s="15" t="s">
        <v>23</v>
      </c>
    </row>
    <row r="385" spans="1:11" ht="42" customHeight="1">
      <c r="A385" s="4" t="s">
        <v>1180</v>
      </c>
      <c r="B385" s="5" t="s">
        <v>1181</v>
      </c>
      <c r="C385" s="5" t="s">
        <v>41</v>
      </c>
      <c r="D385" s="5" t="s">
        <v>42</v>
      </c>
      <c r="E385" s="5" t="s">
        <v>1182</v>
      </c>
      <c r="F385" s="9" t="s">
        <v>1183</v>
      </c>
      <c r="G385" s="9">
        <v>64</v>
      </c>
      <c r="H385" s="5" t="s">
        <v>21</v>
      </c>
      <c r="I385" s="5" t="s">
        <v>1184</v>
      </c>
      <c r="J385" s="12" t="str">
        <f>HYPERLINK("https://www.boe.es/gazeta/dias/1808/06/26/pdfs/GMS-1808-8.pdf#page=8","Abrir facsímil")</f>
        <v>Abrir facsímil</v>
      </c>
      <c r="K385" s="15" t="s">
        <v>23</v>
      </c>
    </row>
    <row r="386" spans="1:11" ht="42" customHeight="1">
      <c r="A386" s="4" t="s">
        <v>1180</v>
      </c>
      <c r="B386" s="5" t="s">
        <v>1181</v>
      </c>
      <c r="C386" s="5" t="s">
        <v>41</v>
      </c>
      <c r="D386" s="5" t="s">
        <v>42</v>
      </c>
      <c r="E386" s="5" t="s">
        <v>153</v>
      </c>
      <c r="F386" s="9" t="s">
        <v>1185</v>
      </c>
      <c r="G386" s="9">
        <v>1150</v>
      </c>
      <c r="H386" s="5" t="s">
        <v>21</v>
      </c>
      <c r="I386" s="5" t="s">
        <v>1186</v>
      </c>
      <c r="J386" s="12" t="str">
        <f>HYPERLINK("https://www.boe.es/gazeta/dias/1808/09/09/pdfs/GMD-1808-121.pdf#page=8","Abrir facsímil")</f>
        <v>Abrir facsímil</v>
      </c>
      <c r="K386" s="15" t="s">
        <v>23</v>
      </c>
    </row>
    <row r="387" spans="1:11" ht="42" customHeight="1">
      <c r="A387" s="4" t="s">
        <v>1187</v>
      </c>
      <c r="B387" s="5" t="s">
        <v>1188</v>
      </c>
      <c r="C387" s="5" t="s">
        <v>41</v>
      </c>
      <c r="D387" s="5" t="s">
        <v>42</v>
      </c>
      <c r="E387" s="5" t="s">
        <v>166</v>
      </c>
      <c r="F387" s="9" t="s">
        <v>400</v>
      </c>
      <c r="G387" s="9" t="s">
        <v>106</v>
      </c>
      <c r="H387" s="5" t="s">
        <v>21</v>
      </c>
      <c r="I387" s="5" t="s">
        <v>1189</v>
      </c>
      <c r="J387" s="12" t="str">
        <f>HYPERLINK("https://www.boe.es/gazeta/dias/1808/11/18/pdfs/D00069-00072.pdf#page=3","Abrir facsímil")</f>
        <v>Abrir facsímil</v>
      </c>
      <c r="K387" s="15" t="s">
        <v>23</v>
      </c>
    </row>
    <row r="388" spans="1:11" ht="42" customHeight="1">
      <c r="A388" s="4" t="s">
        <v>1190</v>
      </c>
      <c r="B388" s="5" t="s">
        <v>1190</v>
      </c>
      <c r="C388" s="5" t="s">
        <v>94</v>
      </c>
      <c r="D388" s="5" t="s">
        <v>95</v>
      </c>
      <c r="E388" s="5" t="s">
        <v>644</v>
      </c>
      <c r="F388" s="9" t="s">
        <v>645</v>
      </c>
      <c r="G388" s="9">
        <v>320</v>
      </c>
      <c r="H388" s="5" t="s">
        <v>21</v>
      </c>
      <c r="I388" s="5" t="s">
        <v>1191</v>
      </c>
      <c r="J388" s="12" t="str">
        <f>HYPERLINK("https://www.boe.es/gazeta/dias/1808/03/31/pdfs/GMD-1808-28E.pdf#page=4","Abrir facsímil")</f>
        <v>Abrir facsímil</v>
      </c>
      <c r="K388" s="15" t="s">
        <v>23</v>
      </c>
    </row>
    <row r="389" spans="1:11" ht="42" customHeight="1">
      <c r="A389" s="4" t="s">
        <v>1192</v>
      </c>
      <c r="B389" s="5" t="s">
        <v>1192</v>
      </c>
      <c r="C389" s="5" t="s">
        <v>642</v>
      </c>
      <c r="D389" s="5" t="s">
        <v>643</v>
      </c>
      <c r="E389" s="5" t="s">
        <v>644</v>
      </c>
      <c r="F389" s="9" t="s">
        <v>645</v>
      </c>
      <c r="G389" s="9">
        <v>321</v>
      </c>
      <c r="H389" s="5" t="s">
        <v>21</v>
      </c>
      <c r="I389" s="5" t="s">
        <v>1193</v>
      </c>
      <c r="J389" s="12" t="str">
        <f>HYPERLINK("https://www.boe.es/gazeta/dias/1808/03/31/pdfs/GMD-1808-28E.pdf#page=5","Abrir facsímil")</f>
        <v>Abrir facsímil</v>
      </c>
      <c r="K389" s="15" t="s">
        <v>23</v>
      </c>
    </row>
    <row r="390" spans="1:11" ht="42" customHeight="1">
      <c r="A390" s="4" t="s">
        <v>1192</v>
      </c>
      <c r="B390" s="5" t="s">
        <v>1192</v>
      </c>
      <c r="C390" s="5" t="s">
        <v>94</v>
      </c>
      <c r="D390" s="5" t="s">
        <v>95</v>
      </c>
      <c r="E390" s="5" t="s">
        <v>1194</v>
      </c>
      <c r="F390" s="9" t="s">
        <v>1195</v>
      </c>
      <c r="G390" s="9">
        <v>445</v>
      </c>
      <c r="H390" s="5" t="s">
        <v>21</v>
      </c>
      <c r="I390" s="5" t="s">
        <v>1196</v>
      </c>
      <c r="J390" s="12" t="str">
        <f>HYPERLINK("https://www.boe.es/gazeta/dias/1808/05/10/pdfs/GMD-1808-45.pdf#page=5","Abrir facsímil")</f>
        <v>Abrir facsímil</v>
      </c>
      <c r="K390" s="15" t="s">
        <v>23</v>
      </c>
    </row>
    <row r="391" spans="1:11" ht="42" customHeight="1">
      <c r="A391" s="4" t="s">
        <v>1192</v>
      </c>
      <c r="B391" s="5" t="s">
        <v>1192</v>
      </c>
      <c r="C391" s="5" t="s">
        <v>17</v>
      </c>
      <c r="D391" s="5" t="s">
        <v>18</v>
      </c>
      <c r="E391" s="5" t="s">
        <v>1182</v>
      </c>
      <c r="F391" s="9" t="s">
        <v>1197</v>
      </c>
      <c r="G391" s="9">
        <v>659</v>
      </c>
      <c r="H391" s="5" t="s">
        <v>21</v>
      </c>
      <c r="I391" s="5" t="s">
        <v>1198</v>
      </c>
      <c r="J391" s="12" t="str">
        <f>HYPERLINK("https://www.boe.es/gazeta/dias/1808/06/26/pdfs/GMD-1808-68.pdf#page=5","Abrir facsímil")</f>
        <v>Abrir facsímil</v>
      </c>
      <c r="K391" s="15" t="s">
        <v>23</v>
      </c>
    </row>
    <row r="392" spans="1:11" ht="42" customHeight="1">
      <c r="A392" s="4" t="s">
        <v>1192</v>
      </c>
      <c r="B392" s="5" t="s">
        <v>1192</v>
      </c>
      <c r="C392" s="5" t="s">
        <v>17</v>
      </c>
      <c r="D392" s="5" t="s">
        <v>18</v>
      </c>
      <c r="E392" s="5" t="s">
        <v>553</v>
      </c>
      <c r="F392" s="9" t="s">
        <v>554</v>
      </c>
      <c r="G392" s="9">
        <v>906</v>
      </c>
      <c r="H392" s="5" t="s">
        <v>21</v>
      </c>
      <c r="I392" s="5" t="s">
        <v>1199</v>
      </c>
      <c r="J392" s="12" t="str">
        <f>HYPERLINK("https://www.boe.es/gazeta/dias/1808/07/27/pdfs/GMD-1808-99.pdf#page=4","Abrir facsímil")</f>
        <v>Abrir facsímil</v>
      </c>
      <c r="K392" s="15" t="s">
        <v>23</v>
      </c>
    </row>
    <row r="393" spans="1:11" ht="42" customHeight="1">
      <c r="A393" s="4" t="s">
        <v>1200</v>
      </c>
      <c r="B393" s="5" t="s">
        <v>1200</v>
      </c>
      <c r="C393" s="5" t="s">
        <v>94</v>
      </c>
      <c r="D393" s="5" t="s">
        <v>95</v>
      </c>
      <c r="E393" s="5" t="s">
        <v>245</v>
      </c>
      <c r="F393" s="9" t="s">
        <v>246</v>
      </c>
      <c r="G393" s="9">
        <v>541</v>
      </c>
      <c r="H393" s="5" t="s">
        <v>21</v>
      </c>
      <c r="I393" s="5" t="s">
        <v>1201</v>
      </c>
      <c r="J393" s="12" t="str">
        <f>HYPERLINK("https://www.boe.es/gazeta/dias/1808/06/07/pdfs/GMD-1808-54.pdf#page=7","Abrir facsímil")</f>
        <v>Abrir facsímil</v>
      </c>
      <c r="K393" s="15" t="s">
        <v>23</v>
      </c>
    </row>
    <row r="394" spans="1:11" ht="42" customHeight="1">
      <c r="A394" s="4" t="s">
        <v>1202</v>
      </c>
      <c r="B394" s="5" t="s">
        <v>1203</v>
      </c>
      <c r="C394" s="5" t="s">
        <v>41</v>
      </c>
      <c r="D394" s="5" t="s">
        <v>42</v>
      </c>
      <c r="E394" s="5" t="s">
        <v>96</v>
      </c>
      <c r="F394" s="9" t="s">
        <v>97</v>
      </c>
      <c r="G394" s="9">
        <v>267</v>
      </c>
      <c r="H394" s="5" t="s">
        <v>21</v>
      </c>
      <c r="I394" s="5" t="s">
        <v>1204</v>
      </c>
      <c r="J394" s="12" t="str">
        <f>HYPERLINK("https://www.boe.es/gazeta/dias/1808/03/15/pdfs/GMD-1808-22.pdf#page=9","Abrir facsímil")</f>
        <v>Abrir facsímil</v>
      </c>
      <c r="K394" s="15" t="s">
        <v>23</v>
      </c>
    </row>
    <row r="395" spans="1:11" ht="42" customHeight="1">
      <c r="A395" s="4" t="s">
        <v>1205</v>
      </c>
      <c r="B395" s="5" t="s">
        <v>1205</v>
      </c>
      <c r="C395" s="5" t="s">
        <v>17</v>
      </c>
      <c r="D395" s="5" t="s">
        <v>18</v>
      </c>
      <c r="E395" s="5" t="s">
        <v>572</v>
      </c>
      <c r="F395" s="9" t="s">
        <v>573</v>
      </c>
      <c r="G395" s="9">
        <v>23</v>
      </c>
      <c r="H395" s="5" t="s">
        <v>21</v>
      </c>
      <c r="I395" s="5" t="s">
        <v>1206</v>
      </c>
      <c r="J395" s="12" t="str">
        <f>HYPERLINK("https://www.boe.es/gazeta/dias/1808/01/05/pdfs/GMD-1808-2.pdf#page=11","Abrir facsímil")</f>
        <v>Abrir facsímil</v>
      </c>
      <c r="K395" s="15" t="s">
        <v>23</v>
      </c>
    </row>
    <row r="396" spans="1:11" ht="42" customHeight="1">
      <c r="A396" s="4" t="s">
        <v>1207</v>
      </c>
      <c r="B396" s="5" t="s">
        <v>1207</v>
      </c>
      <c r="C396" s="5" t="s">
        <v>642</v>
      </c>
      <c r="D396" s="5" t="s">
        <v>643</v>
      </c>
      <c r="E396" s="5" t="s">
        <v>644</v>
      </c>
      <c r="F396" s="9" t="s">
        <v>645</v>
      </c>
      <c r="G396" s="9">
        <v>322</v>
      </c>
      <c r="H396" s="5" t="s">
        <v>21</v>
      </c>
      <c r="I396" s="5" t="s">
        <v>1208</v>
      </c>
      <c r="J396" s="12" t="str">
        <f>HYPERLINK("https://www.boe.es/gazeta/dias/1808/03/31/pdfs/GMD-1808-28E.pdf#page=6","Abrir facsímil")</f>
        <v>Abrir facsímil</v>
      </c>
      <c r="K396" s="15" t="s">
        <v>23</v>
      </c>
    </row>
    <row r="397" spans="1:11" ht="42" customHeight="1">
      <c r="A397" s="4" t="s">
        <v>1207</v>
      </c>
      <c r="B397" s="5" t="s">
        <v>1207</v>
      </c>
      <c r="C397" s="5" t="s">
        <v>17</v>
      </c>
      <c r="D397" s="5" t="s">
        <v>18</v>
      </c>
      <c r="E397" s="5" t="s">
        <v>1194</v>
      </c>
      <c r="F397" s="9" t="s">
        <v>1195</v>
      </c>
      <c r="G397" s="9">
        <v>442</v>
      </c>
      <c r="H397" s="5" t="s">
        <v>21</v>
      </c>
      <c r="I397" s="5" t="s">
        <v>1209</v>
      </c>
      <c r="J397" s="12" t="str">
        <f>HYPERLINK("https://www.boe.es/gazeta/dias/1808/05/10/pdfs/GMD-1808-45.pdf#page=2","Abrir facsímil")</f>
        <v>Abrir facsímil</v>
      </c>
      <c r="K397" s="15" t="s">
        <v>23</v>
      </c>
    </row>
    <row r="398" spans="1:11" ht="42" customHeight="1">
      <c r="A398" s="4" t="s">
        <v>1207</v>
      </c>
      <c r="B398" s="5" t="s">
        <v>1207</v>
      </c>
      <c r="C398" s="5" t="s">
        <v>17</v>
      </c>
      <c r="D398" s="5" t="s">
        <v>18</v>
      </c>
      <c r="E398" s="5" t="s">
        <v>1210</v>
      </c>
      <c r="F398" s="9" t="s">
        <v>1211</v>
      </c>
      <c r="G398" s="9">
        <v>458</v>
      </c>
      <c r="H398" s="5" t="s">
        <v>21</v>
      </c>
      <c r="I398" s="5" t="s">
        <v>1212</v>
      </c>
      <c r="J398" s="12" t="str">
        <f>HYPERLINK("https://www.boe.es/gazeta/dias/1808/05/13/pdfs/GMD-1808-46.pdf#page=10","Abrir facsímil")</f>
        <v>Abrir facsímil</v>
      </c>
      <c r="K398" s="15" t="s">
        <v>23</v>
      </c>
    </row>
    <row r="399" spans="1:11" ht="42" customHeight="1">
      <c r="A399" s="4" t="s">
        <v>1207</v>
      </c>
      <c r="B399" s="5" t="s">
        <v>1207</v>
      </c>
      <c r="C399" s="5" t="s">
        <v>94</v>
      </c>
      <c r="D399" s="5" t="s">
        <v>95</v>
      </c>
      <c r="E399" s="5" t="s">
        <v>832</v>
      </c>
      <c r="F399" s="9" t="s">
        <v>833</v>
      </c>
      <c r="G399" s="9">
        <v>518</v>
      </c>
      <c r="H399" s="5" t="s">
        <v>21</v>
      </c>
      <c r="I399" s="5" t="s">
        <v>1213</v>
      </c>
      <c r="J399" s="12" t="str">
        <f>HYPERLINK("https://www.boe.es/gazeta/dias/1808/05/31/pdfs/GMD-1808-52.pdf#page=8","Abrir facsímil")</f>
        <v>Abrir facsímil</v>
      </c>
      <c r="K399" s="15" t="s">
        <v>23</v>
      </c>
    </row>
    <row r="400" spans="1:11" ht="42" customHeight="1">
      <c r="A400" s="4" t="s">
        <v>1207</v>
      </c>
      <c r="B400" s="5" t="s">
        <v>1207</v>
      </c>
      <c r="C400" s="5" t="s">
        <v>94</v>
      </c>
      <c r="D400" s="5" t="s">
        <v>95</v>
      </c>
      <c r="E400" s="5" t="s">
        <v>256</v>
      </c>
      <c r="F400" s="9" t="s">
        <v>257</v>
      </c>
      <c r="G400" s="9">
        <v>528</v>
      </c>
      <c r="H400" s="5" t="s">
        <v>21</v>
      </c>
      <c r="I400" s="5" t="s">
        <v>1214</v>
      </c>
      <c r="J400" s="12" t="str">
        <f>HYPERLINK("https://www.boe.es/gazeta/dias/1808/06/03/pdfs/GMD-1808-53.pdf#page=6","Abrir facsímil")</f>
        <v>Abrir facsímil</v>
      </c>
      <c r="K400" s="15" t="s">
        <v>23</v>
      </c>
    </row>
    <row r="401" spans="1:11" ht="42" customHeight="1">
      <c r="A401" s="4" t="s">
        <v>1207</v>
      </c>
      <c r="B401" s="5" t="s">
        <v>1207</v>
      </c>
      <c r="C401" s="5" t="s">
        <v>17</v>
      </c>
      <c r="D401" s="5" t="s">
        <v>18</v>
      </c>
      <c r="E401" s="5" t="s">
        <v>516</v>
      </c>
      <c r="F401" s="9" t="s">
        <v>517</v>
      </c>
      <c r="G401" s="9">
        <v>601</v>
      </c>
      <c r="H401" s="5" t="s">
        <v>21</v>
      </c>
      <c r="I401" s="5" t="s">
        <v>1215</v>
      </c>
      <c r="J401" s="12" t="str">
        <f>HYPERLINK("https://www.boe.es/gazeta/dias/1808/06/19/pdfs/GMD-1808-61.pdf#page=7","Abrir facsímil")</f>
        <v>Abrir facsímil</v>
      </c>
      <c r="K401" s="15" t="s">
        <v>23</v>
      </c>
    </row>
    <row r="402" spans="1:11" ht="42" customHeight="1">
      <c r="A402" s="4" t="s">
        <v>1207</v>
      </c>
      <c r="B402" s="5" t="s">
        <v>1207</v>
      </c>
      <c r="C402" s="5" t="s">
        <v>17</v>
      </c>
      <c r="D402" s="5" t="s">
        <v>18</v>
      </c>
      <c r="E402" s="5" t="s">
        <v>616</v>
      </c>
      <c r="F402" s="9" t="s">
        <v>617</v>
      </c>
      <c r="G402" s="9">
        <v>1041</v>
      </c>
      <c r="H402" s="5" t="s">
        <v>21</v>
      </c>
      <c r="I402" s="5" t="s">
        <v>1216</v>
      </c>
      <c r="J402" s="12" t="str">
        <f>HYPERLINK("https://www.boe.es/gazeta/dias/1808/08/19/pdfs/GMD-1808-115.pdf#page=7","Abrir facsímil")</f>
        <v>Abrir facsímil</v>
      </c>
      <c r="K402" s="15" t="s">
        <v>23</v>
      </c>
    </row>
    <row r="403" spans="1:11" ht="42" customHeight="1">
      <c r="A403" s="4" t="s">
        <v>1207</v>
      </c>
      <c r="B403" s="5" t="s">
        <v>1207</v>
      </c>
      <c r="C403" s="5" t="s">
        <v>17</v>
      </c>
      <c r="D403" s="5" t="s">
        <v>18</v>
      </c>
      <c r="E403" s="5" t="s">
        <v>616</v>
      </c>
      <c r="F403" s="9" t="s">
        <v>617</v>
      </c>
      <c r="G403" s="9">
        <v>1042</v>
      </c>
      <c r="H403" s="5" t="s">
        <v>21</v>
      </c>
      <c r="I403" s="5" t="s">
        <v>1217</v>
      </c>
      <c r="J403" s="12" t="str">
        <f>HYPERLINK("https://www.boe.es/gazeta/dias/1808/08/19/pdfs/GMD-1808-115.pdf#page=8","Abrir facsímil")</f>
        <v>Abrir facsímil</v>
      </c>
      <c r="K403" s="15" t="s">
        <v>23</v>
      </c>
    </row>
    <row r="404" spans="1:11" ht="42" customHeight="1">
      <c r="A404" s="4" t="s">
        <v>1207</v>
      </c>
      <c r="B404" s="5" t="s">
        <v>1207</v>
      </c>
      <c r="C404" s="5" t="s">
        <v>17</v>
      </c>
      <c r="D404" s="5" t="s">
        <v>18</v>
      </c>
      <c r="E404" s="5" t="s">
        <v>418</v>
      </c>
      <c r="F404" s="9" t="s">
        <v>1218</v>
      </c>
      <c r="G404" s="9">
        <v>1126</v>
      </c>
      <c r="H404" s="5" t="s">
        <v>21</v>
      </c>
      <c r="I404" s="5" t="s">
        <v>1219</v>
      </c>
      <c r="J404" s="12" t="str">
        <f>HYPERLINK("https://www.boe.es/gazeta/dias/1808/09/06/pdfs/GMD-1808-120.pdf#page=8","Abrir facsímil")</f>
        <v>Abrir facsímil</v>
      </c>
      <c r="K404" s="15" t="s">
        <v>23</v>
      </c>
    </row>
    <row r="405" spans="1:11" ht="42" customHeight="1">
      <c r="A405" s="4" t="s">
        <v>1220</v>
      </c>
      <c r="B405" s="5" t="s">
        <v>1220</v>
      </c>
      <c r="C405" s="5" t="s">
        <v>41</v>
      </c>
      <c r="D405" s="5" t="s">
        <v>42</v>
      </c>
      <c r="E405" s="5" t="s">
        <v>368</v>
      </c>
      <c r="F405" s="9" t="s">
        <v>369</v>
      </c>
      <c r="G405" s="9">
        <v>168</v>
      </c>
      <c r="H405" s="5" t="s">
        <v>21</v>
      </c>
      <c r="I405" s="5" t="s">
        <v>1221</v>
      </c>
      <c r="J405" s="12" t="str">
        <f>HYPERLINK("https://www.boe.es/gazeta/dias/1808/02/16/pdfs/GMD-1808-14.pdf#page=10","Abrir facsímil")</f>
        <v>Abrir facsímil</v>
      </c>
      <c r="K405" s="15" t="s">
        <v>23</v>
      </c>
    </row>
    <row r="406" spans="1:11" ht="42" customHeight="1">
      <c r="A406" s="4" t="s">
        <v>1222</v>
      </c>
      <c r="B406" s="5" t="s">
        <v>1222</v>
      </c>
      <c r="C406" s="5" t="s">
        <v>26</v>
      </c>
      <c r="D406" s="5" t="s">
        <v>27</v>
      </c>
      <c r="E406" s="5" t="s">
        <v>153</v>
      </c>
      <c r="F406" s="9" t="s">
        <v>1185</v>
      </c>
      <c r="G406" s="9">
        <v>1150</v>
      </c>
      <c r="H406" s="5" t="s">
        <v>21</v>
      </c>
      <c r="I406" s="5" t="s">
        <v>1223</v>
      </c>
      <c r="J406" s="12" t="str">
        <f>HYPERLINK("https://www.boe.es/gazeta/dias/1808/09/09/pdfs/GMD-1808-121.pdf#page=8","Abrir facsímil")</f>
        <v>Abrir facsímil</v>
      </c>
      <c r="K406" s="15" t="s">
        <v>23</v>
      </c>
    </row>
    <row r="407" spans="1:11" ht="42" customHeight="1">
      <c r="A407" s="4" t="s">
        <v>1222</v>
      </c>
      <c r="B407" s="5" t="s">
        <v>1222</v>
      </c>
      <c r="C407" s="5" t="s">
        <v>17</v>
      </c>
      <c r="D407" s="5" t="s">
        <v>18</v>
      </c>
      <c r="E407" s="5" t="s">
        <v>363</v>
      </c>
      <c r="F407" s="9" t="s">
        <v>1224</v>
      </c>
      <c r="G407" s="9">
        <v>1187</v>
      </c>
      <c r="H407" s="5" t="s">
        <v>21</v>
      </c>
      <c r="I407" s="5" t="s">
        <v>1225</v>
      </c>
      <c r="J407" s="12" t="str">
        <f>HYPERLINK("https://www.boe.es/gazeta/dias/1808/09/20/pdfs/GMD-1808-126.pdf#page=7","Abrir facsímil")</f>
        <v>Abrir facsímil</v>
      </c>
      <c r="K407" s="15" t="s">
        <v>23</v>
      </c>
    </row>
    <row r="408" spans="1:11" ht="42" customHeight="1">
      <c r="A408" s="4" t="s">
        <v>1226</v>
      </c>
      <c r="B408" s="5" t="s">
        <v>1227</v>
      </c>
      <c r="C408" s="5" t="s">
        <v>33</v>
      </c>
      <c r="D408" s="5" t="s">
        <v>34</v>
      </c>
      <c r="E408" s="5" t="s">
        <v>125</v>
      </c>
      <c r="F408" s="9" t="s">
        <v>126</v>
      </c>
      <c r="G408" s="9" t="s">
        <v>199</v>
      </c>
      <c r="H408" s="5" t="s">
        <v>21</v>
      </c>
      <c r="I408" s="5" t="s">
        <v>1228</v>
      </c>
      <c r="J408" s="12" t="str">
        <f>HYPERLINK("https://www.boe.es/gazeta/dias/1808/10/07/pdfs/GMD-C-1808-132.pdf#page=2","Abrir facsímil")</f>
        <v>Abrir facsímil</v>
      </c>
      <c r="K408" s="15" t="s">
        <v>23</v>
      </c>
    </row>
    <row r="409" spans="1:11" ht="42" customHeight="1">
      <c r="A409" s="4" t="s">
        <v>1229</v>
      </c>
      <c r="B409" s="5" t="s">
        <v>1230</v>
      </c>
      <c r="C409" s="5" t="s">
        <v>41</v>
      </c>
      <c r="D409" s="5" t="s">
        <v>42</v>
      </c>
      <c r="E409" s="5" t="s">
        <v>65</v>
      </c>
      <c r="F409" s="9" t="s">
        <v>66</v>
      </c>
      <c r="G409" s="9">
        <v>1316</v>
      </c>
      <c r="H409" s="5" t="s">
        <v>21</v>
      </c>
      <c r="I409" s="5" t="s">
        <v>1231</v>
      </c>
      <c r="J409" s="12" t="str">
        <f>HYPERLINK("https://www.boe.es/gazeta/dias/1808/10/18/pdfs/GMD-1808-135.pdf#page=16","Abrir facsímil")</f>
        <v>Abrir facsímil</v>
      </c>
      <c r="K409" s="15" t="s">
        <v>23</v>
      </c>
    </row>
    <row r="410" spans="1:11" ht="42" customHeight="1">
      <c r="A410" s="4" t="s">
        <v>1232</v>
      </c>
      <c r="B410" s="5" t="s">
        <v>1233</v>
      </c>
      <c r="C410" s="5" t="s">
        <v>33</v>
      </c>
      <c r="D410" s="5" t="s">
        <v>34</v>
      </c>
      <c r="E410" s="5" t="s">
        <v>35</v>
      </c>
      <c r="F410" s="9" t="s">
        <v>36</v>
      </c>
      <c r="G410" s="9" t="s">
        <v>299</v>
      </c>
      <c r="H410" s="5" t="s">
        <v>21</v>
      </c>
      <c r="I410" s="5" t="s">
        <v>1234</v>
      </c>
      <c r="J410" s="12" t="str">
        <f>HYPERLINK("https://www.boe.es/gazeta/dias/1808/04/22/pdfs/GMD-C-1808-38.pdf#page=14","Abrir facsímil")</f>
        <v>Abrir facsímil</v>
      </c>
      <c r="K410" s="15" t="s">
        <v>23</v>
      </c>
    </row>
    <row r="411" spans="1:11" ht="42" customHeight="1">
      <c r="A411" s="4" t="s">
        <v>1235</v>
      </c>
      <c r="B411" s="5" t="s">
        <v>1236</v>
      </c>
      <c r="C411" s="5" t="s">
        <v>260</v>
      </c>
      <c r="D411" s="5" t="s">
        <v>42</v>
      </c>
      <c r="E411" s="5" t="s">
        <v>469</v>
      </c>
      <c r="F411" s="9" t="s">
        <v>470</v>
      </c>
      <c r="G411" s="9">
        <v>153</v>
      </c>
      <c r="H411" s="5" t="s">
        <v>21</v>
      </c>
      <c r="I411" s="5" t="s">
        <v>1237</v>
      </c>
      <c r="J411" s="12" t="str">
        <f>HYPERLINK("https://www.boe.es/gazeta/dias/1808/02/12/pdfs/GMD-1808-13.pdf#page=9","Abrir facsímil")</f>
        <v>Abrir facsímil</v>
      </c>
      <c r="K411" s="15" t="s">
        <v>23</v>
      </c>
    </row>
    <row r="412" spans="1:11" ht="42" customHeight="1">
      <c r="A412" s="4" t="s">
        <v>1238</v>
      </c>
      <c r="B412" s="5" t="s">
        <v>1238</v>
      </c>
      <c r="C412" s="5" t="s">
        <v>41</v>
      </c>
      <c r="D412" s="5" t="s">
        <v>42</v>
      </c>
      <c r="E412" s="5" t="s">
        <v>35</v>
      </c>
      <c r="F412" s="9" t="s">
        <v>36</v>
      </c>
      <c r="G412" s="9" t="s">
        <v>284</v>
      </c>
      <c r="H412" s="5" t="s">
        <v>21</v>
      </c>
      <c r="I412" s="5" t="s">
        <v>1239</v>
      </c>
      <c r="J412" s="12" t="str">
        <f>HYPERLINK("https://www.boe.es/gazeta/dias/1808/04/22/pdfs/GMD-C-1808-38.pdf#page=35","Abrir facsímil")</f>
        <v>Abrir facsímil</v>
      </c>
      <c r="K412" s="15" t="s">
        <v>23</v>
      </c>
    </row>
    <row r="413" spans="1:11" ht="42" customHeight="1">
      <c r="A413" s="4" t="s">
        <v>1240</v>
      </c>
      <c r="B413" s="5" t="s">
        <v>1241</v>
      </c>
      <c r="C413" s="5" t="s">
        <v>41</v>
      </c>
      <c r="D413" s="5" t="s">
        <v>42</v>
      </c>
      <c r="E413" s="5" t="s">
        <v>238</v>
      </c>
      <c r="F413" s="9" t="s">
        <v>239</v>
      </c>
      <c r="G413" s="9">
        <v>34</v>
      </c>
      <c r="H413" s="5" t="s">
        <v>21</v>
      </c>
      <c r="I413" s="5" t="s">
        <v>1242</v>
      </c>
      <c r="J413" s="12" t="str">
        <f>HYPERLINK("https://www.boe.es/gazeta/dias/1808/01/08/pdfs/GMD-1808-3.pdf#page=10","Abrir facsímil")</f>
        <v>Abrir facsímil</v>
      </c>
      <c r="K413" s="15" t="s">
        <v>23</v>
      </c>
    </row>
    <row r="414" spans="1:11" ht="42" customHeight="1">
      <c r="A414" s="4" t="s">
        <v>1243</v>
      </c>
      <c r="B414" s="5" t="s">
        <v>1243</v>
      </c>
      <c r="C414" s="5" t="s">
        <v>41</v>
      </c>
      <c r="D414" s="5" t="s">
        <v>42</v>
      </c>
      <c r="E414" s="5" t="s">
        <v>35</v>
      </c>
      <c r="F414" s="9" t="s">
        <v>36</v>
      </c>
      <c r="G414" s="9" t="s">
        <v>43</v>
      </c>
      <c r="H414" s="5" t="s">
        <v>21</v>
      </c>
      <c r="I414" s="5" t="s">
        <v>1244</v>
      </c>
      <c r="J414" s="12" t="str">
        <f>HYPERLINK("https://www.boe.es/gazeta/dias/1808/04/22/pdfs/GMD-C-1808-38.pdf#page=30","Abrir facsímil")</f>
        <v>Abrir facsímil</v>
      </c>
      <c r="K414" s="15" t="s">
        <v>23</v>
      </c>
    </row>
    <row r="415" spans="1:11" ht="42" customHeight="1">
      <c r="A415" s="4" t="s">
        <v>1245</v>
      </c>
      <c r="B415" s="5" t="s">
        <v>1246</v>
      </c>
      <c r="C415" s="5" t="s">
        <v>33</v>
      </c>
      <c r="D415" s="5" t="s">
        <v>34</v>
      </c>
      <c r="E415" s="5" t="s">
        <v>89</v>
      </c>
      <c r="F415" s="9" t="s">
        <v>1247</v>
      </c>
      <c r="G415" s="9">
        <v>1373</v>
      </c>
      <c r="H415" s="5" t="s">
        <v>21</v>
      </c>
      <c r="I415" s="5" t="s">
        <v>1248</v>
      </c>
      <c r="J415" s="12" t="str">
        <f>HYPERLINK("https://www.boe.es/gazeta/dias/1808/10/25/pdfs/GMD-C-1808-137.pdf#page=9","Abrir facsímil")</f>
        <v>Abrir facsímil</v>
      </c>
      <c r="K415" s="15" t="s">
        <v>23</v>
      </c>
    </row>
    <row r="416" spans="1:11" ht="42" customHeight="1">
      <c r="A416" s="4" t="s">
        <v>1249</v>
      </c>
      <c r="B416" s="5" t="s">
        <v>1250</v>
      </c>
      <c r="C416" s="5" t="s">
        <v>33</v>
      </c>
      <c r="D416" s="5" t="s">
        <v>34</v>
      </c>
      <c r="E416" s="5" t="s">
        <v>68</v>
      </c>
      <c r="F416" s="9" t="s">
        <v>849</v>
      </c>
      <c r="G416" s="9">
        <v>1341</v>
      </c>
      <c r="H416" s="5" t="s">
        <v>21</v>
      </c>
      <c r="I416" s="5" t="s">
        <v>1251</v>
      </c>
      <c r="J416" s="12" t="str">
        <f>HYPERLINK("https://www.boe.es/gazeta/dias/1808/10/21/pdfs/GMD-C-1808-136.pdf#page=1","Abrir facsímil")</f>
        <v>Abrir facsímil</v>
      </c>
      <c r="K416" s="15" t="s">
        <v>23</v>
      </c>
    </row>
    <row r="417" spans="1:11" ht="42" customHeight="1">
      <c r="A417" s="4" t="s">
        <v>1252</v>
      </c>
      <c r="B417" s="5" t="s">
        <v>1253</v>
      </c>
      <c r="C417" s="5" t="s">
        <v>94</v>
      </c>
      <c r="D417" s="5" t="s">
        <v>95</v>
      </c>
      <c r="E417" s="5" t="s">
        <v>351</v>
      </c>
      <c r="F417" s="9" t="s">
        <v>352</v>
      </c>
      <c r="G417" s="9">
        <v>25</v>
      </c>
      <c r="H417" s="5" t="s">
        <v>21</v>
      </c>
      <c r="I417" s="5" t="s">
        <v>1254</v>
      </c>
      <c r="J417" s="12" t="str">
        <f>HYPERLINK("https://www.boe.es/gazeta/dias/1808/06/11/pdfs/GMS-1808-4.pdf#page=1","Abrir facsímil")</f>
        <v>Abrir facsímil</v>
      </c>
      <c r="K417" s="15" t="s">
        <v>23</v>
      </c>
    </row>
    <row r="418" spans="1:11" ht="42" customHeight="1">
      <c r="A418" s="4" t="s">
        <v>1255</v>
      </c>
      <c r="B418" s="5" t="s">
        <v>1255</v>
      </c>
      <c r="C418" s="5" t="s">
        <v>101</v>
      </c>
      <c r="D418" s="5" t="s">
        <v>102</v>
      </c>
      <c r="E418" s="5" t="s">
        <v>919</v>
      </c>
      <c r="F418" s="9" t="s">
        <v>920</v>
      </c>
      <c r="G418" s="9">
        <v>485</v>
      </c>
      <c r="H418" s="5" t="s">
        <v>21</v>
      </c>
      <c r="I418" s="5" t="s">
        <v>1256</v>
      </c>
      <c r="J418" s="12" t="str">
        <f>HYPERLINK("https://www.boe.es/gazeta/dias/1808/05/24/pdfs/GMD-1808-49.pdf#page=1","Abrir facsímil")</f>
        <v>Abrir facsímil</v>
      </c>
      <c r="K418" s="15" t="s">
        <v>23</v>
      </c>
    </row>
    <row r="419" spans="1:11" ht="42" customHeight="1">
      <c r="A419" s="4" t="s">
        <v>1257</v>
      </c>
      <c r="B419" s="5" t="s">
        <v>1257</v>
      </c>
      <c r="C419" s="5" t="s">
        <v>101</v>
      </c>
      <c r="D419" s="5" t="s">
        <v>102</v>
      </c>
      <c r="E419" s="5" t="s">
        <v>1258</v>
      </c>
      <c r="F419" s="9" t="s">
        <v>1259</v>
      </c>
      <c r="G419" s="9">
        <v>888</v>
      </c>
      <c r="H419" s="5" t="s">
        <v>21</v>
      </c>
      <c r="I419" s="5" t="s">
        <v>1260</v>
      </c>
      <c r="J419" s="12" t="str">
        <f>HYPERLINK("https://www.boe.es/gazeta/dias/1808/07/25/pdfs/GMD-1808-97.pdf#page=2","Abrir facsímil")</f>
        <v>Abrir facsímil</v>
      </c>
      <c r="K419" s="15" t="s">
        <v>23</v>
      </c>
    </row>
    <row r="420" spans="1:11" ht="42" customHeight="1">
      <c r="A420" s="4" t="s">
        <v>1261</v>
      </c>
      <c r="B420" s="5" t="s">
        <v>1262</v>
      </c>
      <c r="C420" s="5" t="s">
        <v>33</v>
      </c>
      <c r="D420" s="5" t="s">
        <v>34</v>
      </c>
      <c r="E420" s="5" t="s">
        <v>35</v>
      </c>
      <c r="F420" s="9" t="s">
        <v>36</v>
      </c>
      <c r="G420" s="9" t="s">
        <v>867</v>
      </c>
      <c r="H420" s="5" t="s">
        <v>21</v>
      </c>
      <c r="I420" s="5" t="s">
        <v>1263</v>
      </c>
      <c r="J420" s="12" t="str">
        <f>HYPERLINK("https://www.boe.es/gazeta/dias/1808/04/22/pdfs/GMD-C-1808-38.pdf#page=19","Abrir facsímil")</f>
        <v>Abrir facsímil</v>
      </c>
      <c r="K420" s="15" t="s">
        <v>23</v>
      </c>
    </row>
    <row r="421" spans="1:11" ht="42" customHeight="1">
      <c r="A421" s="4" t="s">
        <v>1264</v>
      </c>
      <c r="B421" s="5" t="s">
        <v>1265</v>
      </c>
      <c r="C421" s="5" t="s">
        <v>33</v>
      </c>
      <c r="D421" s="5" t="s">
        <v>34</v>
      </c>
      <c r="E421" s="5" t="s">
        <v>35</v>
      </c>
      <c r="F421" s="9" t="s">
        <v>36</v>
      </c>
      <c r="G421" s="9" t="s">
        <v>75</v>
      </c>
      <c r="H421" s="5" t="s">
        <v>21</v>
      </c>
      <c r="I421" s="5" t="s">
        <v>1266</v>
      </c>
      <c r="J421" s="12" t="str">
        <f>HYPERLINK("https://www.boe.es/gazeta/dias/1808/04/22/pdfs/GMD-C-1808-38.pdf#page=4","Abrir facsímil")</f>
        <v>Abrir facsímil</v>
      </c>
      <c r="K421" s="15" t="s">
        <v>23</v>
      </c>
    </row>
    <row r="422" spans="1:11" ht="42" customHeight="1">
      <c r="A422" s="4" t="s">
        <v>1267</v>
      </c>
      <c r="B422" s="5" t="s">
        <v>1268</v>
      </c>
      <c r="C422" s="5" t="s">
        <v>17</v>
      </c>
      <c r="D422" s="5" t="s">
        <v>18</v>
      </c>
      <c r="E422" s="5" t="s">
        <v>19</v>
      </c>
      <c r="F422" s="9" t="s">
        <v>59</v>
      </c>
      <c r="G422" s="9">
        <v>1228</v>
      </c>
      <c r="H422" s="5" t="s">
        <v>21</v>
      </c>
      <c r="I422" s="5" t="s">
        <v>1269</v>
      </c>
      <c r="J422" s="12" t="str">
        <f>HYPERLINK("https://www.boe.es/gazeta/dias/1808/09/30/pdfs/GMD-1808-130.pdf#page=8","Abrir facsímil")</f>
        <v>Abrir facsímil</v>
      </c>
      <c r="K422" s="15" t="s">
        <v>23</v>
      </c>
    </row>
    <row r="423" spans="1:11" ht="42" customHeight="1">
      <c r="A423" s="4" t="s">
        <v>1270</v>
      </c>
      <c r="B423" s="5" t="s">
        <v>1271</v>
      </c>
      <c r="C423" s="5" t="s">
        <v>33</v>
      </c>
      <c r="D423" s="5" t="s">
        <v>34</v>
      </c>
      <c r="E423" s="5" t="s">
        <v>35</v>
      </c>
      <c r="F423" s="9" t="s">
        <v>36</v>
      </c>
      <c r="G423" s="9" t="s">
        <v>117</v>
      </c>
      <c r="H423" s="5" t="s">
        <v>21</v>
      </c>
      <c r="I423" s="5" t="s">
        <v>1272</v>
      </c>
      <c r="J423" s="12" t="str">
        <f>HYPERLINK("https://www.boe.es/gazeta/dias/1808/04/22/pdfs/GMD-C-1808-38.pdf#page=1","Abrir facsímil")</f>
        <v>Abrir facsímil</v>
      </c>
      <c r="K423" s="15" t="s">
        <v>23</v>
      </c>
    </row>
    <row r="424" spans="1:11" ht="42" customHeight="1">
      <c r="A424" s="4" t="s">
        <v>1273</v>
      </c>
      <c r="B424" s="5" t="s">
        <v>1274</v>
      </c>
      <c r="C424" s="5" t="s">
        <v>94</v>
      </c>
      <c r="D424" s="5" t="s">
        <v>95</v>
      </c>
      <c r="E424" s="5" t="s">
        <v>418</v>
      </c>
      <c r="F424" s="9" t="s">
        <v>419</v>
      </c>
      <c r="G424" s="9">
        <v>1136</v>
      </c>
      <c r="H424" s="5" t="s">
        <v>21</v>
      </c>
      <c r="I424" s="5" t="s">
        <v>1275</v>
      </c>
      <c r="J424" s="12" t="str">
        <f>HYPERLINK("https://www.boe.es/gazeta/dias/1808/09/06/pdfs/GMD-C-1808-120.pdf#page=10","Abrir facsímil")</f>
        <v>Abrir facsímil</v>
      </c>
      <c r="K424" s="15" t="s">
        <v>23</v>
      </c>
    </row>
    <row r="425" spans="1:11" ht="42" customHeight="1">
      <c r="A425" s="4" t="s">
        <v>1276</v>
      </c>
      <c r="B425" s="5" t="s">
        <v>1277</v>
      </c>
      <c r="C425" s="5" t="s">
        <v>33</v>
      </c>
      <c r="D425" s="5" t="s">
        <v>34</v>
      </c>
      <c r="E425" s="5" t="s">
        <v>180</v>
      </c>
      <c r="F425" s="9" t="s">
        <v>768</v>
      </c>
      <c r="G425" s="9" t="s">
        <v>106</v>
      </c>
      <c r="H425" s="5" t="s">
        <v>21</v>
      </c>
      <c r="I425" s="5" t="s">
        <v>1278</v>
      </c>
      <c r="J425" s="12" t="str">
        <f>HYPERLINK("https://www.boe.es/gazeta/dias/1808/11/15/pdfs/GMD-D-1808-144.pdf#page=3","Abrir facsímil")</f>
        <v>Abrir facsímil</v>
      </c>
      <c r="K425" s="15" t="s">
        <v>23</v>
      </c>
    </row>
    <row r="426" spans="1:11" ht="42" customHeight="1">
      <c r="A426" s="4" t="s">
        <v>1276</v>
      </c>
      <c r="B426" s="5" t="s">
        <v>1277</v>
      </c>
      <c r="C426" s="5" t="s">
        <v>17</v>
      </c>
      <c r="D426" s="5" t="s">
        <v>18</v>
      </c>
      <c r="E426" s="5" t="s">
        <v>558</v>
      </c>
      <c r="F426" s="9" t="s">
        <v>559</v>
      </c>
      <c r="G426" s="9">
        <v>1545</v>
      </c>
      <c r="H426" s="5" t="s">
        <v>21</v>
      </c>
      <c r="I426" s="5" t="s">
        <v>1279</v>
      </c>
      <c r="J426" s="12" t="str">
        <f>HYPERLINK("https://www.boe.es/gazeta/dias/1808/11/25/pdfs/GMD-1808-147.pdf#page=11","Abrir facsímil")</f>
        <v>Abrir facsímil</v>
      </c>
      <c r="K426" s="15" t="s">
        <v>23</v>
      </c>
    </row>
    <row r="427" spans="1:11" ht="42" customHeight="1">
      <c r="A427" s="4" t="s">
        <v>1280</v>
      </c>
      <c r="B427" s="5" t="s">
        <v>1280</v>
      </c>
      <c r="C427" s="5" t="s">
        <v>94</v>
      </c>
      <c r="D427" s="5" t="s">
        <v>95</v>
      </c>
      <c r="E427" s="5" t="s">
        <v>35</v>
      </c>
      <c r="F427" s="9" t="s">
        <v>36</v>
      </c>
      <c r="G427" s="9" t="s">
        <v>501</v>
      </c>
      <c r="H427" s="5" t="s">
        <v>21</v>
      </c>
      <c r="I427" s="5" t="s">
        <v>1281</v>
      </c>
      <c r="J427" s="12" t="str">
        <f>HYPERLINK("https://www.boe.es/gazeta/dias/1808/04/22/pdfs/GMD-C-1808-38.pdf#page=5","Abrir facsímil")</f>
        <v>Abrir facsímil</v>
      </c>
      <c r="K427" s="15" t="s">
        <v>23</v>
      </c>
    </row>
    <row r="428" spans="1:11" ht="42" customHeight="1">
      <c r="A428" s="4" t="s">
        <v>1282</v>
      </c>
      <c r="B428" s="5" t="s">
        <v>1283</v>
      </c>
      <c r="C428" s="5" t="s">
        <v>41</v>
      </c>
      <c r="D428" s="5" t="s">
        <v>42</v>
      </c>
      <c r="E428" s="5" t="s">
        <v>35</v>
      </c>
      <c r="F428" s="9" t="s">
        <v>36</v>
      </c>
      <c r="G428" s="9" t="s">
        <v>837</v>
      </c>
      <c r="H428" s="5" t="s">
        <v>21</v>
      </c>
      <c r="I428" s="5" t="s">
        <v>1284</v>
      </c>
      <c r="J428" s="12" t="str">
        <f>HYPERLINK("https://www.boe.es/gazeta/dias/1808/04/22/pdfs/GMD-C-1808-38.pdf#page=10","Abrir facsímil")</f>
        <v>Abrir facsímil</v>
      </c>
      <c r="K428" s="15" t="s">
        <v>23</v>
      </c>
    </row>
    <row r="429" spans="1:11" ht="42" customHeight="1">
      <c r="A429" s="4" t="s">
        <v>1285</v>
      </c>
      <c r="B429" s="5" t="s">
        <v>1285</v>
      </c>
      <c r="C429" s="5" t="s">
        <v>94</v>
      </c>
      <c r="D429" s="5" t="s">
        <v>95</v>
      </c>
      <c r="E429" s="5" t="s">
        <v>1286</v>
      </c>
      <c r="F429" s="9" t="s">
        <v>1287</v>
      </c>
      <c r="G429" s="9">
        <v>1621</v>
      </c>
      <c r="H429" s="5" t="s">
        <v>21</v>
      </c>
      <c r="I429" s="5" t="s">
        <v>1288</v>
      </c>
      <c r="J429" s="12" t="str">
        <f>HYPERLINK("https://www.boe.es/gazeta/dias/1808/12/17/pdfs/GMD-1808-157.pdf#page=1","Abrir facsímil")</f>
        <v>Abrir facsímil</v>
      </c>
      <c r="K429" s="15" t="s">
        <v>23</v>
      </c>
    </row>
    <row r="430" spans="1:11" ht="42" customHeight="1">
      <c r="A430" s="4" t="s">
        <v>1289</v>
      </c>
      <c r="B430" s="5" t="s">
        <v>1290</v>
      </c>
      <c r="C430" s="5" t="s">
        <v>94</v>
      </c>
      <c r="D430" s="5" t="s">
        <v>95</v>
      </c>
      <c r="E430" s="5" t="s">
        <v>68</v>
      </c>
      <c r="F430" s="9" t="s">
        <v>849</v>
      </c>
      <c r="G430" s="9">
        <v>1350</v>
      </c>
      <c r="H430" s="5" t="s">
        <v>21</v>
      </c>
      <c r="I430" s="5" t="s">
        <v>1291</v>
      </c>
      <c r="J430" s="12" t="str">
        <f>HYPERLINK("https://www.boe.es/gazeta/dias/1808/10/21/pdfs/GMD-C-1808-136.pdf#page=10","Abrir facsímil")</f>
        <v>Abrir facsímil</v>
      </c>
      <c r="K430" s="15" t="s">
        <v>23</v>
      </c>
    </row>
    <row r="431" spans="1:11" ht="42" customHeight="1">
      <c r="A431" s="4" t="s">
        <v>1292</v>
      </c>
      <c r="B431" s="5" t="s">
        <v>1293</v>
      </c>
      <c r="C431" s="5" t="s">
        <v>33</v>
      </c>
      <c r="D431" s="5" t="s">
        <v>34</v>
      </c>
      <c r="E431" s="5" t="s">
        <v>35</v>
      </c>
      <c r="F431" s="9" t="s">
        <v>36</v>
      </c>
      <c r="G431" s="9" t="s">
        <v>1294</v>
      </c>
      <c r="H431" s="5" t="s">
        <v>21</v>
      </c>
      <c r="I431" s="5" t="s">
        <v>1295</v>
      </c>
      <c r="J431" s="12" t="str">
        <f>HYPERLINK("https://www.boe.es/gazeta/dias/1808/04/22/pdfs/GMD-C-1808-38.pdf#page=8","Abrir facsímil")</f>
        <v>Abrir facsímil</v>
      </c>
      <c r="K431" s="15" t="s">
        <v>23</v>
      </c>
    </row>
    <row r="432" spans="1:11" ht="42" customHeight="1">
      <c r="A432" s="4" t="s">
        <v>1296</v>
      </c>
      <c r="B432" s="5" t="s">
        <v>1297</v>
      </c>
      <c r="C432" s="5" t="s">
        <v>41</v>
      </c>
      <c r="D432" s="5" t="s">
        <v>42</v>
      </c>
      <c r="E432" s="5" t="s">
        <v>35</v>
      </c>
      <c r="F432" s="9" t="s">
        <v>36</v>
      </c>
      <c r="G432" s="9" t="s">
        <v>43</v>
      </c>
      <c r="H432" s="5" t="s">
        <v>21</v>
      </c>
      <c r="I432" s="5" t="s">
        <v>1298</v>
      </c>
      <c r="J432" s="12" t="str">
        <f>HYPERLINK("https://www.boe.es/gazeta/dias/1808/04/22/pdfs/GMD-C-1808-38.pdf#page=30","Abrir facsímil")</f>
        <v>Abrir facsímil</v>
      </c>
      <c r="K432" s="15" t="s">
        <v>23</v>
      </c>
    </row>
    <row r="433" spans="1:11" ht="42" customHeight="1">
      <c r="A433" s="4" t="s">
        <v>1299</v>
      </c>
      <c r="B433" s="5" t="s">
        <v>1300</v>
      </c>
      <c r="C433" s="5" t="s">
        <v>33</v>
      </c>
      <c r="D433" s="5" t="s">
        <v>34</v>
      </c>
      <c r="E433" s="5" t="s">
        <v>35</v>
      </c>
      <c r="F433" s="9" t="s">
        <v>36</v>
      </c>
      <c r="G433" s="9" t="s">
        <v>322</v>
      </c>
      <c r="H433" s="5" t="s">
        <v>21</v>
      </c>
      <c r="I433" s="5" t="s">
        <v>1301</v>
      </c>
      <c r="J433" s="12" t="str">
        <f>HYPERLINK("https://www.boe.es/gazeta/dias/1808/04/22/pdfs/GMD-C-1808-38.pdf#page=15","Abrir facsímil")</f>
        <v>Abrir facsímil</v>
      </c>
      <c r="K433" s="15" t="s">
        <v>23</v>
      </c>
    </row>
    <row r="434" spans="1:11" ht="42" customHeight="1">
      <c r="A434" s="4" t="s">
        <v>1302</v>
      </c>
      <c r="B434" s="5" t="s">
        <v>1303</v>
      </c>
      <c r="C434" s="5" t="s">
        <v>33</v>
      </c>
      <c r="D434" s="5" t="s">
        <v>34</v>
      </c>
      <c r="E434" s="5" t="s">
        <v>35</v>
      </c>
      <c r="F434" s="9" t="s">
        <v>36</v>
      </c>
      <c r="G434" s="9" t="s">
        <v>1178</v>
      </c>
      <c r="H434" s="5" t="s">
        <v>21</v>
      </c>
      <c r="I434" s="5" t="s">
        <v>1304</v>
      </c>
      <c r="J434" s="12" t="str">
        <f>HYPERLINK("https://www.boe.es/gazeta/dias/1808/04/22/pdfs/GMD-C-1808-38.pdf#page=9","Abrir facsímil")</f>
        <v>Abrir facsímil</v>
      </c>
      <c r="K434" s="15" t="s">
        <v>23</v>
      </c>
    </row>
    <row r="435" spans="1:11" ht="42" customHeight="1">
      <c r="A435" s="4" t="s">
        <v>1305</v>
      </c>
      <c r="B435" s="5" t="s">
        <v>1306</v>
      </c>
      <c r="C435" s="5" t="s">
        <v>389</v>
      </c>
      <c r="D435" s="5" t="s">
        <v>390</v>
      </c>
      <c r="E435" s="5" t="s">
        <v>287</v>
      </c>
      <c r="F435" s="9" t="s">
        <v>489</v>
      </c>
      <c r="G435" s="9">
        <v>1008</v>
      </c>
      <c r="H435" s="5" t="s">
        <v>21</v>
      </c>
      <c r="I435" s="5" t="s">
        <v>1307</v>
      </c>
      <c r="J435" s="12" t="str">
        <f>HYPERLINK("https://www.boe.es/gazeta/dias/1808/08/12/pdfs/GMD-1808-112.pdf#page=12","Abrir facsímil")</f>
        <v>Abrir facsímil</v>
      </c>
      <c r="K435" s="15" t="s">
        <v>23</v>
      </c>
    </row>
    <row r="436" spans="1:11" ht="42" customHeight="1">
      <c r="A436" s="4" t="s">
        <v>1308</v>
      </c>
      <c r="B436" s="5" t="s">
        <v>1309</v>
      </c>
      <c r="C436" s="5" t="s">
        <v>41</v>
      </c>
      <c r="D436" s="5" t="s">
        <v>42</v>
      </c>
      <c r="E436" s="5" t="s">
        <v>558</v>
      </c>
      <c r="F436" s="9" t="s">
        <v>1310</v>
      </c>
      <c r="G436" s="9">
        <v>1547</v>
      </c>
      <c r="H436" s="5" t="s">
        <v>21</v>
      </c>
      <c r="I436" s="5" t="s">
        <v>1311</v>
      </c>
      <c r="J436" s="12" t="str">
        <f>HYPERLINK("https://www.boe.es/gazeta/dias/1808/11/25/pdfs/GMD-C-1808-147.pdf#page=1","Abrir facsímil")</f>
        <v>Abrir facsímil</v>
      </c>
      <c r="K436" s="15" t="s">
        <v>23</v>
      </c>
    </row>
    <row r="437" spans="1:11" ht="42" customHeight="1">
      <c r="A437" s="4" t="s">
        <v>1312</v>
      </c>
      <c r="B437" s="5" t="s">
        <v>1313</v>
      </c>
      <c r="C437" s="5" t="s">
        <v>41</v>
      </c>
      <c r="D437" s="5" t="s">
        <v>42</v>
      </c>
      <c r="E437" s="5" t="s">
        <v>166</v>
      </c>
      <c r="F437" s="9" t="s">
        <v>400</v>
      </c>
      <c r="G437" s="9" t="s">
        <v>199</v>
      </c>
      <c r="H437" s="5" t="s">
        <v>21</v>
      </c>
      <c r="I437" s="5" t="s">
        <v>1314</v>
      </c>
      <c r="J437" s="12" t="str">
        <f>HYPERLINK("https://www.boe.es/gazeta/dias/1808/11/18/pdfs/D00069-00072.pdf#page=2","Abrir facsímil")</f>
        <v>Abrir facsímil</v>
      </c>
      <c r="K437" s="15" t="s">
        <v>23</v>
      </c>
    </row>
    <row r="438" spans="1:11" ht="42" customHeight="1">
      <c r="A438" s="4" t="s">
        <v>1315</v>
      </c>
      <c r="B438" s="5" t="s">
        <v>1316</v>
      </c>
      <c r="C438" s="5" t="s">
        <v>41</v>
      </c>
      <c r="D438" s="5" t="s">
        <v>42</v>
      </c>
      <c r="E438" s="5" t="s">
        <v>238</v>
      </c>
      <c r="F438" s="9" t="s">
        <v>239</v>
      </c>
      <c r="G438" s="9">
        <v>35</v>
      </c>
      <c r="H438" s="5" t="s">
        <v>21</v>
      </c>
      <c r="I438" s="5" t="s">
        <v>1317</v>
      </c>
      <c r="J438" s="12" t="str">
        <f>HYPERLINK("https://www.boe.es/gazeta/dias/1808/01/08/pdfs/GMD-1808-3.pdf#page=11","Abrir facsímil")</f>
        <v>Abrir facsímil</v>
      </c>
      <c r="K438" s="15" t="s">
        <v>23</v>
      </c>
    </row>
    <row r="439" spans="1:11" ht="42" customHeight="1">
      <c r="A439" s="4" t="s">
        <v>1318</v>
      </c>
      <c r="B439" s="5" t="s">
        <v>1319</v>
      </c>
      <c r="C439" s="5" t="s">
        <v>17</v>
      </c>
      <c r="D439" s="5" t="s">
        <v>18</v>
      </c>
      <c r="E439" s="5" t="s">
        <v>110</v>
      </c>
      <c r="F439" s="9" t="s">
        <v>111</v>
      </c>
      <c r="G439" s="9">
        <v>1384</v>
      </c>
      <c r="H439" s="5" t="s">
        <v>21</v>
      </c>
      <c r="I439" s="5" t="s">
        <v>1320</v>
      </c>
      <c r="J439" s="12" t="str">
        <f>HYPERLINK("https://www.boe.es/gazeta/dias/1808/10/28/pdfs/GMD-1808-138.pdf#page=10","Abrir facsímil")</f>
        <v>Abrir facsímil</v>
      </c>
      <c r="K439" s="15" t="s">
        <v>23</v>
      </c>
    </row>
    <row r="440" spans="1:11" ht="42" customHeight="1">
      <c r="A440" s="4" t="s">
        <v>1321</v>
      </c>
      <c r="B440" s="5" t="s">
        <v>1322</v>
      </c>
      <c r="C440" s="5" t="s">
        <v>94</v>
      </c>
      <c r="D440" s="5" t="s">
        <v>95</v>
      </c>
      <c r="E440" s="5" t="s">
        <v>222</v>
      </c>
      <c r="F440" s="9" t="s">
        <v>223</v>
      </c>
      <c r="G440" s="9">
        <v>357</v>
      </c>
      <c r="H440" s="5" t="s">
        <v>21</v>
      </c>
      <c r="I440" s="5" t="s">
        <v>1323</v>
      </c>
      <c r="J440" s="12" t="str">
        <f>HYPERLINK("https://www.boe.es/gazeta/dias/1808/04/08/pdfs/GMD-1808-32.pdf#page=11","Abrir facsímil")</f>
        <v>Abrir facsímil</v>
      </c>
      <c r="K440" s="15" t="s">
        <v>23</v>
      </c>
    </row>
    <row r="441" spans="1:11" ht="42" customHeight="1">
      <c r="A441" s="4" t="s">
        <v>1324</v>
      </c>
      <c r="B441" s="5" t="s">
        <v>1325</v>
      </c>
      <c r="C441" s="5" t="s">
        <v>41</v>
      </c>
      <c r="D441" s="5" t="s">
        <v>42</v>
      </c>
      <c r="E441" s="5" t="s">
        <v>427</v>
      </c>
      <c r="F441" s="9" t="s">
        <v>428</v>
      </c>
      <c r="G441" s="9" t="s">
        <v>75</v>
      </c>
      <c r="H441" s="5" t="s">
        <v>21</v>
      </c>
      <c r="I441" s="5" t="s">
        <v>1326</v>
      </c>
      <c r="J441" s="12" t="str">
        <f>HYPERLINK("https://www.boe.es/gazeta/dias/1808/11/22/pdfs/GMD-D-1808-146.pdf#page=4","Abrir facsímil")</f>
        <v>Abrir facsímil</v>
      </c>
      <c r="K441" s="15" t="s">
        <v>23</v>
      </c>
    </row>
    <row r="442" spans="1:11" ht="42" customHeight="1">
      <c r="A442" s="4" t="s">
        <v>1327</v>
      </c>
      <c r="B442" s="5" t="s">
        <v>1328</v>
      </c>
      <c r="C442" s="5" t="s">
        <v>33</v>
      </c>
      <c r="D442" s="5" t="s">
        <v>34</v>
      </c>
      <c r="E442" s="5" t="s">
        <v>89</v>
      </c>
      <c r="F442" s="9" t="s">
        <v>563</v>
      </c>
      <c r="G442" s="9" t="s">
        <v>117</v>
      </c>
      <c r="H442" s="5" t="s">
        <v>21</v>
      </c>
      <c r="I442" s="5" t="s">
        <v>1329</v>
      </c>
      <c r="J442" s="12" t="str">
        <f>HYPERLINK("https://www.boe.es/gazeta/dias/1808/10/25/pdfs/GMD-D-1808-137.pdf#page=1","Abrir facsímil")</f>
        <v>Abrir facsímil</v>
      </c>
      <c r="K442" s="15" t="s">
        <v>23</v>
      </c>
    </row>
    <row r="443" spans="1:11" ht="42" customHeight="1">
      <c r="A443" s="4" t="s">
        <v>1330</v>
      </c>
      <c r="B443" s="5" t="s">
        <v>1331</v>
      </c>
      <c r="C443" s="5" t="s">
        <v>33</v>
      </c>
      <c r="D443" s="5" t="s">
        <v>34</v>
      </c>
      <c r="E443" s="5" t="s">
        <v>35</v>
      </c>
      <c r="F443" s="9" t="s">
        <v>36</v>
      </c>
      <c r="G443" s="9" t="s">
        <v>162</v>
      </c>
      <c r="H443" s="5" t="s">
        <v>21</v>
      </c>
      <c r="I443" s="5" t="s">
        <v>1332</v>
      </c>
      <c r="J443" s="12" t="str">
        <f>HYPERLINK("https://www.boe.es/gazeta/dias/1808/04/22/pdfs/GMD-C-1808-38.pdf#page=31","Abrir facsímil")</f>
        <v>Abrir facsímil</v>
      </c>
      <c r="K443" s="15" t="s">
        <v>23</v>
      </c>
    </row>
    <row r="444" spans="1:11" ht="42" customHeight="1">
      <c r="A444" s="4" t="s">
        <v>1333</v>
      </c>
      <c r="B444" s="5" t="s">
        <v>1334</v>
      </c>
      <c r="C444" s="5" t="s">
        <v>33</v>
      </c>
      <c r="D444" s="5" t="s">
        <v>34</v>
      </c>
      <c r="E444" s="5" t="s">
        <v>35</v>
      </c>
      <c r="F444" s="9" t="s">
        <v>36</v>
      </c>
      <c r="G444" s="9" t="s">
        <v>313</v>
      </c>
      <c r="H444" s="5" t="s">
        <v>21</v>
      </c>
      <c r="I444" s="5" t="s">
        <v>1335</v>
      </c>
      <c r="J444" s="12" t="str">
        <f>HYPERLINK("https://www.boe.es/gazeta/dias/1808/04/22/pdfs/GMD-C-1808-38.pdf#page=29","Abrir facsímil")</f>
        <v>Abrir facsímil</v>
      </c>
      <c r="K444" s="15" t="s">
        <v>23</v>
      </c>
    </row>
    <row r="445" spans="1:11" ht="42" customHeight="1">
      <c r="A445" s="4" t="s">
        <v>1336</v>
      </c>
      <c r="B445" s="5" t="s">
        <v>1337</v>
      </c>
      <c r="C445" s="5" t="s">
        <v>33</v>
      </c>
      <c r="D445" s="5" t="s">
        <v>34</v>
      </c>
      <c r="E445" s="5" t="s">
        <v>35</v>
      </c>
      <c r="F445" s="9" t="s">
        <v>36</v>
      </c>
      <c r="G445" s="9" t="s">
        <v>148</v>
      </c>
      <c r="H445" s="5" t="s">
        <v>21</v>
      </c>
      <c r="I445" s="5" t="s">
        <v>1338</v>
      </c>
      <c r="J445" s="12" t="str">
        <f>HYPERLINK("https://www.boe.es/gazeta/dias/1808/04/22/pdfs/GMD-C-1808-38.pdf#page=38","Abrir facsímil")</f>
        <v>Abrir facsímil</v>
      </c>
      <c r="K445" s="15" t="s">
        <v>23</v>
      </c>
    </row>
    <row r="446" spans="1:11" ht="42" customHeight="1">
      <c r="A446" s="4" t="s">
        <v>1339</v>
      </c>
      <c r="B446" s="5" t="s">
        <v>1340</v>
      </c>
      <c r="C446" s="5" t="s">
        <v>33</v>
      </c>
      <c r="D446" s="5" t="s">
        <v>34</v>
      </c>
      <c r="E446" s="5" t="s">
        <v>35</v>
      </c>
      <c r="F446" s="9" t="s">
        <v>36</v>
      </c>
      <c r="G446" s="9" t="s">
        <v>273</v>
      </c>
      <c r="H446" s="5" t="s">
        <v>21</v>
      </c>
      <c r="I446" s="5" t="s">
        <v>1341</v>
      </c>
      <c r="J446" s="12" t="str">
        <f>HYPERLINK("https://www.boe.es/gazeta/dias/1808/04/22/pdfs/GMD-C-1808-38.pdf#page=12","Abrir facsímil")</f>
        <v>Abrir facsímil</v>
      </c>
      <c r="K446" s="15" t="s">
        <v>23</v>
      </c>
    </row>
    <row r="447" spans="1:11" ht="42" customHeight="1">
      <c r="A447" s="4" t="s">
        <v>1342</v>
      </c>
      <c r="B447" s="5" t="s">
        <v>1342</v>
      </c>
      <c r="C447" s="5" t="s">
        <v>33</v>
      </c>
      <c r="D447" s="5" t="s">
        <v>34</v>
      </c>
      <c r="E447" s="5" t="s">
        <v>264</v>
      </c>
      <c r="F447" s="9" t="s">
        <v>318</v>
      </c>
      <c r="G447" s="9" t="s">
        <v>199</v>
      </c>
      <c r="H447" s="5" t="s">
        <v>21</v>
      </c>
      <c r="I447" s="5" t="s">
        <v>1343</v>
      </c>
      <c r="J447" s="12" t="str">
        <f>HYPERLINK("https://www.boe.es/gazeta/dias/1808/11/29/pdfs/GMD-C-1808-148.pdf#page=2","Abrir facsímil")</f>
        <v>Abrir facsímil</v>
      </c>
      <c r="K447" s="15" t="s">
        <v>23</v>
      </c>
    </row>
    <row r="448" spans="1:11" ht="42" customHeight="1">
      <c r="A448" s="4" t="s">
        <v>1344</v>
      </c>
      <c r="B448" s="5" t="s">
        <v>1344</v>
      </c>
      <c r="C448" s="5" t="s">
        <v>17</v>
      </c>
      <c r="D448" s="5" t="s">
        <v>18</v>
      </c>
      <c r="E448" s="5" t="s">
        <v>1345</v>
      </c>
      <c r="F448" s="9" t="s">
        <v>1346</v>
      </c>
      <c r="G448" s="9">
        <v>83</v>
      </c>
      <c r="H448" s="5" t="s">
        <v>21</v>
      </c>
      <c r="I448" s="5" t="s">
        <v>1347</v>
      </c>
      <c r="J448" s="12" t="str">
        <f>HYPERLINK("https://www.boe.es/gazeta/dias/1808/07/06/pdfs/GMS-1808-11.pdf#page=3","Abrir facsímil")</f>
        <v>Abrir facsímil</v>
      </c>
      <c r="K448" s="15" t="s">
        <v>23</v>
      </c>
    </row>
    <row r="449" spans="1:11" ht="42" customHeight="1">
      <c r="A449" s="4" t="s">
        <v>1348</v>
      </c>
      <c r="B449" s="5" t="s">
        <v>1348</v>
      </c>
      <c r="C449" s="5" t="s">
        <v>101</v>
      </c>
      <c r="D449" s="5" t="s">
        <v>102</v>
      </c>
      <c r="E449" s="5" t="s">
        <v>139</v>
      </c>
      <c r="F449" s="9" t="s">
        <v>140</v>
      </c>
      <c r="G449" s="9">
        <v>1193</v>
      </c>
      <c r="H449" s="5" t="s">
        <v>21</v>
      </c>
      <c r="I449" s="5" t="s">
        <v>1349</v>
      </c>
      <c r="J449" s="12" t="str">
        <f>HYPERLINK("https://www.boe.es/gazeta/dias/1808/09/23/pdfs/GMD-1808-127.pdf#page=1","Abrir facsímil")</f>
        <v>Abrir facsímil</v>
      </c>
      <c r="K449" s="15" t="s">
        <v>23</v>
      </c>
    </row>
    <row r="450" spans="1:11" ht="42" customHeight="1">
      <c r="A450" s="4" t="s">
        <v>1350</v>
      </c>
      <c r="B450" s="5" t="s">
        <v>1350</v>
      </c>
      <c r="C450" s="5" t="s">
        <v>17</v>
      </c>
      <c r="D450" s="5" t="s">
        <v>18</v>
      </c>
      <c r="E450" s="5" t="s">
        <v>1351</v>
      </c>
      <c r="F450" s="9" t="s">
        <v>1352</v>
      </c>
      <c r="G450" s="9">
        <v>1657</v>
      </c>
      <c r="H450" s="5" t="s">
        <v>21</v>
      </c>
      <c r="I450" s="5" t="s">
        <v>1353</v>
      </c>
      <c r="J450" s="12" t="str">
        <f>HYPERLINK("https://www.boe.es/gazeta/dias/1808/12/22/pdfs/GMD-1808-162.pdf#page=3","Abrir facsímil")</f>
        <v>Abrir facsímil</v>
      </c>
      <c r="K450" s="15" t="s">
        <v>23</v>
      </c>
    </row>
    <row r="451" spans="1:11" ht="42" customHeight="1">
      <c r="A451" s="4" t="s">
        <v>1354</v>
      </c>
      <c r="B451" s="5" t="s">
        <v>1354</v>
      </c>
      <c r="C451" s="5" t="s">
        <v>101</v>
      </c>
      <c r="D451" s="5" t="s">
        <v>102</v>
      </c>
      <c r="E451" s="5" t="s">
        <v>242</v>
      </c>
      <c r="F451" s="9" t="s">
        <v>243</v>
      </c>
      <c r="G451" s="9">
        <v>8</v>
      </c>
      <c r="H451" s="5" t="s">
        <v>21</v>
      </c>
      <c r="I451" s="5" t="s">
        <v>1355</v>
      </c>
      <c r="J451" s="12" t="str">
        <f>HYPERLINK("https://www.boe.es/gazeta/dias/1808/01/01/pdfs/GMD-1808-1.pdf#page=8","Abrir facsímil")</f>
        <v>Abrir facsímil</v>
      </c>
      <c r="K451" s="15" t="s">
        <v>23</v>
      </c>
    </row>
    <row r="452" spans="1:11" ht="42" customHeight="1">
      <c r="A452" s="4" t="s">
        <v>1354</v>
      </c>
      <c r="B452" s="5" t="s">
        <v>1354</v>
      </c>
      <c r="C452" s="5" t="s">
        <v>17</v>
      </c>
      <c r="D452" s="5" t="s">
        <v>18</v>
      </c>
      <c r="E452" s="5" t="s">
        <v>269</v>
      </c>
      <c r="F452" s="9" t="s">
        <v>270</v>
      </c>
      <c r="G452" s="9">
        <v>62</v>
      </c>
      <c r="H452" s="5" t="s">
        <v>21</v>
      </c>
      <c r="I452" s="5" t="s">
        <v>1356</v>
      </c>
      <c r="J452" s="12" t="str">
        <f>HYPERLINK("https://www.boe.es/gazeta/dias/1808/01/19/pdfs/GMD-1808-6.pdf#page=2","Abrir facsímil")</f>
        <v>Abrir facsímil</v>
      </c>
      <c r="K452" s="15" t="s">
        <v>23</v>
      </c>
    </row>
    <row r="453" spans="1:11" ht="42" customHeight="1">
      <c r="A453" s="4" t="s">
        <v>1354</v>
      </c>
      <c r="B453" s="5" t="s">
        <v>1354</v>
      </c>
      <c r="C453" s="5" t="s">
        <v>17</v>
      </c>
      <c r="D453" s="5" t="s">
        <v>18</v>
      </c>
      <c r="E453" s="5" t="s">
        <v>269</v>
      </c>
      <c r="F453" s="9" t="s">
        <v>270</v>
      </c>
      <c r="G453" s="9">
        <v>67</v>
      </c>
      <c r="H453" s="5" t="s">
        <v>21</v>
      </c>
      <c r="I453" s="5" t="s">
        <v>1357</v>
      </c>
      <c r="J453" s="12" t="str">
        <f>HYPERLINK("https://www.boe.es/gazeta/dias/1808/01/19/pdfs/GMD-1808-6.pdf#page=7","Abrir facsímil")</f>
        <v>Abrir facsímil</v>
      </c>
      <c r="K453" s="15" t="s">
        <v>23</v>
      </c>
    </row>
    <row r="454" spans="1:11" ht="42" customHeight="1">
      <c r="A454" s="4" t="s">
        <v>1358</v>
      </c>
      <c r="B454" s="5" t="s">
        <v>1358</v>
      </c>
      <c r="C454" s="5" t="s">
        <v>101</v>
      </c>
      <c r="D454" s="5" t="s">
        <v>102</v>
      </c>
      <c r="E454" s="5" t="s">
        <v>919</v>
      </c>
      <c r="F454" s="9" t="s">
        <v>920</v>
      </c>
      <c r="G454" s="9">
        <v>488</v>
      </c>
      <c r="H454" s="5" t="s">
        <v>21</v>
      </c>
      <c r="I454" s="5" t="s">
        <v>1359</v>
      </c>
      <c r="J454" s="12" t="str">
        <f>HYPERLINK("https://www.boe.es/gazeta/dias/1808/05/24/pdfs/GMD-1808-49.pdf#page=4","Abrir facsímil")</f>
        <v>Abrir facsímil</v>
      </c>
      <c r="K454" s="15" t="s">
        <v>23</v>
      </c>
    </row>
    <row r="455" spans="1:11" ht="42" customHeight="1">
      <c r="A455" s="4" t="s">
        <v>1360</v>
      </c>
      <c r="B455" s="5" t="s">
        <v>1360</v>
      </c>
      <c r="C455" s="5" t="s">
        <v>94</v>
      </c>
      <c r="D455" s="5" t="s">
        <v>95</v>
      </c>
      <c r="E455" s="5" t="s">
        <v>1361</v>
      </c>
      <c r="F455" s="9" t="s">
        <v>1362</v>
      </c>
      <c r="G455" s="9">
        <v>467</v>
      </c>
      <c r="H455" s="5" t="s">
        <v>21</v>
      </c>
      <c r="I455" s="5" t="s">
        <v>1363</v>
      </c>
      <c r="J455" s="12" t="str">
        <f>HYPERLINK("https://www.boe.es/gazeta/dias/1808/05/17/pdfs/GMD-1808-47.pdf#page=7","Abrir facsímil")</f>
        <v>Abrir facsímil</v>
      </c>
      <c r="K455" s="15" t="s">
        <v>23</v>
      </c>
    </row>
    <row r="456" spans="1:11" ht="42" customHeight="1">
      <c r="A456" s="4" t="s">
        <v>1360</v>
      </c>
      <c r="B456" s="5" t="s">
        <v>1360</v>
      </c>
      <c r="C456" s="5" t="s">
        <v>17</v>
      </c>
      <c r="D456" s="5" t="s">
        <v>18</v>
      </c>
      <c r="E456" s="5" t="s">
        <v>616</v>
      </c>
      <c r="F456" s="9" t="s">
        <v>617</v>
      </c>
      <c r="G456" s="9">
        <v>1037</v>
      </c>
      <c r="H456" s="5" t="s">
        <v>21</v>
      </c>
      <c r="I456" s="5" t="s">
        <v>1364</v>
      </c>
      <c r="J456" s="12" t="str">
        <f>HYPERLINK("https://www.boe.es/gazeta/dias/1808/08/19/pdfs/GMD-1808-115.pdf#page=3","Abrir facsímil")</f>
        <v>Abrir facsímil</v>
      </c>
      <c r="K456" s="15" t="s">
        <v>23</v>
      </c>
    </row>
    <row r="457" spans="1:11" ht="42" customHeight="1">
      <c r="A457" s="4" t="s">
        <v>1365</v>
      </c>
      <c r="B457" s="5" t="s">
        <v>1365</v>
      </c>
      <c r="C457" s="5" t="s">
        <v>17</v>
      </c>
      <c r="D457" s="5" t="s">
        <v>18</v>
      </c>
      <c r="E457" s="5" t="s">
        <v>51</v>
      </c>
      <c r="F457" s="9" t="s">
        <v>1366</v>
      </c>
      <c r="G457" s="9">
        <v>164</v>
      </c>
      <c r="H457" s="5" t="s">
        <v>21</v>
      </c>
      <c r="I457" s="5" t="s">
        <v>1367</v>
      </c>
      <c r="J457" s="12" t="str">
        <f>HYPERLINK("https://www.boe.es/gazeta/dias/1808/08/09/pdfs/GMS-1808-21.pdf#page=4","Abrir facsímil")</f>
        <v>Abrir facsímil</v>
      </c>
      <c r="K457" s="15" t="s">
        <v>23</v>
      </c>
    </row>
    <row r="458" spans="1:11" ht="42" customHeight="1">
      <c r="A458" s="4" t="s">
        <v>1368</v>
      </c>
      <c r="B458" s="5" t="s">
        <v>1368</v>
      </c>
      <c r="C458" s="5" t="s">
        <v>17</v>
      </c>
      <c r="D458" s="5" t="s">
        <v>18</v>
      </c>
      <c r="E458" s="5" t="s">
        <v>1351</v>
      </c>
      <c r="F458" s="9" t="s">
        <v>1352</v>
      </c>
      <c r="G458" s="9">
        <v>1657</v>
      </c>
      <c r="H458" s="5" t="s">
        <v>21</v>
      </c>
      <c r="I458" s="5" t="s">
        <v>1369</v>
      </c>
      <c r="J458" s="12" t="str">
        <f>HYPERLINK("https://www.boe.es/gazeta/dias/1808/12/22/pdfs/GMD-1808-162.pdf#page=3","Abrir facsímil")</f>
        <v>Abrir facsímil</v>
      </c>
      <c r="K458" s="15" t="s">
        <v>23</v>
      </c>
    </row>
    <row r="459" spans="1:11" ht="42" customHeight="1">
      <c r="A459" s="4" t="s">
        <v>1368</v>
      </c>
      <c r="B459" s="5" t="s">
        <v>1368</v>
      </c>
      <c r="C459" s="5" t="s">
        <v>17</v>
      </c>
      <c r="D459" s="5" t="s">
        <v>18</v>
      </c>
      <c r="E459" s="5" t="s">
        <v>1351</v>
      </c>
      <c r="F459" s="9" t="s">
        <v>1352</v>
      </c>
      <c r="G459" s="9">
        <v>1658</v>
      </c>
      <c r="H459" s="5" t="s">
        <v>21</v>
      </c>
      <c r="I459" s="5" t="s">
        <v>1370</v>
      </c>
      <c r="J459" s="12" t="str">
        <f>HYPERLINK("https://www.boe.es/gazeta/dias/1808/12/22/pdfs/GMD-1808-162.pdf#page=4","Abrir facsímil")</f>
        <v>Abrir facsímil</v>
      </c>
      <c r="K459" s="15" t="s">
        <v>23</v>
      </c>
    </row>
    <row r="460" spans="1:11" ht="42" customHeight="1">
      <c r="A460" s="4" t="s">
        <v>1368</v>
      </c>
      <c r="B460" s="5" t="s">
        <v>1368</v>
      </c>
      <c r="C460" s="5" t="s">
        <v>101</v>
      </c>
      <c r="D460" s="5" t="s">
        <v>102</v>
      </c>
      <c r="E460" s="5" t="s">
        <v>1371</v>
      </c>
      <c r="F460" s="9" t="s">
        <v>1372</v>
      </c>
      <c r="G460" s="9">
        <v>1667</v>
      </c>
      <c r="H460" s="5" t="s">
        <v>21</v>
      </c>
      <c r="I460" s="5" t="s">
        <v>1373</v>
      </c>
      <c r="J460" s="12" t="str">
        <f>HYPERLINK("https://www.boe.es/gazeta/dias/1808/12/24/pdfs/GMD-1808-164.pdf#page=1","Abrir facsímil")</f>
        <v>Abrir facsímil</v>
      </c>
      <c r="K460" s="15" t="s">
        <v>23</v>
      </c>
    </row>
    <row r="461" spans="1:11" ht="42" customHeight="1">
      <c r="A461" s="4" t="s">
        <v>1374</v>
      </c>
      <c r="B461" s="5" t="s">
        <v>1375</v>
      </c>
      <c r="C461" s="5" t="s">
        <v>389</v>
      </c>
      <c r="D461" s="5" t="s">
        <v>390</v>
      </c>
      <c r="E461" s="5" t="s">
        <v>572</v>
      </c>
      <c r="F461" s="9" t="s">
        <v>573</v>
      </c>
      <c r="G461" s="9">
        <v>24</v>
      </c>
      <c r="H461" s="5" t="s">
        <v>21</v>
      </c>
      <c r="I461" s="5" t="s">
        <v>1376</v>
      </c>
      <c r="J461" s="12" t="str">
        <f>HYPERLINK("https://www.boe.es/gazeta/dias/1808/01/05/pdfs/GMD-1808-2.pdf#page=12","Abrir facsímil")</f>
        <v>Abrir facsímil</v>
      </c>
      <c r="K461" s="15" t="s">
        <v>23</v>
      </c>
    </row>
    <row r="462" spans="1:11" ht="42" customHeight="1">
      <c r="A462" s="4" t="s">
        <v>1374</v>
      </c>
      <c r="B462" s="5" t="s">
        <v>1375</v>
      </c>
      <c r="C462" s="5" t="s">
        <v>17</v>
      </c>
      <c r="D462" s="5" t="s">
        <v>18</v>
      </c>
      <c r="E462" s="5" t="s">
        <v>719</v>
      </c>
      <c r="F462" s="9" t="s">
        <v>1377</v>
      </c>
      <c r="G462" s="9">
        <v>463</v>
      </c>
      <c r="H462" s="5" t="s">
        <v>21</v>
      </c>
      <c r="I462" s="5" t="s">
        <v>1378</v>
      </c>
      <c r="J462" s="12" t="str">
        <f>HYPERLINK("https://www.boe.es/gazeta/dias/1808/12/16/pdfs/GMS-1808-58.pdf#page=7","Abrir facsímil")</f>
        <v>Abrir facsímil</v>
      </c>
      <c r="K462" s="15" t="s">
        <v>23</v>
      </c>
    </row>
    <row r="463" spans="1:11" ht="42" customHeight="1">
      <c r="A463" s="4" t="s">
        <v>1379</v>
      </c>
      <c r="B463" s="5" t="s">
        <v>1380</v>
      </c>
      <c r="C463" s="5" t="s">
        <v>17</v>
      </c>
      <c r="D463" s="5" t="s">
        <v>18</v>
      </c>
      <c r="E463" s="5" t="s">
        <v>84</v>
      </c>
      <c r="F463" s="9" t="s">
        <v>1381</v>
      </c>
      <c r="G463" s="9">
        <v>241</v>
      </c>
      <c r="H463" s="5" t="s">
        <v>21</v>
      </c>
      <c r="I463" s="5" t="s">
        <v>1382</v>
      </c>
      <c r="J463" s="12" t="str">
        <f>HYPERLINK("https://www.boe.es/gazeta/dias/1808/09/13/pdfs/GMS-1808-31.pdf#page=1","Abrir facsímil")</f>
        <v>Abrir facsímil</v>
      </c>
      <c r="K463" s="15" t="s">
        <v>23</v>
      </c>
    </row>
    <row r="464" spans="1:11" ht="42" customHeight="1">
      <c r="A464" s="4" t="s">
        <v>1383</v>
      </c>
      <c r="B464" s="5" t="s">
        <v>1384</v>
      </c>
      <c r="C464" s="5" t="s">
        <v>94</v>
      </c>
      <c r="D464" s="5" t="s">
        <v>95</v>
      </c>
      <c r="E464" s="5" t="s">
        <v>1385</v>
      </c>
      <c r="F464" s="9" t="s">
        <v>1386</v>
      </c>
      <c r="G464" s="9">
        <v>231</v>
      </c>
      <c r="H464" s="5" t="s">
        <v>21</v>
      </c>
      <c r="I464" s="5" t="s">
        <v>1387</v>
      </c>
      <c r="J464" s="12" t="str">
        <f>HYPERLINK("https://www.boe.es/gazeta/dias/1808/03/04/pdfs/GMD-1808-19.pdf#page=9","Abrir facsímil")</f>
        <v>Abrir facsímil</v>
      </c>
      <c r="K464" s="15" t="s">
        <v>23</v>
      </c>
    </row>
    <row r="465" spans="1:11" ht="42" customHeight="1">
      <c r="A465" s="4" t="s">
        <v>1388</v>
      </c>
      <c r="B465" s="5" t="s">
        <v>1388</v>
      </c>
      <c r="C465" s="5" t="s">
        <v>33</v>
      </c>
      <c r="D465" s="5" t="s">
        <v>34</v>
      </c>
      <c r="E465" s="5" t="s">
        <v>68</v>
      </c>
      <c r="F465" s="9" t="s">
        <v>309</v>
      </c>
      <c r="G465" s="9" t="s">
        <v>199</v>
      </c>
      <c r="H465" s="5" t="s">
        <v>21</v>
      </c>
      <c r="I465" s="5" t="s">
        <v>1389</v>
      </c>
      <c r="J465" s="12" t="str">
        <f>HYPERLINK("https://www.boe.es/gazeta/dias/1808/10/21/pdfs/GMD-D-1808-136.pdf#page=2","Abrir facsímil")</f>
        <v>Abrir facsímil</v>
      </c>
      <c r="K465" s="15" t="s">
        <v>23</v>
      </c>
    </row>
    <row r="466" spans="1:11" ht="42" customHeight="1">
      <c r="A466" s="4" t="s">
        <v>1390</v>
      </c>
      <c r="B466" s="5" t="s">
        <v>1391</v>
      </c>
      <c r="C466" s="5" t="s">
        <v>33</v>
      </c>
      <c r="D466" s="5" t="s">
        <v>34</v>
      </c>
      <c r="E466" s="5" t="s">
        <v>35</v>
      </c>
      <c r="F466" s="9" t="s">
        <v>36</v>
      </c>
      <c r="G466" s="9" t="s">
        <v>985</v>
      </c>
      <c r="H466" s="5" t="s">
        <v>21</v>
      </c>
      <c r="I466" s="5" t="s">
        <v>1392</v>
      </c>
      <c r="J466" s="12" t="str">
        <f>HYPERLINK("https://www.boe.es/gazeta/dias/1808/04/22/pdfs/GMD-C-1808-38.pdf#page=39","Abrir facsímil")</f>
        <v>Abrir facsímil</v>
      </c>
      <c r="K466" s="15" t="s">
        <v>23</v>
      </c>
    </row>
    <row r="467" spans="1:11" ht="42" customHeight="1">
      <c r="A467" s="4" t="s">
        <v>1393</v>
      </c>
      <c r="B467" s="5" t="s">
        <v>1394</v>
      </c>
      <c r="C467" s="5" t="s">
        <v>17</v>
      </c>
      <c r="D467" s="5" t="s">
        <v>18</v>
      </c>
      <c r="E467" s="5" t="s">
        <v>558</v>
      </c>
      <c r="F467" s="9" t="s">
        <v>559</v>
      </c>
      <c r="G467" s="9">
        <v>1544</v>
      </c>
      <c r="H467" s="5" t="s">
        <v>21</v>
      </c>
      <c r="I467" s="5" t="s">
        <v>1395</v>
      </c>
      <c r="J467" s="12" t="str">
        <f>HYPERLINK("https://www.boe.es/gazeta/dias/1808/11/25/pdfs/GMD-1808-147.pdf#page=10","Abrir facsímil")</f>
        <v>Abrir facsímil</v>
      </c>
      <c r="K467" s="15" t="s">
        <v>23</v>
      </c>
    </row>
    <row r="468" spans="1:11" ht="42" customHeight="1">
      <c r="A468" s="4" t="s">
        <v>1396</v>
      </c>
      <c r="B468" s="5" t="s">
        <v>1397</v>
      </c>
      <c r="C468" s="5" t="s">
        <v>41</v>
      </c>
      <c r="D468" s="5" t="s">
        <v>42</v>
      </c>
      <c r="E468" s="5" t="s">
        <v>461</v>
      </c>
      <c r="F468" s="9" t="s">
        <v>462</v>
      </c>
      <c r="G468" s="9" t="s">
        <v>117</v>
      </c>
      <c r="H468" s="5" t="s">
        <v>21</v>
      </c>
      <c r="I468" s="5" t="s">
        <v>1398</v>
      </c>
      <c r="J468" s="12" t="str">
        <f>HYPERLINK("https://www.boe.es/gazeta/dias/1808/11/08/pdfs/GMD-D-1808-142.pdf#page=1","Abrir facsímil")</f>
        <v>Abrir facsímil</v>
      </c>
      <c r="K468" s="15" t="s">
        <v>23</v>
      </c>
    </row>
    <row r="469" spans="1:11" ht="42" customHeight="1">
      <c r="A469" s="4" t="s">
        <v>1399</v>
      </c>
      <c r="B469" s="5" t="s">
        <v>1399</v>
      </c>
      <c r="C469" s="5" t="s">
        <v>33</v>
      </c>
      <c r="D469" s="5" t="s">
        <v>34</v>
      </c>
      <c r="E469" s="5" t="s">
        <v>89</v>
      </c>
      <c r="F469" s="9" t="s">
        <v>563</v>
      </c>
      <c r="G469" s="9" t="s">
        <v>199</v>
      </c>
      <c r="H469" s="5" t="s">
        <v>21</v>
      </c>
      <c r="I469" s="5" t="s">
        <v>1400</v>
      </c>
      <c r="J469" s="12" t="str">
        <f>HYPERLINK("https://www.boe.es/gazeta/dias/1808/10/25/pdfs/GMD-D-1808-137.pdf#page=2","Abrir facsímil")</f>
        <v>Abrir facsímil</v>
      </c>
      <c r="K469" s="15" t="s">
        <v>23</v>
      </c>
    </row>
    <row r="470" spans="1:11" ht="42" customHeight="1">
      <c r="A470" s="4" t="s">
        <v>1401</v>
      </c>
      <c r="B470" s="5" t="s">
        <v>1401</v>
      </c>
      <c r="C470" s="5" t="s">
        <v>41</v>
      </c>
      <c r="D470" s="5" t="s">
        <v>42</v>
      </c>
      <c r="E470" s="5" t="s">
        <v>115</v>
      </c>
      <c r="F470" s="9" t="s">
        <v>116</v>
      </c>
      <c r="G470" s="9" t="s">
        <v>106</v>
      </c>
      <c r="H470" s="5" t="s">
        <v>21</v>
      </c>
      <c r="I470" s="5" t="s">
        <v>1402</v>
      </c>
      <c r="J470" s="12" t="str">
        <f>HYPERLINK("https://www.boe.es/gazeta/dias/1808/09/16/pdfs/GMD-C-1808-125.pdf#page=3","Abrir facsímil")</f>
        <v>Abrir facsímil</v>
      </c>
      <c r="K470" s="15" t="s">
        <v>23</v>
      </c>
    </row>
    <row r="471" spans="1:11" ht="42" customHeight="1">
      <c r="A471" s="4" t="s">
        <v>1403</v>
      </c>
      <c r="B471" s="5" t="s">
        <v>1403</v>
      </c>
      <c r="C471" s="5" t="s">
        <v>33</v>
      </c>
      <c r="D471" s="5" t="s">
        <v>34</v>
      </c>
      <c r="E471" s="5" t="s">
        <v>461</v>
      </c>
      <c r="F471" s="9" t="s">
        <v>1404</v>
      </c>
      <c r="G471" s="9">
        <v>1458</v>
      </c>
      <c r="H471" s="5" t="s">
        <v>21</v>
      </c>
      <c r="I471" s="5" t="s">
        <v>1405</v>
      </c>
      <c r="J471" s="12" t="str">
        <f>HYPERLINK("https://www.boe.es/gazeta/dias/1808/11/08/pdfs/GMD-C-1808-142.pdf#page=8","Abrir facsímil")</f>
        <v>Abrir facsímil</v>
      </c>
      <c r="K471" s="15" t="s">
        <v>23</v>
      </c>
    </row>
    <row r="472" spans="1:11" ht="42" customHeight="1">
      <c r="A472" s="4" t="s">
        <v>1406</v>
      </c>
      <c r="B472" s="5" t="s">
        <v>1406</v>
      </c>
      <c r="C472" s="5" t="s">
        <v>94</v>
      </c>
      <c r="D472" s="5" t="s">
        <v>95</v>
      </c>
      <c r="E472" s="5" t="s">
        <v>663</v>
      </c>
      <c r="F472" s="9" t="s">
        <v>664</v>
      </c>
      <c r="G472" s="9">
        <v>209</v>
      </c>
      <c r="H472" s="5" t="s">
        <v>21</v>
      </c>
      <c r="I472" s="5" t="s">
        <v>1407</v>
      </c>
      <c r="J472" s="12" t="str">
        <f>HYPERLINK("https://www.boe.es/gazeta/dias/1808/02/26/pdfs/GMD-1808-17.pdf#page=11","Abrir facsímil")</f>
        <v>Abrir facsímil</v>
      </c>
      <c r="K472" s="15" t="s">
        <v>23</v>
      </c>
    </row>
    <row r="473" spans="1:11" ht="42" customHeight="1">
      <c r="A473" s="4" t="s">
        <v>1408</v>
      </c>
      <c r="B473" s="5" t="s">
        <v>1409</v>
      </c>
      <c r="C473" s="5" t="s">
        <v>389</v>
      </c>
      <c r="D473" s="5" t="s">
        <v>390</v>
      </c>
      <c r="E473" s="5" t="s">
        <v>19</v>
      </c>
      <c r="F473" s="9" t="s">
        <v>59</v>
      </c>
      <c r="G473" s="9">
        <v>1232</v>
      </c>
      <c r="H473" s="5" t="s">
        <v>21</v>
      </c>
      <c r="I473" s="5" t="s">
        <v>1410</v>
      </c>
      <c r="J473" s="12" t="str">
        <f>HYPERLINK("https://www.boe.es/gazeta/dias/1808/09/30/pdfs/GMD-1808-130.pdf#page=12","Abrir facsímil")</f>
        <v>Abrir facsímil</v>
      </c>
      <c r="K473" s="15" t="s">
        <v>23</v>
      </c>
    </row>
    <row r="474" spans="1:11" ht="42" customHeight="1">
      <c r="A474" s="4" t="s">
        <v>1411</v>
      </c>
      <c r="B474" s="5" t="s">
        <v>1412</v>
      </c>
      <c r="C474" s="5" t="s">
        <v>17</v>
      </c>
      <c r="D474" s="5" t="s">
        <v>18</v>
      </c>
      <c r="E474" s="5" t="s">
        <v>513</v>
      </c>
      <c r="F474" s="9" t="s">
        <v>514</v>
      </c>
      <c r="G474" s="9">
        <v>285</v>
      </c>
      <c r="H474" s="5" t="s">
        <v>21</v>
      </c>
      <c r="I474" s="5" t="s">
        <v>1413</v>
      </c>
      <c r="J474" s="12" t="str">
        <f>HYPERLINK("https://www.boe.es/gazeta/dias/1808/03/22/pdfs/GMD-1808-24.pdf#page=7","Abrir facsímil")</f>
        <v>Abrir facsímil</v>
      </c>
      <c r="K474" s="15" t="s">
        <v>23</v>
      </c>
    </row>
    <row r="475" spans="1:11" ht="42" customHeight="1">
      <c r="A475" s="4" t="s">
        <v>1414</v>
      </c>
      <c r="B475" s="5" t="s">
        <v>1414</v>
      </c>
      <c r="C475" s="5" t="s">
        <v>101</v>
      </c>
      <c r="D475" s="5" t="s">
        <v>102</v>
      </c>
      <c r="E475" s="5" t="s">
        <v>1415</v>
      </c>
      <c r="F475" s="9" t="s">
        <v>1416</v>
      </c>
      <c r="G475" s="9">
        <v>414</v>
      </c>
      <c r="H475" s="5" t="s">
        <v>21</v>
      </c>
      <c r="I475" s="5" t="s">
        <v>1417</v>
      </c>
      <c r="J475" s="12" t="str">
        <f>HYPERLINK("https://www.boe.es/gazeta/dias/1808/04/26/pdfs/GMD-1808-41.pdf#page=6","Abrir facsímil")</f>
        <v>Abrir facsímil</v>
      </c>
      <c r="K475" s="15" t="s">
        <v>23</v>
      </c>
    </row>
    <row r="476" spans="1:11" ht="42" customHeight="1">
      <c r="A476" s="4" t="s">
        <v>1418</v>
      </c>
      <c r="B476" s="5" t="s">
        <v>1419</v>
      </c>
      <c r="C476" s="5" t="s">
        <v>33</v>
      </c>
      <c r="D476" s="5" t="s">
        <v>34</v>
      </c>
      <c r="E476" s="5" t="s">
        <v>35</v>
      </c>
      <c r="F476" s="9" t="s">
        <v>36</v>
      </c>
      <c r="G476" s="9" t="s">
        <v>106</v>
      </c>
      <c r="H476" s="5" t="s">
        <v>21</v>
      </c>
      <c r="I476" s="5" t="s">
        <v>1420</v>
      </c>
      <c r="J476" s="12" t="str">
        <f>HYPERLINK("https://www.boe.es/gazeta/dias/1808/04/22/pdfs/GMD-C-1808-38.pdf#page=3","Abrir facsímil")</f>
        <v>Abrir facsímil</v>
      </c>
      <c r="K476" s="15" t="s">
        <v>23</v>
      </c>
    </row>
    <row r="477" spans="1:11" ht="42" customHeight="1">
      <c r="A477" s="4" t="s">
        <v>1421</v>
      </c>
      <c r="B477" s="5" t="s">
        <v>1421</v>
      </c>
      <c r="C477" s="5" t="s">
        <v>94</v>
      </c>
      <c r="D477" s="5" t="s">
        <v>95</v>
      </c>
      <c r="E477" s="5" t="s">
        <v>1148</v>
      </c>
      <c r="F477" s="9" t="s">
        <v>1149</v>
      </c>
      <c r="G477" s="9">
        <v>501</v>
      </c>
      <c r="H477" s="5" t="s">
        <v>21</v>
      </c>
      <c r="I477" s="5" t="s">
        <v>1422</v>
      </c>
      <c r="J477" s="12" t="str">
        <f>HYPERLINK("https://www.boe.es/gazeta/dias/1808/05/27/pdfs/GMD-1808-50.pdf#page=5","Abrir facsímil")</f>
        <v>Abrir facsímil</v>
      </c>
      <c r="K477" s="15" t="s">
        <v>23</v>
      </c>
    </row>
    <row r="478" spans="1:11" ht="42" customHeight="1">
      <c r="A478" s="4" t="s">
        <v>1423</v>
      </c>
      <c r="B478" s="5" t="s">
        <v>1423</v>
      </c>
      <c r="C478" s="5" t="s">
        <v>33</v>
      </c>
      <c r="D478" s="5" t="s">
        <v>34</v>
      </c>
      <c r="E478" s="5" t="s">
        <v>363</v>
      </c>
      <c r="F478" s="9" t="s">
        <v>364</v>
      </c>
      <c r="G478" s="9" t="s">
        <v>117</v>
      </c>
      <c r="H478" s="5" t="s">
        <v>21</v>
      </c>
      <c r="I478" s="5" t="s">
        <v>1424</v>
      </c>
      <c r="J478" s="12" t="str">
        <f>HYPERLINK("https://www.boe.es/gazeta/dias/1808/09/20/pdfs/GMD-C-1808-126.pdf#page=1","Abrir facsímil")</f>
        <v>Abrir facsímil</v>
      </c>
      <c r="K478" s="15" t="s">
        <v>23</v>
      </c>
    </row>
    <row r="479" spans="1:11" ht="42" customHeight="1">
      <c r="A479" s="4" t="s">
        <v>1425</v>
      </c>
      <c r="B479" s="5" t="s">
        <v>1426</v>
      </c>
      <c r="C479" s="5" t="s">
        <v>41</v>
      </c>
      <c r="D479" s="5" t="s">
        <v>42</v>
      </c>
      <c r="E479" s="5" t="s">
        <v>431</v>
      </c>
      <c r="F479" s="9" t="s">
        <v>432</v>
      </c>
      <c r="G479" s="9">
        <v>492</v>
      </c>
      <c r="H479" s="5" t="s">
        <v>21</v>
      </c>
      <c r="I479" s="5" t="s">
        <v>1427</v>
      </c>
      <c r="J479" s="12" t="str">
        <f>HYPERLINK("https://www.boe.es/gazeta/dias/1808/12/27/pdfs/GMS-1808-61.pdf#page=8","Abrir facsímil")</f>
        <v>Abrir facsímil</v>
      </c>
      <c r="K479" s="15" t="s">
        <v>23</v>
      </c>
    </row>
    <row r="480" spans="1:11" ht="42" customHeight="1">
      <c r="A480" s="4" t="s">
        <v>1428</v>
      </c>
      <c r="B480" s="5" t="s">
        <v>1428</v>
      </c>
      <c r="C480" s="5" t="s">
        <v>389</v>
      </c>
      <c r="D480" s="5" t="s">
        <v>390</v>
      </c>
      <c r="E480" s="5" t="s">
        <v>222</v>
      </c>
      <c r="F480" s="9" t="s">
        <v>223</v>
      </c>
      <c r="G480" s="9">
        <v>358</v>
      </c>
      <c r="H480" s="5" t="s">
        <v>21</v>
      </c>
      <c r="I480" s="5" t="s">
        <v>1429</v>
      </c>
      <c r="J480" s="12" t="str">
        <f>HYPERLINK("https://www.boe.es/gazeta/dias/1808/04/08/pdfs/GMD-1808-32.pdf#page=12","Abrir facsímil")</f>
        <v>Abrir facsímil</v>
      </c>
      <c r="K480" s="15" t="s">
        <v>23</v>
      </c>
    </row>
    <row r="481" spans="1:11" ht="42" customHeight="1">
      <c r="A481" s="4" t="s">
        <v>1430</v>
      </c>
      <c r="B481" s="5" t="s">
        <v>1431</v>
      </c>
      <c r="C481" s="5" t="s">
        <v>33</v>
      </c>
      <c r="D481" s="5" t="s">
        <v>34</v>
      </c>
      <c r="E481" s="5" t="s">
        <v>139</v>
      </c>
      <c r="F481" s="9" t="s">
        <v>1089</v>
      </c>
      <c r="G481" s="9" t="s">
        <v>106</v>
      </c>
      <c r="H481" s="5" t="s">
        <v>21</v>
      </c>
      <c r="I481" s="5" t="s">
        <v>1432</v>
      </c>
      <c r="J481" s="12" t="str">
        <f>HYPERLINK("https://www.boe.es/gazeta/dias/1808/09/23/pdfs/GMD-C-1808-127.pdf#page=3","Abrir facsímil")</f>
        <v>Abrir facsímil</v>
      </c>
      <c r="K481" s="15" t="s">
        <v>23</v>
      </c>
    </row>
    <row r="482" spans="1:11" ht="42" customHeight="1">
      <c r="A482" s="4" t="s">
        <v>1433</v>
      </c>
      <c r="B482" s="5" t="s">
        <v>1434</v>
      </c>
      <c r="C482" s="5" t="s">
        <v>41</v>
      </c>
      <c r="D482" s="5" t="s">
        <v>42</v>
      </c>
      <c r="E482" s="5" t="s">
        <v>28</v>
      </c>
      <c r="F482" s="9" t="s">
        <v>29</v>
      </c>
      <c r="G482" s="9">
        <v>1429</v>
      </c>
      <c r="H482" s="5" t="s">
        <v>21</v>
      </c>
      <c r="I482" s="5" t="s">
        <v>1435</v>
      </c>
      <c r="J482" s="12" t="str">
        <f>HYPERLINK("https://www.boe.es/gazeta/dias/1808/11/04/pdfs/GMD-1808-141.pdf#page=11","Abrir facsímil")</f>
        <v>Abrir facsímil</v>
      </c>
      <c r="K482" s="15" t="s">
        <v>23</v>
      </c>
    </row>
    <row r="483" spans="1:11" ht="42" customHeight="1">
      <c r="A483" s="4" t="s">
        <v>1436</v>
      </c>
      <c r="B483" s="5" t="s">
        <v>1437</v>
      </c>
      <c r="C483" s="5" t="s">
        <v>33</v>
      </c>
      <c r="D483" s="5" t="s">
        <v>34</v>
      </c>
      <c r="E483" s="5" t="s">
        <v>19</v>
      </c>
      <c r="F483" s="9" t="s">
        <v>949</v>
      </c>
      <c r="G483" s="9" t="s">
        <v>75</v>
      </c>
      <c r="H483" s="5" t="s">
        <v>21</v>
      </c>
      <c r="I483" s="5" t="s">
        <v>1438</v>
      </c>
      <c r="J483" s="12" t="str">
        <f>HYPERLINK("https://www.boe.es/gazeta/dias/1808/09/30/pdfs/GMD-C-1808-130.pdf#page=4","Abrir facsímil")</f>
        <v>Abrir facsímil</v>
      </c>
      <c r="K483" s="15" t="s">
        <v>23</v>
      </c>
    </row>
    <row r="484" spans="1:11" ht="42" customHeight="1">
      <c r="A484" s="4" t="s">
        <v>1439</v>
      </c>
      <c r="B484" s="5" t="s">
        <v>1440</v>
      </c>
      <c r="C484" s="5" t="s">
        <v>94</v>
      </c>
      <c r="D484" s="5" t="s">
        <v>95</v>
      </c>
      <c r="E484" s="5" t="s">
        <v>1258</v>
      </c>
      <c r="F484" s="9" t="s">
        <v>1259</v>
      </c>
      <c r="G484" s="9">
        <v>894</v>
      </c>
      <c r="H484" s="5" t="s">
        <v>21</v>
      </c>
      <c r="I484" s="5" t="s">
        <v>1441</v>
      </c>
      <c r="J484" s="12" t="str">
        <f>HYPERLINK("https://www.boe.es/gazeta/dias/1808/07/25/pdfs/GMD-1808-97.pdf#page=8","Abrir facsímil")</f>
        <v>Abrir facsímil</v>
      </c>
      <c r="K484" s="15" t="s">
        <v>23</v>
      </c>
    </row>
    <row r="485" spans="1:11" ht="42" customHeight="1">
      <c r="A485" s="4" t="s">
        <v>1442</v>
      </c>
      <c r="B485" s="5" t="s">
        <v>1443</v>
      </c>
      <c r="C485" s="5" t="s">
        <v>17</v>
      </c>
      <c r="D485" s="5" t="s">
        <v>18</v>
      </c>
      <c r="E485" s="5" t="s">
        <v>203</v>
      </c>
      <c r="F485" s="9" t="s">
        <v>204</v>
      </c>
      <c r="G485" s="9">
        <v>140</v>
      </c>
      <c r="H485" s="5" t="s">
        <v>21</v>
      </c>
      <c r="I485" s="5" t="s">
        <v>1444</v>
      </c>
      <c r="J485" s="12" t="str">
        <f>HYPERLINK("https://www.boe.es/gazeta/dias/1808/02/09/pdfs/GMD-1808-12.pdf#page=8","Abrir facsímil")</f>
        <v>Abrir facsímil</v>
      </c>
      <c r="K485" s="15" t="s">
        <v>23</v>
      </c>
    </row>
    <row r="486" spans="1:11" ht="42" customHeight="1">
      <c r="A486" s="4" t="s">
        <v>1445</v>
      </c>
      <c r="B486" s="5" t="s">
        <v>1446</v>
      </c>
      <c r="C486" s="5" t="s">
        <v>41</v>
      </c>
      <c r="D486" s="5" t="s">
        <v>42</v>
      </c>
      <c r="E486" s="5" t="s">
        <v>35</v>
      </c>
      <c r="F486" s="9" t="s">
        <v>36</v>
      </c>
      <c r="G486" s="9" t="s">
        <v>985</v>
      </c>
      <c r="H486" s="5" t="s">
        <v>21</v>
      </c>
      <c r="I486" s="5" t="s">
        <v>1447</v>
      </c>
      <c r="J486" s="12" t="str">
        <f>HYPERLINK("https://www.boe.es/gazeta/dias/1808/04/22/pdfs/GMD-C-1808-38.pdf#page=39","Abrir facsímil")</f>
        <v>Abrir facsímil</v>
      </c>
      <c r="K486" s="15" t="s">
        <v>23</v>
      </c>
    </row>
    <row r="487" spans="1:11" ht="42" customHeight="1">
      <c r="A487" s="4" t="s">
        <v>1448</v>
      </c>
      <c r="B487" s="5" t="s">
        <v>1449</v>
      </c>
      <c r="C487" s="5" t="s">
        <v>17</v>
      </c>
      <c r="D487" s="5" t="s">
        <v>18</v>
      </c>
      <c r="E487" s="5" t="s">
        <v>461</v>
      </c>
      <c r="F487" s="9" t="s">
        <v>733</v>
      </c>
      <c r="G487" s="9">
        <v>1448</v>
      </c>
      <c r="H487" s="5" t="s">
        <v>21</v>
      </c>
      <c r="I487" s="5" t="s">
        <v>1450</v>
      </c>
      <c r="J487" s="12" t="str">
        <f>HYPERLINK("https://www.boe.es/gazeta/dias/1808/11/08/pdfs/GMD-1808-142.pdf#page=10","Abrir facsímil")</f>
        <v>Abrir facsímil</v>
      </c>
      <c r="K487" s="15" t="s">
        <v>23</v>
      </c>
    </row>
    <row r="488" spans="1:11" ht="42" customHeight="1">
      <c r="A488" s="4" t="s">
        <v>1451</v>
      </c>
      <c r="B488" s="5" t="s">
        <v>1452</v>
      </c>
      <c r="C488" s="5" t="s">
        <v>33</v>
      </c>
      <c r="D488" s="5" t="s">
        <v>34</v>
      </c>
      <c r="E488" s="5" t="s">
        <v>19</v>
      </c>
      <c r="F488" s="9" t="s">
        <v>949</v>
      </c>
      <c r="G488" s="9" t="s">
        <v>117</v>
      </c>
      <c r="H488" s="5" t="s">
        <v>21</v>
      </c>
      <c r="I488" s="5" t="s">
        <v>1453</v>
      </c>
      <c r="J488" s="12" t="str">
        <f>HYPERLINK("https://www.boe.es/gazeta/dias/1808/09/30/pdfs/GMD-C-1808-130.pdf#page=1","Abrir facsímil")</f>
        <v>Abrir facsímil</v>
      </c>
      <c r="K488" s="15" t="s">
        <v>23</v>
      </c>
    </row>
    <row r="489" spans="1:11" ht="42" customHeight="1">
      <c r="A489" s="4" t="s">
        <v>1454</v>
      </c>
      <c r="B489" s="5" t="s">
        <v>1455</v>
      </c>
      <c r="C489" s="5" t="s">
        <v>33</v>
      </c>
      <c r="D489" s="5" t="s">
        <v>34</v>
      </c>
      <c r="E489" s="5" t="s">
        <v>115</v>
      </c>
      <c r="F489" s="9" t="s">
        <v>116</v>
      </c>
      <c r="G489" s="9" t="s">
        <v>117</v>
      </c>
      <c r="H489" s="5" t="s">
        <v>21</v>
      </c>
      <c r="I489" s="5" t="s">
        <v>1456</v>
      </c>
      <c r="J489" s="12" t="str">
        <f>HYPERLINK("https://www.boe.es/gazeta/dias/1808/09/16/pdfs/GMD-C-1808-125.pdf#page=1","Abrir facsímil")</f>
        <v>Abrir facsímil</v>
      </c>
      <c r="K489" s="15" t="s">
        <v>23</v>
      </c>
    </row>
    <row r="490" spans="1:11" ht="42" customHeight="1">
      <c r="A490" s="4" t="s">
        <v>1457</v>
      </c>
      <c r="B490" s="5" t="s">
        <v>1458</v>
      </c>
      <c r="C490" s="5" t="s">
        <v>33</v>
      </c>
      <c r="D490" s="5" t="s">
        <v>34</v>
      </c>
      <c r="E490" s="5" t="s">
        <v>456</v>
      </c>
      <c r="F490" s="9" t="s">
        <v>748</v>
      </c>
      <c r="G490" s="9" t="s">
        <v>117</v>
      </c>
      <c r="H490" s="5" t="s">
        <v>21</v>
      </c>
      <c r="I490" s="5" t="s">
        <v>1459</v>
      </c>
      <c r="J490" s="12" t="str">
        <f>HYPERLINK("https://www.boe.es/gazeta/dias/1808/10/14/pdfs/GMD-C-1808-134.pdf#page=1","Abrir facsímil")</f>
        <v>Abrir facsímil</v>
      </c>
      <c r="K490" s="15" t="s">
        <v>23</v>
      </c>
    </row>
    <row r="491" spans="1:11" ht="42" customHeight="1">
      <c r="A491" s="4" t="s">
        <v>1460</v>
      </c>
      <c r="B491" s="5" t="s">
        <v>1461</v>
      </c>
      <c r="C491" s="5" t="s">
        <v>33</v>
      </c>
      <c r="D491" s="5" t="s">
        <v>34</v>
      </c>
      <c r="E491" s="5" t="s">
        <v>35</v>
      </c>
      <c r="F491" s="9" t="s">
        <v>36</v>
      </c>
      <c r="G491" s="9" t="s">
        <v>818</v>
      </c>
      <c r="H491" s="5" t="s">
        <v>21</v>
      </c>
      <c r="I491" s="5" t="s">
        <v>1462</v>
      </c>
      <c r="J491" s="12" t="str">
        <f>HYPERLINK("https://www.boe.es/gazeta/dias/1808/04/22/pdfs/GMD-C-1808-38.pdf#page=7","Abrir facsímil")</f>
        <v>Abrir facsímil</v>
      </c>
      <c r="K491" s="15" t="s">
        <v>23</v>
      </c>
    </row>
    <row r="492" spans="1:11" ht="42" customHeight="1">
      <c r="A492" s="4" t="s">
        <v>1463</v>
      </c>
      <c r="B492" s="5" t="s">
        <v>1464</v>
      </c>
      <c r="C492" s="5" t="s">
        <v>41</v>
      </c>
      <c r="D492" s="5" t="s">
        <v>42</v>
      </c>
      <c r="E492" s="5" t="s">
        <v>242</v>
      </c>
      <c r="F492" s="9" t="s">
        <v>243</v>
      </c>
      <c r="G492" s="9">
        <v>11</v>
      </c>
      <c r="H492" s="5" t="s">
        <v>21</v>
      </c>
      <c r="I492" s="5" t="s">
        <v>1465</v>
      </c>
      <c r="J492" s="12" t="str">
        <f>HYPERLINK("https://www.boe.es/gazeta/dias/1808/01/01/pdfs/GMD-1808-1.pdf#page=11","Abrir facsímil")</f>
        <v>Abrir facsímil</v>
      </c>
      <c r="K492" s="15" t="s">
        <v>23</v>
      </c>
    </row>
    <row r="493" spans="1:11" ht="42" customHeight="1">
      <c r="A493" s="4" t="s">
        <v>1463</v>
      </c>
      <c r="B493" s="5" t="s">
        <v>1464</v>
      </c>
      <c r="C493" s="5" t="s">
        <v>41</v>
      </c>
      <c r="D493" s="5" t="s">
        <v>42</v>
      </c>
      <c r="E493" s="5" t="s">
        <v>1466</v>
      </c>
      <c r="F493" s="9" t="s">
        <v>1467</v>
      </c>
      <c r="G493" s="9">
        <v>58</v>
      </c>
      <c r="H493" s="5" t="s">
        <v>21</v>
      </c>
      <c r="I493" s="5" t="s">
        <v>1468</v>
      </c>
      <c r="J493" s="12" t="str">
        <f>HYPERLINK("https://www.boe.es/gazeta/dias/1808/01/15/pdfs/GMD-1808-5.pdf#page=10","Abrir facsímil")</f>
        <v>Abrir facsímil</v>
      </c>
      <c r="K493" s="15" t="s">
        <v>23</v>
      </c>
    </row>
    <row r="494" spans="1:11" ht="42" customHeight="1">
      <c r="A494" s="4" t="s">
        <v>1463</v>
      </c>
      <c r="B494" s="5" t="s">
        <v>1464</v>
      </c>
      <c r="C494" s="5" t="s">
        <v>17</v>
      </c>
      <c r="D494" s="5" t="s">
        <v>18</v>
      </c>
      <c r="E494" s="5" t="s">
        <v>991</v>
      </c>
      <c r="F494" s="9" t="s">
        <v>992</v>
      </c>
      <c r="G494" s="9">
        <v>220</v>
      </c>
      <c r="H494" s="5" t="s">
        <v>21</v>
      </c>
      <c r="I494" s="5" t="s">
        <v>1469</v>
      </c>
      <c r="J494" s="12" t="str">
        <f>HYPERLINK("https://www.boe.es/gazeta/dias/1808/03/01/pdfs/GMD-1808-18.pdf#page=10","Abrir facsímil")</f>
        <v>Abrir facsímil</v>
      </c>
      <c r="K494" s="15" t="s">
        <v>23</v>
      </c>
    </row>
    <row r="495" spans="1:11" ht="42" customHeight="1">
      <c r="A495" s="4" t="s">
        <v>1470</v>
      </c>
      <c r="B495" s="5" t="s">
        <v>1471</v>
      </c>
      <c r="C495" s="5" t="s">
        <v>94</v>
      </c>
      <c r="D495" s="5" t="s">
        <v>95</v>
      </c>
      <c r="E495" s="5" t="s">
        <v>1472</v>
      </c>
      <c r="F495" s="9" t="s">
        <v>1473</v>
      </c>
      <c r="G495" s="9">
        <v>93</v>
      </c>
      <c r="H495" s="5" t="s">
        <v>21</v>
      </c>
      <c r="I495" s="5" t="s">
        <v>1474</v>
      </c>
      <c r="J495" s="12" t="str">
        <f>HYPERLINK("https://www.boe.es/gazeta/dias/1808/01/26/pdfs/GMD-1808-8.pdf#page=9","Abrir facsímil")</f>
        <v>Abrir facsímil</v>
      </c>
      <c r="K495" s="15" t="s">
        <v>23</v>
      </c>
    </row>
    <row r="496" spans="1:11" ht="42" customHeight="1">
      <c r="A496" s="4" t="s">
        <v>1475</v>
      </c>
      <c r="B496" s="5" t="s">
        <v>1476</v>
      </c>
      <c r="C496" s="5" t="s">
        <v>17</v>
      </c>
      <c r="D496" s="5" t="s">
        <v>18</v>
      </c>
      <c r="E496" s="5" t="s">
        <v>539</v>
      </c>
      <c r="F496" s="9" t="s">
        <v>540</v>
      </c>
      <c r="G496" s="9">
        <v>1112</v>
      </c>
      <c r="H496" s="5" t="s">
        <v>21</v>
      </c>
      <c r="I496" s="5" t="s">
        <v>1477</v>
      </c>
      <c r="J496" s="12" t="str">
        <f>HYPERLINK("https://www.boe.es/gazeta/dias/1808/09/02/pdfs/GMD-1808-119.pdf#page=6","Abrir facsímil")</f>
        <v>Abrir facsímil</v>
      </c>
      <c r="K496" s="15" t="s">
        <v>23</v>
      </c>
    </row>
    <row r="497" spans="1:11" ht="42" customHeight="1">
      <c r="A497" s="4" t="s">
        <v>1475</v>
      </c>
      <c r="B497" s="5" t="s">
        <v>1476</v>
      </c>
      <c r="C497" s="5" t="s">
        <v>17</v>
      </c>
      <c r="D497" s="5" t="s">
        <v>18</v>
      </c>
      <c r="E497" s="5" t="s">
        <v>539</v>
      </c>
      <c r="F497" s="9" t="s">
        <v>540</v>
      </c>
      <c r="G497" s="9">
        <v>1113</v>
      </c>
      <c r="H497" s="5" t="s">
        <v>21</v>
      </c>
      <c r="I497" s="5" t="s">
        <v>1478</v>
      </c>
      <c r="J497" s="12" t="str">
        <f>HYPERLINK("https://www.boe.es/gazeta/dias/1808/09/02/pdfs/GMD-1808-119.pdf#page=7","Abrir facsímil")</f>
        <v>Abrir facsímil</v>
      </c>
      <c r="K497" s="15" t="s">
        <v>23</v>
      </c>
    </row>
    <row r="498" spans="1:11" ht="42" customHeight="1">
      <c r="A498" s="4" t="s">
        <v>1475</v>
      </c>
      <c r="B498" s="5" t="s">
        <v>1476</v>
      </c>
      <c r="C498" s="5" t="s">
        <v>33</v>
      </c>
      <c r="D498" s="5" t="s">
        <v>34</v>
      </c>
      <c r="E498" s="5" t="s">
        <v>418</v>
      </c>
      <c r="F498" s="9" t="s">
        <v>419</v>
      </c>
      <c r="G498" s="9">
        <v>1131</v>
      </c>
      <c r="H498" s="5" t="s">
        <v>21</v>
      </c>
      <c r="I498" s="5" t="s">
        <v>1479</v>
      </c>
      <c r="J498" s="12" t="str">
        <f>HYPERLINK("https://www.boe.es/gazeta/dias/1808/09/06/pdfs/GMD-C-1808-120.pdf#page=5","Abrir facsímil")</f>
        <v>Abrir facsímil</v>
      </c>
      <c r="K498" s="15" t="s">
        <v>23</v>
      </c>
    </row>
    <row r="499" spans="1:11" ht="42" customHeight="1">
      <c r="A499" s="4" t="s">
        <v>1475</v>
      </c>
      <c r="B499" s="5" t="s">
        <v>1476</v>
      </c>
      <c r="C499" s="5" t="s">
        <v>17</v>
      </c>
      <c r="D499" s="5" t="s">
        <v>18</v>
      </c>
      <c r="E499" s="5" t="s">
        <v>84</v>
      </c>
      <c r="F499" s="9" t="s">
        <v>85</v>
      </c>
      <c r="G499" s="9">
        <v>1154</v>
      </c>
      <c r="H499" s="5" t="s">
        <v>21</v>
      </c>
      <c r="I499" s="5" t="s">
        <v>1480</v>
      </c>
      <c r="J499" s="12" t="str">
        <f>HYPERLINK("https://www.boe.es/gazeta/dias/1808/09/13/pdfs/GMD-1808-123.pdf#page=2","Abrir facsímil")</f>
        <v>Abrir facsímil</v>
      </c>
      <c r="K499" s="15" t="s">
        <v>23</v>
      </c>
    </row>
    <row r="500" spans="1:11" ht="42" customHeight="1">
      <c r="A500" s="4" t="s">
        <v>1475</v>
      </c>
      <c r="B500" s="5" t="s">
        <v>1476</v>
      </c>
      <c r="C500" s="5" t="s">
        <v>17</v>
      </c>
      <c r="D500" s="5" t="s">
        <v>18</v>
      </c>
      <c r="E500" s="5" t="s">
        <v>431</v>
      </c>
      <c r="F500" s="9" t="s">
        <v>432</v>
      </c>
      <c r="G500" s="9">
        <v>491</v>
      </c>
      <c r="H500" s="5" t="s">
        <v>21</v>
      </c>
      <c r="I500" s="5" t="s">
        <v>1481</v>
      </c>
      <c r="J500" s="12" t="str">
        <f>HYPERLINK("https://www.boe.es/gazeta/dias/1808/12/27/pdfs/GMS-1808-61.pdf#page=7","Abrir facsímil")</f>
        <v>Abrir facsímil</v>
      </c>
      <c r="K500" s="15" t="s">
        <v>23</v>
      </c>
    </row>
    <row r="501" spans="1:11" ht="42" customHeight="1">
      <c r="A501" s="4" t="s">
        <v>1482</v>
      </c>
      <c r="B501" s="5" t="s">
        <v>1483</v>
      </c>
      <c r="C501" s="5" t="s">
        <v>101</v>
      </c>
      <c r="D501" s="5" t="s">
        <v>102</v>
      </c>
      <c r="E501" s="5" t="s">
        <v>1484</v>
      </c>
      <c r="F501" s="9" t="s">
        <v>1485</v>
      </c>
      <c r="G501" s="9">
        <v>674</v>
      </c>
      <c r="H501" s="5" t="s">
        <v>21</v>
      </c>
      <c r="I501" s="5" t="s">
        <v>1486</v>
      </c>
      <c r="J501" s="12" t="str">
        <f>HYPERLINK("https://www.boe.es/gazeta/dias/1808/06/28/pdfs/GMD-1808-70.pdf#page=4","Abrir facsímil")</f>
        <v>Abrir facsímil</v>
      </c>
      <c r="K501" s="15" t="s">
        <v>23</v>
      </c>
    </row>
    <row r="502" spans="1:11" ht="42" customHeight="1">
      <c r="A502" s="4" t="s">
        <v>1487</v>
      </c>
      <c r="B502" s="5" t="s">
        <v>1488</v>
      </c>
      <c r="C502" s="5" t="s">
        <v>33</v>
      </c>
      <c r="D502" s="5" t="s">
        <v>34</v>
      </c>
      <c r="E502" s="5" t="s">
        <v>65</v>
      </c>
      <c r="F502" s="9" t="s">
        <v>105</v>
      </c>
      <c r="G502" s="9" t="s">
        <v>75</v>
      </c>
      <c r="H502" s="5" t="s">
        <v>21</v>
      </c>
      <c r="I502" s="5" t="s">
        <v>1489</v>
      </c>
      <c r="J502" s="12" t="str">
        <f>HYPERLINK("https://www.boe.es/gazeta/dias/1808/10/18/pdfs/GMD-D-1808-135.pdf#page=4","Abrir facsímil")</f>
        <v>Abrir facsímil</v>
      </c>
      <c r="K502" s="15" t="s">
        <v>23</v>
      </c>
    </row>
    <row r="503" spans="1:11" ht="42" customHeight="1">
      <c r="A503" s="4" t="s">
        <v>1490</v>
      </c>
      <c r="B503" s="5" t="s">
        <v>1491</v>
      </c>
      <c r="C503" s="5" t="s">
        <v>33</v>
      </c>
      <c r="D503" s="5" t="s">
        <v>34</v>
      </c>
      <c r="E503" s="5" t="s">
        <v>35</v>
      </c>
      <c r="F503" s="9" t="s">
        <v>36</v>
      </c>
      <c r="G503" s="9" t="s">
        <v>324</v>
      </c>
      <c r="H503" s="5" t="s">
        <v>21</v>
      </c>
      <c r="I503" s="5" t="s">
        <v>1492</v>
      </c>
      <c r="J503" s="12" t="str">
        <f>HYPERLINK("https://www.boe.es/gazeta/dias/1808/04/22/pdfs/GMD-C-1808-38.pdf#page=24","Abrir facsímil")</f>
        <v>Abrir facsímil</v>
      </c>
      <c r="K503" s="15" t="s">
        <v>23</v>
      </c>
    </row>
    <row r="504" spans="1:11" ht="42" customHeight="1">
      <c r="A504" s="4" t="s">
        <v>1493</v>
      </c>
      <c r="B504" s="5" t="s">
        <v>1494</v>
      </c>
      <c r="C504" s="5" t="s">
        <v>33</v>
      </c>
      <c r="D504" s="5" t="s">
        <v>34</v>
      </c>
      <c r="E504" s="5" t="s">
        <v>558</v>
      </c>
      <c r="F504" s="9" t="s">
        <v>1495</v>
      </c>
      <c r="G504" s="9">
        <v>1553</v>
      </c>
      <c r="H504" s="5" t="s">
        <v>21</v>
      </c>
      <c r="I504" s="5" t="s">
        <v>1496</v>
      </c>
      <c r="J504" s="12" t="str">
        <f>HYPERLINK("https://www.boe.es/gazeta/dias/1808/11/25/pdfs/GMD-D-1808-147.pdf#page=3","Abrir facsímil")</f>
        <v>Abrir facsímil</v>
      </c>
      <c r="K504" s="15" t="s">
        <v>23</v>
      </c>
    </row>
    <row r="505" spans="1:11" ht="42" customHeight="1">
      <c r="A505" s="4" t="s">
        <v>1497</v>
      </c>
      <c r="B505" s="5" t="s">
        <v>1498</v>
      </c>
      <c r="C505" s="5" t="s">
        <v>94</v>
      </c>
      <c r="D505" s="5" t="s">
        <v>95</v>
      </c>
      <c r="E505" s="5" t="s">
        <v>663</v>
      </c>
      <c r="F505" s="9" t="s">
        <v>664</v>
      </c>
      <c r="G505" s="9">
        <v>209</v>
      </c>
      <c r="H505" s="5" t="s">
        <v>21</v>
      </c>
      <c r="I505" s="5" t="s">
        <v>1499</v>
      </c>
      <c r="J505" s="12" t="str">
        <f>HYPERLINK("https://www.boe.es/gazeta/dias/1808/02/26/pdfs/GMD-1808-17.pdf#page=11","Abrir facsímil")</f>
        <v>Abrir facsímil</v>
      </c>
      <c r="K505" s="15" t="s">
        <v>23</v>
      </c>
    </row>
    <row r="506" spans="1:11" ht="42" customHeight="1">
      <c r="A506" s="4" t="s">
        <v>1500</v>
      </c>
      <c r="B506" s="5" t="s">
        <v>1501</v>
      </c>
      <c r="C506" s="5" t="s">
        <v>17</v>
      </c>
      <c r="D506" s="5" t="s">
        <v>18</v>
      </c>
      <c r="E506" s="5" t="s">
        <v>1085</v>
      </c>
      <c r="F506" s="9" t="s">
        <v>1086</v>
      </c>
      <c r="G506" s="9">
        <v>107</v>
      </c>
      <c r="H506" s="5" t="s">
        <v>21</v>
      </c>
      <c r="I506" s="5" t="s">
        <v>1502</v>
      </c>
      <c r="J506" s="12" t="str">
        <f>HYPERLINK("https://www.boe.es/gazeta/dias/1808/01/29/pdfs/GMD-1808-9.pdf#page=11","Abrir facsímil")</f>
        <v>Abrir facsímil</v>
      </c>
      <c r="K506" s="15" t="s">
        <v>23</v>
      </c>
    </row>
    <row r="507" spans="1:11" ht="42" customHeight="1">
      <c r="A507" s="4" t="s">
        <v>1500</v>
      </c>
      <c r="B507" s="5" t="s">
        <v>1501</v>
      </c>
      <c r="C507" s="5" t="s">
        <v>389</v>
      </c>
      <c r="D507" s="5" t="s">
        <v>390</v>
      </c>
      <c r="E507" s="5" t="s">
        <v>197</v>
      </c>
      <c r="F507" s="9" t="s">
        <v>790</v>
      </c>
      <c r="G507" s="9">
        <v>1410</v>
      </c>
      <c r="H507" s="5" t="s">
        <v>21</v>
      </c>
      <c r="I507" s="5" t="s">
        <v>1503</v>
      </c>
      <c r="J507" s="12" t="str">
        <f>HYPERLINK("https://www.boe.es/gazeta/dias/1808/11/01/pdfs/GMD-1808-140.pdf#page=12","Abrir facsímil")</f>
        <v>Abrir facsímil</v>
      </c>
      <c r="K507" s="15" t="s">
        <v>23</v>
      </c>
    </row>
    <row r="508" spans="1:11" ht="42" customHeight="1">
      <c r="A508" s="4" t="s">
        <v>1504</v>
      </c>
      <c r="B508" s="5" t="s">
        <v>1504</v>
      </c>
      <c r="C508" s="5" t="s">
        <v>17</v>
      </c>
      <c r="D508" s="5" t="s">
        <v>18</v>
      </c>
      <c r="E508" s="5" t="s">
        <v>166</v>
      </c>
      <c r="F508" s="9" t="s">
        <v>356</v>
      </c>
      <c r="G508" s="9">
        <v>1506</v>
      </c>
      <c r="H508" s="5" t="s">
        <v>21</v>
      </c>
      <c r="I508" s="5" t="s">
        <v>1505</v>
      </c>
      <c r="J508" s="12" t="str">
        <f>HYPERLINK("https://www.boe.es/gazeta/dias/1808/11/18/pdfs/GMD-1808-145.pdf#page=4","Abrir facsímil")</f>
        <v>Abrir facsímil</v>
      </c>
      <c r="K508" s="15" t="s">
        <v>23</v>
      </c>
    </row>
    <row r="509" spans="1:11" ht="42" customHeight="1">
      <c r="A509" s="4" t="s">
        <v>1504</v>
      </c>
      <c r="B509" s="5" t="s">
        <v>1504</v>
      </c>
      <c r="C509" s="5" t="s">
        <v>17</v>
      </c>
      <c r="D509" s="5" t="s">
        <v>18</v>
      </c>
      <c r="E509" s="5" t="s">
        <v>1286</v>
      </c>
      <c r="F509" s="9" t="s">
        <v>1287</v>
      </c>
      <c r="G509" s="9">
        <v>1624</v>
      </c>
      <c r="H509" s="5" t="s">
        <v>21</v>
      </c>
      <c r="I509" s="5" t="s">
        <v>1506</v>
      </c>
      <c r="J509" s="12" t="str">
        <f>HYPERLINK("https://www.boe.es/gazeta/dias/1808/12/17/pdfs/GMD-1808-157.pdf#page=4","Abrir facsímil")</f>
        <v>Abrir facsímil</v>
      </c>
      <c r="K509" s="15" t="s">
        <v>23</v>
      </c>
    </row>
    <row r="510" spans="1:11" ht="42" customHeight="1">
      <c r="A510" s="4" t="s">
        <v>1507</v>
      </c>
      <c r="B510" s="5" t="s">
        <v>1507</v>
      </c>
      <c r="C510" s="5" t="s">
        <v>17</v>
      </c>
      <c r="D510" s="5" t="s">
        <v>18</v>
      </c>
      <c r="E510" s="5" t="s">
        <v>61</v>
      </c>
      <c r="F510" s="9" t="s">
        <v>62</v>
      </c>
      <c r="G510" s="9">
        <v>1284</v>
      </c>
      <c r="H510" s="5" t="s">
        <v>21</v>
      </c>
      <c r="I510" s="5" t="s">
        <v>1508</v>
      </c>
      <c r="J510" s="12" t="str">
        <f>HYPERLINK("https://www.boe.es/gazeta/dias/1808/10/11/pdfs/GMD-1808-133.pdf#page=12","Abrir facsímil")</f>
        <v>Abrir facsímil</v>
      </c>
      <c r="K510" s="15" t="s">
        <v>23</v>
      </c>
    </row>
    <row r="511" spans="1:11" ht="42" customHeight="1">
      <c r="A511" s="4" t="s">
        <v>1509</v>
      </c>
      <c r="B511" s="5" t="s">
        <v>1510</v>
      </c>
      <c r="C511" s="5" t="s">
        <v>33</v>
      </c>
      <c r="D511" s="5" t="s">
        <v>34</v>
      </c>
      <c r="E511" s="5" t="s">
        <v>35</v>
      </c>
      <c r="F511" s="9" t="s">
        <v>36</v>
      </c>
      <c r="G511" s="9" t="s">
        <v>450</v>
      </c>
      <c r="H511" s="5" t="s">
        <v>21</v>
      </c>
      <c r="I511" s="5" t="s">
        <v>1511</v>
      </c>
      <c r="J511" s="12" t="str">
        <f>HYPERLINK("https://www.boe.es/gazeta/dias/1808/04/22/pdfs/GMD-C-1808-38.pdf#page=45","Abrir facsímil")</f>
        <v>Abrir facsímil</v>
      </c>
      <c r="K511" s="15" t="s">
        <v>23</v>
      </c>
    </row>
    <row r="512" spans="1:11" ht="42" customHeight="1">
      <c r="A512" s="4" t="s">
        <v>1512</v>
      </c>
      <c r="B512" s="5" t="s">
        <v>1513</v>
      </c>
      <c r="C512" s="5" t="s">
        <v>33</v>
      </c>
      <c r="D512" s="5" t="s">
        <v>34</v>
      </c>
      <c r="E512" s="5" t="s">
        <v>35</v>
      </c>
      <c r="F512" s="9" t="s">
        <v>36</v>
      </c>
      <c r="G512" s="9" t="s">
        <v>322</v>
      </c>
      <c r="H512" s="5" t="s">
        <v>21</v>
      </c>
      <c r="I512" s="5" t="s">
        <v>1514</v>
      </c>
      <c r="J512" s="12" t="str">
        <f>HYPERLINK("https://www.boe.es/gazeta/dias/1808/04/22/pdfs/GMD-C-1808-38.pdf#page=15","Abrir facsímil")</f>
        <v>Abrir facsímil</v>
      </c>
      <c r="K512" s="15" t="s">
        <v>23</v>
      </c>
    </row>
    <row r="513" spans="1:11" ht="42" customHeight="1">
      <c r="A513" s="4" t="s">
        <v>1515</v>
      </c>
      <c r="B513" s="5" t="s">
        <v>1516</v>
      </c>
      <c r="C513" s="5" t="s">
        <v>33</v>
      </c>
      <c r="D513" s="5" t="s">
        <v>34</v>
      </c>
      <c r="E513" s="5" t="s">
        <v>35</v>
      </c>
      <c r="F513" s="9" t="s">
        <v>36</v>
      </c>
      <c r="G513" s="9" t="s">
        <v>1517</v>
      </c>
      <c r="H513" s="5" t="s">
        <v>21</v>
      </c>
      <c r="I513" s="5" t="s">
        <v>1518</v>
      </c>
      <c r="J513" s="12" t="str">
        <f>HYPERLINK("https://www.boe.es/gazeta/dias/1808/04/22/pdfs/GMD-C-1808-38.pdf#page=23","Abrir facsímil")</f>
        <v>Abrir facsímil</v>
      </c>
      <c r="K513" s="15" t="s">
        <v>23</v>
      </c>
    </row>
    <row r="514" spans="1:11" ht="42" customHeight="1">
      <c r="A514" s="4" t="s">
        <v>1519</v>
      </c>
      <c r="B514" s="5" t="s">
        <v>1520</v>
      </c>
      <c r="C514" s="5" t="s">
        <v>41</v>
      </c>
      <c r="D514" s="5" t="s">
        <v>42</v>
      </c>
      <c r="E514" s="5" t="s">
        <v>61</v>
      </c>
      <c r="F514" s="9" t="s">
        <v>62</v>
      </c>
      <c r="G514" s="9">
        <v>1281</v>
      </c>
      <c r="H514" s="5" t="s">
        <v>21</v>
      </c>
      <c r="I514" s="5" t="s">
        <v>1521</v>
      </c>
      <c r="J514" s="12" t="str">
        <f>HYPERLINK("https://www.boe.es/gazeta/dias/1808/10/11/pdfs/GMD-1808-133.pdf#page=9","Abrir facsímil")</f>
        <v>Abrir facsímil</v>
      </c>
      <c r="K514" s="15" t="s">
        <v>23</v>
      </c>
    </row>
    <row r="515" spans="1:11" ht="42" customHeight="1">
      <c r="A515" s="4" t="s">
        <v>1522</v>
      </c>
      <c r="B515" s="5" t="s">
        <v>1523</v>
      </c>
      <c r="C515" s="5" t="s">
        <v>17</v>
      </c>
      <c r="D515" s="5" t="s">
        <v>18</v>
      </c>
      <c r="E515" s="5" t="s">
        <v>130</v>
      </c>
      <c r="F515" s="9" t="s">
        <v>131</v>
      </c>
      <c r="G515" s="9">
        <v>1602</v>
      </c>
      <c r="H515" s="5" t="s">
        <v>21</v>
      </c>
      <c r="I515" s="5" t="s">
        <v>1524</v>
      </c>
      <c r="J515" s="12" t="str">
        <f>HYPERLINK("https://www.boe.es/gazeta/dias/1808/12/15/pdfs/GMD-1808-155.pdf#page=6","Abrir facsímil")</f>
        <v>Abrir facsímil</v>
      </c>
      <c r="K515" s="15" t="s">
        <v>23</v>
      </c>
    </row>
    <row r="516" spans="1:11" ht="42" customHeight="1">
      <c r="A516" s="4" t="s">
        <v>1525</v>
      </c>
      <c r="B516" s="5" t="s">
        <v>1525</v>
      </c>
      <c r="C516" s="5" t="s">
        <v>41</v>
      </c>
      <c r="D516" s="5" t="s">
        <v>42</v>
      </c>
      <c r="E516" s="5" t="s">
        <v>28</v>
      </c>
      <c r="F516" s="9" t="s">
        <v>446</v>
      </c>
      <c r="G516" s="9" t="s">
        <v>117</v>
      </c>
      <c r="H516" s="5" t="s">
        <v>21</v>
      </c>
      <c r="I516" s="5" t="s">
        <v>1526</v>
      </c>
      <c r="J516" s="12" t="str">
        <f>HYPERLINK("https://www.boe.es/gazeta/dias/1808/11/04/pdfs/GMD-D-1808-141.pdf#page=1","Abrir facsímil")</f>
        <v>Abrir facsímil</v>
      </c>
      <c r="K516" s="15" t="s">
        <v>23</v>
      </c>
    </row>
    <row r="517" spans="1:11" ht="42" customHeight="1">
      <c r="A517" s="4" t="s">
        <v>1527</v>
      </c>
      <c r="B517" s="5" t="s">
        <v>1528</v>
      </c>
      <c r="C517" s="5" t="s">
        <v>33</v>
      </c>
      <c r="D517" s="5" t="s">
        <v>34</v>
      </c>
      <c r="E517" s="5" t="s">
        <v>391</v>
      </c>
      <c r="F517" s="9" t="s">
        <v>588</v>
      </c>
      <c r="G517" s="9" t="s">
        <v>75</v>
      </c>
      <c r="H517" s="5" t="s">
        <v>21</v>
      </c>
      <c r="I517" s="5" t="s">
        <v>1529</v>
      </c>
      <c r="J517" s="12" t="str">
        <f>HYPERLINK("https://www.boe.es/gazeta/dias/1808/09/27/pdfs/GMD-C-1808-128.pdf#page=4","Abrir facsímil")</f>
        <v>Abrir facsímil</v>
      </c>
      <c r="K517" s="15" t="s">
        <v>23</v>
      </c>
    </row>
    <row r="518" spans="1:11" ht="42" customHeight="1">
      <c r="A518" s="4" t="s">
        <v>1530</v>
      </c>
      <c r="B518" s="5" t="s">
        <v>1531</v>
      </c>
      <c r="C518" s="5" t="s">
        <v>41</v>
      </c>
      <c r="D518" s="5" t="s">
        <v>42</v>
      </c>
      <c r="E518" s="5" t="s">
        <v>65</v>
      </c>
      <c r="F518" s="9" t="s">
        <v>66</v>
      </c>
      <c r="G518" s="9">
        <v>1306</v>
      </c>
      <c r="H518" s="5" t="s">
        <v>21</v>
      </c>
      <c r="I518" s="5" t="s">
        <v>1532</v>
      </c>
      <c r="J518" s="12" t="str">
        <f>HYPERLINK("https://www.boe.es/gazeta/dias/1808/10/18/pdfs/GMD-1808-135.pdf#page=6","Abrir facsímil")</f>
        <v>Abrir facsímil</v>
      </c>
      <c r="K518" s="15" t="s">
        <v>23</v>
      </c>
    </row>
    <row r="519" spans="1:11" ht="42" customHeight="1">
      <c r="A519" s="4" t="s">
        <v>1533</v>
      </c>
      <c r="B519" s="5" t="s">
        <v>1534</v>
      </c>
      <c r="C519" s="5" t="s">
        <v>17</v>
      </c>
      <c r="D519" s="5" t="s">
        <v>18</v>
      </c>
      <c r="E519" s="5" t="s">
        <v>65</v>
      </c>
      <c r="F519" s="9" t="s">
        <v>66</v>
      </c>
      <c r="G519" s="9">
        <v>1308</v>
      </c>
      <c r="H519" s="5" t="s">
        <v>21</v>
      </c>
      <c r="I519" s="5" t="s">
        <v>1535</v>
      </c>
      <c r="J519" s="12" t="str">
        <f>HYPERLINK("https://www.boe.es/gazeta/dias/1808/10/18/pdfs/GMD-1808-135.pdf#page=8","Abrir facsímil")</f>
        <v>Abrir facsímil</v>
      </c>
      <c r="K519" s="15" t="s">
        <v>23</v>
      </c>
    </row>
    <row r="520" spans="1:11" ht="42" customHeight="1">
      <c r="A520" s="4" t="s">
        <v>1536</v>
      </c>
      <c r="B520" s="5" t="s">
        <v>1537</v>
      </c>
      <c r="C520" s="5" t="s">
        <v>94</v>
      </c>
      <c r="D520" s="5" t="s">
        <v>95</v>
      </c>
      <c r="E520" s="5" t="s">
        <v>269</v>
      </c>
      <c r="F520" s="9" t="s">
        <v>270</v>
      </c>
      <c r="G520" s="9">
        <v>69</v>
      </c>
      <c r="H520" s="5" t="s">
        <v>21</v>
      </c>
      <c r="I520" s="5" t="s">
        <v>1538</v>
      </c>
      <c r="J520" s="12" t="str">
        <f>HYPERLINK("https://www.boe.es/gazeta/dias/1808/01/19/pdfs/GMD-1808-6.pdf#page=9","Abrir facsímil")</f>
        <v>Abrir facsímil</v>
      </c>
      <c r="K520" s="15" t="s">
        <v>23</v>
      </c>
    </row>
    <row r="521" spans="1:11" ht="42" customHeight="1">
      <c r="A521" s="4" t="s">
        <v>1539</v>
      </c>
      <c r="B521" s="5" t="s">
        <v>1540</v>
      </c>
      <c r="C521" s="5" t="s">
        <v>33</v>
      </c>
      <c r="D521" s="5" t="s">
        <v>34</v>
      </c>
      <c r="E521" s="5" t="s">
        <v>125</v>
      </c>
      <c r="F521" s="9" t="s">
        <v>126</v>
      </c>
      <c r="G521" s="9" t="s">
        <v>117</v>
      </c>
      <c r="H521" s="5" t="s">
        <v>21</v>
      </c>
      <c r="I521" s="5" t="s">
        <v>1541</v>
      </c>
      <c r="J521" s="12" t="str">
        <f>HYPERLINK("https://www.boe.es/gazeta/dias/1808/10/07/pdfs/GMD-C-1808-132.pdf#page=1","Abrir facsímil")</f>
        <v>Abrir facsímil</v>
      </c>
      <c r="K521" s="15" t="s">
        <v>23</v>
      </c>
    </row>
    <row r="522" spans="1:11" ht="42" customHeight="1">
      <c r="A522" s="4" t="s">
        <v>1542</v>
      </c>
      <c r="B522" s="5" t="s">
        <v>1543</v>
      </c>
      <c r="C522" s="5" t="s">
        <v>17</v>
      </c>
      <c r="D522" s="5" t="s">
        <v>18</v>
      </c>
      <c r="E522" s="5" t="s">
        <v>89</v>
      </c>
      <c r="F522" s="9" t="s">
        <v>90</v>
      </c>
      <c r="G522" s="9">
        <v>1363</v>
      </c>
      <c r="H522" s="5" t="s">
        <v>21</v>
      </c>
      <c r="I522" s="5" t="s">
        <v>1544</v>
      </c>
      <c r="J522" s="12" t="str">
        <f>HYPERLINK("https://www.boe.es/gazeta/dias/1808/10/25/pdfs/GMD-1808-137.pdf#page=11","Abrir facsímil")</f>
        <v>Abrir facsímil</v>
      </c>
      <c r="K522" s="15" t="s">
        <v>23</v>
      </c>
    </row>
    <row r="523" spans="1:11" ht="42" customHeight="1">
      <c r="A523" s="4" t="s">
        <v>1545</v>
      </c>
      <c r="B523" s="5" t="s">
        <v>1546</v>
      </c>
      <c r="C523" s="5" t="s">
        <v>17</v>
      </c>
      <c r="D523" s="5" t="s">
        <v>18</v>
      </c>
      <c r="E523" s="5" t="s">
        <v>185</v>
      </c>
      <c r="F523" s="9" t="s">
        <v>186</v>
      </c>
      <c r="G523" s="9">
        <v>1101</v>
      </c>
      <c r="H523" s="5" t="s">
        <v>21</v>
      </c>
      <c r="I523" s="5" t="s">
        <v>1547</v>
      </c>
      <c r="J523" s="12" t="str">
        <f>HYPERLINK("https://www.boe.es/gazeta/dias/1808/08/30/pdfs/GMD-1808-118.pdf#page=7","Abrir facsímil")</f>
        <v>Abrir facsímil</v>
      </c>
      <c r="K523" s="15" t="s">
        <v>23</v>
      </c>
    </row>
    <row r="524" spans="1:11" ht="42" customHeight="1">
      <c r="A524" s="4" t="s">
        <v>1548</v>
      </c>
      <c r="B524" s="5" t="s">
        <v>1549</v>
      </c>
      <c r="C524" s="5" t="s">
        <v>33</v>
      </c>
      <c r="D524" s="5" t="s">
        <v>34</v>
      </c>
      <c r="E524" s="5" t="s">
        <v>35</v>
      </c>
      <c r="F524" s="9" t="s">
        <v>36</v>
      </c>
      <c r="G524" s="9" t="s">
        <v>284</v>
      </c>
      <c r="H524" s="5" t="s">
        <v>21</v>
      </c>
      <c r="I524" s="5" t="s">
        <v>1550</v>
      </c>
      <c r="J524" s="12" t="str">
        <f>HYPERLINK("https://www.boe.es/gazeta/dias/1808/04/22/pdfs/GMD-C-1808-38.pdf#page=35","Abrir facsímil")</f>
        <v>Abrir facsímil</v>
      </c>
      <c r="K524" s="15" t="s">
        <v>23</v>
      </c>
    </row>
    <row r="525" spans="1:11" ht="42" customHeight="1">
      <c r="A525" s="4" t="s">
        <v>1551</v>
      </c>
      <c r="B525" s="5" t="s">
        <v>1552</v>
      </c>
      <c r="C525" s="5" t="s">
        <v>33</v>
      </c>
      <c r="D525" s="5" t="s">
        <v>34</v>
      </c>
      <c r="E525" s="5" t="s">
        <v>391</v>
      </c>
      <c r="F525" s="9" t="s">
        <v>588</v>
      </c>
      <c r="G525" s="9" t="s">
        <v>117</v>
      </c>
      <c r="H525" s="5" t="s">
        <v>21</v>
      </c>
      <c r="I525" s="5" t="s">
        <v>1553</v>
      </c>
      <c r="J525" s="12" t="str">
        <f>HYPERLINK("https://www.boe.es/gazeta/dias/1808/09/27/pdfs/GMD-C-1808-128.pdf#page=1","Abrir facsímil")</f>
        <v>Abrir facsímil</v>
      </c>
      <c r="K525" s="15" t="s">
        <v>23</v>
      </c>
    </row>
    <row r="526" spans="1:11" ht="42" customHeight="1">
      <c r="A526" s="4" t="s">
        <v>1554</v>
      </c>
      <c r="B526" s="5" t="s">
        <v>1555</v>
      </c>
      <c r="C526" s="5" t="s">
        <v>33</v>
      </c>
      <c r="D526" s="5" t="s">
        <v>34</v>
      </c>
      <c r="E526" s="5" t="s">
        <v>35</v>
      </c>
      <c r="F526" s="9" t="s">
        <v>36</v>
      </c>
      <c r="G526" s="9" t="s">
        <v>273</v>
      </c>
      <c r="H526" s="5" t="s">
        <v>21</v>
      </c>
      <c r="I526" s="5" t="s">
        <v>1556</v>
      </c>
      <c r="J526" s="12" t="str">
        <f>HYPERLINK("https://www.boe.es/gazeta/dias/1808/04/22/pdfs/GMD-C-1808-38.pdf#page=12","Abrir facsímil")</f>
        <v>Abrir facsímil</v>
      </c>
      <c r="K526" s="15" t="s">
        <v>23</v>
      </c>
    </row>
    <row r="527" spans="1:11" ht="42" customHeight="1">
      <c r="A527" s="4" t="s">
        <v>1557</v>
      </c>
      <c r="B527" s="5" t="s">
        <v>1558</v>
      </c>
      <c r="C527" s="5" t="s">
        <v>17</v>
      </c>
      <c r="D527" s="5" t="s">
        <v>18</v>
      </c>
      <c r="E527" s="5" t="s">
        <v>139</v>
      </c>
      <c r="F527" s="9" t="s">
        <v>140</v>
      </c>
      <c r="G527" s="9">
        <v>1202</v>
      </c>
      <c r="H527" s="5" t="s">
        <v>21</v>
      </c>
      <c r="I527" s="5" t="s">
        <v>1559</v>
      </c>
      <c r="J527" s="12" t="str">
        <f>HYPERLINK("https://www.boe.es/gazeta/dias/1808/09/23/pdfs/GMD-1808-127.pdf#page=10","Abrir facsímil")</f>
        <v>Abrir facsímil</v>
      </c>
      <c r="K527" s="15" t="s">
        <v>23</v>
      </c>
    </row>
    <row r="528" spans="1:11" ht="42" customHeight="1">
      <c r="A528" s="4" t="s">
        <v>1560</v>
      </c>
      <c r="B528" s="5" t="s">
        <v>1560</v>
      </c>
      <c r="C528" s="5" t="s">
        <v>33</v>
      </c>
      <c r="D528" s="5" t="s">
        <v>34</v>
      </c>
      <c r="E528" s="5" t="s">
        <v>508</v>
      </c>
      <c r="F528" s="9" t="s">
        <v>1561</v>
      </c>
      <c r="G528" s="9">
        <v>1022</v>
      </c>
      <c r="H528" s="5" t="s">
        <v>21</v>
      </c>
      <c r="I528" s="5" t="s">
        <v>1562</v>
      </c>
      <c r="J528" s="12" t="str">
        <f>HYPERLINK("https://www.boe.es/gazeta/dias/1808/08/16/pdfs/GMD-C-1808-113.pdf#page=2","Abrir facsímil")</f>
        <v>Abrir facsímil</v>
      </c>
      <c r="K528" s="15" t="s">
        <v>23</v>
      </c>
    </row>
    <row r="529" spans="1:11" ht="42" customHeight="1">
      <c r="A529" s="4" t="s">
        <v>1560</v>
      </c>
      <c r="B529" s="5" t="s">
        <v>1560</v>
      </c>
      <c r="C529" s="5" t="s">
        <v>94</v>
      </c>
      <c r="D529" s="5" t="s">
        <v>95</v>
      </c>
      <c r="E529" s="5" t="s">
        <v>68</v>
      </c>
      <c r="F529" s="9" t="s">
        <v>849</v>
      </c>
      <c r="G529" s="9">
        <v>1350</v>
      </c>
      <c r="H529" s="5" t="s">
        <v>21</v>
      </c>
      <c r="I529" s="5" t="s">
        <v>1563</v>
      </c>
      <c r="J529" s="12" t="str">
        <f>HYPERLINK("https://www.boe.es/gazeta/dias/1808/10/21/pdfs/GMD-C-1808-136.pdf#page=10","Abrir facsímil")</f>
        <v>Abrir facsímil</v>
      </c>
      <c r="K529" s="15" t="s">
        <v>23</v>
      </c>
    </row>
    <row r="530" spans="1:11" ht="42" customHeight="1">
      <c r="A530" s="4" t="s">
        <v>1560</v>
      </c>
      <c r="B530" s="5" t="s">
        <v>1560</v>
      </c>
      <c r="C530" s="5" t="s">
        <v>41</v>
      </c>
      <c r="D530" s="5" t="s">
        <v>42</v>
      </c>
      <c r="E530" s="5" t="s">
        <v>89</v>
      </c>
      <c r="F530" s="9" t="s">
        <v>90</v>
      </c>
      <c r="G530" s="9">
        <v>1359</v>
      </c>
      <c r="H530" s="5" t="s">
        <v>21</v>
      </c>
      <c r="I530" s="5" t="s">
        <v>1564</v>
      </c>
      <c r="J530" s="12" t="str">
        <f>HYPERLINK("https://www.boe.es/gazeta/dias/1808/10/25/pdfs/GMD-1808-137.pdf#page=7","Abrir facsímil")</f>
        <v>Abrir facsímil</v>
      </c>
      <c r="K530" s="15" t="s">
        <v>23</v>
      </c>
    </row>
    <row r="531" spans="1:11" ht="42" customHeight="1">
      <c r="A531" s="4" t="s">
        <v>1565</v>
      </c>
      <c r="B531" s="5" t="s">
        <v>1565</v>
      </c>
      <c r="C531" s="5" t="s">
        <v>389</v>
      </c>
      <c r="D531" s="5" t="s">
        <v>390</v>
      </c>
      <c r="E531" s="5" t="s">
        <v>84</v>
      </c>
      <c r="F531" s="9" t="s">
        <v>85</v>
      </c>
      <c r="G531" s="9">
        <v>1163</v>
      </c>
      <c r="H531" s="5" t="s">
        <v>21</v>
      </c>
      <c r="I531" s="5" t="s">
        <v>1566</v>
      </c>
      <c r="J531" s="12" t="str">
        <f>HYPERLINK("https://www.boe.es/gazeta/dias/1808/09/13/pdfs/GMD-1808-123.pdf#page=11","Abrir facsímil")</f>
        <v>Abrir facsímil</v>
      </c>
      <c r="K531" s="15" t="s">
        <v>23</v>
      </c>
    </row>
    <row r="532" spans="1:11" ht="42" customHeight="1">
      <c r="A532" s="4" t="s">
        <v>1567</v>
      </c>
      <c r="B532" s="5" t="s">
        <v>1567</v>
      </c>
      <c r="C532" s="5" t="s">
        <v>33</v>
      </c>
      <c r="D532" s="5" t="s">
        <v>34</v>
      </c>
      <c r="E532" s="5" t="s">
        <v>35</v>
      </c>
      <c r="F532" s="9" t="s">
        <v>36</v>
      </c>
      <c r="G532" s="9" t="s">
        <v>106</v>
      </c>
      <c r="H532" s="5" t="s">
        <v>21</v>
      </c>
      <c r="I532" s="5" t="s">
        <v>1568</v>
      </c>
      <c r="J532" s="12" t="str">
        <f>HYPERLINK("https://www.boe.es/gazeta/dias/1808/04/22/pdfs/GMD-C-1808-38.pdf#page=3","Abrir facsímil")</f>
        <v>Abrir facsímil</v>
      </c>
      <c r="K532" s="15" t="s">
        <v>23</v>
      </c>
    </row>
    <row r="533" spans="1:11" ht="42" customHeight="1">
      <c r="A533" s="4" t="s">
        <v>1569</v>
      </c>
      <c r="B533" s="5" t="s">
        <v>1569</v>
      </c>
      <c r="C533" s="5" t="s">
        <v>33</v>
      </c>
      <c r="D533" s="5" t="s">
        <v>34</v>
      </c>
      <c r="E533" s="5" t="s">
        <v>73</v>
      </c>
      <c r="F533" s="9" t="s">
        <v>1570</v>
      </c>
      <c r="G533" s="9">
        <v>1475</v>
      </c>
      <c r="H533" s="5" t="s">
        <v>21</v>
      </c>
      <c r="I533" s="5" t="s">
        <v>1571</v>
      </c>
      <c r="J533" s="12" t="str">
        <f>HYPERLINK("https://www.boe.es/gazeta/dias/1808/11/11/pdfs/GMD-C-1808-143.pdf#page=5","Abrir facsímil")</f>
        <v>Abrir facsímil</v>
      </c>
      <c r="K533" s="15" t="s">
        <v>23</v>
      </c>
    </row>
    <row r="534" spans="1:11" ht="42" customHeight="1">
      <c r="A534" s="4" t="s">
        <v>1569</v>
      </c>
      <c r="B534" s="5" t="s">
        <v>1569</v>
      </c>
      <c r="C534" s="5" t="s">
        <v>33</v>
      </c>
      <c r="D534" s="5" t="s">
        <v>34</v>
      </c>
      <c r="E534" s="5" t="s">
        <v>73</v>
      </c>
      <c r="F534" s="9" t="s">
        <v>1570</v>
      </c>
      <c r="G534" s="9">
        <v>1478</v>
      </c>
      <c r="H534" s="5" t="s">
        <v>21</v>
      </c>
      <c r="I534" s="5" t="s">
        <v>1572</v>
      </c>
      <c r="J534" s="12" t="str">
        <f>HYPERLINK("https://www.boe.es/gazeta/dias/1808/11/11/pdfs/GMD-C-1808-143.pdf#page=8","Abrir facsímil")</f>
        <v>Abrir facsímil</v>
      </c>
      <c r="K534" s="15" t="s">
        <v>23</v>
      </c>
    </row>
    <row r="535" spans="1:11" ht="42" customHeight="1">
      <c r="A535" s="4" t="s">
        <v>1569</v>
      </c>
      <c r="B535" s="5" t="s">
        <v>1569</v>
      </c>
      <c r="C535" s="5" t="s">
        <v>94</v>
      </c>
      <c r="D535" s="5" t="s">
        <v>95</v>
      </c>
      <c r="E535" s="5" t="s">
        <v>73</v>
      </c>
      <c r="F535" s="9" t="s">
        <v>1570</v>
      </c>
      <c r="G535" s="9">
        <v>1481</v>
      </c>
      <c r="H535" s="5" t="s">
        <v>21</v>
      </c>
      <c r="I535" s="5" t="s">
        <v>1573</v>
      </c>
      <c r="J535" s="12" t="str">
        <f>HYPERLINK("https://www.boe.es/gazeta/dias/1808/11/11/pdfs/GMD-C-1808-143.pdf#page=11","Abrir facsímil")</f>
        <v>Abrir facsímil</v>
      </c>
      <c r="K535" s="15" t="s">
        <v>23</v>
      </c>
    </row>
    <row r="536" spans="1:11" ht="42" customHeight="1">
      <c r="A536" s="4" t="s">
        <v>1574</v>
      </c>
      <c r="B536" s="5" t="s">
        <v>1574</v>
      </c>
      <c r="C536" s="5" t="s">
        <v>17</v>
      </c>
      <c r="D536" s="5" t="s">
        <v>18</v>
      </c>
      <c r="E536" s="5" t="s">
        <v>19</v>
      </c>
      <c r="F536" s="9" t="s">
        <v>59</v>
      </c>
      <c r="G536" s="9">
        <v>1231</v>
      </c>
      <c r="H536" s="5" t="s">
        <v>21</v>
      </c>
      <c r="I536" s="5" t="s">
        <v>1575</v>
      </c>
      <c r="J536" s="12" t="str">
        <f>HYPERLINK("https://www.boe.es/gazeta/dias/1808/09/30/pdfs/GMD-1808-130.pdf#page=11","Abrir facsímil")</f>
        <v>Abrir facsímil</v>
      </c>
      <c r="K536" s="15" t="s">
        <v>23</v>
      </c>
    </row>
    <row r="537" spans="1:11" ht="42" customHeight="1">
      <c r="A537" s="4" t="s">
        <v>1574</v>
      </c>
      <c r="B537" s="5" t="s">
        <v>1574</v>
      </c>
      <c r="C537" s="5" t="s">
        <v>33</v>
      </c>
      <c r="D537" s="5" t="s">
        <v>34</v>
      </c>
      <c r="E537" s="5" t="s">
        <v>19</v>
      </c>
      <c r="F537" s="9" t="s">
        <v>949</v>
      </c>
      <c r="G537" s="9" t="s">
        <v>117</v>
      </c>
      <c r="H537" s="5" t="s">
        <v>21</v>
      </c>
      <c r="I537" s="5" t="s">
        <v>1576</v>
      </c>
      <c r="J537" s="12" t="str">
        <f>HYPERLINK("https://www.boe.es/gazeta/dias/1808/09/30/pdfs/GMD-C-1808-130.pdf#page=1","Abrir facsímil")</f>
        <v>Abrir facsímil</v>
      </c>
      <c r="K537" s="15" t="s">
        <v>23</v>
      </c>
    </row>
    <row r="538" spans="1:11" ht="42" customHeight="1">
      <c r="A538" s="4" t="s">
        <v>1574</v>
      </c>
      <c r="B538" s="5" t="s">
        <v>1574</v>
      </c>
      <c r="C538" s="5" t="s">
        <v>26</v>
      </c>
      <c r="D538" s="5" t="s">
        <v>27</v>
      </c>
      <c r="E538" s="5" t="s">
        <v>558</v>
      </c>
      <c r="F538" s="9" t="s">
        <v>559</v>
      </c>
      <c r="G538" s="9">
        <v>1543</v>
      </c>
      <c r="H538" s="5" t="s">
        <v>21</v>
      </c>
      <c r="I538" s="5" t="s">
        <v>1577</v>
      </c>
      <c r="J538" s="12" t="str">
        <f>HYPERLINK("https://www.boe.es/gazeta/dias/1808/11/25/pdfs/GMD-1808-147.pdf#page=9","Abrir facsímil")</f>
        <v>Abrir facsímil</v>
      </c>
      <c r="K538" s="15" t="s">
        <v>23</v>
      </c>
    </row>
    <row r="539" spans="1:11" ht="42" customHeight="1">
      <c r="A539" s="4" t="s">
        <v>1578</v>
      </c>
      <c r="B539" s="5" t="s">
        <v>1578</v>
      </c>
      <c r="C539" s="5" t="s">
        <v>33</v>
      </c>
      <c r="D539" s="5" t="s">
        <v>34</v>
      </c>
      <c r="E539" s="5" t="s">
        <v>139</v>
      </c>
      <c r="F539" s="9" t="s">
        <v>1089</v>
      </c>
      <c r="G539" s="9" t="s">
        <v>106</v>
      </c>
      <c r="H539" s="5" t="s">
        <v>21</v>
      </c>
      <c r="I539" s="5" t="s">
        <v>1579</v>
      </c>
      <c r="J539" s="12" t="str">
        <f>HYPERLINK("https://www.boe.es/gazeta/dias/1808/09/23/pdfs/GMD-C-1808-127.pdf#page=3","Abrir facsímil")</f>
        <v>Abrir facsímil</v>
      </c>
      <c r="K539" s="15" t="s">
        <v>23</v>
      </c>
    </row>
    <row r="540" spans="1:11" ht="42" customHeight="1">
      <c r="A540" s="4" t="s">
        <v>1580</v>
      </c>
      <c r="B540" s="5" t="s">
        <v>1580</v>
      </c>
      <c r="C540" s="5" t="s">
        <v>94</v>
      </c>
      <c r="D540" s="5" t="s">
        <v>95</v>
      </c>
      <c r="E540" s="5" t="s">
        <v>65</v>
      </c>
      <c r="F540" s="9" t="s">
        <v>66</v>
      </c>
      <c r="G540" s="9">
        <v>1310</v>
      </c>
      <c r="H540" s="5" t="s">
        <v>21</v>
      </c>
      <c r="I540" s="5" t="s">
        <v>1581</v>
      </c>
      <c r="J540" s="12" t="str">
        <f>HYPERLINK("https://www.boe.es/gazeta/dias/1808/10/18/pdfs/GMD-1808-135.pdf#page=10","Abrir facsímil")</f>
        <v>Abrir facsímil</v>
      </c>
      <c r="K540" s="15" t="s">
        <v>23</v>
      </c>
    </row>
    <row r="541" spans="1:11" ht="42" customHeight="1">
      <c r="A541" s="4" t="s">
        <v>1582</v>
      </c>
      <c r="B541" s="5" t="s">
        <v>1582</v>
      </c>
      <c r="C541" s="5" t="s">
        <v>33</v>
      </c>
      <c r="D541" s="5" t="s">
        <v>34</v>
      </c>
      <c r="E541" s="5" t="s">
        <v>19</v>
      </c>
      <c r="F541" s="9" t="s">
        <v>949</v>
      </c>
      <c r="G541" s="9" t="s">
        <v>117</v>
      </c>
      <c r="H541" s="5" t="s">
        <v>21</v>
      </c>
      <c r="I541" s="5" t="s">
        <v>1583</v>
      </c>
      <c r="J541" s="12" t="str">
        <f>HYPERLINK("https://www.boe.es/gazeta/dias/1808/09/30/pdfs/GMD-C-1808-130.pdf#page=1","Abrir facsímil")</f>
        <v>Abrir facsímil</v>
      </c>
      <c r="K541" s="15" t="s">
        <v>23</v>
      </c>
    </row>
    <row r="542" spans="1:11" ht="42" customHeight="1">
      <c r="A542" s="4" t="s">
        <v>1584</v>
      </c>
      <c r="B542" s="5" t="s">
        <v>1584</v>
      </c>
      <c r="C542" s="5" t="s">
        <v>41</v>
      </c>
      <c r="D542" s="5" t="s">
        <v>42</v>
      </c>
      <c r="E542" s="5" t="s">
        <v>73</v>
      </c>
      <c r="F542" s="9" t="s">
        <v>74</v>
      </c>
      <c r="G542" s="9" t="s">
        <v>106</v>
      </c>
      <c r="H542" s="5" t="s">
        <v>21</v>
      </c>
      <c r="I542" s="5" t="s">
        <v>1585</v>
      </c>
      <c r="J542" s="12" t="str">
        <f>HYPERLINK("https://www.boe.es/gazeta/dias/1808/11/11/pdfs/GMD-D-1808-143.pdf#page=3","Abrir facsímil")</f>
        <v>Abrir facsímil</v>
      </c>
      <c r="K542" s="15" t="s">
        <v>23</v>
      </c>
    </row>
    <row r="543" spans="1:11" ht="42" customHeight="1">
      <c r="A543" s="4" t="s">
        <v>1586</v>
      </c>
      <c r="B543" s="5" t="s">
        <v>1586</v>
      </c>
      <c r="C543" s="5" t="s">
        <v>41</v>
      </c>
      <c r="D543" s="5" t="s">
        <v>42</v>
      </c>
      <c r="E543" s="5" t="s">
        <v>110</v>
      </c>
      <c r="F543" s="9" t="s">
        <v>111</v>
      </c>
      <c r="G543" s="9">
        <v>1384</v>
      </c>
      <c r="H543" s="5" t="s">
        <v>21</v>
      </c>
      <c r="I543" s="5" t="s">
        <v>1587</v>
      </c>
      <c r="J543" s="12" t="str">
        <f>HYPERLINK("https://www.boe.es/gazeta/dias/1808/10/28/pdfs/GMD-1808-138.pdf#page=10","Abrir facsímil")</f>
        <v>Abrir facsímil</v>
      </c>
      <c r="K543" s="15" t="s">
        <v>23</v>
      </c>
    </row>
    <row r="544" spans="1:11" ht="42" customHeight="1">
      <c r="A544" s="4" t="s">
        <v>1588</v>
      </c>
      <c r="B544" s="5" t="s">
        <v>1588</v>
      </c>
      <c r="C544" s="5" t="s">
        <v>17</v>
      </c>
      <c r="D544" s="5" t="s">
        <v>18</v>
      </c>
      <c r="E544" s="5" t="s">
        <v>1466</v>
      </c>
      <c r="F544" s="9" t="s">
        <v>1467</v>
      </c>
      <c r="G544" s="9">
        <v>55</v>
      </c>
      <c r="H544" s="5" t="s">
        <v>21</v>
      </c>
      <c r="I544" s="5" t="s">
        <v>1589</v>
      </c>
      <c r="J544" s="12" t="str">
        <f>HYPERLINK("https://www.boe.es/gazeta/dias/1808/01/15/pdfs/GMD-1808-5.pdf#page=7","Abrir facsímil")</f>
        <v>Abrir facsímil</v>
      </c>
      <c r="K544" s="15" t="s">
        <v>23</v>
      </c>
    </row>
    <row r="545" spans="1:11" ht="42" customHeight="1">
      <c r="A545" s="4" t="s">
        <v>1590</v>
      </c>
      <c r="B545" s="5" t="s">
        <v>1590</v>
      </c>
      <c r="C545" s="5" t="s">
        <v>33</v>
      </c>
      <c r="D545" s="5" t="s">
        <v>34</v>
      </c>
      <c r="E545" s="5" t="s">
        <v>115</v>
      </c>
      <c r="F545" s="9" t="s">
        <v>116</v>
      </c>
      <c r="G545" s="9" t="s">
        <v>117</v>
      </c>
      <c r="H545" s="5" t="s">
        <v>21</v>
      </c>
      <c r="I545" s="5" t="s">
        <v>1591</v>
      </c>
      <c r="J545" s="12" t="str">
        <f>HYPERLINK("https://www.boe.es/gazeta/dias/1808/09/16/pdfs/GMD-C-1808-125.pdf#page=1","Abrir facsímil")</f>
        <v>Abrir facsímil</v>
      </c>
      <c r="K545" s="15" t="s">
        <v>23</v>
      </c>
    </row>
    <row r="546" spans="1:11" ht="42" customHeight="1">
      <c r="A546" s="4" t="s">
        <v>1592</v>
      </c>
      <c r="B546" s="5" t="s">
        <v>1592</v>
      </c>
      <c r="C546" s="5" t="s">
        <v>41</v>
      </c>
      <c r="D546" s="5" t="s">
        <v>42</v>
      </c>
      <c r="E546" s="5" t="s">
        <v>197</v>
      </c>
      <c r="F546" s="9" t="s">
        <v>198</v>
      </c>
      <c r="G546" s="9" t="s">
        <v>117</v>
      </c>
      <c r="H546" s="5" t="s">
        <v>21</v>
      </c>
      <c r="I546" s="5" t="s">
        <v>1593</v>
      </c>
      <c r="J546" s="12" t="str">
        <f>HYPERLINK("https://www.boe.es/gazeta/dias/1808/11/01/pdfs/GMD-D-1808-140.pdf#page=1","Abrir facsímil")</f>
        <v>Abrir facsímil</v>
      </c>
      <c r="K546" s="15" t="s">
        <v>23</v>
      </c>
    </row>
    <row r="547" spans="1:11" ht="42" customHeight="1">
      <c r="A547" s="4" t="s">
        <v>1594</v>
      </c>
      <c r="B547" s="5" t="s">
        <v>1595</v>
      </c>
      <c r="C547" s="5" t="s">
        <v>33</v>
      </c>
      <c r="D547" s="5" t="s">
        <v>34</v>
      </c>
      <c r="E547" s="5" t="s">
        <v>35</v>
      </c>
      <c r="F547" s="9" t="s">
        <v>36</v>
      </c>
      <c r="G547" s="9" t="s">
        <v>501</v>
      </c>
      <c r="H547" s="5" t="s">
        <v>21</v>
      </c>
      <c r="I547" s="5" t="s">
        <v>1596</v>
      </c>
      <c r="J547" s="12" t="str">
        <f>HYPERLINK("https://www.boe.es/gazeta/dias/1808/04/22/pdfs/GMD-C-1808-38.pdf#page=5","Abrir facsímil")</f>
        <v>Abrir facsímil</v>
      </c>
      <c r="K547" s="15" t="s">
        <v>23</v>
      </c>
    </row>
    <row r="548" spans="1:11" ht="42" customHeight="1">
      <c r="A548" s="4" t="s">
        <v>1594</v>
      </c>
      <c r="B548" s="5" t="s">
        <v>1595</v>
      </c>
      <c r="C548" s="5" t="s">
        <v>33</v>
      </c>
      <c r="D548" s="5" t="s">
        <v>34</v>
      </c>
      <c r="E548" s="5" t="s">
        <v>166</v>
      </c>
      <c r="F548" s="9" t="s">
        <v>400</v>
      </c>
      <c r="G548" s="9" t="s">
        <v>199</v>
      </c>
      <c r="H548" s="5" t="s">
        <v>21</v>
      </c>
      <c r="I548" s="5" t="s">
        <v>1597</v>
      </c>
      <c r="J548" s="12" t="str">
        <f>HYPERLINK("https://www.boe.es/gazeta/dias/1808/11/18/pdfs/D00069-00072.pdf#page=2","Abrir facsímil")</f>
        <v>Abrir facsímil</v>
      </c>
      <c r="K548" s="15" t="s">
        <v>23</v>
      </c>
    </row>
    <row r="549" spans="1:11" ht="42" customHeight="1">
      <c r="A549" s="4" t="s">
        <v>1598</v>
      </c>
      <c r="B549" s="5" t="s">
        <v>1599</v>
      </c>
      <c r="C549" s="5" t="s">
        <v>17</v>
      </c>
      <c r="D549" s="5" t="s">
        <v>18</v>
      </c>
      <c r="E549" s="5" t="s">
        <v>110</v>
      </c>
      <c r="F549" s="9" t="s">
        <v>111</v>
      </c>
      <c r="G549" s="9">
        <v>1384</v>
      </c>
      <c r="H549" s="5" t="s">
        <v>21</v>
      </c>
      <c r="I549" s="5" t="s">
        <v>1600</v>
      </c>
      <c r="J549" s="12" t="str">
        <f>HYPERLINK("https://www.boe.es/gazeta/dias/1808/10/28/pdfs/GMD-1808-138.pdf#page=10","Abrir facsímil")</f>
        <v>Abrir facsímil</v>
      </c>
      <c r="K549" s="15" t="s">
        <v>23</v>
      </c>
    </row>
    <row r="550" spans="1:11" ht="42" customHeight="1">
      <c r="A550" s="4" t="s">
        <v>1601</v>
      </c>
      <c r="B550" s="5" t="s">
        <v>1602</v>
      </c>
      <c r="C550" s="5" t="s">
        <v>94</v>
      </c>
      <c r="D550" s="5" t="s">
        <v>95</v>
      </c>
      <c r="E550" s="5" t="s">
        <v>203</v>
      </c>
      <c r="F550" s="9" t="s">
        <v>204</v>
      </c>
      <c r="G550" s="9">
        <v>141</v>
      </c>
      <c r="H550" s="5" t="s">
        <v>21</v>
      </c>
      <c r="I550" s="5" t="s">
        <v>1603</v>
      </c>
      <c r="J550" s="12" t="str">
        <f>HYPERLINK("https://www.boe.es/gazeta/dias/1808/02/09/pdfs/GMD-1808-12.pdf#page=9","Abrir facsímil")</f>
        <v>Abrir facsímil</v>
      </c>
      <c r="K550" s="15" t="s">
        <v>23</v>
      </c>
    </row>
    <row r="551" spans="1:11" ht="42" customHeight="1">
      <c r="A551" s="4" t="s">
        <v>1604</v>
      </c>
      <c r="B551" s="5" t="s">
        <v>1605</v>
      </c>
      <c r="C551" s="5" t="s">
        <v>389</v>
      </c>
      <c r="D551" s="5" t="s">
        <v>390</v>
      </c>
      <c r="E551" s="5" t="s">
        <v>61</v>
      </c>
      <c r="F551" s="9" t="s">
        <v>62</v>
      </c>
      <c r="G551" s="9">
        <v>1284</v>
      </c>
      <c r="H551" s="5" t="s">
        <v>21</v>
      </c>
      <c r="I551" s="5" t="s">
        <v>1606</v>
      </c>
      <c r="J551" s="12" t="str">
        <f>HYPERLINK("https://www.boe.es/gazeta/dias/1808/10/11/pdfs/GMD-1808-133.pdf#page=12","Abrir facsímil")</f>
        <v>Abrir facsímil</v>
      </c>
      <c r="K551" s="15" t="s">
        <v>23</v>
      </c>
    </row>
    <row r="552" spans="1:11" ht="42" customHeight="1">
      <c r="A552" s="4" t="s">
        <v>1607</v>
      </c>
      <c r="B552" s="5" t="s">
        <v>1608</v>
      </c>
      <c r="C552" s="5" t="s">
        <v>33</v>
      </c>
      <c r="D552" s="5" t="s">
        <v>34</v>
      </c>
      <c r="E552" s="5" t="s">
        <v>28</v>
      </c>
      <c r="F552" s="9" t="s">
        <v>446</v>
      </c>
      <c r="G552" s="9" t="s">
        <v>199</v>
      </c>
      <c r="H552" s="5" t="s">
        <v>21</v>
      </c>
      <c r="I552" s="5" t="s">
        <v>1609</v>
      </c>
      <c r="J552" s="12" t="str">
        <f>HYPERLINK("https://www.boe.es/gazeta/dias/1808/11/04/pdfs/GMD-D-1808-141.pdf#page=2","Abrir facsímil")</f>
        <v>Abrir facsímil</v>
      </c>
      <c r="K552" s="15" t="s">
        <v>23</v>
      </c>
    </row>
    <row r="553" spans="1:11" ht="42" customHeight="1">
      <c r="A553" s="4" t="s">
        <v>1610</v>
      </c>
      <c r="B553" s="5" t="s">
        <v>1611</v>
      </c>
      <c r="C553" s="5" t="s">
        <v>33</v>
      </c>
      <c r="D553" s="5" t="s">
        <v>34</v>
      </c>
      <c r="E553" s="5" t="s">
        <v>125</v>
      </c>
      <c r="F553" s="9" t="s">
        <v>126</v>
      </c>
      <c r="G553" s="9" t="s">
        <v>117</v>
      </c>
      <c r="H553" s="5" t="s">
        <v>21</v>
      </c>
      <c r="I553" s="5" t="s">
        <v>1612</v>
      </c>
      <c r="J553" s="12" t="str">
        <f>HYPERLINK("https://www.boe.es/gazeta/dias/1808/10/07/pdfs/GMD-C-1808-132.pdf#page=1","Abrir facsímil")</f>
        <v>Abrir facsímil</v>
      </c>
      <c r="K553" s="15" t="s">
        <v>23</v>
      </c>
    </row>
    <row r="554" spans="1:11" ht="42" customHeight="1">
      <c r="A554" s="4" t="s">
        <v>1613</v>
      </c>
      <c r="B554" s="5" t="s">
        <v>1614</v>
      </c>
      <c r="C554" s="5" t="s">
        <v>17</v>
      </c>
      <c r="D554" s="5" t="s">
        <v>18</v>
      </c>
      <c r="E554" s="5" t="s">
        <v>61</v>
      </c>
      <c r="F554" s="9" t="s">
        <v>62</v>
      </c>
      <c r="G554" s="9">
        <v>1286</v>
      </c>
      <c r="H554" s="5" t="s">
        <v>21</v>
      </c>
      <c r="I554" s="5" t="s">
        <v>1615</v>
      </c>
      <c r="J554" s="12" t="str">
        <f>HYPERLINK("https://www.boe.es/gazeta/dias/1808/10/11/pdfs/GMD-1808-133.pdf#page=14","Abrir facsímil")</f>
        <v>Abrir facsímil</v>
      </c>
      <c r="K554" s="15" t="s">
        <v>23</v>
      </c>
    </row>
    <row r="555" spans="1:11" ht="42" customHeight="1">
      <c r="A555" s="4" t="s">
        <v>1616</v>
      </c>
      <c r="B555" s="5" t="s">
        <v>1616</v>
      </c>
      <c r="C555" s="5" t="s">
        <v>17</v>
      </c>
      <c r="D555" s="5" t="s">
        <v>18</v>
      </c>
      <c r="E555" s="5" t="s">
        <v>245</v>
      </c>
      <c r="F555" s="9" t="s">
        <v>246</v>
      </c>
      <c r="G555" s="9">
        <v>545</v>
      </c>
      <c r="H555" s="5" t="s">
        <v>21</v>
      </c>
      <c r="I555" s="5" t="s">
        <v>1617</v>
      </c>
      <c r="J555" s="12" t="str">
        <f>HYPERLINK("https://www.boe.es/gazeta/dias/1808/06/07/pdfs/GMD-1808-54.pdf#page=11","Abrir facsímil")</f>
        <v>Abrir facsímil</v>
      </c>
      <c r="K555" s="15" t="s">
        <v>23</v>
      </c>
    </row>
    <row r="556" spans="1:11" ht="42" customHeight="1">
      <c r="A556" s="4" t="s">
        <v>1618</v>
      </c>
      <c r="B556" s="5" t="s">
        <v>1619</v>
      </c>
      <c r="C556" s="5" t="s">
        <v>33</v>
      </c>
      <c r="D556" s="5" t="s">
        <v>34</v>
      </c>
      <c r="E556" s="5" t="s">
        <v>35</v>
      </c>
      <c r="F556" s="9" t="s">
        <v>36</v>
      </c>
      <c r="G556" s="9" t="s">
        <v>655</v>
      </c>
      <c r="H556" s="5" t="s">
        <v>21</v>
      </c>
      <c r="I556" s="5" t="s">
        <v>1620</v>
      </c>
      <c r="J556" s="12" t="str">
        <f>HYPERLINK("https://www.boe.es/gazeta/dias/1808/04/22/pdfs/GMD-C-1808-38.pdf#page=43","Abrir facsímil")</f>
        <v>Abrir facsímil</v>
      </c>
      <c r="K556" s="15" t="s">
        <v>23</v>
      </c>
    </row>
    <row r="557" spans="1:11" ht="42" customHeight="1">
      <c r="A557" s="4" t="s">
        <v>1621</v>
      </c>
      <c r="B557" s="5" t="s">
        <v>1621</v>
      </c>
      <c r="C557" s="5" t="s">
        <v>17</v>
      </c>
      <c r="D557" s="5" t="s">
        <v>18</v>
      </c>
      <c r="E557" s="5" t="s">
        <v>1154</v>
      </c>
      <c r="F557" s="9" t="s">
        <v>1155</v>
      </c>
      <c r="G557" s="9">
        <v>867</v>
      </c>
      <c r="H557" s="5" t="s">
        <v>21</v>
      </c>
      <c r="I557" s="5" t="s">
        <v>1622</v>
      </c>
      <c r="J557" s="12" t="str">
        <f>HYPERLINK("https://www.boe.es/gazeta/dias/1808/07/22/pdfs/GMD-1808-94.pdf#page=5","Abrir facsímil")</f>
        <v>Abrir facsímil</v>
      </c>
      <c r="K557" s="15" t="s">
        <v>23</v>
      </c>
    </row>
    <row r="558" spans="1:11" ht="42" customHeight="1">
      <c r="A558" s="4" t="s">
        <v>1623</v>
      </c>
      <c r="B558" s="5" t="s">
        <v>1624</v>
      </c>
      <c r="C558" s="5" t="s">
        <v>33</v>
      </c>
      <c r="D558" s="5" t="s">
        <v>34</v>
      </c>
      <c r="E558" s="5" t="s">
        <v>35</v>
      </c>
      <c r="F558" s="9" t="s">
        <v>36</v>
      </c>
      <c r="G558" s="9" t="s">
        <v>924</v>
      </c>
      <c r="H558" s="5" t="s">
        <v>21</v>
      </c>
      <c r="I558" s="5" t="s">
        <v>1625</v>
      </c>
      <c r="J558" s="12" t="str">
        <f>HYPERLINK("https://www.boe.es/gazeta/dias/1808/04/22/pdfs/GMD-C-1808-38.pdf#page=27","Abrir facsímil")</f>
        <v>Abrir facsímil</v>
      </c>
      <c r="K558" s="15" t="s">
        <v>23</v>
      </c>
    </row>
    <row r="559" spans="1:11" ht="42" customHeight="1">
      <c r="A559" s="4" t="s">
        <v>1626</v>
      </c>
      <c r="B559" s="5" t="s">
        <v>1627</v>
      </c>
      <c r="C559" s="5" t="s">
        <v>33</v>
      </c>
      <c r="D559" s="5" t="s">
        <v>34</v>
      </c>
      <c r="E559" s="5" t="s">
        <v>35</v>
      </c>
      <c r="F559" s="9" t="s">
        <v>36</v>
      </c>
      <c r="G559" s="9" t="s">
        <v>837</v>
      </c>
      <c r="H559" s="5" t="s">
        <v>21</v>
      </c>
      <c r="I559" s="5" t="s">
        <v>1628</v>
      </c>
      <c r="J559" s="12" t="str">
        <f>HYPERLINK("https://www.boe.es/gazeta/dias/1808/04/22/pdfs/GMD-C-1808-38.pdf#page=10","Abrir facsímil")</f>
        <v>Abrir facsímil</v>
      </c>
      <c r="K559" s="15" t="s">
        <v>23</v>
      </c>
    </row>
    <row r="560" spans="1:11" ht="42" customHeight="1">
      <c r="A560" s="4" t="s">
        <v>1629</v>
      </c>
      <c r="B560" s="5" t="s">
        <v>1630</v>
      </c>
      <c r="C560" s="5" t="s">
        <v>17</v>
      </c>
      <c r="D560" s="5" t="s">
        <v>18</v>
      </c>
      <c r="E560" s="5" t="s">
        <v>185</v>
      </c>
      <c r="F560" s="9" t="s">
        <v>186</v>
      </c>
      <c r="G560" s="9">
        <v>1097</v>
      </c>
      <c r="H560" s="5" t="s">
        <v>21</v>
      </c>
      <c r="I560" s="5" t="s">
        <v>1631</v>
      </c>
      <c r="J560" s="12" t="str">
        <f>HYPERLINK("https://www.boe.es/gazeta/dias/1808/08/30/pdfs/GMD-1808-118.pdf#page=3","Abrir facsímil")</f>
        <v>Abrir facsímil</v>
      </c>
      <c r="K560" s="15" t="s">
        <v>23</v>
      </c>
    </row>
    <row r="561" spans="1:11" ht="42" customHeight="1">
      <c r="A561" s="4" t="s">
        <v>1629</v>
      </c>
      <c r="B561" s="5" t="s">
        <v>1630</v>
      </c>
      <c r="C561" s="5" t="s">
        <v>17</v>
      </c>
      <c r="D561" s="5" t="s">
        <v>18</v>
      </c>
      <c r="E561" s="5" t="s">
        <v>19</v>
      </c>
      <c r="F561" s="9" t="s">
        <v>59</v>
      </c>
      <c r="G561" s="9">
        <v>1226</v>
      </c>
      <c r="H561" s="5" t="s">
        <v>21</v>
      </c>
      <c r="I561" s="5" t="s">
        <v>1632</v>
      </c>
      <c r="J561" s="12" t="str">
        <f>HYPERLINK("https://www.boe.es/gazeta/dias/1808/09/30/pdfs/GMD-1808-130.pdf#page=6","Abrir facsímil")</f>
        <v>Abrir facsímil</v>
      </c>
      <c r="K561" s="15" t="s">
        <v>23</v>
      </c>
    </row>
    <row r="562" spans="1:11" ht="42" customHeight="1">
      <c r="A562" s="4" t="s">
        <v>1633</v>
      </c>
      <c r="B562" s="5" t="s">
        <v>1634</v>
      </c>
      <c r="C562" s="5" t="s">
        <v>33</v>
      </c>
      <c r="D562" s="5" t="s">
        <v>34</v>
      </c>
      <c r="E562" s="5" t="s">
        <v>35</v>
      </c>
      <c r="F562" s="9" t="s">
        <v>36</v>
      </c>
      <c r="G562" s="9" t="s">
        <v>1128</v>
      </c>
      <c r="H562" s="5" t="s">
        <v>21</v>
      </c>
      <c r="I562" s="5" t="s">
        <v>1635</v>
      </c>
      <c r="J562" s="12" t="str">
        <f>HYPERLINK("https://www.boe.es/gazeta/dias/1808/04/22/pdfs/GMD-C-1808-38.pdf#page=11","Abrir facsímil")</f>
        <v>Abrir facsímil</v>
      </c>
      <c r="K562" s="15" t="s">
        <v>23</v>
      </c>
    </row>
    <row r="563" spans="1:11" ht="42" customHeight="1">
      <c r="A563" s="4" t="s">
        <v>1636</v>
      </c>
      <c r="B563" s="5" t="s">
        <v>1637</v>
      </c>
      <c r="C563" s="5" t="s">
        <v>33</v>
      </c>
      <c r="D563" s="5" t="s">
        <v>34</v>
      </c>
      <c r="E563" s="5" t="s">
        <v>125</v>
      </c>
      <c r="F563" s="9" t="s">
        <v>126</v>
      </c>
      <c r="G563" s="9" t="s">
        <v>75</v>
      </c>
      <c r="H563" s="5" t="s">
        <v>21</v>
      </c>
      <c r="I563" s="5" t="s">
        <v>1638</v>
      </c>
      <c r="J563" s="12" t="str">
        <f>HYPERLINK("https://www.boe.es/gazeta/dias/1808/10/07/pdfs/GMD-C-1808-132.pdf#page=4","Abrir facsímil")</f>
        <v>Abrir facsímil</v>
      </c>
      <c r="K563" s="15" t="s">
        <v>23</v>
      </c>
    </row>
    <row r="564" spans="1:11" ht="42" customHeight="1">
      <c r="A564" s="4" t="s">
        <v>1636</v>
      </c>
      <c r="B564" s="5" t="s">
        <v>1637</v>
      </c>
      <c r="C564" s="5" t="s">
        <v>17</v>
      </c>
      <c r="D564" s="5" t="s">
        <v>18</v>
      </c>
      <c r="E564" s="5" t="s">
        <v>461</v>
      </c>
      <c r="F564" s="9" t="s">
        <v>733</v>
      </c>
      <c r="G564" s="9">
        <v>1447</v>
      </c>
      <c r="H564" s="5" t="s">
        <v>21</v>
      </c>
      <c r="I564" s="5" t="s">
        <v>1639</v>
      </c>
      <c r="J564" s="12" t="str">
        <f>HYPERLINK("https://www.boe.es/gazeta/dias/1808/11/08/pdfs/GMD-1808-142.pdf#page=9","Abrir facsímil")</f>
        <v>Abrir facsímil</v>
      </c>
      <c r="K564" s="15" t="s">
        <v>23</v>
      </c>
    </row>
    <row r="565" spans="1:11" ht="42" customHeight="1">
      <c r="A565" s="4" t="s">
        <v>1640</v>
      </c>
      <c r="B565" s="5" t="s">
        <v>1641</v>
      </c>
      <c r="C565" s="5" t="s">
        <v>94</v>
      </c>
      <c r="D565" s="5" t="s">
        <v>95</v>
      </c>
      <c r="E565" s="5" t="s">
        <v>461</v>
      </c>
      <c r="F565" s="9" t="s">
        <v>462</v>
      </c>
      <c r="G565" s="9" t="s">
        <v>75</v>
      </c>
      <c r="H565" s="5" t="s">
        <v>21</v>
      </c>
      <c r="I565" s="5" t="s">
        <v>1642</v>
      </c>
      <c r="J565" s="12" t="str">
        <f>HYPERLINK("https://www.boe.es/gazeta/dias/1808/11/08/pdfs/GMD-D-1808-142.pdf#page=4","Abrir facsímil")</f>
        <v>Abrir facsímil</v>
      </c>
      <c r="K565" s="15" t="s">
        <v>23</v>
      </c>
    </row>
    <row r="566" spans="1:11" ht="42" customHeight="1">
      <c r="A566" s="4" t="s">
        <v>1643</v>
      </c>
      <c r="B566" s="5" t="s">
        <v>1644</v>
      </c>
      <c r="C566" s="5" t="s">
        <v>94</v>
      </c>
      <c r="D566" s="5" t="s">
        <v>95</v>
      </c>
      <c r="E566" s="5" t="s">
        <v>203</v>
      </c>
      <c r="F566" s="9" t="s">
        <v>204</v>
      </c>
      <c r="G566" s="9">
        <v>141</v>
      </c>
      <c r="H566" s="5" t="s">
        <v>21</v>
      </c>
      <c r="I566" s="5" t="s">
        <v>1645</v>
      </c>
      <c r="J566" s="12" t="str">
        <f>HYPERLINK("https://www.boe.es/gazeta/dias/1808/02/09/pdfs/GMD-1808-12.pdf#page=9","Abrir facsímil")</f>
        <v>Abrir facsímil</v>
      </c>
      <c r="K566" s="15" t="s">
        <v>23</v>
      </c>
    </row>
    <row r="567" spans="1:11" ht="42" customHeight="1">
      <c r="A567" s="4" t="s">
        <v>1646</v>
      </c>
      <c r="B567" s="5" t="s">
        <v>1646</v>
      </c>
      <c r="C567" s="5" t="s">
        <v>94</v>
      </c>
      <c r="D567" s="5" t="s">
        <v>95</v>
      </c>
      <c r="E567" s="5" t="s">
        <v>968</v>
      </c>
      <c r="F567" s="9" t="s">
        <v>969</v>
      </c>
      <c r="G567" s="9">
        <v>896</v>
      </c>
      <c r="H567" s="5" t="s">
        <v>21</v>
      </c>
      <c r="I567" s="5" t="s">
        <v>1647</v>
      </c>
      <c r="J567" s="12" t="str">
        <f>HYPERLINK("https://www.boe.es/gazeta/dias/1808/07/26/pdfs/GMD-1808-98.pdf#page=2","Abrir facsímil")</f>
        <v>Abrir facsímil</v>
      </c>
      <c r="K567" s="15" t="s">
        <v>23</v>
      </c>
    </row>
    <row r="568" spans="1:11" ht="42" customHeight="1">
      <c r="A568" s="4" t="s">
        <v>1648</v>
      </c>
      <c r="B568" s="5" t="s">
        <v>1649</v>
      </c>
      <c r="C568" s="5" t="s">
        <v>94</v>
      </c>
      <c r="D568" s="5" t="s">
        <v>95</v>
      </c>
      <c r="E568" s="5" t="s">
        <v>115</v>
      </c>
      <c r="F568" s="9" t="s">
        <v>1650</v>
      </c>
      <c r="G568" s="9">
        <v>1178</v>
      </c>
      <c r="H568" s="5" t="s">
        <v>21</v>
      </c>
      <c r="I568" s="5" t="s">
        <v>1651</v>
      </c>
      <c r="J568" s="12" t="str">
        <f>HYPERLINK("https://www.boe.es/gazeta/dias/1808/09/16/pdfs/GMD-1808-125.pdf#page=10","Abrir facsímil")</f>
        <v>Abrir facsímil</v>
      </c>
      <c r="K568" s="15" t="s">
        <v>23</v>
      </c>
    </row>
    <row r="569" spans="1:11" ht="42" customHeight="1">
      <c r="A569" s="4" t="s">
        <v>1652</v>
      </c>
      <c r="B569" s="5" t="s">
        <v>1653</v>
      </c>
      <c r="C569" s="5" t="s">
        <v>17</v>
      </c>
      <c r="D569" s="5" t="s">
        <v>18</v>
      </c>
      <c r="E569" s="5" t="s">
        <v>115</v>
      </c>
      <c r="F569" s="9" t="s">
        <v>1650</v>
      </c>
      <c r="G569" s="9">
        <v>1173</v>
      </c>
      <c r="H569" s="5" t="s">
        <v>21</v>
      </c>
      <c r="I569" s="5" t="s">
        <v>1654</v>
      </c>
      <c r="J569" s="12" t="str">
        <f>HYPERLINK("https://www.boe.es/gazeta/dias/1808/09/16/pdfs/GMD-1808-125.pdf#page=5","Abrir facsímil")</f>
        <v>Abrir facsímil</v>
      </c>
      <c r="K569" s="15" t="s">
        <v>23</v>
      </c>
    </row>
    <row r="570" spans="1:11" ht="42" customHeight="1">
      <c r="A570" s="4" t="s">
        <v>1655</v>
      </c>
      <c r="B570" s="5" t="s">
        <v>1656</v>
      </c>
      <c r="C570" s="5" t="s">
        <v>17</v>
      </c>
      <c r="D570" s="5" t="s">
        <v>18</v>
      </c>
      <c r="E570" s="5" t="s">
        <v>719</v>
      </c>
      <c r="F570" s="9" t="s">
        <v>720</v>
      </c>
      <c r="G570" s="9">
        <v>1610</v>
      </c>
      <c r="H570" s="5" t="s">
        <v>21</v>
      </c>
      <c r="I570" s="5" t="s">
        <v>1657</v>
      </c>
      <c r="J570" s="12" t="str">
        <f>HYPERLINK("https://www.boe.es/gazeta/dias/1808/12/16/pdfs/GMD-1808-156.pdf#page=2","Abrir facsímil")</f>
        <v>Abrir facsímil</v>
      </c>
      <c r="K570" s="15" t="s">
        <v>23</v>
      </c>
    </row>
    <row r="571" spans="1:11" ht="42" customHeight="1">
      <c r="A571" s="4" t="s">
        <v>1658</v>
      </c>
      <c r="B571" s="5" t="s">
        <v>1659</v>
      </c>
      <c r="C571" s="5" t="s">
        <v>33</v>
      </c>
      <c r="D571" s="5" t="s">
        <v>34</v>
      </c>
      <c r="E571" s="5" t="s">
        <v>197</v>
      </c>
      <c r="F571" s="9" t="s">
        <v>198</v>
      </c>
      <c r="G571" s="9" t="s">
        <v>117</v>
      </c>
      <c r="H571" s="5" t="s">
        <v>21</v>
      </c>
      <c r="I571" s="5" t="s">
        <v>1660</v>
      </c>
      <c r="J571" s="12" t="str">
        <f>HYPERLINK("https://www.boe.es/gazeta/dias/1808/11/01/pdfs/GMD-D-1808-140.pdf#page=1","Abrir facsímil")</f>
        <v>Abrir facsímil</v>
      </c>
      <c r="K571" s="15" t="s">
        <v>23</v>
      </c>
    </row>
    <row r="572" spans="1:11" ht="42" customHeight="1">
      <c r="A572" s="4" t="s">
        <v>1661</v>
      </c>
      <c r="B572" s="5" t="s">
        <v>1662</v>
      </c>
      <c r="C572" s="5" t="s">
        <v>389</v>
      </c>
      <c r="D572" s="5" t="s">
        <v>390</v>
      </c>
      <c r="E572" s="5" t="s">
        <v>19</v>
      </c>
      <c r="F572" s="9" t="s">
        <v>949</v>
      </c>
      <c r="G572" s="9" t="s">
        <v>199</v>
      </c>
      <c r="H572" s="5" t="s">
        <v>21</v>
      </c>
      <c r="I572" s="5" t="s">
        <v>1663</v>
      </c>
      <c r="J572" s="12" t="str">
        <f>HYPERLINK("https://www.boe.es/gazeta/dias/1808/09/30/pdfs/GMD-C-1808-130.pdf#page=2","Abrir facsímil")</f>
        <v>Abrir facsímil</v>
      </c>
      <c r="K572" s="15" t="s">
        <v>23</v>
      </c>
    </row>
    <row r="573" spans="1:11" ht="42" customHeight="1">
      <c r="A573" s="4" t="s">
        <v>1664</v>
      </c>
      <c r="B573" s="5" t="s">
        <v>1665</v>
      </c>
      <c r="C573" s="5" t="s">
        <v>33</v>
      </c>
      <c r="D573" s="5" t="s">
        <v>34</v>
      </c>
      <c r="E573" s="5" t="s">
        <v>89</v>
      </c>
      <c r="F573" s="9" t="s">
        <v>563</v>
      </c>
      <c r="G573" s="9" t="s">
        <v>106</v>
      </c>
      <c r="H573" s="5" t="s">
        <v>21</v>
      </c>
      <c r="I573" s="5" t="s">
        <v>1666</v>
      </c>
      <c r="J573" s="12" t="str">
        <f>HYPERLINK("https://www.boe.es/gazeta/dias/1808/10/25/pdfs/GMD-D-1808-137.pdf#page=3","Abrir facsímil")</f>
        <v>Abrir facsímil</v>
      </c>
      <c r="K573" s="15" t="s">
        <v>23</v>
      </c>
    </row>
    <row r="574" spans="1:11" ht="42" customHeight="1">
      <c r="A574" s="4" t="s">
        <v>1667</v>
      </c>
      <c r="B574" s="5" t="s">
        <v>1668</v>
      </c>
      <c r="C574" s="5" t="s">
        <v>33</v>
      </c>
      <c r="D574" s="5" t="s">
        <v>34</v>
      </c>
      <c r="E574" s="5" t="s">
        <v>35</v>
      </c>
      <c r="F574" s="9" t="s">
        <v>36</v>
      </c>
      <c r="G574" s="9" t="s">
        <v>313</v>
      </c>
      <c r="H574" s="5" t="s">
        <v>21</v>
      </c>
      <c r="I574" s="5" t="s">
        <v>1669</v>
      </c>
      <c r="J574" s="12" t="str">
        <f>HYPERLINK("https://www.boe.es/gazeta/dias/1808/04/22/pdfs/GMD-C-1808-38.pdf#page=29","Abrir facsímil")</f>
        <v>Abrir facsímil</v>
      </c>
      <c r="K574" s="15" t="s">
        <v>23</v>
      </c>
    </row>
    <row r="575" spans="1:11" ht="42" customHeight="1">
      <c r="A575" s="4" t="s">
        <v>1670</v>
      </c>
      <c r="B575" s="5" t="s">
        <v>1670</v>
      </c>
      <c r="C575" s="5" t="s">
        <v>260</v>
      </c>
      <c r="D575" s="5" t="s">
        <v>42</v>
      </c>
      <c r="E575" s="5" t="s">
        <v>1671</v>
      </c>
      <c r="F575" s="9" t="s">
        <v>1672</v>
      </c>
      <c r="G575" s="9">
        <v>477</v>
      </c>
      <c r="H575" s="5" t="s">
        <v>21</v>
      </c>
      <c r="I575" s="5" t="s">
        <v>1673</v>
      </c>
      <c r="J575" s="12" t="str">
        <f>HYPERLINK("https://www.boe.es/gazeta/dias/1808/05/20/pdfs/GMD-1808-48.pdf#page=5","Abrir facsímil")</f>
        <v>Abrir facsímil</v>
      </c>
      <c r="K575" s="15" t="s">
        <v>23</v>
      </c>
    </row>
    <row r="576" spans="1:11" ht="42" customHeight="1">
      <c r="A576" s="4" t="s">
        <v>1674</v>
      </c>
      <c r="B576" s="5" t="s">
        <v>1675</v>
      </c>
      <c r="C576" s="5" t="s">
        <v>101</v>
      </c>
      <c r="D576" s="5" t="s">
        <v>102</v>
      </c>
      <c r="E576" s="5" t="s">
        <v>1676</v>
      </c>
      <c r="F576" s="9" t="s">
        <v>1677</v>
      </c>
      <c r="G576" s="9">
        <v>552</v>
      </c>
      <c r="H576" s="5" t="s">
        <v>21</v>
      </c>
      <c r="I576" s="5" t="s">
        <v>1678</v>
      </c>
      <c r="J576" s="12" t="str">
        <f>HYPERLINK("https://www.boe.es/gazeta/dias/1808/06/10/pdfs/GMD-1808-55.pdf#page=6","Abrir facsímil")</f>
        <v>Abrir facsímil</v>
      </c>
      <c r="K576" s="15" t="s">
        <v>23</v>
      </c>
    </row>
    <row r="577" spans="1:11" ht="42" customHeight="1">
      <c r="A577" s="4" t="s">
        <v>1679</v>
      </c>
      <c r="B577" s="5" t="s">
        <v>1680</v>
      </c>
      <c r="C577" s="5" t="s">
        <v>94</v>
      </c>
      <c r="D577" s="5" t="s">
        <v>95</v>
      </c>
      <c r="E577" s="5" t="s">
        <v>157</v>
      </c>
      <c r="F577" s="9" t="s">
        <v>158</v>
      </c>
      <c r="G577" s="9">
        <v>45</v>
      </c>
      <c r="H577" s="5" t="s">
        <v>21</v>
      </c>
      <c r="I577" s="5" t="s">
        <v>1681</v>
      </c>
      <c r="J577" s="12" t="str">
        <f>HYPERLINK("https://www.boe.es/gazeta/dias/1808/06/18/pdfs/GMS-1808-6.pdf#page=5","Abrir facsímil")</f>
        <v>Abrir facsímil</v>
      </c>
      <c r="K577" s="15" t="s">
        <v>23</v>
      </c>
    </row>
    <row r="578" spans="1:11" ht="42" customHeight="1">
      <c r="A578" s="4" t="s">
        <v>1682</v>
      </c>
      <c r="B578" s="5" t="s">
        <v>1683</v>
      </c>
      <c r="C578" s="5" t="s">
        <v>33</v>
      </c>
      <c r="D578" s="5" t="s">
        <v>34</v>
      </c>
      <c r="E578" s="5" t="s">
        <v>19</v>
      </c>
      <c r="F578" s="9" t="s">
        <v>949</v>
      </c>
      <c r="G578" s="9" t="s">
        <v>117</v>
      </c>
      <c r="H578" s="5" t="s">
        <v>21</v>
      </c>
      <c r="I578" s="5" t="s">
        <v>1684</v>
      </c>
      <c r="J578" s="12" t="str">
        <f>HYPERLINK("https://www.boe.es/gazeta/dias/1808/09/30/pdfs/GMD-C-1808-130.pdf#page=1","Abrir facsímil")</f>
        <v>Abrir facsímil</v>
      </c>
      <c r="K578" s="15" t="s">
        <v>23</v>
      </c>
    </row>
    <row r="579" spans="1:11" ht="42" customHeight="1">
      <c r="A579" s="4" t="s">
        <v>1685</v>
      </c>
      <c r="B579" s="5" t="s">
        <v>1686</v>
      </c>
      <c r="C579" s="5" t="s">
        <v>94</v>
      </c>
      <c r="D579" s="5" t="s">
        <v>95</v>
      </c>
      <c r="E579" s="5" t="s">
        <v>242</v>
      </c>
      <c r="F579" s="9" t="s">
        <v>243</v>
      </c>
      <c r="G579" s="9">
        <v>10</v>
      </c>
      <c r="H579" s="5" t="s">
        <v>21</v>
      </c>
      <c r="I579" s="5" t="s">
        <v>1687</v>
      </c>
      <c r="J579" s="12" t="str">
        <f>HYPERLINK("https://www.boe.es/gazeta/dias/1808/01/01/pdfs/GMD-1808-1.pdf#page=10","Abrir facsímil")</f>
        <v>Abrir facsímil</v>
      </c>
      <c r="K579" s="15" t="s">
        <v>23</v>
      </c>
    </row>
    <row r="580" spans="1:11" ht="42" customHeight="1">
      <c r="A580" s="4" t="s">
        <v>1688</v>
      </c>
      <c r="B580" s="5" t="s">
        <v>1689</v>
      </c>
      <c r="C580" s="5" t="s">
        <v>17</v>
      </c>
      <c r="D580" s="5" t="s">
        <v>18</v>
      </c>
      <c r="E580" s="5" t="s">
        <v>461</v>
      </c>
      <c r="F580" s="9" t="s">
        <v>733</v>
      </c>
      <c r="G580" s="9">
        <v>1448</v>
      </c>
      <c r="H580" s="5" t="s">
        <v>21</v>
      </c>
      <c r="I580" s="5" t="s">
        <v>1690</v>
      </c>
      <c r="J580" s="12" t="str">
        <f>HYPERLINK("https://www.boe.es/gazeta/dias/1808/11/08/pdfs/GMD-1808-142.pdf#page=10","Abrir facsímil")</f>
        <v>Abrir facsímil</v>
      </c>
      <c r="K580" s="15" t="s">
        <v>23</v>
      </c>
    </row>
    <row r="581" spans="1:11" ht="42" customHeight="1">
      <c r="A581" s="4" t="s">
        <v>1691</v>
      </c>
      <c r="B581" s="5" t="s">
        <v>1692</v>
      </c>
      <c r="C581" s="5" t="s">
        <v>389</v>
      </c>
      <c r="D581" s="5" t="s">
        <v>390</v>
      </c>
      <c r="E581" s="5" t="s">
        <v>1182</v>
      </c>
      <c r="F581" s="9" t="s">
        <v>1197</v>
      </c>
      <c r="G581" s="9">
        <v>662</v>
      </c>
      <c r="H581" s="5" t="s">
        <v>21</v>
      </c>
      <c r="I581" s="5" t="s">
        <v>1693</v>
      </c>
      <c r="J581" s="12" t="str">
        <f>HYPERLINK("https://www.boe.es/gazeta/dias/1808/06/26/pdfs/GMD-1808-68.pdf#page=8","Abrir facsímil")</f>
        <v>Abrir facsímil</v>
      </c>
      <c r="K581" s="15" t="s">
        <v>23</v>
      </c>
    </row>
    <row r="582" spans="1:11" ht="42" customHeight="1">
      <c r="A582" s="4" t="s">
        <v>1694</v>
      </c>
      <c r="B582" s="5" t="s">
        <v>1695</v>
      </c>
      <c r="C582" s="5" t="s">
        <v>33</v>
      </c>
      <c r="D582" s="5" t="s">
        <v>34</v>
      </c>
      <c r="E582" s="5" t="s">
        <v>125</v>
      </c>
      <c r="F582" s="9" t="s">
        <v>126</v>
      </c>
      <c r="G582" s="9" t="s">
        <v>117</v>
      </c>
      <c r="H582" s="5" t="s">
        <v>21</v>
      </c>
      <c r="I582" s="5" t="s">
        <v>1696</v>
      </c>
      <c r="J582" s="12" t="str">
        <f>HYPERLINK("https://www.boe.es/gazeta/dias/1808/10/07/pdfs/GMD-C-1808-132.pdf#page=1","Abrir facsímil")</f>
        <v>Abrir facsímil</v>
      </c>
      <c r="K582" s="15" t="s">
        <v>23</v>
      </c>
    </row>
    <row r="583" spans="1:11" ht="42" customHeight="1">
      <c r="A583" s="4" t="s">
        <v>1697</v>
      </c>
      <c r="B583" s="5" t="s">
        <v>1698</v>
      </c>
      <c r="C583" s="5" t="s">
        <v>94</v>
      </c>
      <c r="D583" s="5" t="s">
        <v>95</v>
      </c>
      <c r="E583" s="5" t="s">
        <v>974</v>
      </c>
      <c r="F583" s="9" t="s">
        <v>975</v>
      </c>
      <c r="G583" s="9">
        <v>391</v>
      </c>
      <c r="H583" s="5" t="s">
        <v>21</v>
      </c>
      <c r="I583" s="5" t="s">
        <v>1699</v>
      </c>
      <c r="J583" s="12" t="str">
        <f>HYPERLINK("https://www.boe.es/gazeta/dias/1808/04/19/pdfs/GMD-1808-37.pdf#page=7","Abrir facsímil")</f>
        <v>Abrir facsímil</v>
      </c>
      <c r="K583" s="15" t="s">
        <v>23</v>
      </c>
    </row>
    <row r="584" spans="1:11" ht="42" customHeight="1">
      <c r="A584" s="4" t="s">
        <v>1700</v>
      </c>
      <c r="B584" s="5" t="s">
        <v>1701</v>
      </c>
      <c r="C584" s="5" t="s">
        <v>94</v>
      </c>
      <c r="D584" s="5" t="s">
        <v>95</v>
      </c>
      <c r="E584" s="5" t="s">
        <v>1702</v>
      </c>
      <c r="F584" s="9" t="s">
        <v>1703</v>
      </c>
      <c r="G584" s="9">
        <v>103</v>
      </c>
      <c r="H584" s="5" t="s">
        <v>21</v>
      </c>
      <c r="I584" s="5" t="s">
        <v>1704</v>
      </c>
      <c r="J584" s="12" t="str">
        <f>HYPERLINK("https://www.boe.es/gazeta/dias/1808/07/13/pdfs/GMS-1808-13.pdf#page=7","Abrir facsímil")</f>
        <v>Abrir facsímil</v>
      </c>
      <c r="K584" s="15" t="s">
        <v>23</v>
      </c>
    </row>
    <row r="585" spans="1:11" ht="42" customHeight="1">
      <c r="A585" s="4" t="s">
        <v>1705</v>
      </c>
      <c r="B585" s="5" t="s">
        <v>1706</v>
      </c>
      <c r="C585" s="5" t="s">
        <v>33</v>
      </c>
      <c r="D585" s="5" t="s">
        <v>34</v>
      </c>
      <c r="E585" s="5" t="s">
        <v>35</v>
      </c>
      <c r="F585" s="9" t="s">
        <v>36</v>
      </c>
      <c r="G585" s="9" t="s">
        <v>1006</v>
      </c>
      <c r="H585" s="5" t="s">
        <v>21</v>
      </c>
      <c r="I585" s="5" t="s">
        <v>1707</v>
      </c>
      <c r="J585" s="12" t="str">
        <f>HYPERLINK("https://www.boe.es/gazeta/dias/1808/04/22/pdfs/GMD-C-1808-38.pdf#page=46","Abrir facsímil")</f>
        <v>Abrir facsímil</v>
      </c>
      <c r="K585" s="15" t="s">
        <v>23</v>
      </c>
    </row>
    <row r="586" spans="1:11" ht="42" customHeight="1">
      <c r="A586" s="4" t="s">
        <v>1708</v>
      </c>
      <c r="B586" s="5" t="s">
        <v>1709</v>
      </c>
      <c r="C586" s="5" t="s">
        <v>17</v>
      </c>
      <c r="D586" s="5" t="s">
        <v>18</v>
      </c>
      <c r="E586" s="5" t="s">
        <v>65</v>
      </c>
      <c r="F586" s="9" t="s">
        <v>66</v>
      </c>
      <c r="G586" s="9">
        <v>1310</v>
      </c>
      <c r="H586" s="5" t="s">
        <v>21</v>
      </c>
      <c r="I586" s="5" t="s">
        <v>1710</v>
      </c>
      <c r="J586" s="12" t="str">
        <f>HYPERLINK("https://www.boe.es/gazeta/dias/1808/10/18/pdfs/GMD-1808-135.pdf#page=10","Abrir facsímil")</f>
        <v>Abrir facsímil</v>
      </c>
      <c r="K586" s="15" t="s">
        <v>23</v>
      </c>
    </row>
    <row r="587" spans="1:11" ht="42" customHeight="1">
      <c r="A587" s="4" t="s">
        <v>1711</v>
      </c>
      <c r="B587" s="5" t="s">
        <v>1712</v>
      </c>
      <c r="C587" s="5" t="s">
        <v>33</v>
      </c>
      <c r="D587" s="5" t="s">
        <v>34</v>
      </c>
      <c r="E587" s="5" t="s">
        <v>35</v>
      </c>
      <c r="F587" s="9" t="s">
        <v>36</v>
      </c>
      <c r="G587" s="9" t="s">
        <v>956</v>
      </c>
      <c r="H587" s="5" t="s">
        <v>21</v>
      </c>
      <c r="I587" s="5" t="s">
        <v>1713</v>
      </c>
      <c r="J587" s="12" t="str">
        <f>HYPERLINK("https://www.boe.es/gazeta/dias/1808/04/22/pdfs/GMD-C-1808-38.pdf#page=41","Abrir facsímil")</f>
        <v>Abrir facsímil</v>
      </c>
      <c r="K587" s="15" t="s">
        <v>23</v>
      </c>
    </row>
    <row r="588" spans="1:11" ht="42" customHeight="1">
      <c r="A588" s="4" t="s">
        <v>1714</v>
      </c>
      <c r="B588" s="5" t="s">
        <v>1715</v>
      </c>
      <c r="C588" s="5" t="s">
        <v>33</v>
      </c>
      <c r="D588" s="5" t="s">
        <v>34</v>
      </c>
      <c r="E588" s="5" t="s">
        <v>110</v>
      </c>
      <c r="F588" s="9" t="s">
        <v>828</v>
      </c>
      <c r="G588" s="9" t="s">
        <v>199</v>
      </c>
      <c r="H588" s="5" t="s">
        <v>21</v>
      </c>
      <c r="I588" s="5" t="s">
        <v>1716</v>
      </c>
      <c r="J588" s="12" t="str">
        <f>HYPERLINK("https://www.boe.es/gazeta/dias/1808/10/28/pdfs/GMD-D-1808-138.pdf#page=2","Abrir facsímil")</f>
        <v>Abrir facsímil</v>
      </c>
      <c r="K588" s="15" t="s">
        <v>23</v>
      </c>
    </row>
    <row r="589" spans="1:11" ht="42" customHeight="1">
      <c r="A589" s="4" t="s">
        <v>1717</v>
      </c>
      <c r="B589" s="5" t="s">
        <v>1718</v>
      </c>
      <c r="C589" s="5" t="s">
        <v>33</v>
      </c>
      <c r="D589" s="5" t="s">
        <v>34</v>
      </c>
      <c r="E589" s="5" t="s">
        <v>65</v>
      </c>
      <c r="F589" s="9" t="s">
        <v>691</v>
      </c>
      <c r="G589" s="9">
        <v>1327</v>
      </c>
      <c r="H589" s="5" t="s">
        <v>21</v>
      </c>
      <c r="I589" s="5" t="s">
        <v>1719</v>
      </c>
      <c r="J589" s="12" t="str">
        <f>HYPERLINK("https://www.boe.es/gazeta/dias/1808/10/18/pdfs/GMD-C-1808-135.pdf#page=11","Abrir facsímil")</f>
        <v>Abrir facsímil</v>
      </c>
      <c r="K589" s="15" t="s">
        <v>23</v>
      </c>
    </row>
    <row r="590" spans="1:11" ht="42" customHeight="1">
      <c r="A590" s="4" t="s">
        <v>1720</v>
      </c>
      <c r="B590" s="5" t="s">
        <v>1721</v>
      </c>
      <c r="C590" s="5" t="s">
        <v>33</v>
      </c>
      <c r="D590" s="5" t="s">
        <v>34</v>
      </c>
      <c r="E590" s="5" t="s">
        <v>35</v>
      </c>
      <c r="F590" s="9" t="s">
        <v>36</v>
      </c>
      <c r="G590" s="9" t="s">
        <v>1517</v>
      </c>
      <c r="H590" s="5" t="s">
        <v>21</v>
      </c>
      <c r="I590" s="5" t="s">
        <v>1722</v>
      </c>
      <c r="J590" s="12" t="str">
        <f>HYPERLINK("https://www.boe.es/gazeta/dias/1808/04/22/pdfs/GMD-C-1808-38.pdf#page=23","Abrir facsímil")</f>
        <v>Abrir facsímil</v>
      </c>
      <c r="K590" s="15" t="s">
        <v>23</v>
      </c>
    </row>
    <row r="591" spans="1:11" ht="42" customHeight="1">
      <c r="A591" s="4" t="s">
        <v>1723</v>
      </c>
      <c r="B591" s="5" t="s">
        <v>1723</v>
      </c>
      <c r="C591" s="5" t="s">
        <v>33</v>
      </c>
      <c r="D591" s="5" t="s">
        <v>34</v>
      </c>
      <c r="E591" s="5" t="s">
        <v>427</v>
      </c>
      <c r="F591" s="9" t="s">
        <v>428</v>
      </c>
      <c r="G591" s="9" t="s">
        <v>75</v>
      </c>
      <c r="H591" s="5" t="s">
        <v>21</v>
      </c>
      <c r="I591" s="5" t="s">
        <v>1724</v>
      </c>
      <c r="J591" s="12" t="str">
        <f>HYPERLINK("https://www.boe.es/gazeta/dias/1808/11/22/pdfs/GMD-D-1808-146.pdf#page=4","Abrir facsímil")</f>
        <v>Abrir facsímil</v>
      </c>
      <c r="K591" s="15" t="s">
        <v>23</v>
      </c>
    </row>
    <row r="592" spans="1:11" ht="42" customHeight="1">
      <c r="A592" s="4" t="s">
        <v>1725</v>
      </c>
      <c r="B592" s="5" t="s">
        <v>1725</v>
      </c>
      <c r="C592" s="5" t="s">
        <v>94</v>
      </c>
      <c r="D592" s="5" t="s">
        <v>95</v>
      </c>
      <c r="E592" s="5" t="s">
        <v>54</v>
      </c>
      <c r="F592" s="9" t="s">
        <v>55</v>
      </c>
      <c r="G592" s="9">
        <v>1088</v>
      </c>
      <c r="H592" s="5" t="s">
        <v>21</v>
      </c>
      <c r="I592" s="5" t="s">
        <v>1726</v>
      </c>
      <c r="J592" s="12" t="str">
        <f>HYPERLINK("https://www.boe.es/gazeta/dias/1808/08/26/pdfs/GMD-1808-117.pdf#page=10","Abrir facsímil")</f>
        <v>Abrir facsímil</v>
      </c>
      <c r="K592" s="15" t="s">
        <v>23</v>
      </c>
    </row>
    <row r="593" spans="1:11" ht="42" customHeight="1">
      <c r="A593" s="4" t="s">
        <v>1727</v>
      </c>
      <c r="B593" s="5" t="s">
        <v>1727</v>
      </c>
      <c r="C593" s="5" t="s">
        <v>33</v>
      </c>
      <c r="D593" s="5" t="s">
        <v>34</v>
      </c>
      <c r="E593" s="5" t="s">
        <v>461</v>
      </c>
      <c r="F593" s="9" t="s">
        <v>462</v>
      </c>
      <c r="G593" s="9" t="s">
        <v>75</v>
      </c>
      <c r="H593" s="5" t="s">
        <v>21</v>
      </c>
      <c r="I593" s="5" t="s">
        <v>1728</v>
      </c>
      <c r="J593" s="12" t="str">
        <f>HYPERLINK("https://www.boe.es/gazeta/dias/1808/11/08/pdfs/GMD-D-1808-142.pdf#page=4","Abrir facsímil")</f>
        <v>Abrir facsímil</v>
      </c>
      <c r="K593" s="15" t="s">
        <v>23</v>
      </c>
    </row>
    <row r="594" spans="1:11" ht="42" customHeight="1">
      <c r="A594" s="4" t="s">
        <v>1729</v>
      </c>
      <c r="B594" s="5" t="s">
        <v>1730</v>
      </c>
      <c r="C594" s="5" t="s">
        <v>41</v>
      </c>
      <c r="D594" s="5" t="s">
        <v>42</v>
      </c>
      <c r="E594" s="5" t="s">
        <v>293</v>
      </c>
      <c r="F594" s="9" t="s">
        <v>294</v>
      </c>
      <c r="G594" s="9">
        <v>1167</v>
      </c>
      <c r="H594" s="5" t="s">
        <v>21</v>
      </c>
      <c r="I594" s="5" t="s">
        <v>1731</v>
      </c>
      <c r="J594" s="12" t="str">
        <f>HYPERLINK("https://www.boe.es/gazeta/dias/1808/09/14/pdfs/GMD-1808-124E.pdf#page=3","Abrir facsímil")</f>
        <v>Abrir facsímil</v>
      </c>
      <c r="K594" s="15" t="s">
        <v>23</v>
      </c>
    </row>
    <row r="595" spans="1:11" ht="42" customHeight="1">
      <c r="A595" s="4" t="s">
        <v>1732</v>
      </c>
      <c r="B595" s="5" t="s">
        <v>1733</v>
      </c>
      <c r="C595" s="5" t="s">
        <v>17</v>
      </c>
      <c r="D595" s="5" t="s">
        <v>18</v>
      </c>
      <c r="E595" s="5" t="s">
        <v>115</v>
      </c>
      <c r="F595" s="9" t="s">
        <v>1650</v>
      </c>
      <c r="G595" s="9">
        <v>1173</v>
      </c>
      <c r="H595" s="5" t="s">
        <v>21</v>
      </c>
      <c r="I595" s="5" t="s">
        <v>1734</v>
      </c>
      <c r="J595" s="12" t="str">
        <f>HYPERLINK("https://www.boe.es/gazeta/dias/1808/09/16/pdfs/GMD-1808-125.pdf#page=5","Abrir facsímil")</f>
        <v>Abrir facsímil</v>
      </c>
      <c r="K595" s="15" t="s">
        <v>23</v>
      </c>
    </row>
    <row r="596" spans="1:11" ht="42" customHeight="1">
      <c r="A596" s="4" t="s">
        <v>1735</v>
      </c>
      <c r="B596" s="5" t="s">
        <v>1736</v>
      </c>
      <c r="C596" s="5" t="s">
        <v>17</v>
      </c>
      <c r="D596" s="5" t="s">
        <v>18</v>
      </c>
      <c r="E596" s="5" t="s">
        <v>115</v>
      </c>
      <c r="F596" s="9" t="s">
        <v>1650</v>
      </c>
      <c r="G596" s="9">
        <v>1173</v>
      </c>
      <c r="H596" s="5" t="s">
        <v>21</v>
      </c>
      <c r="I596" s="5" t="s">
        <v>1737</v>
      </c>
      <c r="J596" s="12" t="str">
        <f>HYPERLINK("https://www.boe.es/gazeta/dias/1808/09/16/pdfs/GMD-1808-125.pdf#page=5","Abrir facsímil")</f>
        <v>Abrir facsímil</v>
      </c>
      <c r="K596" s="15" t="s">
        <v>23</v>
      </c>
    </row>
    <row r="597" spans="1:11" ht="42" customHeight="1">
      <c r="A597" s="4" t="s">
        <v>1738</v>
      </c>
      <c r="B597" s="5" t="s">
        <v>1739</v>
      </c>
      <c r="C597" s="5" t="s">
        <v>41</v>
      </c>
      <c r="D597" s="5" t="s">
        <v>42</v>
      </c>
      <c r="E597" s="5" t="s">
        <v>35</v>
      </c>
      <c r="F597" s="9" t="s">
        <v>36</v>
      </c>
      <c r="G597" s="9" t="s">
        <v>162</v>
      </c>
      <c r="H597" s="5" t="s">
        <v>21</v>
      </c>
      <c r="I597" s="5" t="s">
        <v>1740</v>
      </c>
      <c r="J597" s="12" t="str">
        <f>HYPERLINK("https://www.boe.es/gazeta/dias/1808/04/22/pdfs/GMD-C-1808-38.pdf#page=31","Abrir facsímil")</f>
        <v>Abrir facsímil</v>
      </c>
      <c r="K597" s="15" t="s">
        <v>23</v>
      </c>
    </row>
    <row r="598" spans="1:11" ht="42" customHeight="1">
      <c r="A598" s="4" t="s">
        <v>1741</v>
      </c>
      <c r="B598" s="5" t="s">
        <v>1742</v>
      </c>
      <c r="C598" s="5" t="s">
        <v>94</v>
      </c>
      <c r="D598" s="5" t="s">
        <v>95</v>
      </c>
      <c r="E598" s="5" t="s">
        <v>51</v>
      </c>
      <c r="F598" s="9" t="s">
        <v>52</v>
      </c>
      <c r="G598" s="9">
        <v>990</v>
      </c>
      <c r="H598" s="5" t="s">
        <v>21</v>
      </c>
      <c r="I598" s="5" t="s">
        <v>1743</v>
      </c>
      <c r="J598" s="12" t="str">
        <f>HYPERLINK("https://www.boe.es/gazeta/dias/1808/08/09/pdfs/GMD-1808-111.pdf#page=6","Abrir facsímil")</f>
        <v>Abrir facsímil</v>
      </c>
      <c r="K598" s="15" t="s">
        <v>23</v>
      </c>
    </row>
    <row r="599" spans="1:11" ht="42" customHeight="1">
      <c r="A599" s="4" t="s">
        <v>1744</v>
      </c>
      <c r="B599" s="5" t="s">
        <v>1745</v>
      </c>
      <c r="C599" s="5" t="s">
        <v>33</v>
      </c>
      <c r="D599" s="5" t="s">
        <v>34</v>
      </c>
      <c r="E599" s="5" t="s">
        <v>153</v>
      </c>
      <c r="F599" s="9" t="s">
        <v>154</v>
      </c>
      <c r="G599" s="9" t="s">
        <v>75</v>
      </c>
      <c r="H599" s="5" t="s">
        <v>21</v>
      </c>
      <c r="I599" s="5" t="s">
        <v>1746</v>
      </c>
      <c r="J599" s="12" t="str">
        <f>HYPERLINK("https://www.boe.es/gazeta/dias/1808/09/09/pdfs/GMD-C-1808-121.pdf#page=4","Abrir facsímil")</f>
        <v>Abrir facsímil</v>
      </c>
      <c r="K599" s="15" t="s">
        <v>23</v>
      </c>
    </row>
    <row r="600" spans="1:11" ht="42" customHeight="1">
      <c r="A600" s="4" t="s">
        <v>1747</v>
      </c>
      <c r="B600" s="5" t="s">
        <v>1748</v>
      </c>
      <c r="C600" s="5" t="s">
        <v>33</v>
      </c>
      <c r="D600" s="5" t="s">
        <v>34</v>
      </c>
      <c r="E600" s="5" t="s">
        <v>35</v>
      </c>
      <c r="F600" s="9" t="s">
        <v>36</v>
      </c>
      <c r="G600" s="9" t="s">
        <v>818</v>
      </c>
      <c r="H600" s="5" t="s">
        <v>21</v>
      </c>
      <c r="I600" s="5" t="s">
        <v>1749</v>
      </c>
      <c r="J600" s="12" t="str">
        <f>HYPERLINK("https://www.boe.es/gazeta/dias/1808/04/22/pdfs/GMD-C-1808-38.pdf#page=7","Abrir facsímil")</f>
        <v>Abrir facsímil</v>
      </c>
      <c r="K600" s="15" t="s">
        <v>23</v>
      </c>
    </row>
    <row r="601" spans="1:11" ht="42" customHeight="1">
      <c r="A601" s="4" t="s">
        <v>1750</v>
      </c>
      <c r="B601" s="5" t="s">
        <v>1751</v>
      </c>
      <c r="C601" s="5" t="s">
        <v>17</v>
      </c>
      <c r="D601" s="5" t="s">
        <v>18</v>
      </c>
      <c r="E601" s="5" t="s">
        <v>203</v>
      </c>
      <c r="F601" s="9" t="s">
        <v>204</v>
      </c>
      <c r="G601" s="9">
        <v>141</v>
      </c>
      <c r="H601" s="5" t="s">
        <v>21</v>
      </c>
      <c r="I601" s="5" t="s">
        <v>1752</v>
      </c>
      <c r="J601" s="12" t="str">
        <f>HYPERLINK("https://www.boe.es/gazeta/dias/1808/02/09/pdfs/GMD-1808-12.pdf#page=9","Abrir facsímil")</f>
        <v>Abrir facsímil</v>
      </c>
      <c r="K601" s="15" t="s">
        <v>23</v>
      </c>
    </row>
    <row r="602" spans="1:11" ht="42" customHeight="1">
      <c r="A602" s="4" t="s">
        <v>1753</v>
      </c>
      <c r="B602" s="5" t="s">
        <v>1754</v>
      </c>
      <c r="C602" s="5" t="s">
        <v>33</v>
      </c>
      <c r="D602" s="5" t="s">
        <v>34</v>
      </c>
      <c r="E602" s="5" t="s">
        <v>427</v>
      </c>
      <c r="F602" s="9" t="s">
        <v>428</v>
      </c>
      <c r="G602" s="9" t="s">
        <v>117</v>
      </c>
      <c r="H602" s="5" t="s">
        <v>21</v>
      </c>
      <c r="I602" s="5" t="s">
        <v>1755</v>
      </c>
      <c r="J602" s="12" t="str">
        <f>HYPERLINK("https://www.boe.es/gazeta/dias/1808/11/22/pdfs/GMD-D-1808-146.pdf#page=1","Abrir facsímil")</f>
        <v>Abrir facsímil</v>
      </c>
      <c r="K602" s="15" t="s">
        <v>23</v>
      </c>
    </row>
    <row r="603" spans="1:11" ht="42" customHeight="1">
      <c r="A603" s="4" t="s">
        <v>1756</v>
      </c>
      <c r="B603" s="5" t="s">
        <v>1757</v>
      </c>
      <c r="C603" s="5" t="s">
        <v>41</v>
      </c>
      <c r="D603" s="5" t="s">
        <v>42</v>
      </c>
      <c r="E603" s="5" t="s">
        <v>513</v>
      </c>
      <c r="F603" s="9" t="s">
        <v>514</v>
      </c>
      <c r="G603" s="9">
        <v>285</v>
      </c>
      <c r="H603" s="5" t="s">
        <v>21</v>
      </c>
      <c r="I603" s="5" t="s">
        <v>1758</v>
      </c>
      <c r="J603" s="12" t="str">
        <f>HYPERLINK("https://www.boe.es/gazeta/dias/1808/03/22/pdfs/GMD-1808-24.pdf#page=7","Abrir facsímil")</f>
        <v>Abrir facsímil</v>
      </c>
      <c r="K603" s="15" t="s">
        <v>23</v>
      </c>
    </row>
    <row r="604" spans="1:11" ht="42" customHeight="1">
      <c r="A604" s="4" t="s">
        <v>1759</v>
      </c>
      <c r="B604" s="5" t="s">
        <v>1759</v>
      </c>
      <c r="C604" s="5" t="s">
        <v>94</v>
      </c>
      <c r="D604" s="5" t="s">
        <v>95</v>
      </c>
      <c r="E604" s="5" t="s">
        <v>1760</v>
      </c>
      <c r="F604" s="9" t="s">
        <v>1761</v>
      </c>
      <c r="G604" s="9">
        <v>428</v>
      </c>
      <c r="H604" s="5" t="s">
        <v>21</v>
      </c>
      <c r="I604" s="5" t="s">
        <v>1762</v>
      </c>
      <c r="J604" s="12" t="str">
        <f>HYPERLINK("https://www.boe.es/gazeta/dias/1808/05/03/pdfs/GMD-1808-43.pdf#page=4","Abrir facsímil")</f>
        <v>Abrir facsímil</v>
      </c>
      <c r="K604" s="15" t="s">
        <v>23</v>
      </c>
    </row>
    <row r="605" spans="1:11" ht="42" customHeight="1">
      <c r="A605" s="4" t="s">
        <v>1763</v>
      </c>
      <c r="B605" s="5" t="s">
        <v>1764</v>
      </c>
      <c r="C605" s="5" t="s">
        <v>94</v>
      </c>
      <c r="D605" s="5" t="s">
        <v>95</v>
      </c>
      <c r="E605" s="5" t="s">
        <v>210</v>
      </c>
      <c r="F605" s="9" t="s">
        <v>211</v>
      </c>
      <c r="G605" s="9">
        <v>253</v>
      </c>
      <c r="H605" s="5" t="s">
        <v>21</v>
      </c>
      <c r="I605" s="5" t="s">
        <v>1765</v>
      </c>
      <c r="J605" s="12" t="str">
        <f>HYPERLINK("https://www.boe.es/gazeta/dias/1808/03/11/pdfs/GMD-1808-21.pdf#page=7","Abrir facsímil")</f>
        <v>Abrir facsímil</v>
      </c>
      <c r="K605" s="15" t="s">
        <v>23</v>
      </c>
    </row>
    <row r="606" spans="1:11" ht="42" customHeight="1">
      <c r="A606" s="4" t="s">
        <v>1766</v>
      </c>
      <c r="B606" s="5" t="s">
        <v>1767</v>
      </c>
      <c r="C606" s="5" t="s">
        <v>389</v>
      </c>
      <c r="D606" s="5" t="s">
        <v>390</v>
      </c>
      <c r="E606" s="5" t="s">
        <v>68</v>
      </c>
      <c r="F606" s="9" t="s">
        <v>309</v>
      </c>
      <c r="G606" s="9" t="s">
        <v>106</v>
      </c>
      <c r="H606" s="5" t="s">
        <v>21</v>
      </c>
      <c r="I606" s="5" t="s">
        <v>1768</v>
      </c>
      <c r="J606" s="12" t="str">
        <f>HYPERLINK("https://www.boe.es/gazeta/dias/1808/10/21/pdfs/GMD-D-1808-136.pdf#page=3","Abrir facsímil")</f>
        <v>Abrir facsímil</v>
      </c>
      <c r="K606" s="15" t="s">
        <v>23</v>
      </c>
    </row>
    <row r="607" spans="1:11" ht="42" customHeight="1">
      <c r="A607" s="4" t="s">
        <v>1769</v>
      </c>
      <c r="B607" s="5" t="s">
        <v>1770</v>
      </c>
      <c r="C607" s="5" t="s">
        <v>33</v>
      </c>
      <c r="D607" s="5" t="s">
        <v>34</v>
      </c>
      <c r="E607" s="5" t="s">
        <v>558</v>
      </c>
      <c r="F607" s="9" t="s">
        <v>758</v>
      </c>
      <c r="G607" s="9" t="s">
        <v>199</v>
      </c>
      <c r="H607" s="5" t="s">
        <v>21</v>
      </c>
      <c r="I607" s="5" t="s">
        <v>1771</v>
      </c>
      <c r="J607" s="12" t="str">
        <f>HYPERLINK("https://www.boe.es/gazeta/dias/1808/11/25/pdfs/GMD-E-1808-147.pdf#page=2","Abrir facsímil")</f>
        <v>Abrir facsímil</v>
      </c>
      <c r="K607" s="15" t="s">
        <v>23</v>
      </c>
    </row>
    <row r="608" spans="1:11" ht="42" customHeight="1">
      <c r="A608" s="4" t="s">
        <v>1772</v>
      </c>
      <c r="B608" s="5" t="s">
        <v>1773</v>
      </c>
      <c r="C608" s="5" t="s">
        <v>17</v>
      </c>
      <c r="D608" s="5" t="s">
        <v>18</v>
      </c>
      <c r="E608" s="5" t="s">
        <v>166</v>
      </c>
      <c r="F608" s="9" t="s">
        <v>356</v>
      </c>
      <c r="G608" s="9">
        <v>1508</v>
      </c>
      <c r="H608" s="5" t="s">
        <v>21</v>
      </c>
      <c r="I608" s="5" t="s">
        <v>1774</v>
      </c>
      <c r="J608" s="12" t="str">
        <f>HYPERLINK("https://www.boe.es/gazeta/dias/1808/11/18/pdfs/GMD-1808-145.pdf#page=6","Abrir facsímil")</f>
        <v>Abrir facsímil</v>
      </c>
      <c r="K608" s="15" t="s">
        <v>23</v>
      </c>
    </row>
    <row r="609" spans="1:11" ht="42" customHeight="1">
      <c r="A609" s="4" t="s">
        <v>1775</v>
      </c>
      <c r="B609" s="5" t="s">
        <v>1776</v>
      </c>
      <c r="C609" s="5" t="s">
        <v>17</v>
      </c>
      <c r="D609" s="5" t="s">
        <v>18</v>
      </c>
      <c r="E609" s="5" t="s">
        <v>130</v>
      </c>
      <c r="F609" s="9" t="s">
        <v>131</v>
      </c>
      <c r="G609" s="9">
        <v>1601</v>
      </c>
      <c r="H609" s="5" t="s">
        <v>21</v>
      </c>
      <c r="I609" s="5" t="s">
        <v>1777</v>
      </c>
      <c r="J609" s="12" t="str">
        <f>HYPERLINK("https://www.boe.es/gazeta/dias/1808/12/15/pdfs/GMD-1808-155.pdf#page=5","Abrir facsímil")</f>
        <v>Abrir facsímil</v>
      </c>
      <c r="K609" s="15" t="s">
        <v>23</v>
      </c>
    </row>
    <row r="610" spans="1:11" ht="42" customHeight="1">
      <c r="A610" s="4" t="s">
        <v>1775</v>
      </c>
      <c r="B610" s="5" t="s">
        <v>1776</v>
      </c>
      <c r="C610" s="5" t="s">
        <v>17</v>
      </c>
      <c r="D610" s="5" t="s">
        <v>18</v>
      </c>
      <c r="E610" s="5" t="s">
        <v>719</v>
      </c>
      <c r="F610" s="9" t="s">
        <v>720</v>
      </c>
      <c r="G610" s="9">
        <v>1609</v>
      </c>
      <c r="H610" s="5" t="s">
        <v>21</v>
      </c>
      <c r="I610" s="5" t="s">
        <v>1778</v>
      </c>
      <c r="J610" s="12" t="str">
        <f>HYPERLINK("https://www.boe.es/gazeta/dias/1808/12/16/pdfs/GMD-1808-156.pdf#page=1","Abrir facsímil")</f>
        <v>Abrir facsímil</v>
      </c>
      <c r="K610" s="15" t="s">
        <v>23</v>
      </c>
    </row>
    <row r="611" spans="1:11" ht="42" customHeight="1">
      <c r="A611" s="4" t="s">
        <v>1775</v>
      </c>
      <c r="B611" s="5" t="s">
        <v>1776</v>
      </c>
      <c r="C611" s="5" t="s">
        <v>17</v>
      </c>
      <c r="D611" s="5" t="s">
        <v>18</v>
      </c>
      <c r="E611" s="5" t="s">
        <v>719</v>
      </c>
      <c r="F611" s="9" t="s">
        <v>720</v>
      </c>
      <c r="G611" s="9">
        <v>1611</v>
      </c>
      <c r="H611" s="5" t="s">
        <v>21</v>
      </c>
      <c r="I611" s="5" t="s">
        <v>1779</v>
      </c>
      <c r="J611" s="12" t="str">
        <f>HYPERLINK("https://www.boe.es/gazeta/dias/1808/12/16/pdfs/GMD-1808-156.pdf#page=3","Abrir facsímil")</f>
        <v>Abrir facsímil</v>
      </c>
      <c r="K611" s="15" t="s">
        <v>23</v>
      </c>
    </row>
    <row r="612" spans="1:11" ht="42" customHeight="1">
      <c r="A612" s="4" t="s">
        <v>1780</v>
      </c>
      <c r="B612" s="5" t="s">
        <v>1781</v>
      </c>
      <c r="C612" s="5" t="s">
        <v>33</v>
      </c>
      <c r="D612" s="5" t="s">
        <v>34</v>
      </c>
      <c r="E612" s="5" t="s">
        <v>427</v>
      </c>
      <c r="F612" s="9" t="s">
        <v>428</v>
      </c>
      <c r="G612" s="9" t="s">
        <v>75</v>
      </c>
      <c r="H612" s="5" t="s">
        <v>21</v>
      </c>
      <c r="I612" s="5" t="s">
        <v>1782</v>
      </c>
      <c r="J612" s="12" t="str">
        <f>HYPERLINK("https://www.boe.es/gazeta/dias/1808/11/22/pdfs/GMD-D-1808-146.pdf#page=4","Abrir facsímil")</f>
        <v>Abrir facsímil</v>
      </c>
      <c r="K612" s="15" t="s">
        <v>23</v>
      </c>
    </row>
    <row r="613" spans="1:11" ht="42" customHeight="1">
      <c r="A613" s="4" t="s">
        <v>1783</v>
      </c>
      <c r="B613" s="5" t="s">
        <v>1784</v>
      </c>
      <c r="C613" s="5" t="s">
        <v>33</v>
      </c>
      <c r="D613" s="5" t="s">
        <v>34</v>
      </c>
      <c r="E613" s="5" t="s">
        <v>264</v>
      </c>
      <c r="F613" s="9" t="s">
        <v>318</v>
      </c>
      <c r="G613" s="9" t="s">
        <v>199</v>
      </c>
      <c r="H613" s="5" t="s">
        <v>21</v>
      </c>
      <c r="I613" s="5" t="s">
        <v>1785</v>
      </c>
      <c r="J613" s="12" t="str">
        <f>HYPERLINK("https://www.boe.es/gazeta/dias/1808/11/29/pdfs/GMD-C-1808-148.pdf#page=2","Abrir facsímil")</f>
        <v>Abrir facsímil</v>
      </c>
      <c r="K613" s="15" t="s">
        <v>23</v>
      </c>
    </row>
    <row r="614" spans="1:11" ht="42" customHeight="1">
      <c r="A614" s="4" t="s">
        <v>1786</v>
      </c>
      <c r="B614" s="5" t="s">
        <v>1787</v>
      </c>
      <c r="C614" s="5" t="s">
        <v>94</v>
      </c>
      <c r="D614" s="5" t="s">
        <v>95</v>
      </c>
      <c r="E614" s="5" t="s">
        <v>35</v>
      </c>
      <c r="F614" s="9" t="s">
        <v>36</v>
      </c>
      <c r="G614" s="9" t="s">
        <v>956</v>
      </c>
      <c r="H614" s="5" t="s">
        <v>21</v>
      </c>
      <c r="I614" s="5" t="s">
        <v>1788</v>
      </c>
      <c r="J614" s="12" t="str">
        <f>HYPERLINK("https://www.boe.es/gazeta/dias/1808/04/22/pdfs/GMD-C-1808-38.pdf#page=41","Abrir facsímil")</f>
        <v>Abrir facsímil</v>
      </c>
      <c r="K614" s="15" t="s">
        <v>23</v>
      </c>
    </row>
    <row r="615" spans="1:11" ht="42" customHeight="1">
      <c r="A615" s="4" t="s">
        <v>1789</v>
      </c>
      <c r="B615" s="5" t="s">
        <v>1790</v>
      </c>
      <c r="C615" s="5" t="s">
        <v>94</v>
      </c>
      <c r="D615" s="5" t="s">
        <v>95</v>
      </c>
      <c r="E615" s="5" t="s">
        <v>1791</v>
      </c>
      <c r="F615" s="9" t="s">
        <v>1792</v>
      </c>
      <c r="G615" s="9">
        <v>144</v>
      </c>
      <c r="H615" s="5" t="s">
        <v>21</v>
      </c>
      <c r="I615" s="5" t="s">
        <v>1793</v>
      </c>
      <c r="J615" s="12" t="str">
        <f>HYPERLINK("https://www.boe.es/gazeta/dias/1808/07/30/pdfs/GMS-1808-18.pdf#page=8","Abrir facsímil")</f>
        <v>Abrir facsímil</v>
      </c>
      <c r="K615" s="15" t="s">
        <v>23</v>
      </c>
    </row>
    <row r="616" spans="1:11" ht="42" customHeight="1">
      <c r="A616" s="4" t="s">
        <v>1794</v>
      </c>
      <c r="B616" s="5" t="s">
        <v>1794</v>
      </c>
      <c r="C616" s="5" t="s">
        <v>17</v>
      </c>
      <c r="D616" s="5" t="s">
        <v>18</v>
      </c>
      <c r="E616" s="5" t="s">
        <v>110</v>
      </c>
      <c r="F616" s="9" t="s">
        <v>111</v>
      </c>
      <c r="G616" s="9">
        <v>1384</v>
      </c>
      <c r="H616" s="5" t="s">
        <v>21</v>
      </c>
      <c r="I616" s="5" t="s">
        <v>1795</v>
      </c>
      <c r="J616" s="12" t="str">
        <f>HYPERLINK("https://www.boe.es/gazeta/dias/1808/10/28/pdfs/GMD-1808-138.pdf#page=10","Abrir facsímil")</f>
        <v>Abrir facsímil</v>
      </c>
      <c r="K616" s="15" t="s">
        <v>23</v>
      </c>
    </row>
    <row r="617" spans="1:11" ht="42" customHeight="1">
      <c r="A617" s="4" t="s">
        <v>1796</v>
      </c>
      <c r="B617" s="5" t="s">
        <v>1797</v>
      </c>
      <c r="C617" s="5" t="s">
        <v>33</v>
      </c>
      <c r="D617" s="5" t="s">
        <v>34</v>
      </c>
      <c r="E617" s="5" t="s">
        <v>456</v>
      </c>
      <c r="F617" s="9" t="s">
        <v>748</v>
      </c>
      <c r="G617" s="9" t="s">
        <v>75</v>
      </c>
      <c r="H617" s="5" t="s">
        <v>21</v>
      </c>
      <c r="I617" s="5" t="s">
        <v>1798</v>
      </c>
      <c r="J617" s="12" t="str">
        <f>HYPERLINK("https://www.boe.es/gazeta/dias/1808/10/14/pdfs/GMD-C-1808-134.pdf#page=4","Abrir facsímil")</f>
        <v>Abrir facsímil</v>
      </c>
      <c r="K617" s="15" t="s">
        <v>23</v>
      </c>
    </row>
    <row r="618" spans="1:11" ht="42" customHeight="1">
      <c r="A618" s="4" t="s">
        <v>1799</v>
      </c>
      <c r="B618" s="5" t="s">
        <v>1800</v>
      </c>
      <c r="C618" s="5" t="s">
        <v>17</v>
      </c>
      <c r="D618" s="5" t="s">
        <v>18</v>
      </c>
      <c r="E618" s="5" t="s">
        <v>28</v>
      </c>
      <c r="F618" s="9" t="s">
        <v>29</v>
      </c>
      <c r="G618" s="9">
        <v>1424</v>
      </c>
      <c r="H618" s="5" t="s">
        <v>21</v>
      </c>
      <c r="I618" s="5" t="s">
        <v>1801</v>
      </c>
      <c r="J618" s="12" t="str">
        <f>HYPERLINK("https://www.boe.es/gazeta/dias/1808/11/04/pdfs/GMD-1808-141.pdf#page=6","Abrir facsímil")</f>
        <v>Abrir facsímil</v>
      </c>
      <c r="K618" s="15" t="s">
        <v>23</v>
      </c>
    </row>
    <row r="619" spans="1:11" ht="42" customHeight="1">
      <c r="A619" s="4" t="s">
        <v>1799</v>
      </c>
      <c r="B619" s="5" t="s">
        <v>1800</v>
      </c>
      <c r="C619" s="5" t="s">
        <v>17</v>
      </c>
      <c r="D619" s="5" t="s">
        <v>18</v>
      </c>
      <c r="E619" s="5" t="s">
        <v>427</v>
      </c>
      <c r="F619" s="9" t="s">
        <v>1802</v>
      </c>
      <c r="G619" s="9">
        <v>1518</v>
      </c>
      <c r="H619" s="5" t="s">
        <v>21</v>
      </c>
      <c r="I619" s="5" t="s">
        <v>1803</v>
      </c>
      <c r="J619" s="12" t="str">
        <f>HYPERLINK("https://www.boe.es/gazeta/dias/1808/11/22/pdfs/GMD-1808-146.pdf#page=4","Abrir facsímil")</f>
        <v>Abrir facsímil</v>
      </c>
      <c r="K619" s="15" t="s">
        <v>23</v>
      </c>
    </row>
    <row r="620" spans="1:11" ht="42" customHeight="1">
      <c r="A620" s="4" t="s">
        <v>1804</v>
      </c>
      <c r="B620" s="5" t="s">
        <v>1805</v>
      </c>
      <c r="C620" s="5" t="s">
        <v>33</v>
      </c>
      <c r="D620" s="5" t="s">
        <v>34</v>
      </c>
      <c r="E620" s="5" t="s">
        <v>35</v>
      </c>
      <c r="F620" s="9" t="s">
        <v>36</v>
      </c>
      <c r="G620" s="9" t="s">
        <v>1806</v>
      </c>
      <c r="H620" s="5" t="s">
        <v>21</v>
      </c>
      <c r="I620" s="5" t="s">
        <v>1807</v>
      </c>
      <c r="J620" s="12" t="str">
        <f>HYPERLINK("https://www.boe.es/gazeta/dias/1808/04/22/pdfs/GMD-C-1808-38.pdf#page=6","Abrir facsímil")</f>
        <v>Abrir facsímil</v>
      </c>
      <c r="K620" s="15" t="s">
        <v>23</v>
      </c>
    </row>
    <row r="621" spans="1:11" ht="42" customHeight="1">
      <c r="A621" s="4" t="s">
        <v>1808</v>
      </c>
      <c r="B621" s="5" t="s">
        <v>1808</v>
      </c>
      <c r="C621" s="5" t="s">
        <v>94</v>
      </c>
      <c r="D621" s="5" t="s">
        <v>95</v>
      </c>
      <c r="E621" s="5" t="s">
        <v>228</v>
      </c>
      <c r="F621" s="9" t="s">
        <v>229</v>
      </c>
      <c r="G621" s="9">
        <v>831</v>
      </c>
      <c r="H621" s="5" t="s">
        <v>21</v>
      </c>
      <c r="I621" s="5" t="s">
        <v>1809</v>
      </c>
      <c r="J621" s="12" t="str">
        <f>HYPERLINK("https://www.boe.es/gazeta/dias/1808/07/18/pdfs/GMD-1808-90.pdf#page=1","Abrir facsímil")</f>
        <v>Abrir facsímil</v>
      </c>
      <c r="K621" s="15" t="s">
        <v>23</v>
      </c>
    </row>
    <row r="622" spans="1:11" ht="42" customHeight="1">
      <c r="A622" s="4" t="s">
        <v>1810</v>
      </c>
      <c r="B622" s="5" t="s">
        <v>1810</v>
      </c>
      <c r="C622" s="5" t="s">
        <v>17</v>
      </c>
      <c r="D622" s="5" t="s">
        <v>18</v>
      </c>
      <c r="E622" s="5" t="s">
        <v>1361</v>
      </c>
      <c r="F622" s="9" t="s">
        <v>1362</v>
      </c>
      <c r="G622" s="9">
        <v>471</v>
      </c>
      <c r="H622" s="5" t="s">
        <v>21</v>
      </c>
      <c r="I622" s="5" t="s">
        <v>1811</v>
      </c>
      <c r="J622" s="12" t="str">
        <f>HYPERLINK("https://www.boe.es/gazeta/dias/1808/05/17/pdfs/GMD-1808-47.pdf#page=11","Abrir facsímil")</f>
        <v>Abrir facsímil</v>
      </c>
      <c r="K622" s="15" t="s">
        <v>23</v>
      </c>
    </row>
    <row r="623" spans="1:11" ht="42" customHeight="1">
      <c r="A623" s="4" t="s">
        <v>1812</v>
      </c>
      <c r="B623" s="5" t="s">
        <v>1813</v>
      </c>
      <c r="C623" s="5" t="s">
        <v>17</v>
      </c>
      <c r="D623" s="5" t="s">
        <v>18</v>
      </c>
      <c r="E623" s="5" t="s">
        <v>334</v>
      </c>
      <c r="F623" s="9" t="s">
        <v>1814</v>
      </c>
      <c r="G623" s="9">
        <v>1244</v>
      </c>
      <c r="H623" s="5" t="s">
        <v>21</v>
      </c>
      <c r="I623" s="5" t="s">
        <v>1815</v>
      </c>
      <c r="J623" s="12" t="str">
        <f>HYPERLINK("https://www.boe.es/gazeta/dias/1808/10/04/pdfs/GMD-1808-131.pdf#page=12","Abrir facsímil")</f>
        <v>Abrir facsímil</v>
      </c>
      <c r="K623" s="15" t="s">
        <v>23</v>
      </c>
    </row>
    <row r="624" spans="1:11" ht="42" customHeight="1">
      <c r="A624" s="4" t="s">
        <v>1816</v>
      </c>
      <c r="B624" s="5" t="s">
        <v>1817</v>
      </c>
      <c r="C624" s="5" t="s">
        <v>17</v>
      </c>
      <c r="D624" s="5" t="s">
        <v>18</v>
      </c>
      <c r="E624" s="5" t="s">
        <v>96</v>
      </c>
      <c r="F624" s="9" t="s">
        <v>97</v>
      </c>
      <c r="G624" s="9">
        <v>265</v>
      </c>
      <c r="H624" s="5" t="s">
        <v>21</v>
      </c>
      <c r="I624" s="5" t="s">
        <v>1818</v>
      </c>
      <c r="J624" s="12" t="str">
        <f>HYPERLINK("https://www.boe.es/gazeta/dias/1808/03/15/pdfs/GMD-1808-22.pdf#page=7","Abrir facsímil")</f>
        <v>Abrir facsímil</v>
      </c>
      <c r="K624" s="15" t="s">
        <v>23</v>
      </c>
    </row>
    <row r="625" spans="1:11" ht="42" customHeight="1">
      <c r="A625" s="4" t="s">
        <v>1819</v>
      </c>
      <c r="B625" s="5" t="s">
        <v>1820</v>
      </c>
      <c r="C625" s="5" t="s">
        <v>17</v>
      </c>
      <c r="D625" s="5" t="s">
        <v>18</v>
      </c>
      <c r="E625" s="5" t="s">
        <v>1821</v>
      </c>
      <c r="F625" s="9" t="s">
        <v>1822</v>
      </c>
      <c r="G625" s="9">
        <v>51</v>
      </c>
      <c r="H625" s="5" t="s">
        <v>21</v>
      </c>
      <c r="I625" s="5" t="s">
        <v>1823</v>
      </c>
      <c r="J625" s="12" t="str">
        <f>HYPERLINK("https://www.boe.es/gazeta/dias/1808/06/22/pdfs/GMS-1808-7.pdf#page=3","Abrir facsímil")</f>
        <v>Abrir facsímil</v>
      </c>
      <c r="K625" s="15" t="s">
        <v>23</v>
      </c>
    </row>
    <row r="626" spans="1:11" ht="42" customHeight="1">
      <c r="A626" s="4" t="s">
        <v>1824</v>
      </c>
      <c r="B626" s="5" t="s">
        <v>1824</v>
      </c>
      <c r="C626" s="5" t="s">
        <v>101</v>
      </c>
      <c r="D626" s="5" t="s">
        <v>102</v>
      </c>
      <c r="E626" s="5" t="s">
        <v>225</v>
      </c>
      <c r="F626" s="9" t="s">
        <v>226</v>
      </c>
      <c r="G626" s="9">
        <v>605</v>
      </c>
      <c r="H626" s="5" t="s">
        <v>21</v>
      </c>
      <c r="I626" s="5" t="s">
        <v>1825</v>
      </c>
      <c r="J626" s="12" t="str">
        <f>HYPERLINK("https://www.boe.es/gazeta/dias/1808/06/20/pdfs/GMD-1808-62.pdf#page=3","Abrir facsímil")</f>
        <v>Abrir facsímil</v>
      </c>
      <c r="K626" s="15" t="s">
        <v>23</v>
      </c>
    </row>
    <row r="627" spans="1:11" ht="42" customHeight="1">
      <c r="A627" s="4" t="s">
        <v>1826</v>
      </c>
      <c r="B627" s="5" t="s">
        <v>1826</v>
      </c>
      <c r="C627" s="5" t="s">
        <v>41</v>
      </c>
      <c r="D627" s="5" t="s">
        <v>42</v>
      </c>
      <c r="E627" s="5" t="s">
        <v>991</v>
      </c>
      <c r="F627" s="9" t="s">
        <v>992</v>
      </c>
      <c r="G627" s="9">
        <v>222</v>
      </c>
      <c r="H627" s="5" t="s">
        <v>21</v>
      </c>
      <c r="I627" s="5" t="s">
        <v>1827</v>
      </c>
      <c r="J627" s="12" t="str">
        <f>HYPERLINK("https://www.boe.es/gazeta/dias/1808/03/01/pdfs/GMD-1808-18.pdf#page=12","Abrir facsímil")</f>
        <v>Abrir facsímil</v>
      </c>
      <c r="K627" s="15" t="s">
        <v>23</v>
      </c>
    </row>
    <row r="628" spans="1:11" ht="42" customHeight="1">
      <c r="A628" s="4" t="s">
        <v>1828</v>
      </c>
      <c r="B628" s="5" t="s">
        <v>1828</v>
      </c>
      <c r="C628" s="5" t="s">
        <v>94</v>
      </c>
      <c r="D628" s="5" t="s">
        <v>95</v>
      </c>
      <c r="E628" s="5" t="s">
        <v>35</v>
      </c>
      <c r="F628" s="9" t="s">
        <v>36</v>
      </c>
      <c r="G628" s="9" t="s">
        <v>80</v>
      </c>
      <c r="H628" s="5" t="s">
        <v>21</v>
      </c>
      <c r="I628" s="5" t="s">
        <v>1829</v>
      </c>
      <c r="J628" s="12" t="str">
        <f>HYPERLINK("https://www.boe.es/gazeta/dias/1808/04/22/pdfs/GMD-C-1808-38.pdf#page=18","Abrir facsímil")</f>
        <v>Abrir facsímil</v>
      </c>
      <c r="K628" s="15" t="s">
        <v>23</v>
      </c>
    </row>
    <row r="629" spans="1:11" ht="42" customHeight="1">
      <c r="A629" s="4" t="s">
        <v>1830</v>
      </c>
      <c r="B629" s="5" t="s">
        <v>1831</v>
      </c>
      <c r="C629" s="5" t="s">
        <v>33</v>
      </c>
      <c r="D629" s="5" t="s">
        <v>34</v>
      </c>
      <c r="E629" s="5" t="s">
        <v>35</v>
      </c>
      <c r="F629" s="9" t="s">
        <v>36</v>
      </c>
      <c r="G629" s="9" t="s">
        <v>135</v>
      </c>
      <c r="H629" s="5" t="s">
        <v>21</v>
      </c>
      <c r="I629" s="5" t="s">
        <v>1832</v>
      </c>
      <c r="J629" s="12" t="str">
        <f>HYPERLINK("https://www.boe.es/gazeta/dias/1808/04/22/pdfs/GMD-C-1808-38.pdf#page=26","Abrir facsímil")</f>
        <v>Abrir facsímil</v>
      </c>
      <c r="K629" s="15" t="s">
        <v>23</v>
      </c>
    </row>
    <row r="630" spans="1:11" ht="42" customHeight="1">
      <c r="A630" s="4" t="s">
        <v>1833</v>
      </c>
      <c r="B630" s="5" t="s">
        <v>1833</v>
      </c>
      <c r="C630" s="5" t="s">
        <v>33</v>
      </c>
      <c r="D630" s="5" t="s">
        <v>34</v>
      </c>
      <c r="E630" s="5" t="s">
        <v>461</v>
      </c>
      <c r="F630" s="9" t="s">
        <v>462</v>
      </c>
      <c r="G630" s="9" t="s">
        <v>106</v>
      </c>
      <c r="H630" s="5" t="s">
        <v>21</v>
      </c>
      <c r="I630" s="5" t="s">
        <v>1834</v>
      </c>
      <c r="J630" s="12" t="str">
        <f>HYPERLINK("https://www.boe.es/gazeta/dias/1808/11/08/pdfs/GMD-D-1808-142.pdf#page=3","Abrir facsímil")</f>
        <v>Abrir facsímil</v>
      </c>
      <c r="K630" s="15" t="s">
        <v>23</v>
      </c>
    </row>
    <row r="631" spans="1:11" ht="42" customHeight="1">
      <c r="A631" s="4" t="s">
        <v>1835</v>
      </c>
      <c r="B631" s="5" t="s">
        <v>1836</v>
      </c>
      <c r="C631" s="5" t="s">
        <v>17</v>
      </c>
      <c r="D631" s="5" t="s">
        <v>18</v>
      </c>
      <c r="E631" s="5" t="s">
        <v>130</v>
      </c>
      <c r="F631" s="9" t="s">
        <v>131</v>
      </c>
      <c r="G631" s="9">
        <v>1604</v>
      </c>
      <c r="H631" s="5" t="s">
        <v>21</v>
      </c>
      <c r="I631" s="5" t="s">
        <v>1837</v>
      </c>
      <c r="J631" s="12" t="str">
        <f>HYPERLINK("https://www.boe.es/gazeta/dias/1808/12/15/pdfs/GMD-1808-155.pdf#page=8","Abrir facsímil")</f>
        <v>Abrir facsímil</v>
      </c>
      <c r="K631" s="15" t="s">
        <v>23</v>
      </c>
    </row>
    <row r="632" spans="1:11" ht="42" customHeight="1">
      <c r="A632" s="4" t="s">
        <v>1838</v>
      </c>
      <c r="B632" s="5" t="s">
        <v>1839</v>
      </c>
      <c r="C632" s="5" t="s">
        <v>33</v>
      </c>
      <c r="D632" s="5" t="s">
        <v>34</v>
      </c>
      <c r="E632" s="5" t="s">
        <v>180</v>
      </c>
      <c r="F632" s="9" t="s">
        <v>768</v>
      </c>
      <c r="G632" s="9" t="s">
        <v>117</v>
      </c>
      <c r="H632" s="5" t="s">
        <v>21</v>
      </c>
      <c r="I632" s="5" t="s">
        <v>1840</v>
      </c>
      <c r="J632" s="12" t="str">
        <f>HYPERLINK("https://www.boe.es/gazeta/dias/1808/11/15/pdfs/GMD-D-1808-144.pdf#page=1","Abrir facsímil")</f>
        <v>Abrir facsímil</v>
      </c>
      <c r="K632" s="15" t="s">
        <v>23</v>
      </c>
    </row>
    <row r="633" spans="1:11" ht="42" customHeight="1">
      <c r="A633" s="4" t="s">
        <v>1841</v>
      </c>
      <c r="B633" s="5" t="s">
        <v>1842</v>
      </c>
      <c r="C633" s="5" t="s">
        <v>17</v>
      </c>
      <c r="D633" s="5" t="s">
        <v>18</v>
      </c>
      <c r="E633" s="5" t="s">
        <v>130</v>
      </c>
      <c r="F633" s="9" t="s">
        <v>131</v>
      </c>
      <c r="G633" s="9">
        <v>1603</v>
      </c>
      <c r="H633" s="5" t="s">
        <v>21</v>
      </c>
      <c r="I633" s="5" t="s">
        <v>1843</v>
      </c>
      <c r="J633" s="12" t="str">
        <f>HYPERLINK("https://www.boe.es/gazeta/dias/1808/12/15/pdfs/GMD-1808-155.pdf#page=7","Abrir facsímil")</f>
        <v>Abrir facsímil</v>
      </c>
      <c r="K633" s="15" t="s">
        <v>23</v>
      </c>
    </row>
    <row r="634" spans="1:11" ht="42" customHeight="1">
      <c r="A634" s="4" t="s">
        <v>1844</v>
      </c>
      <c r="B634" s="5" t="s">
        <v>1844</v>
      </c>
      <c r="C634" s="5" t="s">
        <v>101</v>
      </c>
      <c r="D634" s="5" t="s">
        <v>102</v>
      </c>
      <c r="E634" s="5" t="s">
        <v>207</v>
      </c>
      <c r="F634" s="9" t="s">
        <v>208</v>
      </c>
      <c r="G634" s="9">
        <v>187</v>
      </c>
      <c r="H634" s="5" t="s">
        <v>21</v>
      </c>
      <c r="I634" s="5" t="s">
        <v>1845</v>
      </c>
      <c r="J634" s="12" t="str">
        <f>HYPERLINK("https://www.boe.es/gazeta/dias/1808/02/23/pdfs/GMD-1808-16.pdf#page=1","Abrir facsímil")</f>
        <v>Abrir facsímil</v>
      </c>
      <c r="K634" s="15" t="s">
        <v>23</v>
      </c>
    </row>
    <row r="635" spans="1:11" ht="42" customHeight="1">
      <c r="A635" s="4" t="s">
        <v>1846</v>
      </c>
      <c r="B635" s="5" t="s">
        <v>1846</v>
      </c>
      <c r="C635" s="5" t="s">
        <v>389</v>
      </c>
      <c r="D635" s="5" t="s">
        <v>390</v>
      </c>
      <c r="E635" s="5" t="s">
        <v>180</v>
      </c>
      <c r="F635" s="9" t="s">
        <v>768</v>
      </c>
      <c r="G635" s="9" t="s">
        <v>106</v>
      </c>
      <c r="H635" s="5" t="s">
        <v>21</v>
      </c>
      <c r="I635" s="5" t="s">
        <v>1847</v>
      </c>
      <c r="J635" s="12" t="str">
        <f>HYPERLINK("https://www.boe.es/gazeta/dias/1808/11/15/pdfs/GMD-D-1808-144.pdf#page=3","Abrir facsímil")</f>
        <v>Abrir facsímil</v>
      </c>
      <c r="K635" s="15" t="s">
        <v>23</v>
      </c>
    </row>
    <row r="636" spans="1:11" ht="42" customHeight="1">
      <c r="A636" s="4" t="s">
        <v>1848</v>
      </c>
      <c r="B636" s="5" t="s">
        <v>1849</v>
      </c>
      <c r="C636" s="5" t="s">
        <v>33</v>
      </c>
      <c r="D636" s="5" t="s">
        <v>34</v>
      </c>
      <c r="E636" s="5" t="s">
        <v>35</v>
      </c>
      <c r="F636" s="9" t="s">
        <v>36</v>
      </c>
      <c r="G636" s="9" t="s">
        <v>324</v>
      </c>
      <c r="H636" s="5" t="s">
        <v>21</v>
      </c>
      <c r="I636" s="5" t="s">
        <v>1850</v>
      </c>
      <c r="J636" s="12" t="str">
        <f>HYPERLINK("https://www.boe.es/gazeta/dias/1808/04/22/pdfs/GMD-C-1808-38.pdf#page=24","Abrir facsímil")</f>
        <v>Abrir facsímil</v>
      </c>
      <c r="K636" s="15" t="s">
        <v>23</v>
      </c>
    </row>
    <row r="637" spans="1:11" ht="42" customHeight="1">
      <c r="A637" s="4" t="s">
        <v>1851</v>
      </c>
      <c r="B637" s="5" t="s">
        <v>1852</v>
      </c>
      <c r="C637" s="5" t="s">
        <v>33</v>
      </c>
      <c r="D637" s="5" t="s">
        <v>34</v>
      </c>
      <c r="E637" s="5" t="s">
        <v>35</v>
      </c>
      <c r="F637" s="9" t="s">
        <v>36</v>
      </c>
      <c r="G637" s="9" t="s">
        <v>148</v>
      </c>
      <c r="H637" s="5" t="s">
        <v>21</v>
      </c>
      <c r="I637" s="5" t="s">
        <v>1853</v>
      </c>
      <c r="J637" s="12" t="str">
        <f>HYPERLINK("https://www.boe.es/gazeta/dias/1808/04/22/pdfs/GMD-C-1808-38.pdf#page=38","Abrir facsímil")</f>
        <v>Abrir facsímil</v>
      </c>
      <c r="K637" s="15" t="s">
        <v>23</v>
      </c>
    </row>
    <row r="638" spans="1:11" ht="42" customHeight="1">
      <c r="A638" s="4" t="s">
        <v>1854</v>
      </c>
      <c r="B638" s="5" t="s">
        <v>1855</v>
      </c>
      <c r="C638" s="5" t="s">
        <v>41</v>
      </c>
      <c r="D638" s="5" t="s">
        <v>42</v>
      </c>
      <c r="E638" s="5" t="s">
        <v>96</v>
      </c>
      <c r="F638" s="9" t="s">
        <v>97</v>
      </c>
      <c r="G638" s="9">
        <v>267</v>
      </c>
      <c r="H638" s="5" t="s">
        <v>21</v>
      </c>
      <c r="I638" s="5" t="s">
        <v>1856</v>
      </c>
      <c r="J638" s="12" t="str">
        <f>HYPERLINK("https://www.boe.es/gazeta/dias/1808/03/15/pdfs/GMD-1808-22.pdf#page=9","Abrir facsímil")</f>
        <v>Abrir facsímil</v>
      </c>
      <c r="K638" s="15" t="s">
        <v>23</v>
      </c>
    </row>
    <row r="639" spans="1:11" ht="42" customHeight="1">
      <c r="A639" s="4" t="s">
        <v>1857</v>
      </c>
      <c r="B639" s="5" t="s">
        <v>1858</v>
      </c>
      <c r="C639" s="5" t="s">
        <v>33</v>
      </c>
      <c r="D639" s="5" t="s">
        <v>34</v>
      </c>
      <c r="E639" s="5" t="s">
        <v>35</v>
      </c>
      <c r="F639" s="9" t="s">
        <v>36</v>
      </c>
      <c r="G639" s="9" t="s">
        <v>443</v>
      </c>
      <c r="H639" s="5" t="s">
        <v>21</v>
      </c>
      <c r="I639" s="5" t="s">
        <v>1859</v>
      </c>
      <c r="J639" s="12" t="str">
        <f>HYPERLINK("https://www.boe.es/gazeta/dias/1808/04/22/pdfs/GMD-C-1808-38.pdf#page=16","Abrir facsímil")</f>
        <v>Abrir facsímil</v>
      </c>
      <c r="K639" s="15" t="s">
        <v>23</v>
      </c>
    </row>
    <row r="640" spans="1:11" ht="42" customHeight="1">
      <c r="A640" s="4" t="s">
        <v>1857</v>
      </c>
      <c r="B640" s="5" t="s">
        <v>1858</v>
      </c>
      <c r="C640" s="5" t="s">
        <v>33</v>
      </c>
      <c r="D640" s="5" t="s">
        <v>34</v>
      </c>
      <c r="E640" s="5" t="s">
        <v>35</v>
      </c>
      <c r="F640" s="9" t="s">
        <v>36</v>
      </c>
      <c r="G640" s="9" t="s">
        <v>1860</v>
      </c>
      <c r="H640" s="5" t="s">
        <v>21</v>
      </c>
      <c r="I640" s="5" t="s">
        <v>1861</v>
      </c>
      <c r="J640" s="12" t="str">
        <f>HYPERLINK("https://www.boe.es/gazeta/dias/1808/04/22/pdfs/GMD-C-1808-38.pdf#page=37","Abrir facsímil")</f>
        <v>Abrir facsímil</v>
      </c>
      <c r="K640" s="15" t="s">
        <v>23</v>
      </c>
    </row>
    <row r="641" spans="1:11" ht="42" customHeight="1">
      <c r="A641" s="4" t="s">
        <v>1862</v>
      </c>
      <c r="B641" s="5" t="s">
        <v>1863</v>
      </c>
      <c r="C641" s="5" t="s">
        <v>33</v>
      </c>
      <c r="D641" s="5" t="s">
        <v>34</v>
      </c>
      <c r="E641" s="5" t="s">
        <v>456</v>
      </c>
      <c r="F641" s="9" t="s">
        <v>748</v>
      </c>
      <c r="G641" s="9" t="s">
        <v>199</v>
      </c>
      <c r="H641" s="5" t="s">
        <v>21</v>
      </c>
      <c r="I641" s="5" t="s">
        <v>1864</v>
      </c>
      <c r="J641" s="12" t="str">
        <f>HYPERLINK("https://www.boe.es/gazeta/dias/1808/10/14/pdfs/GMD-C-1808-134.pdf#page=2","Abrir facsímil")</f>
        <v>Abrir facsímil</v>
      </c>
      <c r="K641" s="15" t="s">
        <v>23</v>
      </c>
    </row>
    <row r="642" spans="1:11" ht="42" customHeight="1">
      <c r="A642" s="4" t="s">
        <v>1865</v>
      </c>
      <c r="B642" s="5" t="s">
        <v>1865</v>
      </c>
      <c r="C642" s="5" t="s">
        <v>17</v>
      </c>
      <c r="D642" s="5" t="s">
        <v>18</v>
      </c>
      <c r="E642" s="5" t="s">
        <v>1866</v>
      </c>
      <c r="F642" s="9" t="s">
        <v>1867</v>
      </c>
      <c r="G642" s="9">
        <v>1592</v>
      </c>
      <c r="H642" s="5" t="s">
        <v>21</v>
      </c>
      <c r="I642" s="5" t="s">
        <v>1868</v>
      </c>
      <c r="J642" s="12" t="str">
        <f>HYPERLINK("https://www.boe.es/gazeta/dias/1808/12/14/pdfs/GMD-1808-154.pdf#page=4","Abrir facsímil")</f>
        <v>Abrir facsímil</v>
      </c>
      <c r="K642" s="15" t="s">
        <v>23</v>
      </c>
    </row>
    <row r="643" spans="1:11" ht="42" customHeight="1">
      <c r="A643" s="4" t="s">
        <v>1869</v>
      </c>
      <c r="B643" s="5" t="s">
        <v>1870</v>
      </c>
      <c r="C643" s="5" t="s">
        <v>94</v>
      </c>
      <c r="D643" s="5" t="s">
        <v>95</v>
      </c>
      <c r="E643" s="5" t="s">
        <v>234</v>
      </c>
      <c r="F643" s="9" t="s">
        <v>1871</v>
      </c>
      <c r="G643" s="9">
        <v>495</v>
      </c>
      <c r="H643" s="5" t="s">
        <v>21</v>
      </c>
      <c r="I643" s="5" t="s">
        <v>1872</v>
      </c>
      <c r="J643" s="12" t="str">
        <f>HYPERLINK("https://www.boe.es/gazeta/dias/1808/12/30/pdfs/GMS-1808-62.pdf#page=3","Abrir facsímil")</f>
        <v>Abrir facsímil</v>
      </c>
      <c r="K643" s="15" t="s">
        <v>23</v>
      </c>
    </row>
    <row r="644" spans="1:11" ht="42" customHeight="1">
      <c r="A644" s="4" t="s">
        <v>1873</v>
      </c>
      <c r="B644" s="5" t="s">
        <v>1873</v>
      </c>
      <c r="C644" s="5" t="s">
        <v>389</v>
      </c>
      <c r="D644" s="5" t="s">
        <v>390</v>
      </c>
      <c r="E644" s="5" t="s">
        <v>1821</v>
      </c>
      <c r="F644" s="9" t="s">
        <v>1874</v>
      </c>
      <c r="G644" s="9">
        <v>625</v>
      </c>
      <c r="H644" s="5" t="s">
        <v>21</v>
      </c>
      <c r="I644" s="5" t="s">
        <v>1875</v>
      </c>
      <c r="J644" s="12" t="str">
        <f>HYPERLINK("https://www.boe.es/gazeta/dias/1808/06/22/pdfs/GMD-1808-64.pdf#page=3","Abrir facsímil")</f>
        <v>Abrir facsímil</v>
      </c>
      <c r="K644" s="15" t="s">
        <v>23</v>
      </c>
    </row>
    <row r="645" spans="1:11" ht="42" customHeight="1">
      <c r="A645" s="4" t="s">
        <v>1876</v>
      </c>
      <c r="B645" s="5" t="s">
        <v>1877</v>
      </c>
      <c r="C645" s="5" t="s">
        <v>33</v>
      </c>
      <c r="D645" s="5" t="s">
        <v>34</v>
      </c>
      <c r="E645" s="5" t="s">
        <v>115</v>
      </c>
      <c r="F645" s="9" t="s">
        <v>116</v>
      </c>
      <c r="G645" s="9" t="s">
        <v>199</v>
      </c>
      <c r="H645" s="5" t="s">
        <v>21</v>
      </c>
      <c r="I645" s="5" t="s">
        <v>1878</v>
      </c>
      <c r="J645" s="12" t="str">
        <f>HYPERLINK("https://www.boe.es/gazeta/dias/1808/09/16/pdfs/GMD-C-1808-125.pdf#page=2","Abrir facsímil")</f>
        <v>Abrir facsímil</v>
      </c>
      <c r="K645" s="15" t="s">
        <v>23</v>
      </c>
    </row>
    <row r="646" spans="1:11" ht="42" customHeight="1">
      <c r="A646" s="4" t="s">
        <v>1879</v>
      </c>
      <c r="B646" s="5" t="s">
        <v>1880</v>
      </c>
      <c r="C646" s="5" t="s">
        <v>33</v>
      </c>
      <c r="D646" s="5" t="s">
        <v>34</v>
      </c>
      <c r="E646" s="5" t="s">
        <v>35</v>
      </c>
      <c r="F646" s="9" t="s">
        <v>36</v>
      </c>
      <c r="G646" s="9" t="s">
        <v>1075</v>
      </c>
      <c r="H646" s="5" t="s">
        <v>21</v>
      </c>
      <c r="I646" s="5" t="s">
        <v>1881</v>
      </c>
      <c r="J646" s="12" t="str">
        <f>HYPERLINK("https://www.boe.es/gazeta/dias/1808/04/22/pdfs/GMD-C-1808-38.pdf#page=32","Abrir facsímil")</f>
        <v>Abrir facsímil</v>
      </c>
      <c r="K646" s="15" t="s">
        <v>23</v>
      </c>
    </row>
    <row r="647" spans="1:11" ht="42" customHeight="1">
      <c r="A647" s="4" t="s">
        <v>1882</v>
      </c>
      <c r="B647" s="5" t="s">
        <v>1883</v>
      </c>
      <c r="C647" s="5" t="s">
        <v>94</v>
      </c>
      <c r="D647" s="5" t="s">
        <v>95</v>
      </c>
      <c r="E647" s="5" t="s">
        <v>663</v>
      </c>
      <c r="F647" s="9" t="s">
        <v>664</v>
      </c>
      <c r="G647" s="9">
        <v>209</v>
      </c>
      <c r="H647" s="5" t="s">
        <v>21</v>
      </c>
      <c r="I647" s="5" t="s">
        <v>1884</v>
      </c>
      <c r="J647" s="12" t="str">
        <f>HYPERLINK("https://www.boe.es/gazeta/dias/1808/02/26/pdfs/GMD-1808-17.pdf#page=11","Abrir facsímil")</f>
        <v>Abrir facsímil</v>
      </c>
      <c r="K647" s="15" t="s">
        <v>23</v>
      </c>
    </row>
    <row r="648" spans="1:11" ht="42" customHeight="1">
      <c r="A648" s="4" t="s">
        <v>1885</v>
      </c>
      <c r="B648" s="5" t="s">
        <v>1886</v>
      </c>
      <c r="C648" s="5" t="s">
        <v>94</v>
      </c>
      <c r="D648" s="5" t="s">
        <v>95</v>
      </c>
      <c r="E648" s="5" t="s">
        <v>35</v>
      </c>
      <c r="F648" s="9" t="s">
        <v>36</v>
      </c>
      <c r="G648" s="9" t="s">
        <v>324</v>
      </c>
      <c r="H648" s="5" t="s">
        <v>21</v>
      </c>
      <c r="I648" s="5" t="s">
        <v>1887</v>
      </c>
      <c r="J648" s="12" t="str">
        <f>HYPERLINK("https://www.boe.es/gazeta/dias/1808/04/22/pdfs/GMD-C-1808-38.pdf#page=24","Abrir facsímil")</f>
        <v>Abrir facsímil</v>
      </c>
      <c r="K648" s="15" t="s">
        <v>23</v>
      </c>
    </row>
    <row r="649" spans="1:11" ht="42" customHeight="1">
      <c r="A649" s="4" t="s">
        <v>1885</v>
      </c>
      <c r="B649" s="5" t="s">
        <v>1886</v>
      </c>
      <c r="C649" s="5" t="s">
        <v>94</v>
      </c>
      <c r="D649" s="5" t="s">
        <v>95</v>
      </c>
      <c r="E649" s="5" t="s">
        <v>35</v>
      </c>
      <c r="F649" s="9" t="s">
        <v>36</v>
      </c>
      <c r="G649" s="9" t="s">
        <v>1075</v>
      </c>
      <c r="H649" s="5" t="s">
        <v>21</v>
      </c>
      <c r="I649" s="5" t="s">
        <v>1888</v>
      </c>
      <c r="J649" s="12" t="str">
        <f>HYPERLINK("https://www.boe.es/gazeta/dias/1808/04/22/pdfs/GMD-C-1808-38.pdf#page=32","Abrir facsímil")</f>
        <v>Abrir facsímil</v>
      </c>
      <c r="K649" s="15" t="s">
        <v>23</v>
      </c>
    </row>
    <row r="650" spans="1:11" ht="42" customHeight="1">
      <c r="A650" s="4" t="s">
        <v>1885</v>
      </c>
      <c r="B650" s="5" t="s">
        <v>1886</v>
      </c>
      <c r="C650" s="5" t="s">
        <v>41</v>
      </c>
      <c r="D650" s="5" t="s">
        <v>42</v>
      </c>
      <c r="E650" s="5" t="s">
        <v>35</v>
      </c>
      <c r="F650" s="9" t="s">
        <v>36</v>
      </c>
      <c r="G650" s="9" t="s">
        <v>148</v>
      </c>
      <c r="H650" s="5" t="s">
        <v>21</v>
      </c>
      <c r="I650" s="5" t="s">
        <v>1889</v>
      </c>
      <c r="J650" s="12" t="str">
        <f>HYPERLINK("https://www.boe.es/gazeta/dias/1808/04/22/pdfs/GMD-C-1808-38.pdf#page=38","Abrir facsímil")</f>
        <v>Abrir facsímil</v>
      </c>
      <c r="K650" s="15" t="s">
        <v>23</v>
      </c>
    </row>
    <row r="651" spans="1:11" ht="42" customHeight="1">
      <c r="A651" s="4" t="s">
        <v>1890</v>
      </c>
      <c r="B651" s="5" t="s">
        <v>1890</v>
      </c>
      <c r="C651" s="5" t="s">
        <v>94</v>
      </c>
      <c r="D651" s="5" t="s">
        <v>95</v>
      </c>
      <c r="E651" s="5" t="s">
        <v>968</v>
      </c>
      <c r="F651" s="9" t="s">
        <v>969</v>
      </c>
      <c r="G651" s="9">
        <v>896</v>
      </c>
      <c r="H651" s="5" t="s">
        <v>21</v>
      </c>
      <c r="I651" s="5" t="s">
        <v>1891</v>
      </c>
      <c r="J651" s="12" t="str">
        <f>HYPERLINK("https://www.boe.es/gazeta/dias/1808/07/26/pdfs/GMD-1808-98.pdf#page=2","Abrir facsímil")</f>
        <v>Abrir facsímil</v>
      </c>
      <c r="K651" s="15" t="s">
        <v>23</v>
      </c>
    </row>
    <row r="652" spans="1:11" ht="42" customHeight="1">
      <c r="A652" s="4" t="s">
        <v>1892</v>
      </c>
      <c r="B652" s="5" t="s">
        <v>1892</v>
      </c>
      <c r="C652" s="5" t="s">
        <v>389</v>
      </c>
      <c r="D652" s="5" t="s">
        <v>390</v>
      </c>
      <c r="E652" s="5" t="s">
        <v>1893</v>
      </c>
      <c r="F652" s="9" t="s">
        <v>1894</v>
      </c>
      <c r="G652" s="9">
        <v>748</v>
      </c>
      <c r="H652" s="5" t="s">
        <v>21</v>
      </c>
      <c r="I652" s="5" t="s">
        <v>1895</v>
      </c>
      <c r="J652" s="12" t="str">
        <f>HYPERLINK("https://www.boe.es/gazeta/dias/1808/07/07/pdfs/GMD-1808-79.pdf#page=6","Abrir facsímil")</f>
        <v>Abrir facsímil</v>
      </c>
      <c r="K652" s="15" t="s">
        <v>23</v>
      </c>
    </row>
    <row r="653" spans="1:11" ht="42" customHeight="1">
      <c r="A653" s="4" t="s">
        <v>1892</v>
      </c>
      <c r="B653" s="5" t="s">
        <v>1892</v>
      </c>
      <c r="C653" s="5" t="s">
        <v>389</v>
      </c>
      <c r="D653" s="5" t="s">
        <v>390</v>
      </c>
      <c r="E653" s="5" t="s">
        <v>1896</v>
      </c>
      <c r="F653" s="9" t="s">
        <v>1897</v>
      </c>
      <c r="G653" s="9">
        <v>778</v>
      </c>
      <c r="H653" s="5" t="s">
        <v>21</v>
      </c>
      <c r="I653" s="5" t="s">
        <v>1898</v>
      </c>
      <c r="J653" s="12" t="str">
        <f>HYPERLINK("https://www.boe.es/gazeta/dias/1808/07/11/pdfs/GMD-1808-83.pdf#page=4","Abrir facsímil")</f>
        <v>Abrir facsímil</v>
      </c>
      <c r="K653" s="15" t="s">
        <v>23</v>
      </c>
    </row>
    <row r="654" spans="1:11" ht="42" customHeight="1">
      <c r="A654" s="4" t="s">
        <v>1892</v>
      </c>
      <c r="B654" s="5" t="s">
        <v>1892</v>
      </c>
      <c r="C654" s="5" t="s">
        <v>17</v>
      </c>
      <c r="D654" s="5" t="s">
        <v>18</v>
      </c>
      <c r="E654" s="5" t="s">
        <v>1896</v>
      </c>
      <c r="F654" s="9" t="s">
        <v>1897</v>
      </c>
      <c r="G654" s="9">
        <v>779</v>
      </c>
      <c r="H654" s="5" t="s">
        <v>21</v>
      </c>
      <c r="I654" s="5" t="s">
        <v>1899</v>
      </c>
      <c r="J654" s="12" t="str">
        <f>HYPERLINK("https://www.boe.es/gazeta/dias/1808/07/11/pdfs/GMD-1808-83.pdf#page=5","Abrir facsímil")</f>
        <v>Abrir facsímil</v>
      </c>
      <c r="K654" s="15" t="s">
        <v>23</v>
      </c>
    </row>
    <row r="655" spans="1:11" ht="42" customHeight="1">
      <c r="A655" s="4" t="s">
        <v>1892</v>
      </c>
      <c r="B655" s="5" t="s">
        <v>1892</v>
      </c>
      <c r="C655" s="5" t="s">
        <v>389</v>
      </c>
      <c r="D655" s="5" t="s">
        <v>390</v>
      </c>
      <c r="E655" s="5" t="s">
        <v>1896</v>
      </c>
      <c r="F655" s="9" t="s">
        <v>1897</v>
      </c>
      <c r="G655" s="9">
        <v>780</v>
      </c>
      <c r="H655" s="5" t="s">
        <v>21</v>
      </c>
      <c r="I655" s="5" t="s">
        <v>1900</v>
      </c>
      <c r="J655" s="12" t="str">
        <f>HYPERLINK("https://www.boe.es/gazeta/dias/1808/07/11/pdfs/GMD-1808-83.pdf#page=6","Abrir facsímil")</f>
        <v>Abrir facsímil</v>
      </c>
      <c r="K655" s="15" t="s">
        <v>23</v>
      </c>
    </row>
    <row r="656" spans="1:11" ht="42" customHeight="1">
      <c r="A656" s="4" t="s">
        <v>1901</v>
      </c>
      <c r="B656" s="5" t="s">
        <v>1902</v>
      </c>
      <c r="C656" s="5" t="s">
        <v>33</v>
      </c>
      <c r="D656" s="5" t="s">
        <v>34</v>
      </c>
      <c r="E656" s="5" t="s">
        <v>28</v>
      </c>
      <c r="F656" s="9" t="s">
        <v>446</v>
      </c>
      <c r="G656" s="9" t="s">
        <v>199</v>
      </c>
      <c r="H656" s="5" t="s">
        <v>21</v>
      </c>
      <c r="I656" s="5" t="s">
        <v>1903</v>
      </c>
      <c r="J656" s="12" t="str">
        <f>HYPERLINK("https://www.boe.es/gazeta/dias/1808/11/04/pdfs/GMD-D-1808-141.pdf#page=2","Abrir facsímil")</f>
        <v>Abrir facsímil</v>
      </c>
      <c r="K656" s="15" t="s">
        <v>23</v>
      </c>
    </row>
    <row r="657" spans="1:11" ht="42" customHeight="1">
      <c r="A657" s="4" t="s">
        <v>1904</v>
      </c>
      <c r="B657" s="5" t="s">
        <v>1905</v>
      </c>
      <c r="C657" s="5" t="s">
        <v>17</v>
      </c>
      <c r="D657" s="5" t="s">
        <v>18</v>
      </c>
      <c r="E657" s="5" t="s">
        <v>96</v>
      </c>
      <c r="F657" s="9" t="s">
        <v>97</v>
      </c>
      <c r="G657" s="9">
        <v>266</v>
      </c>
      <c r="H657" s="5" t="s">
        <v>21</v>
      </c>
      <c r="I657" s="5" t="s">
        <v>1906</v>
      </c>
      <c r="J657" s="12" t="str">
        <f>HYPERLINK("https://www.boe.es/gazeta/dias/1808/03/15/pdfs/GMD-1808-22.pdf#page=8","Abrir facsímil")</f>
        <v>Abrir facsímil</v>
      </c>
      <c r="K657" s="15" t="s">
        <v>23</v>
      </c>
    </row>
    <row r="658" spans="1:11" ht="42" customHeight="1">
      <c r="A658" s="4" t="s">
        <v>1907</v>
      </c>
      <c r="B658" s="5" t="s">
        <v>1908</v>
      </c>
      <c r="C658" s="5" t="s">
        <v>17</v>
      </c>
      <c r="D658" s="5" t="s">
        <v>18</v>
      </c>
      <c r="E658" s="5" t="s">
        <v>334</v>
      </c>
      <c r="F658" s="9" t="s">
        <v>1814</v>
      </c>
      <c r="G658" s="9">
        <v>1245</v>
      </c>
      <c r="H658" s="5" t="s">
        <v>21</v>
      </c>
      <c r="I658" s="5" t="s">
        <v>1909</v>
      </c>
      <c r="J658" s="12" t="str">
        <f>HYPERLINK("https://www.boe.es/gazeta/dias/1808/10/04/pdfs/GMD-1808-131.pdf#page=13","Abrir facsímil")</f>
        <v>Abrir facsímil</v>
      </c>
      <c r="K658" s="15" t="s">
        <v>23</v>
      </c>
    </row>
    <row r="659" spans="1:11" ht="42" customHeight="1">
      <c r="A659" s="4" t="s">
        <v>1910</v>
      </c>
      <c r="B659" s="5" t="s">
        <v>1911</v>
      </c>
      <c r="C659" s="5" t="s">
        <v>33</v>
      </c>
      <c r="D659" s="5" t="s">
        <v>34</v>
      </c>
      <c r="E659" s="5" t="s">
        <v>197</v>
      </c>
      <c r="F659" s="9" t="s">
        <v>198</v>
      </c>
      <c r="G659" s="9" t="s">
        <v>117</v>
      </c>
      <c r="H659" s="5" t="s">
        <v>21</v>
      </c>
      <c r="I659" s="5" t="s">
        <v>1912</v>
      </c>
      <c r="J659" s="12" t="str">
        <f>HYPERLINK("https://www.boe.es/gazeta/dias/1808/11/01/pdfs/GMD-D-1808-140.pdf#page=1","Abrir facsímil")</f>
        <v>Abrir facsímil</v>
      </c>
      <c r="K659" s="15" t="s">
        <v>23</v>
      </c>
    </row>
    <row r="660" spans="1:11" ht="42" customHeight="1">
      <c r="A660" s="4" t="s">
        <v>1913</v>
      </c>
      <c r="B660" s="5" t="s">
        <v>1913</v>
      </c>
      <c r="C660" s="5" t="s">
        <v>33</v>
      </c>
      <c r="D660" s="5" t="s">
        <v>34</v>
      </c>
      <c r="E660" s="5" t="s">
        <v>110</v>
      </c>
      <c r="F660" s="9" t="s">
        <v>828</v>
      </c>
      <c r="G660" s="9" t="s">
        <v>75</v>
      </c>
      <c r="H660" s="5" t="s">
        <v>21</v>
      </c>
      <c r="I660" s="5" t="s">
        <v>1914</v>
      </c>
      <c r="J660" s="12" t="str">
        <f>HYPERLINK("https://www.boe.es/gazeta/dias/1808/10/28/pdfs/GMD-D-1808-138.pdf#page=4","Abrir facsímil")</f>
        <v>Abrir facsímil</v>
      </c>
      <c r="K660" s="15" t="s">
        <v>23</v>
      </c>
    </row>
    <row r="661" spans="1:11" ht="42" customHeight="1">
      <c r="A661" s="4" t="s">
        <v>1915</v>
      </c>
      <c r="B661" s="5" t="s">
        <v>1915</v>
      </c>
      <c r="C661" s="5" t="s">
        <v>33</v>
      </c>
      <c r="D661" s="5" t="s">
        <v>34</v>
      </c>
      <c r="E661" s="5" t="s">
        <v>110</v>
      </c>
      <c r="F661" s="9" t="s">
        <v>828</v>
      </c>
      <c r="G661" s="9" t="s">
        <v>106</v>
      </c>
      <c r="H661" s="5" t="s">
        <v>21</v>
      </c>
      <c r="I661" s="5" t="s">
        <v>1916</v>
      </c>
      <c r="J661" s="12" t="str">
        <f>HYPERLINK("https://www.boe.es/gazeta/dias/1808/10/28/pdfs/GMD-D-1808-138.pdf#page=3","Abrir facsímil")</f>
        <v>Abrir facsímil</v>
      </c>
      <c r="K661" s="15" t="s">
        <v>23</v>
      </c>
    </row>
    <row r="662" spans="1:11" ht="42" customHeight="1">
      <c r="A662" s="4" t="s">
        <v>1917</v>
      </c>
      <c r="B662" s="5" t="s">
        <v>1917</v>
      </c>
      <c r="C662" s="5" t="s">
        <v>17</v>
      </c>
      <c r="D662" s="5" t="s">
        <v>18</v>
      </c>
      <c r="E662" s="5" t="s">
        <v>553</v>
      </c>
      <c r="F662" s="9" t="s">
        <v>554</v>
      </c>
      <c r="G662" s="9">
        <v>910</v>
      </c>
      <c r="H662" s="5" t="s">
        <v>21</v>
      </c>
      <c r="I662" s="5" t="s">
        <v>1918</v>
      </c>
      <c r="J662" s="12" t="str">
        <f>HYPERLINK("https://www.boe.es/gazeta/dias/1808/07/27/pdfs/GMD-1808-99.pdf#page=8","Abrir facsímil")</f>
        <v>Abrir facsímil</v>
      </c>
      <c r="K662" s="15" t="s">
        <v>23</v>
      </c>
    </row>
    <row r="663" spans="1:11" ht="42" customHeight="1">
      <c r="A663" s="4" t="s">
        <v>1919</v>
      </c>
      <c r="B663" s="5" t="s">
        <v>1919</v>
      </c>
      <c r="C663" s="5" t="s">
        <v>94</v>
      </c>
      <c r="D663" s="5" t="s">
        <v>95</v>
      </c>
      <c r="E663" s="5" t="s">
        <v>130</v>
      </c>
      <c r="F663" s="9" t="s">
        <v>131</v>
      </c>
      <c r="G663" s="9">
        <v>1603</v>
      </c>
      <c r="H663" s="5" t="s">
        <v>21</v>
      </c>
      <c r="I663" s="5" t="s">
        <v>1920</v>
      </c>
      <c r="J663" s="12" t="str">
        <f>HYPERLINK("https://www.boe.es/gazeta/dias/1808/12/15/pdfs/GMD-1808-155.pdf#page=7","Abrir facsímil")</f>
        <v>Abrir facsímil</v>
      </c>
      <c r="K663" s="15" t="s">
        <v>23</v>
      </c>
    </row>
    <row r="664" spans="1:11" ht="42" customHeight="1">
      <c r="A664" s="4" t="s">
        <v>1921</v>
      </c>
      <c r="B664" s="5" t="s">
        <v>1921</v>
      </c>
      <c r="C664" s="5" t="s">
        <v>41</v>
      </c>
      <c r="D664" s="5" t="s">
        <v>42</v>
      </c>
      <c r="E664" s="5" t="s">
        <v>166</v>
      </c>
      <c r="F664" s="9" t="s">
        <v>400</v>
      </c>
      <c r="G664" s="9" t="s">
        <v>117</v>
      </c>
      <c r="H664" s="5" t="s">
        <v>21</v>
      </c>
      <c r="I664" s="5" t="s">
        <v>1922</v>
      </c>
      <c r="J664" s="12" t="str">
        <f>HYPERLINK("https://www.boe.es/gazeta/dias/1808/11/18/pdfs/D00069-00072.pdf#page=1","Abrir facsímil")</f>
        <v>Abrir facsímil</v>
      </c>
      <c r="K664" s="15" t="s">
        <v>23</v>
      </c>
    </row>
    <row r="665" spans="1:11" ht="42" customHeight="1">
      <c r="A665" s="4" t="s">
        <v>1923</v>
      </c>
      <c r="B665" s="5" t="s">
        <v>1923</v>
      </c>
      <c r="C665" s="5" t="s">
        <v>33</v>
      </c>
      <c r="D665" s="5" t="s">
        <v>34</v>
      </c>
      <c r="E665" s="5" t="s">
        <v>68</v>
      </c>
      <c r="F665" s="9" t="s">
        <v>849</v>
      </c>
      <c r="G665" s="9">
        <v>1348</v>
      </c>
      <c r="H665" s="5" t="s">
        <v>21</v>
      </c>
      <c r="I665" s="5" t="s">
        <v>1924</v>
      </c>
      <c r="J665" s="12" t="str">
        <f>HYPERLINK("https://www.boe.es/gazeta/dias/1808/10/21/pdfs/GMD-C-1808-136.pdf#page=8","Abrir facsímil")</f>
        <v>Abrir facsímil</v>
      </c>
      <c r="K665" s="15" t="s">
        <v>23</v>
      </c>
    </row>
    <row r="666" spans="1:11" ht="42" customHeight="1">
      <c r="A666" s="4" t="s">
        <v>1925</v>
      </c>
      <c r="B666" s="5" t="s">
        <v>1925</v>
      </c>
      <c r="C666" s="5" t="s">
        <v>33</v>
      </c>
      <c r="D666" s="5" t="s">
        <v>34</v>
      </c>
      <c r="E666" s="5" t="s">
        <v>35</v>
      </c>
      <c r="F666" s="9" t="s">
        <v>36</v>
      </c>
      <c r="G666" s="9" t="s">
        <v>1178</v>
      </c>
      <c r="H666" s="5" t="s">
        <v>21</v>
      </c>
      <c r="I666" s="5" t="s">
        <v>1926</v>
      </c>
      <c r="J666" s="12" t="str">
        <f>HYPERLINK("https://www.boe.es/gazeta/dias/1808/04/22/pdfs/GMD-C-1808-38.pdf#page=9","Abrir facsímil")</f>
        <v>Abrir facsímil</v>
      </c>
      <c r="K666" s="15" t="s">
        <v>23</v>
      </c>
    </row>
    <row r="667" spans="1:11" ht="42" customHeight="1">
      <c r="A667" s="4" t="s">
        <v>1927</v>
      </c>
      <c r="B667" s="5" t="s">
        <v>1927</v>
      </c>
      <c r="C667" s="5" t="s">
        <v>94</v>
      </c>
      <c r="D667" s="5" t="s">
        <v>95</v>
      </c>
      <c r="E667" s="5" t="s">
        <v>203</v>
      </c>
      <c r="F667" s="9" t="s">
        <v>204</v>
      </c>
      <c r="G667" s="9">
        <v>141</v>
      </c>
      <c r="H667" s="5" t="s">
        <v>21</v>
      </c>
      <c r="I667" s="5" t="s">
        <v>1928</v>
      </c>
      <c r="J667" s="12" t="str">
        <f>HYPERLINK("https://www.boe.es/gazeta/dias/1808/02/09/pdfs/GMD-1808-12.pdf#page=9","Abrir facsímil")</f>
        <v>Abrir facsímil</v>
      </c>
      <c r="K667" s="15" t="s">
        <v>23</v>
      </c>
    </row>
    <row r="668" spans="1:11" ht="42" customHeight="1">
      <c r="A668" s="4" t="s">
        <v>1929</v>
      </c>
      <c r="B668" s="5" t="s">
        <v>1929</v>
      </c>
      <c r="C668" s="5" t="s">
        <v>94</v>
      </c>
      <c r="D668" s="5" t="s">
        <v>95</v>
      </c>
      <c r="E668" s="5" t="s">
        <v>1085</v>
      </c>
      <c r="F668" s="9" t="s">
        <v>1086</v>
      </c>
      <c r="G668" s="9">
        <v>104</v>
      </c>
      <c r="H668" s="5" t="s">
        <v>21</v>
      </c>
      <c r="I668" s="5" t="s">
        <v>1930</v>
      </c>
      <c r="J668" s="12" t="str">
        <f>HYPERLINK("https://www.boe.es/gazeta/dias/1808/01/29/pdfs/GMD-1808-9.pdf#page=8","Abrir facsímil")</f>
        <v>Abrir facsímil</v>
      </c>
      <c r="K668" s="15" t="s">
        <v>23</v>
      </c>
    </row>
    <row r="669" spans="1:11" ht="42" customHeight="1">
      <c r="A669" s="4" t="s">
        <v>1931</v>
      </c>
      <c r="B669" s="5" t="s">
        <v>1931</v>
      </c>
      <c r="C669" s="5" t="s">
        <v>33</v>
      </c>
      <c r="D669" s="5" t="s">
        <v>34</v>
      </c>
      <c r="E669" s="5" t="s">
        <v>125</v>
      </c>
      <c r="F669" s="9" t="s">
        <v>126</v>
      </c>
      <c r="G669" s="9" t="s">
        <v>199</v>
      </c>
      <c r="H669" s="5" t="s">
        <v>21</v>
      </c>
      <c r="I669" s="5" t="s">
        <v>1932</v>
      </c>
      <c r="J669" s="12" t="str">
        <f>HYPERLINK("https://www.boe.es/gazeta/dias/1808/10/07/pdfs/GMD-C-1808-132.pdf#page=2","Abrir facsímil")</f>
        <v>Abrir facsímil</v>
      </c>
      <c r="K669" s="15" t="s">
        <v>23</v>
      </c>
    </row>
    <row r="670" spans="1:11" ht="42" customHeight="1">
      <c r="A670" s="4" t="s">
        <v>1933</v>
      </c>
      <c r="B670" s="5" t="s">
        <v>1934</v>
      </c>
      <c r="C670" s="5" t="s">
        <v>17</v>
      </c>
      <c r="D670" s="5" t="s">
        <v>18</v>
      </c>
      <c r="E670" s="5" t="s">
        <v>130</v>
      </c>
      <c r="F670" s="9" t="s">
        <v>131</v>
      </c>
      <c r="G670" s="9">
        <v>1602</v>
      </c>
      <c r="H670" s="5" t="s">
        <v>21</v>
      </c>
      <c r="I670" s="5" t="s">
        <v>1935</v>
      </c>
      <c r="J670" s="12" t="str">
        <f>HYPERLINK("https://www.boe.es/gazeta/dias/1808/12/15/pdfs/GMD-1808-155.pdf#page=6","Abrir facsímil")</f>
        <v>Abrir facsímil</v>
      </c>
      <c r="K670" s="15" t="s">
        <v>23</v>
      </c>
    </row>
    <row r="671" spans="1:11" ht="42" customHeight="1">
      <c r="A671" s="4" t="s">
        <v>1936</v>
      </c>
      <c r="B671" s="5" t="s">
        <v>1936</v>
      </c>
      <c r="C671" s="5" t="s">
        <v>94</v>
      </c>
      <c r="D671" s="5" t="s">
        <v>95</v>
      </c>
      <c r="E671" s="5" t="s">
        <v>96</v>
      </c>
      <c r="F671" s="9" t="s">
        <v>97</v>
      </c>
      <c r="G671" s="9">
        <v>262</v>
      </c>
      <c r="H671" s="5" t="s">
        <v>21</v>
      </c>
      <c r="I671" s="5" t="s">
        <v>1937</v>
      </c>
      <c r="J671" s="12" t="str">
        <f>HYPERLINK("https://www.boe.es/gazeta/dias/1808/03/15/pdfs/GMD-1808-22.pdf#page=4","Abrir facsímil")</f>
        <v>Abrir facsímil</v>
      </c>
      <c r="K671" s="15" t="s">
        <v>23</v>
      </c>
    </row>
    <row r="672" spans="1:11" ht="42" customHeight="1">
      <c r="A672" s="4" t="s">
        <v>1938</v>
      </c>
      <c r="B672" s="5" t="s">
        <v>1938</v>
      </c>
      <c r="C672" s="5" t="s">
        <v>33</v>
      </c>
      <c r="D672" s="5" t="s">
        <v>34</v>
      </c>
      <c r="E672" s="5" t="s">
        <v>180</v>
      </c>
      <c r="F672" s="9" t="s">
        <v>768</v>
      </c>
      <c r="G672" s="9" t="s">
        <v>75</v>
      </c>
      <c r="H672" s="5" t="s">
        <v>21</v>
      </c>
      <c r="I672" s="5" t="s">
        <v>1939</v>
      </c>
      <c r="J672" s="12" t="str">
        <f>HYPERLINK("https://www.boe.es/gazeta/dias/1808/11/15/pdfs/GMD-D-1808-144.pdf#page=4","Abrir facsímil")</f>
        <v>Abrir facsímil</v>
      </c>
      <c r="K672" s="15" t="s">
        <v>23</v>
      </c>
    </row>
    <row r="673" spans="1:11" ht="42" customHeight="1">
      <c r="A673" s="4" t="s">
        <v>1940</v>
      </c>
      <c r="B673" s="5" t="s">
        <v>1941</v>
      </c>
      <c r="C673" s="5" t="s">
        <v>17</v>
      </c>
      <c r="D673" s="5" t="s">
        <v>18</v>
      </c>
      <c r="E673" s="5" t="s">
        <v>19</v>
      </c>
      <c r="F673" s="9" t="s">
        <v>59</v>
      </c>
      <c r="G673" s="9">
        <v>1228</v>
      </c>
      <c r="H673" s="5" t="s">
        <v>21</v>
      </c>
      <c r="I673" s="5" t="s">
        <v>1942</v>
      </c>
      <c r="J673" s="12" t="str">
        <f>HYPERLINK("https://www.boe.es/gazeta/dias/1808/09/30/pdfs/GMD-1808-130.pdf#page=8","Abrir facsímil")</f>
        <v>Abrir facsímil</v>
      </c>
      <c r="K673" s="15" t="s">
        <v>23</v>
      </c>
    </row>
    <row r="674" spans="1:11" ht="42" customHeight="1">
      <c r="A674" s="4" t="s">
        <v>1943</v>
      </c>
      <c r="B674" s="5" t="s">
        <v>1943</v>
      </c>
      <c r="C674" s="5" t="s">
        <v>94</v>
      </c>
      <c r="D674" s="5" t="s">
        <v>95</v>
      </c>
      <c r="E674" s="5" t="s">
        <v>877</v>
      </c>
      <c r="F674" s="9" t="s">
        <v>878</v>
      </c>
      <c r="G674" s="9">
        <v>118</v>
      </c>
      <c r="H674" s="5" t="s">
        <v>21</v>
      </c>
      <c r="I674" s="5" t="s">
        <v>1944</v>
      </c>
      <c r="J674" s="12" t="str">
        <f>HYPERLINK("https://www.boe.es/gazeta/dias/1808/02/02/pdfs/GMD-1808-10.pdf#page=10","Abrir facsímil")</f>
        <v>Abrir facsímil</v>
      </c>
      <c r="K674" s="15" t="s">
        <v>23</v>
      </c>
    </row>
    <row r="675" spans="1:11" ht="42" customHeight="1">
      <c r="A675" s="4" t="s">
        <v>1945</v>
      </c>
      <c r="B675" s="5" t="s">
        <v>1945</v>
      </c>
      <c r="C675" s="5" t="s">
        <v>17</v>
      </c>
      <c r="D675" s="5" t="s">
        <v>18</v>
      </c>
      <c r="E675" s="5" t="s">
        <v>110</v>
      </c>
      <c r="F675" s="9" t="s">
        <v>111</v>
      </c>
      <c r="G675" s="9">
        <v>1383</v>
      </c>
      <c r="H675" s="5" t="s">
        <v>21</v>
      </c>
      <c r="I675" s="5" t="s">
        <v>1946</v>
      </c>
      <c r="J675" s="12" t="str">
        <f>HYPERLINK("https://www.boe.es/gazeta/dias/1808/10/28/pdfs/GMD-1808-138.pdf#page=9","Abrir facsímil")</f>
        <v>Abrir facsímil</v>
      </c>
      <c r="K675" s="15" t="s">
        <v>23</v>
      </c>
    </row>
    <row r="676" spans="1:11" ht="42" customHeight="1">
      <c r="A676" s="4" t="s">
        <v>1947</v>
      </c>
      <c r="B676" s="5" t="s">
        <v>1947</v>
      </c>
      <c r="C676" s="5" t="s">
        <v>33</v>
      </c>
      <c r="D676" s="5" t="s">
        <v>34</v>
      </c>
      <c r="E676" s="5" t="s">
        <v>391</v>
      </c>
      <c r="F676" s="9" t="s">
        <v>588</v>
      </c>
      <c r="G676" s="9" t="s">
        <v>75</v>
      </c>
      <c r="H676" s="5" t="s">
        <v>21</v>
      </c>
      <c r="I676" s="5" t="s">
        <v>1948</v>
      </c>
      <c r="J676" s="12" t="str">
        <f>HYPERLINK("https://www.boe.es/gazeta/dias/1808/09/27/pdfs/GMD-C-1808-128.pdf#page=4","Abrir facsímil")</f>
        <v>Abrir facsímil</v>
      </c>
      <c r="K676" s="15" t="s">
        <v>23</v>
      </c>
    </row>
    <row r="677" spans="1:11" ht="42" customHeight="1">
      <c r="A677" s="4" t="s">
        <v>1949</v>
      </c>
      <c r="B677" s="5" t="s">
        <v>1949</v>
      </c>
      <c r="C677" s="5" t="s">
        <v>17</v>
      </c>
      <c r="D677" s="5" t="s">
        <v>18</v>
      </c>
      <c r="E677" s="5" t="s">
        <v>139</v>
      </c>
      <c r="F677" s="9" t="s">
        <v>140</v>
      </c>
      <c r="G677" s="9">
        <v>1204</v>
      </c>
      <c r="H677" s="5" t="s">
        <v>21</v>
      </c>
      <c r="I677" s="5" t="s">
        <v>1950</v>
      </c>
      <c r="J677" s="12" t="str">
        <f>HYPERLINK("https://www.boe.es/gazeta/dias/1808/09/23/pdfs/GMD-1808-127.pdf#page=12","Abrir facsímil")</f>
        <v>Abrir facsímil</v>
      </c>
      <c r="K677" s="15" t="s">
        <v>23</v>
      </c>
    </row>
    <row r="678" spans="1:11" ht="42" customHeight="1">
      <c r="A678" s="4" t="s">
        <v>1951</v>
      </c>
      <c r="B678" s="5" t="s">
        <v>1951</v>
      </c>
      <c r="C678" s="5" t="s">
        <v>41</v>
      </c>
      <c r="D678" s="5" t="s">
        <v>42</v>
      </c>
      <c r="E678" s="5" t="s">
        <v>461</v>
      </c>
      <c r="F678" s="9" t="s">
        <v>462</v>
      </c>
      <c r="G678" s="9" t="s">
        <v>117</v>
      </c>
      <c r="H678" s="5" t="s">
        <v>21</v>
      </c>
      <c r="I678" s="5" t="s">
        <v>1952</v>
      </c>
      <c r="J678" s="12" t="str">
        <f>HYPERLINK("https://www.boe.es/gazeta/dias/1808/11/08/pdfs/GMD-D-1808-142.pdf#page=1","Abrir facsímil")</f>
        <v>Abrir facsímil</v>
      </c>
      <c r="K678" s="15" t="s">
        <v>23</v>
      </c>
    </row>
    <row r="679" spans="1:11" ht="42" customHeight="1">
      <c r="A679" s="4" t="s">
        <v>1953</v>
      </c>
      <c r="B679" s="5" t="s">
        <v>1953</v>
      </c>
      <c r="C679" s="5" t="s">
        <v>33</v>
      </c>
      <c r="D679" s="5" t="s">
        <v>34</v>
      </c>
      <c r="E679" s="5" t="s">
        <v>153</v>
      </c>
      <c r="F679" s="9" t="s">
        <v>154</v>
      </c>
      <c r="G679" s="9" t="s">
        <v>106</v>
      </c>
      <c r="H679" s="5" t="s">
        <v>21</v>
      </c>
      <c r="I679" s="5" t="s">
        <v>1954</v>
      </c>
      <c r="J679" s="12" t="str">
        <f>HYPERLINK("https://www.boe.es/gazeta/dias/1808/09/09/pdfs/GMD-C-1808-121.pdf#page=3","Abrir facsímil")</f>
        <v>Abrir facsímil</v>
      </c>
      <c r="K679" s="15" t="s">
        <v>23</v>
      </c>
    </row>
    <row r="680" spans="1:11" ht="42" customHeight="1">
      <c r="A680" s="4" t="s">
        <v>1955</v>
      </c>
      <c r="B680" s="5" t="s">
        <v>1955</v>
      </c>
      <c r="C680" s="5" t="s">
        <v>17</v>
      </c>
      <c r="D680" s="5" t="s">
        <v>18</v>
      </c>
      <c r="E680" s="5" t="s">
        <v>130</v>
      </c>
      <c r="F680" s="9" t="s">
        <v>131</v>
      </c>
      <c r="G680" s="9">
        <v>1604</v>
      </c>
      <c r="H680" s="5" t="s">
        <v>21</v>
      </c>
      <c r="I680" s="5" t="s">
        <v>1956</v>
      </c>
      <c r="J680" s="12" t="str">
        <f>HYPERLINK("https://www.boe.es/gazeta/dias/1808/12/15/pdfs/GMD-1808-155.pdf#page=8","Abrir facsímil")</f>
        <v>Abrir facsímil</v>
      </c>
      <c r="K680" s="15" t="s">
        <v>23</v>
      </c>
    </row>
    <row r="681" spans="1:11" ht="42" customHeight="1">
      <c r="A681" s="4" t="s">
        <v>1957</v>
      </c>
      <c r="B681" s="5" t="s">
        <v>1957</v>
      </c>
      <c r="C681" s="5" t="s">
        <v>33</v>
      </c>
      <c r="D681" s="5" t="s">
        <v>34</v>
      </c>
      <c r="E681" s="5" t="s">
        <v>153</v>
      </c>
      <c r="F681" s="9" t="s">
        <v>154</v>
      </c>
      <c r="G681" s="9" t="s">
        <v>106</v>
      </c>
      <c r="H681" s="5" t="s">
        <v>21</v>
      </c>
      <c r="I681" s="5" t="s">
        <v>1958</v>
      </c>
      <c r="J681" s="12" t="str">
        <f>HYPERLINK("https://www.boe.es/gazeta/dias/1808/09/09/pdfs/GMD-C-1808-121.pdf#page=3","Abrir facsímil")</f>
        <v>Abrir facsímil</v>
      </c>
      <c r="K681" s="15" t="s">
        <v>23</v>
      </c>
    </row>
    <row r="682" spans="1:11" ht="42" customHeight="1">
      <c r="A682" s="4" t="s">
        <v>1959</v>
      </c>
      <c r="B682" s="5" t="s">
        <v>1959</v>
      </c>
      <c r="C682" s="5" t="s">
        <v>17</v>
      </c>
      <c r="D682" s="5" t="s">
        <v>18</v>
      </c>
      <c r="E682" s="5" t="s">
        <v>110</v>
      </c>
      <c r="F682" s="9" t="s">
        <v>111</v>
      </c>
      <c r="G682" s="9">
        <v>1384</v>
      </c>
      <c r="H682" s="5" t="s">
        <v>21</v>
      </c>
      <c r="I682" s="5" t="s">
        <v>1960</v>
      </c>
      <c r="J682" s="12" t="str">
        <f>HYPERLINK("https://www.boe.es/gazeta/dias/1808/10/28/pdfs/GMD-1808-138.pdf#page=10","Abrir facsímil")</f>
        <v>Abrir facsímil</v>
      </c>
      <c r="K682" s="15" t="s">
        <v>23</v>
      </c>
    </row>
    <row r="683" spans="1:11" ht="42" customHeight="1">
      <c r="A683" s="4" t="s">
        <v>1961</v>
      </c>
      <c r="B683" s="5" t="s">
        <v>1961</v>
      </c>
      <c r="C683" s="5" t="s">
        <v>101</v>
      </c>
      <c r="D683" s="5" t="s">
        <v>102</v>
      </c>
      <c r="E683" s="5" t="s">
        <v>1962</v>
      </c>
      <c r="F683" s="9" t="s">
        <v>1963</v>
      </c>
      <c r="G683" s="9">
        <v>728</v>
      </c>
      <c r="H683" s="5" t="s">
        <v>21</v>
      </c>
      <c r="I683" s="5" t="s">
        <v>1964</v>
      </c>
      <c r="J683" s="12" t="str">
        <f>HYPERLINK("https://www.boe.es/gazeta/dias/1808/07/05/pdfs/GMD-1808-77.pdf#page=2","Abrir facsímil")</f>
        <v>Abrir facsímil</v>
      </c>
      <c r="K683" s="15" t="s">
        <v>23</v>
      </c>
    </row>
    <row r="684" spans="1:11" ht="42" customHeight="1">
      <c r="A684" s="4" t="s">
        <v>1965</v>
      </c>
      <c r="B684" s="5" t="s">
        <v>1966</v>
      </c>
      <c r="C684" s="5" t="s">
        <v>17</v>
      </c>
      <c r="D684" s="5" t="s">
        <v>18</v>
      </c>
      <c r="E684" s="5" t="s">
        <v>391</v>
      </c>
      <c r="F684" s="9" t="s">
        <v>454</v>
      </c>
      <c r="G684" s="9">
        <v>277</v>
      </c>
      <c r="H684" s="5" t="s">
        <v>21</v>
      </c>
      <c r="I684" s="5" t="s">
        <v>1967</v>
      </c>
      <c r="J684" s="12" t="str">
        <f>HYPERLINK("https://www.boe.es/gazeta/dias/1808/09/27/pdfs/GMS-1808-35.pdf#page=5","Abrir facsímil")</f>
        <v>Abrir facsímil</v>
      </c>
      <c r="K684" s="15" t="s">
        <v>23</v>
      </c>
    </row>
    <row r="685" spans="1:11" ht="42" customHeight="1">
      <c r="A685" s="4" t="s">
        <v>1968</v>
      </c>
      <c r="B685" s="5" t="s">
        <v>1969</v>
      </c>
      <c r="C685" s="5" t="s">
        <v>17</v>
      </c>
      <c r="D685" s="5" t="s">
        <v>18</v>
      </c>
      <c r="E685" s="5" t="s">
        <v>663</v>
      </c>
      <c r="F685" s="9" t="s">
        <v>664</v>
      </c>
      <c r="G685" s="9">
        <v>206</v>
      </c>
      <c r="H685" s="5" t="s">
        <v>21</v>
      </c>
      <c r="I685" s="5" t="s">
        <v>1970</v>
      </c>
      <c r="J685" s="12" t="str">
        <f>HYPERLINK("https://www.boe.es/gazeta/dias/1808/02/26/pdfs/GMD-1808-17.pdf#page=8","Abrir facsímil")</f>
        <v>Abrir facsímil</v>
      </c>
      <c r="K685" s="15" t="s">
        <v>23</v>
      </c>
    </row>
    <row r="686" spans="1:11" ht="42" customHeight="1">
      <c r="A686" s="4" t="s">
        <v>1971</v>
      </c>
      <c r="B686" s="5" t="s">
        <v>1972</v>
      </c>
      <c r="C686" s="5" t="s">
        <v>17</v>
      </c>
      <c r="D686" s="5" t="s">
        <v>18</v>
      </c>
      <c r="E686" s="5" t="s">
        <v>139</v>
      </c>
      <c r="F686" s="9" t="s">
        <v>140</v>
      </c>
      <c r="G686" s="9">
        <v>1204</v>
      </c>
      <c r="H686" s="5" t="s">
        <v>21</v>
      </c>
      <c r="I686" s="5" t="s">
        <v>1973</v>
      </c>
      <c r="J686" s="12" t="str">
        <f>HYPERLINK("https://www.boe.es/gazeta/dias/1808/09/23/pdfs/GMD-1808-127.pdf#page=12","Abrir facsímil")</f>
        <v>Abrir facsímil</v>
      </c>
      <c r="K686" s="15" t="s">
        <v>23</v>
      </c>
    </row>
    <row r="687" spans="1:11" ht="42" customHeight="1">
      <c r="A687" s="4" t="s">
        <v>1974</v>
      </c>
      <c r="B687" s="5" t="s">
        <v>1975</v>
      </c>
      <c r="C687" s="5" t="s">
        <v>33</v>
      </c>
      <c r="D687" s="5" t="s">
        <v>34</v>
      </c>
      <c r="E687" s="5" t="s">
        <v>35</v>
      </c>
      <c r="F687" s="9" t="s">
        <v>36</v>
      </c>
      <c r="G687" s="9" t="s">
        <v>1128</v>
      </c>
      <c r="H687" s="5" t="s">
        <v>21</v>
      </c>
      <c r="I687" s="5" t="s">
        <v>1976</v>
      </c>
      <c r="J687" s="12" t="str">
        <f>HYPERLINK("https://www.boe.es/gazeta/dias/1808/04/22/pdfs/GMD-C-1808-38.pdf#page=11","Abrir facsímil")</f>
        <v>Abrir facsímil</v>
      </c>
      <c r="K687" s="15" t="s">
        <v>23</v>
      </c>
    </row>
    <row r="688" spans="1:11" ht="42" customHeight="1">
      <c r="A688" s="4" t="s">
        <v>1977</v>
      </c>
      <c r="B688" s="5" t="s">
        <v>1978</v>
      </c>
      <c r="C688" s="5" t="s">
        <v>33</v>
      </c>
      <c r="D688" s="5" t="s">
        <v>34</v>
      </c>
      <c r="E688" s="5" t="s">
        <v>391</v>
      </c>
      <c r="F688" s="9" t="s">
        <v>588</v>
      </c>
      <c r="G688" s="9" t="s">
        <v>106</v>
      </c>
      <c r="H688" s="5" t="s">
        <v>21</v>
      </c>
      <c r="I688" s="5" t="s">
        <v>1979</v>
      </c>
      <c r="J688" s="12" t="str">
        <f>HYPERLINK("https://www.boe.es/gazeta/dias/1808/09/27/pdfs/GMD-C-1808-128.pdf#page=3","Abrir facsímil")</f>
        <v>Abrir facsímil</v>
      </c>
      <c r="K688" s="15" t="s">
        <v>23</v>
      </c>
    </row>
    <row r="689" spans="1:11" ht="42" customHeight="1">
      <c r="A689" s="4" t="s">
        <v>1980</v>
      </c>
      <c r="B689" s="5" t="s">
        <v>1981</v>
      </c>
      <c r="C689" s="5" t="s">
        <v>33</v>
      </c>
      <c r="D689" s="5" t="s">
        <v>34</v>
      </c>
      <c r="E689" s="5" t="s">
        <v>35</v>
      </c>
      <c r="F689" s="9" t="s">
        <v>36</v>
      </c>
      <c r="G689" s="9" t="s">
        <v>924</v>
      </c>
      <c r="H689" s="5" t="s">
        <v>21</v>
      </c>
      <c r="I689" s="5" t="s">
        <v>1982</v>
      </c>
      <c r="J689" s="12" t="str">
        <f>HYPERLINK("https://www.boe.es/gazeta/dias/1808/04/22/pdfs/GMD-C-1808-38.pdf#page=27","Abrir facsímil")</f>
        <v>Abrir facsímil</v>
      </c>
      <c r="K689" s="15" t="s">
        <v>23</v>
      </c>
    </row>
    <row r="690" spans="1:11" ht="42" customHeight="1">
      <c r="A690" s="4" t="s">
        <v>1983</v>
      </c>
      <c r="B690" s="5" t="s">
        <v>1983</v>
      </c>
      <c r="C690" s="5" t="s">
        <v>17</v>
      </c>
      <c r="D690" s="5" t="s">
        <v>18</v>
      </c>
      <c r="E690" s="5" t="s">
        <v>28</v>
      </c>
      <c r="F690" s="9" t="s">
        <v>29</v>
      </c>
      <c r="G690" s="9">
        <v>1422</v>
      </c>
      <c r="H690" s="5" t="s">
        <v>21</v>
      </c>
      <c r="I690" s="5" t="s">
        <v>1984</v>
      </c>
      <c r="J690" s="12" t="str">
        <f>HYPERLINK("https://www.boe.es/gazeta/dias/1808/11/04/pdfs/GMD-1808-141.pdf#page=4","Abrir facsímil")</f>
        <v>Abrir facsímil</v>
      </c>
      <c r="K690" s="15" t="s">
        <v>23</v>
      </c>
    </row>
    <row r="691" spans="1:11" ht="42" customHeight="1">
      <c r="A691" s="4" t="s">
        <v>1985</v>
      </c>
      <c r="B691" s="5" t="s">
        <v>1986</v>
      </c>
      <c r="C691" s="5" t="s">
        <v>94</v>
      </c>
      <c r="D691" s="5" t="s">
        <v>95</v>
      </c>
      <c r="E691" s="5" t="s">
        <v>65</v>
      </c>
      <c r="F691" s="9" t="s">
        <v>691</v>
      </c>
      <c r="G691" s="9">
        <v>1326</v>
      </c>
      <c r="H691" s="5" t="s">
        <v>21</v>
      </c>
      <c r="I691" s="5" t="s">
        <v>1987</v>
      </c>
      <c r="J691" s="12" t="str">
        <f>HYPERLINK("https://www.boe.es/gazeta/dias/1808/10/18/pdfs/GMD-C-1808-135.pdf#page=10","Abrir facsímil")</f>
        <v>Abrir facsímil</v>
      </c>
      <c r="K691" s="15" t="s">
        <v>23</v>
      </c>
    </row>
    <row r="692" spans="1:11" ht="42" customHeight="1">
      <c r="A692" s="4" t="s">
        <v>1988</v>
      </c>
      <c r="B692" s="5" t="s">
        <v>1988</v>
      </c>
      <c r="C692" s="5" t="s">
        <v>17</v>
      </c>
      <c r="D692" s="5" t="s">
        <v>18</v>
      </c>
      <c r="E692" s="5" t="s">
        <v>974</v>
      </c>
      <c r="F692" s="9" t="s">
        <v>975</v>
      </c>
      <c r="G692" s="9">
        <v>389</v>
      </c>
      <c r="H692" s="5" t="s">
        <v>21</v>
      </c>
      <c r="I692" s="5" t="s">
        <v>1989</v>
      </c>
      <c r="J692" s="12" t="str">
        <f>HYPERLINK("https://www.boe.es/gazeta/dias/1808/04/19/pdfs/GMD-1808-37.pdf#page=5","Abrir facsímil")</f>
        <v>Abrir facsímil</v>
      </c>
      <c r="K692" s="15" t="s">
        <v>23</v>
      </c>
    </row>
    <row r="693" spans="1:11" ht="42" customHeight="1">
      <c r="A693" s="4" t="s">
        <v>1990</v>
      </c>
      <c r="B693" s="5" t="s">
        <v>1991</v>
      </c>
      <c r="C693" s="5" t="s">
        <v>33</v>
      </c>
      <c r="D693" s="5" t="s">
        <v>34</v>
      </c>
      <c r="E693" s="5" t="s">
        <v>35</v>
      </c>
      <c r="F693" s="9" t="s">
        <v>36</v>
      </c>
      <c r="G693" s="9" t="s">
        <v>106</v>
      </c>
      <c r="H693" s="5" t="s">
        <v>21</v>
      </c>
      <c r="I693" s="5" t="s">
        <v>1992</v>
      </c>
      <c r="J693" s="12" t="str">
        <f>HYPERLINK("https://www.boe.es/gazeta/dias/1808/04/22/pdfs/GMD-C-1808-38.pdf#page=3","Abrir facsímil")</f>
        <v>Abrir facsímil</v>
      </c>
      <c r="K693" s="15" t="s">
        <v>23</v>
      </c>
    </row>
    <row r="694" spans="1:11" ht="42" customHeight="1">
      <c r="A694" s="4" t="s">
        <v>1990</v>
      </c>
      <c r="B694" s="5" t="s">
        <v>1991</v>
      </c>
      <c r="C694" s="5" t="s">
        <v>33</v>
      </c>
      <c r="D694" s="5" t="s">
        <v>34</v>
      </c>
      <c r="E694" s="5" t="s">
        <v>35</v>
      </c>
      <c r="F694" s="9" t="s">
        <v>36</v>
      </c>
      <c r="G694" s="9" t="s">
        <v>1860</v>
      </c>
      <c r="H694" s="5" t="s">
        <v>21</v>
      </c>
      <c r="I694" s="5" t="s">
        <v>1993</v>
      </c>
      <c r="J694" s="12" t="str">
        <f>HYPERLINK("https://www.boe.es/gazeta/dias/1808/04/22/pdfs/GMD-C-1808-38.pdf#page=37","Abrir facsímil")</f>
        <v>Abrir facsímil</v>
      </c>
      <c r="K694" s="15" t="s">
        <v>23</v>
      </c>
    </row>
    <row r="695" spans="1:11" ht="42" customHeight="1">
      <c r="A695" s="4" t="s">
        <v>1994</v>
      </c>
      <c r="B695" s="5" t="s">
        <v>1995</v>
      </c>
      <c r="C695" s="5" t="s">
        <v>260</v>
      </c>
      <c r="D695" s="5" t="s">
        <v>42</v>
      </c>
      <c r="E695" s="5" t="s">
        <v>96</v>
      </c>
      <c r="F695" s="9" t="s">
        <v>97</v>
      </c>
      <c r="G695" s="9">
        <v>266</v>
      </c>
      <c r="H695" s="5" t="s">
        <v>21</v>
      </c>
      <c r="I695" s="5" t="s">
        <v>1996</v>
      </c>
      <c r="J695" s="12" t="str">
        <f>HYPERLINK("https://www.boe.es/gazeta/dias/1808/03/15/pdfs/GMD-1808-22.pdf#page=8","Abrir facsímil")</f>
        <v>Abrir facsímil</v>
      </c>
      <c r="K695" s="15" t="s">
        <v>23</v>
      </c>
    </row>
    <row r="696" spans="1:11" ht="42" customHeight="1">
      <c r="A696" s="4" t="s">
        <v>1997</v>
      </c>
      <c r="B696" s="5" t="s">
        <v>1997</v>
      </c>
      <c r="C696" s="5" t="s">
        <v>94</v>
      </c>
      <c r="D696" s="5" t="s">
        <v>95</v>
      </c>
      <c r="E696" s="5" t="s">
        <v>877</v>
      </c>
      <c r="F696" s="9" t="s">
        <v>878</v>
      </c>
      <c r="G696" s="9">
        <v>110</v>
      </c>
      <c r="H696" s="5" t="s">
        <v>21</v>
      </c>
      <c r="I696" s="5" t="s">
        <v>1998</v>
      </c>
      <c r="J696" s="12" t="str">
        <f>HYPERLINK("https://www.boe.es/gazeta/dias/1808/02/02/pdfs/GMD-1808-10.pdf#page=2","Abrir facsímil")</f>
        <v>Abrir facsímil</v>
      </c>
      <c r="K696" s="15" t="s">
        <v>23</v>
      </c>
    </row>
    <row r="697" spans="1:11" ht="42" customHeight="1">
      <c r="A697" s="4" t="s">
        <v>1999</v>
      </c>
      <c r="B697" s="5" t="s">
        <v>2000</v>
      </c>
      <c r="C697" s="5" t="s">
        <v>41</v>
      </c>
      <c r="D697" s="5" t="s">
        <v>42</v>
      </c>
      <c r="E697" s="5" t="s">
        <v>35</v>
      </c>
      <c r="F697" s="9" t="s">
        <v>36</v>
      </c>
      <c r="G697" s="9" t="s">
        <v>501</v>
      </c>
      <c r="H697" s="5" t="s">
        <v>21</v>
      </c>
      <c r="I697" s="5" t="s">
        <v>2001</v>
      </c>
      <c r="J697" s="12" t="str">
        <f>HYPERLINK("https://www.boe.es/gazeta/dias/1808/04/22/pdfs/GMD-C-1808-38.pdf#page=5","Abrir facsímil")</f>
        <v>Abrir facsímil</v>
      </c>
      <c r="K697" s="15" t="s">
        <v>23</v>
      </c>
    </row>
    <row r="698" spans="1:11" ht="42" customHeight="1">
      <c r="A698" s="4" t="s">
        <v>2002</v>
      </c>
      <c r="B698" s="5" t="s">
        <v>2003</v>
      </c>
      <c r="C698" s="5" t="s">
        <v>33</v>
      </c>
      <c r="D698" s="5" t="s">
        <v>34</v>
      </c>
      <c r="E698" s="5" t="s">
        <v>35</v>
      </c>
      <c r="F698" s="9" t="s">
        <v>36</v>
      </c>
      <c r="G698" s="9" t="s">
        <v>443</v>
      </c>
      <c r="H698" s="5" t="s">
        <v>21</v>
      </c>
      <c r="I698" s="5" t="s">
        <v>2004</v>
      </c>
      <c r="J698" s="12" t="str">
        <f>HYPERLINK("https://www.boe.es/gazeta/dias/1808/04/22/pdfs/GMD-C-1808-38.pdf#page=16","Abrir facsímil")</f>
        <v>Abrir facsímil</v>
      </c>
      <c r="K698" s="15" t="s">
        <v>23</v>
      </c>
    </row>
    <row r="699" spans="1:11" ht="42" customHeight="1">
      <c r="A699" s="4" t="s">
        <v>2005</v>
      </c>
      <c r="B699" s="5" t="s">
        <v>2006</v>
      </c>
      <c r="C699" s="5" t="s">
        <v>33</v>
      </c>
      <c r="D699" s="5" t="s">
        <v>34</v>
      </c>
      <c r="E699" s="5" t="s">
        <v>35</v>
      </c>
      <c r="F699" s="9" t="s">
        <v>36</v>
      </c>
      <c r="G699" s="9" t="s">
        <v>75</v>
      </c>
      <c r="H699" s="5" t="s">
        <v>21</v>
      </c>
      <c r="I699" s="5" t="s">
        <v>2007</v>
      </c>
      <c r="J699" s="12" t="str">
        <f>HYPERLINK("https://www.boe.es/gazeta/dias/1808/04/22/pdfs/GMD-C-1808-38.pdf#page=4","Abrir facsímil")</f>
        <v>Abrir facsímil</v>
      </c>
      <c r="K699" s="15" t="s">
        <v>23</v>
      </c>
    </row>
    <row r="700" spans="1:11" ht="42" customHeight="1">
      <c r="A700" s="4" t="s">
        <v>2008</v>
      </c>
      <c r="B700" s="5" t="s">
        <v>2008</v>
      </c>
      <c r="C700" s="5" t="s">
        <v>17</v>
      </c>
      <c r="D700" s="5" t="s">
        <v>18</v>
      </c>
      <c r="E700" s="5" t="s">
        <v>139</v>
      </c>
      <c r="F700" s="9" t="s">
        <v>140</v>
      </c>
      <c r="G700" s="9">
        <v>1203</v>
      </c>
      <c r="H700" s="5" t="s">
        <v>21</v>
      </c>
      <c r="I700" s="5" t="s">
        <v>2009</v>
      </c>
      <c r="J700" s="12" t="str">
        <f>HYPERLINK("https://www.boe.es/gazeta/dias/1808/09/23/pdfs/GMD-1808-127.pdf#page=11","Abrir facsímil")</f>
        <v>Abrir facsímil</v>
      </c>
      <c r="K700" s="15" t="s">
        <v>23</v>
      </c>
    </row>
    <row r="701" spans="1:11" ht="42" customHeight="1">
      <c r="A701" s="4" t="s">
        <v>2010</v>
      </c>
      <c r="B701" s="5" t="s">
        <v>2011</v>
      </c>
      <c r="C701" s="5" t="s">
        <v>17</v>
      </c>
      <c r="D701" s="5" t="s">
        <v>18</v>
      </c>
      <c r="E701" s="5" t="s">
        <v>1415</v>
      </c>
      <c r="F701" s="9" t="s">
        <v>1416</v>
      </c>
      <c r="G701" s="9">
        <v>416</v>
      </c>
      <c r="H701" s="5" t="s">
        <v>21</v>
      </c>
      <c r="I701" s="5" t="s">
        <v>2012</v>
      </c>
      <c r="J701" s="12" t="str">
        <f>HYPERLINK("https://www.boe.es/gazeta/dias/1808/04/26/pdfs/GMD-1808-41.pdf#page=8","Abrir facsímil")</f>
        <v>Abrir facsímil</v>
      </c>
      <c r="K701" s="15" t="s">
        <v>23</v>
      </c>
    </row>
    <row r="702" spans="1:11" ht="42" customHeight="1">
      <c r="A702" s="4" t="s">
        <v>2013</v>
      </c>
      <c r="B702" s="5" t="s">
        <v>2013</v>
      </c>
      <c r="C702" s="5" t="s">
        <v>101</v>
      </c>
      <c r="D702" s="5" t="s">
        <v>102</v>
      </c>
      <c r="E702" s="5" t="s">
        <v>1466</v>
      </c>
      <c r="F702" s="9" t="s">
        <v>1467</v>
      </c>
      <c r="G702" s="9">
        <v>53</v>
      </c>
      <c r="H702" s="5" t="s">
        <v>21</v>
      </c>
      <c r="I702" s="5" t="s">
        <v>2014</v>
      </c>
      <c r="J702" s="12" t="str">
        <f>HYPERLINK("https://www.boe.es/gazeta/dias/1808/01/15/pdfs/GMD-1808-5.pdf#page=5","Abrir facsímil")</f>
        <v>Abrir facsímil</v>
      </c>
      <c r="K702" s="15" t="s">
        <v>23</v>
      </c>
    </row>
    <row r="703" spans="1:11" ht="42" customHeight="1">
      <c r="A703" s="4" t="s">
        <v>2015</v>
      </c>
      <c r="B703" s="5" t="s">
        <v>2015</v>
      </c>
      <c r="C703" s="5" t="s">
        <v>17</v>
      </c>
      <c r="D703" s="5" t="s">
        <v>18</v>
      </c>
      <c r="E703" s="5" t="s">
        <v>139</v>
      </c>
      <c r="F703" s="9" t="s">
        <v>140</v>
      </c>
      <c r="G703" s="9">
        <v>1202</v>
      </c>
      <c r="H703" s="5" t="s">
        <v>21</v>
      </c>
      <c r="I703" s="5" t="s">
        <v>2016</v>
      </c>
      <c r="J703" s="12" t="str">
        <f>HYPERLINK("https://www.boe.es/gazeta/dias/1808/09/23/pdfs/GMD-1808-127.pdf#page=10","Abrir facsímil")</f>
        <v>Abrir facsímil</v>
      </c>
      <c r="K703" s="15" t="s">
        <v>23</v>
      </c>
    </row>
    <row r="704" spans="1:11" ht="42" customHeight="1">
      <c r="A704" s="4" t="s">
        <v>2017</v>
      </c>
      <c r="B704" s="5" t="s">
        <v>2017</v>
      </c>
      <c r="C704" s="5" t="s">
        <v>260</v>
      </c>
      <c r="D704" s="5" t="s">
        <v>42</v>
      </c>
      <c r="E704" s="5" t="s">
        <v>1962</v>
      </c>
      <c r="F704" s="9" t="s">
        <v>1963</v>
      </c>
      <c r="G704" s="9">
        <v>732</v>
      </c>
      <c r="H704" s="5" t="s">
        <v>21</v>
      </c>
      <c r="I704" s="5" t="s">
        <v>2018</v>
      </c>
      <c r="J704" s="12" t="str">
        <f>HYPERLINK("https://www.boe.es/gazeta/dias/1808/07/05/pdfs/GMD-1808-77.pdf#page=6","Abrir facsímil")</f>
        <v>Abrir facsímil</v>
      </c>
      <c r="K704" s="15" t="s">
        <v>23</v>
      </c>
    </row>
    <row r="705" spans="1:11" ht="42" customHeight="1">
      <c r="A705" s="4" t="s">
        <v>2019</v>
      </c>
      <c r="B705" s="5" t="s">
        <v>2020</v>
      </c>
      <c r="C705" s="5" t="s">
        <v>94</v>
      </c>
      <c r="D705" s="5" t="s">
        <v>95</v>
      </c>
      <c r="E705" s="5" t="s">
        <v>89</v>
      </c>
      <c r="F705" s="9" t="s">
        <v>563</v>
      </c>
      <c r="G705" s="9" t="s">
        <v>199</v>
      </c>
      <c r="H705" s="5" t="s">
        <v>21</v>
      </c>
      <c r="I705" s="5" t="s">
        <v>2021</v>
      </c>
      <c r="J705" s="12" t="str">
        <f>HYPERLINK("https://www.boe.es/gazeta/dias/1808/10/25/pdfs/GMD-D-1808-137.pdf#page=2","Abrir facsímil")</f>
        <v>Abrir facsímil</v>
      </c>
      <c r="K705" s="15" t="s">
        <v>23</v>
      </c>
    </row>
    <row r="706" spans="1:11" ht="42" customHeight="1">
      <c r="A706" s="4" t="s">
        <v>2022</v>
      </c>
      <c r="B706" s="5" t="s">
        <v>2023</v>
      </c>
      <c r="C706" s="5" t="s">
        <v>17</v>
      </c>
      <c r="D706" s="5" t="s">
        <v>18</v>
      </c>
      <c r="E706" s="5" t="s">
        <v>1896</v>
      </c>
      <c r="F706" s="9" t="s">
        <v>1897</v>
      </c>
      <c r="G706" s="9">
        <v>779</v>
      </c>
      <c r="H706" s="5" t="s">
        <v>21</v>
      </c>
      <c r="I706" s="5" t="s">
        <v>2024</v>
      </c>
      <c r="J706" s="12" t="str">
        <f>HYPERLINK("https://www.boe.es/gazeta/dias/1808/07/11/pdfs/GMD-1808-83.pdf#page=5","Abrir facsímil")</f>
        <v>Abrir facsímil</v>
      </c>
      <c r="K706" s="15" t="s">
        <v>23</v>
      </c>
    </row>
    <row r="707" spans="1:11" ht="42" customHeight="1">
      <c r="A707" s="4" t="s">
        <v>2025</v>
      </c>
      <c r="B707" s="5" t="s">
        <v>2026</v>
      </c>
      <c r="C707" s="5" t="s">
        <v>33</v>
      </c>
      <c r="D707" s="5" t="s">
        <v>34</v>
      </c>
      <c r="E707" s="5" t="s">
        <v>68</v>
      </c>
      <c r="F707" s="9" t="s">
        <v>849</v>
      </c>
      <c r="G707" s="9">
        <v>1341</v>
      </c>
      <c r="H707" s="5" t="s">
        <v>21</v>
      </c>
      <c r="I707" s="5" t="s">
        <v>2027</v>
      </c>
      <c r="J707" s="12" t="str">
        <f>HYPERLINK("https://www.boe.es/gazeta/dias/1808/10/21/pdfs/GMD-C-1808-136.pdf#page=1","Abrir facsímil")</f>
        <v>Abrir facsímil</v>
      </c>
      <c r="K707" s="15" t="s">
        <v>23</v>
      </c>
    </row>
    <row r="708" spans="1:11" ht="42" customHeight="1">
      <c r="A708" s="4" t="s">
        <v>2025</v>
      </c>
      <c r="B708" s="5" t="s">
        <v>2026</v>
      </c>
      <c r="C708" s="5" t="s">
        <v>389</v>
      </c>
      <c r="D708" s="5" t="s">
        <v>390</v>
      </c>
      <c r="E708" s="5" t="s">
        <v>68</v>
      </c>
      <c r="F708" s="9" t="s">
        <v>849</v>
      </c>
      <c r="G708" s="9">
        <v>1351</v>
      </c>
      <c r="H708" s="5" t="s">
        <v>21</v>
      </c>
      <c r="I708" s="5" t="s">
        <v>2028</v>
      </c>
      <c r="J708" s="12" t="str">
        <f>HYPERLINK("https://www.boe.es/gazeta/dias/1808/10/21/pdfs/GMD-C-1808-136.pdf#page=11","Abrir facsímil")</f>
        <v>Abrir facsímil</v>
      </c>
      <c r="K708" s="15" t="s">
        <v>23</v>
      </c>
    </row>
    <row r="709" spans="1:11" ht="42" customHeight="1">
      <c r="A709" s="4" t="s">
        <v>2025</v>
      </c>
      <c r="B709" s="5" t="s">
        <v>2026</v>
      </c>
      <c r="C709" s="5" t="s">
        <v>389</v>
      </c>
      <c r="D709" s="5" t="s">
        <v>390</v>
      </c>
      <c r="E709" s="5" t="s">
        <v>89</v>
      </c>
      <c r="F709" s="9" t="s">
        <v>90</v>
      </c>
      <c r="G709" s="9">
        <v>1364</v>
      </c>
      <c r="H709" s="5" t="s">
        <v>21</v>
      </c>
      <c r="I709" s="5" t="s">
        <v>2029</v>
      </c>
      <c r="J709" s="12" t="str">
        <f>HYPERLINK("https://www.boe.es/gazeta/dias/1808/10/25/pdfs/GMD-1808-137.pdf#page=12","Abrir facsímil")</f>
        <v>Abrir facsímil</v>
      </c>
      <c r="K709" s="15" t="s">
        <v>23</v>
      </c>
    </row>
    <row r="710" spans="1:11" ht="42" customHeight="1">
      <c r="A710" s="4" t="s">
        <v>2025</v>
      </c>
      <c r="B710" s="5" t="s">
        <v>2026</v>
      </c>
      <c r="C710" s="5" t="s">
        <v>33</v>
      </c>
      <c r="D710" s="5" t="s">
        <v>34</v>
      </c>
      <c r="E710" s="5" t="s">
        <v>89</v>
      </c>
      <c r="F710" s="9" t="s">
        <v>1247</v>
      </c>
      <c r="G710" s="9">
        <v>1367</v>
      </c>
      <c r="H710" s="5" t="s">
        <v>21</v>
      </c>
      <c r="I710" s="5" t="s">
        <v>2030</v>
      </c>
      <c r="J710" s="12" t="str">
        <f>HYPERLINK("https://www.boe.es/gazeta/dias/1808/10/25/pdfs/GMD-C-1808-137.pdf#page=3","Abrir facsímil")</f>
        <v>Abrir facsímil</v>
      </c>
      <c r="K710" s="15" t="s">
        <v>23</v>
      </c>
    </row>
    <row r="711" spans="1:11" ht="42" customHeight="1">
      <c r="A711" s="4" t="s">
        <v>2025</v>
      </c>
      <c r="B711" s="5" t="s">
        <v>2026</v>
      </c>
      <c r="C711" s="5" t="s">
        <v>17</v>
      </c>
      <c r="D711" s="5" t="s">
        <v>18</v>
      </c>
      <c r="E711" s="5" t="s">
        <v>89</v>
      </c>
      <c r="F711" s="9" t="s">
        <v>2031</v>
      </c>
      <c r="G711" s="9">
        <v>343</v>
      </c>
      <c r="H711" s="5" t="s">
        <v>21</v>
      </c>
      <c r="I711" s="5" t="s">
        <v>2032</v>
      </c>
      <c r="J711" s="12" t="str">
        <f>HYPERLINK("https://www.boe.es/gazeta/dias/1808/10/25/pdfs/GMS-1808-43.pdf#page=7","Abrir facsímil")</f>
        <v>Abrir facsímil</v>
      </c>
      <c r="K711" s="15" t="s">
        <v>23</v>
      </c>
    </row>
    <row r="712" spans="1:11" ht="42" customHeight="1">
      <c r="A712" s="4" t="s">
        <v>2025</v>
      </c>
      <c r="B712" s="5" t="s">
        <v>2026</v>
      </c>
      <c r="C712" s="5" t="s">
        <v>94</v>
      </c>
      <c r="D712" s="5" t="s">
        <v>95</v>
      </c>
      <c r="E712" s="5" t="s">
        <v>73</v>
      </c>
      <c r="F712" s="9" t="s">
        <v>581</v>
      </c>
      <c r="G712" s="9">
        <v>1464</v>
      </c>
      <c r="H712" s="5" t="s">
        <v>21</v>
      </c>
      <c r="I712" s="5" t="s">
        <v>2033</v>
      </c>
      <c r="J712" s="12" t="str">
        <f>HYPERLINK("https://www.boe.es/gazeta/dias/1808/11/11/pdfs/GMD-1808-143.pdf#page=6","Abrir facsímil")</f>
        <v>Abrir facsímil</v>
      </c>
      <c r="K712" s="15" t="s">
        <v>23</v>
      </c>
    </row>
    <row r="713" spans="1:11" ht="42" customHeight="1">
      <c r="A713" s="4" t="s">
        <v>2025</v>
      </c>
      <c r="B713" s="5" t="s">
        <v>2026</v>
      </c>
      <c r="C713" s="5" t="s">
        <v>94</v>
      </c>
      <c r="D713" s="5" t="s">
        <v>95</v>
      </c>
      <c r="E713" s="5" t="s">
        <v>180</v>
      </c>
      <c r="F713" s="9" t="s">
        <v>181</v>
      </c>
      <c r="G713" s="9">
        <v>1499</v>
      </c>
      <c r="H713" s="5" t="s">
        <v>21</v>
      </c>
      <c r="I713" s="5" t="s">
        <v>2034</v>
      </c>
      <c r="J713" s="12" t="str">
        <f>HYPERLINK("https://www.boe.es/gazeta/dias/1808/11/15/pdfs/GMD-C-1808-144.pdf#page=1","Abrir facsímil")</f>
        <v>Abrir facsímil</v>
      </c>
      <c r="K713" s="15" t="s">
        <v>23</v>
      </c>
    </row>
    <row r="714" spans="1:11" ht="42" customHeight="1">
      <c r="A714" s="4" t="s">
        <v>2025</v>
      </c>
      <c r="B714" s="5" t="s">
        <v>2026</v>
      </c>
      <c r="C714" s="5" t="s">
        <v>17</v>
      </c>
      <c r="D714" s="5" t="s">
        <v>18</v>
      </c>
      <c r="E714" s="5" t="s">
        <v>166</v>
      </c>
      <c r="F714" s="9" t="s">
        <v>356</v>
      </c>
      <c r="G714" s="9">
        <v>1508</v>
      </c>
      <c r="H714" s="5" t="s">
        <v>21</v>
      </c>
      <c r="I714" s="5" t="s">
        <v>2035</v>
      </c>
      <c r="J714" s="12" t="str">
        <f>HYPERLINK("https://www.boe.es/gazeta/dias/1808/11/18/pdfs/GMD-1808-145.pdf#page=6","Abrir facsímil")</f>
        <v>Abrir facsímil</v>
      </c>
      <c r="K714" s="15" t="s">
        <v>23</v>
      </c>
    </row>
    <row r="715" spans="1:11" ht="42" customHeight="1">
      <c r="A715" s="4" t="s">
        <v>2036</v>
      </c>
      <c r="B715" s="5" t="s">
        <v>2037</v>
      </c>
      <c r="C715" s="5" t="s">
        <v>94</v>
      </c>
      <c r="D715" s="5" t="s">
        <v>95</v>
      </c>
      <c r="E715" s="5" t="s">
        <v>166</v>
      </c>
      <c r="F715" s="9" t="s">
        <v>167</v>
      </c>
      <c r="G715" s="9">
        <v>1511</v>
      </c>
      <c r="H715" s="5" t="s">
        <v>21</v>
      </c>
      <c r="I715" s="5" t="s">
        <v>2038</v>
      </c>
      <c r="J715" s="12" t="str">
        <f>HYPERLINK("https://www.boe.es/gazeta/dias/1808/11/18/pdfs/GMD-C-1808-145.pdf#page=1","Abrir facsímil")</f>
        <v>Abrir facsímil</v>
      </c>
      <c r="K715" s="15" t="s">
        <v>23</v>
      </c>
    </row>
    <row r="716" spans="1:11" ht="42" customHeight="1">
      <c r="A716" s="4" t="s">
        <v>2039</v>
      </c>
      <c r="B716" s="5" t="s">
        <v>2040</v>
      </c>
      <c r="C716" s="5" t="s">
        <v>41</v>
      </c>
      <c r="D716" s="5" t="s">
        <v>42</v>
      </c>
      <c r="E716" s="5" t="s">
        <v>35</v>
      </c>
      <c r="F716" s="9" t="s">
        <v>36</v>
      </c>
      <c r="G716" s="9" t="s">
        <v>414</v>
      </c>
      <c r="H716" s="5" t="s">
        <v>21</v>
      </c>
      <c r="I716" s="5" t="s">
        <v>2041</v>
      </c>
      <c r="J716" s="12" t="str">
        <f>HYPERLINK("https://www.boe.es/gazeta/dias/1808/04/22/pdfs/GMD-C-1808-38.pdf#page=20","Abrir facsímil")</f>
        <v>Abrir facsímil</v>
      </c>
      <c r="K716" s="15" t="s">
        <v>23</v>
      </c>
    </row>
    <row r="717" spans="1:11" ht="42" customHeight="1">
      <c r="A717" s="4" t="s">
        <v>2042</v>
      </c>
      <c r="B717" s="5" t="s">
        <v>2042</v>
      </c>
      <c r="C717" s="5" t="s">
        <v>260</v>
      </c>
      <c r="D717" s="5" t="s">
        <v>42</v>
      </c>
      <c r="E717" s="5" t="s">
        <v>1148</v>
      </c>
      <c r="F717" s="9" t="s">
        <v>1149</v>
      </c>
      <c r="G717" s="9">
        <v>507</v>
      </c>
      <c r="H717" s="5" t="s">
        <v>21</v>
      </c>
      <c r="I717" s="5" t="s">
        <v>2043</v>
      </c>
      <c r="J717" s="12" t="str">
        <f>HYPERLINK("https://www.boe.es/gazeta/dias/1808/05/27/pdfs/GMD-1808-50.pdf#page=11","Abrir facsímil")</f>
        <v>Abrir facsímil</v>
      </c>
      <c r="K717" s="15" t="s">
        <v>23</v>
      </c>
    </row>
    <row r="718" spans="1:11" ht="42" customHeight="1">
      <c r="A718" s="4" t="s">
        <v>2042</v>
      </c>
      <c r="B718" s="5" t="s">
        <v>2042</v>
      </c>
      <c r="C718" s="5" t="s">
        <v>17</v>
      </c>
      <c r="D718" s="5" t="s">
        <v>18</v>
      </c>
      <c r="E718" s="5" t="s">
        <v>1148</v>
      </c>
      <c r="F718" s="9" t="s">
        <v>1149</v>
      </c>
      <c r="G718" s="9">
        <v>508</v>
      </c>
      <c r="H718" s="5" t="s">
        <v>21</v>
      </c>
      <c r="I718" s="5" t="s">
        <v>2044</v>
      </c>
      <c r="J718" s="12" t="str">
        <f>HYPERLINK("https://www.boe.es/gazeta/dias/1808/05/27/pdfs/GMD-1808-50.pdf#page=12","Abrir facsímil")</f>
        <v>Abrir facsímil</v>
      </c>
      <c r="K718" s="15" t="s">
        <v>23</v>
      </c>
    </row>
    <row r="719" spans="1:11" ht="42" customHeight="1">
      <c r="A719" s="4" t="s">
        <v>2045</v>
      </c>
      <c r="B719" s="5" t="s">
        <v>2045</v>
      </c>
      <c r="C719" s="5" t="s">
        <v>101</v>
      </c>
      <c r="D719" s="5" t="s">
        <v>102</v>
      </c>
      <c r="E719" s="5" t="s">
        <v>478</v>
      </c>
      <c r="F719" s="9" t="s">
        <v>479</v>
      </c>
      <c r="G719" s="9">
        <v>239</v>
      </c>
      <c r="H719" s="5" t="s">
        <v>21</v>
      </c>
      <c r="I719" s="5" t="s">
        <v>2046</v>
      </c>
      <c r="J719" s="12" t="str">
        <f>HYPERLINK("https://www.boe.es/gazeta/dias/1808/03/08/pdfs/GMD-1808-20.pdf#page=5","Abrir facsímil")</f>
        <v>Abrir facsímil</v>
      </c>
      <c r="K719" s="15" t="s">
        <v>23</v>
      </c>
    </row>
    <row r="720" spans="1:11" ht="42" customHeight="1">
      <c r="A720" s="4" t="s">
        <v>2047</v>
      </c>
      <c r="B720" s="5" t="s">
        <v>2048</v>
      </c>
      <c r="C720" s="5" t="s">
        <v>41</v>
      </c>
      <c r="D720" s="5" t="s">
        <v>42</v>
      </c>
      <c r="E720" s="5" t="s">
        <v>461</v>
      </c>
      <c r="F720" s="9" t="s">
        <v>462</v>
      </c>
      <c r="G720" s="9" t="s">
        <v>117</v>
      </c>
      <c r="H720" s="5" t="s">
        <v>21</v>
      </c>
      <c r="I720" s="5" t="s">
        <v>2049</v>
      </c>
      <c r="J720" s="12" t="str">
        <f>HYPERLINK("https://www.boe.es/gazeta/dias/1808/11/08/pdfs/GMD-D-1808-142.pdf#page=1","Abrir facsímil")</f>
        <v>Abrir facsímil</v>
      </c>
      <c r="K720" s="15" t="s">
        <v>23</v>
      </c>
    </row>
    <row r="721" spans="1:11" ht="42" customHeight="1">
      <c r="A721" s="4" t="s">
        <v>2050</v>
      </c>
      <c r="B721" s="5" t="s">
        <v>2051</v>
      </c>
      <c r="C721" s="5" t="s">
        <v>33</v>
      </c>
      <c r="D721" s="5" t="s">
        <v>34</v>
      </c>
      <c r="E721" s="5" t="s">
        <v>125</v>
      </c>
      <c r="F721" s="9" t="s">
        <v>126</v>
      </c>
      <c r="G721" s="9" t="s">
        <v>199</v>
      </c>
      <c r="H721" s="5" t="s">
        <v>21</v>
      </c>
      <c r="I721" s="5" t="s">
        <v>2052</v>
      </c>
      <c r="J721" s="12" t="str">
        <f>HYPERLINK("https://www.boe.es/gazeta/dias/1808/10/07/pdfs/GMD-C-1808-132.pdf#page=2","Abrir facsímil")</f>
        <v>Abrir facsímil</v>
      </c>
      <c r="K721" s="15" t="s">
        <v>23</v>
      </c>
    </row>
    <row r="722" spans="1:11" ht="42" customHeight="1">
      <c r="A722" s="4" t="s">
        <v>2050</v>
      </c>
      <c r="B722" s="5" t="s">
        <v>2051</v>
      </c>
      <c r="C722" s="5" t="s">
        <v>33</v>
      </c>
      <c r="D722" s="5" t="s">
        <v>34</v>
      </c>
      <c r="E722" s="5" t="s">
        <v>180</v>
      </c>
      <c r="F722" s="9" t="s">
        <v>768</v>
      </c>
      <c r="G722" s="9" t="s">
        <v>199</v>
      </c>
      <c r="H722" s="5" t="s">
        <v>21</v>
      </c>
      <c r="I722" s="5" t="s">
        <v>2053</v>
      </c>
      <c r="J722" s="12" t="str">
        <f>HYPERLINK("https://www.boe.es/gazeta/dias/1808/11/15/pdfs/GMD-D-1808-144.pdf#page=2","Abrir facsímil")</f>
        <v>Abrir facsímil</v>
      </c>
      <c r="K722" s="15" t="s">
        <v>23</v>
      </c>
    </row>
    <row r="723" spans="1:11" ht="42" customHeight="1">
      <c r="A723" s="4" t="s">
        <v>2054</v>
      </c>
      <c r="B723" s="5" t="s">
        <v>2055</v>
      </c>
      <c r="C723" s="5" t="s">
        <v>41</v>
      </c>
      <c r="D723" s="5" t="s">
        <v>42</v>
      </c>
      <c r="E723" s="5" t="s">
        <v>210</v>
      </c>
      <c r="F723" s="9" t="s">
        <v>211</v>
      </c>
      <c r="G723" s="9">
        <v>255</v>
      </c>
      <c r="H723" s="5" t="s">
        <v>21</v>
      </c>
      <c r="I723" s="5" t="s">
        <v>2056</v>
      </c>
      <c r="J723" s="12" t="str">
        <f>HYPERLINK("https://www.boe.es/gazeta/dias/1808/03/11/pdfs/GMD-1808-21.pdf#page=9","Abrir facsímil")</f>
        <v>Abrir facsímil</v>
      </c>
      <c r="K723" s="15" t="s">
        <v>23</v>
      </c>
    </row>
    <row r="724" spans="1:11" ht="42" customHeight="1">
      <c r="A724" s="4" t="s">
        <v>2057</v>
      </c>
      <c r="B724" s="5" t="s">
        <v>2058</v>
      </c>
      <c r="C724" s="5" t="s">
        <v>33</v>
      </c>
      <c r="D724" s="5" t="s">
        <v>34</v>
      </c>
      <c r="E724" s="5" t="s">
        <v>391</v>
      </c>
      <c r="F724" s="9" t="s">
        <v>588</v>
      </c>
      <c r="G724" s="9" t="s">
        <v>117</v>
      </c>
      <c r="H724" s="5" t="s">
        <v>21</v>
      </c>
      <c r="I724" s="5" t="s">
        <v>2059</v>
      </c>
      <c r="J724" s="12" t="str">
        <f>HYPERLINK("https://www.boe.es/gazeta/dias/1808/09/27/pdfs/GMD-C-1808-128.pdf#page=1","Abrir facsímil")</f>
        <v>Abrir facsímil</v>
      </c>
      <c r="K724" s="15" t="s">
        <v>23</v>
      </c>
    </row>
    <row r="725" spans="1:11" ht="42" customHeight="1">
      <c r="A725" s="4" t="s">
        <v>2060</v>
      </c>
      <c r="B725" s="5" t="s">
        <v>2060</v>
      </c>
      <c r="C725" s="5" t="s">
        <v>389</v>
      </c>
      <c r="D725" s="5" t="s">
        <v>390</v>
      </c>
      <c r="E725" s="5" t="s">
        <v>469</v>
      </c>
      <c r="F725" s="9" t="s">
        <v>470</v>
      </c>
      <c r="G725" s="9">
        <v>156</v>
      </c>
      <c r="H725" s="5" t="s">
        <v>21</v>
      </c>
      <c r="I725" s="5" t="s">
        <v>2061</v>
      </c>
      <c r="J725" s="12" t="str">
        <f>HYPERLINK("https://www.boe.es/gazeta/dias/1808/02/12/pdfs/GMD-1808-13.pdf#page=12","Abrir facsímil")</f>
        <v>Abrir facsímil</v>
      </c>
      <c r="K725" s="15" t="s">
        <v>23</v>
      </c>
    </row>
    <row r="726" spans="1:11" ht="42" customHeight="1">
      <c r="A726" s="4" t="s">
        <v>2062</v>
      </c>
      <c r="B726" s="5" t="s">
        <v>2063</v>
      </c>
      <c r="C726" s="5" t="s">
        <v>17</v>
      </c>
      <c r="D726" s="5" t="s">
        <v>18</v>
      </c>
      <c r="E726" s="5" t="s">
        <v>28</v>
      </c>
      <c r="F726" s="9" t="s">
        <v>29</v>
      </c>
      <c r="G726" s="9">
        <v>1428</v>
      </c>
      <c r="H726" s="5" t="s">
        <v>21</v>
      </c>
      <c r="I726" s="5" t="s">
        <v>2064</v>
      </c>
      <c r="J726" s="12" t="str">
        <f>HYPERLINK("https://www.boe.es/gazeta/dias/1808/11/04/pdfs/GMD-1808-141.pdf#page=10","Abrir facsímil")</f>
        <v>Abrir facsímil</v>
      </c>
      <c r="K726" s="15" t="s">
        <v>23</v>
      </c>
    </row>
    <row r="727" spans="1:11" ht="42" customHeight="1">
      <c r="A727" s="4" t="s">
        <v>2065</v>
      </c>
      <c r="B727" s="5" t="s">
        <v>2066</v>
      </c>
      <c r="C727" s="5" t="s">
        <v>94</v>
      </c>
      <c r="D727" s="5" t="s">
        <v>95</v>
      </c>
      <c r="E727" s="5" t="s">
        <v>242</v>
      </c>
      <c r="F727" s="9" t="s">
        <v>243</v>
      </c>
      <c r="G727" s="9">
        <v>10</v>
      </c>
      <c r="H727" s="5" t="s">
        <v>21</v>
      </c>
      <c r="I727" s="5" t="s">
        <v>2067</v>
      </c>
      <c r="J727" s="12" t="str">
        <f>HYPERLINK("https://www.boe.es/gazeta/dias/1808/01/01/pdfs/GMD-1808-1.pdf#page=10","Abrir facsímil")</f>
        <v>Abrir facsímil</v>
      </c>
      <c r="K727" s="15" t="s">
        <v>23</v>
      </c>
    </row>
    <row r="728" spans="1:11" ht="42" customHeight="1">
      <c r="A728" s="4" t="s">
        <v>2068</v>
      </c>
      <c r="B728" s="5" t="s">
        <v>2069</v>
      </c>
      <c r="C728" s="5" t="s">
        <v>260</v>
      </c>
      <c r="D728" s="5" t="s">
        <v>42</v>
      </c>
      <c r="E728" s="5" t="s">
        <v>1085</v>
      </c>
      <c r="F728" s="9" t="s">
        <v>1086</v>
      </c>
      <c r="G728" s="9">
        <v>104</v>
      </c>
      <c r="H728" s="5" t="s">
        <v>21</v>
      </c>
      <c r="I728" s="5" t="s">
        <v>2070</v>
      </c>
      <c r="J728" s="12" t="str">
        <f>HYPERLINK("https://www.boe.es/gazeta/dias/1808/01/29/pdfs/GMD-1808-9.pdf#page=8","Abrir facsímil")</f>
        <v>Abrir facsímil</v>
      </c>
      <c r="K728" s="15" t="s">
        <v>23</v>
      </c>
    </row>
    <row r="729" spans="1:11" ht="42" customHeight="1">
      <c r="A729" s="4" t="s">
        <v>2071</v>
      </c>
      <c r="B729" s="5" t="s">
        <v>2072</v>
      </c>
      <c r="C729" s="5" t="s">
        <v>33</v>
      </c>
      <c r="D729" s="5" t="s">
        <v>34</v>
      </c>
      <c r="E729" s="5" t="s">
        <v>391</v>
      </c>
      <c r="F729" s="9" t="s">
        <v>588</v>
      </c>
      <c r="G729" s="9" t="s">
        <v>106</v>
      </c>
      <c r="H729" s="5" t="s">
        <v>21</v>
      </c>
      <c r="I729" s="5" t="s">
        <v>2073</v>
      </c>
      <c r="J729" s="12" t="str">
        <f>HYPERLINK("https://www.boe.es/gazeta/dias/1808/09/27/pdfs/GMD-C-1808-128.pdf#page=3","Abrir facsímil")</f>
        <v>Abrir facsímil</v>
      </c>
      <c r="K729" s="15" t="s">
        <v>23</v>
      </c>
    </row>
    <row r="730" spans="1:11" ht="42" customHeight="1">
      <c r="A730" s="4" t="s">
        <v>2074</v>
      </c>
      <c r="B730" s="5" t="s">
        <v>2075</v>
      </c>
      <c r="C730" s="5" t="s">
        <v>33</v>
      </c>
      <c r="D730" s="5" t="s">
        <v>34</v>
      </c>
      <c r="E730" s="5" t="s">
        <v>558</v>
      </c>
      <c r="F730" s="9" t="s">
        <v>758</v>
      </c>
      <c r="G730" s="9" t="s">
        <v>199</v>
      </c>
      <c r="H730" s="5" t="s">
        <v>21</v>
      </c>
      <c r="I730" s="5" t="s">
        <v>2076</v>
      </c>
      <c r="J730" s="12" t="str">
        <f>HYPERLINK("https://www.boe.es/gazeta/dias/1808/11/25/pdfs/GMD-E-1808-147.pdf#page=2","Abrir facsímil")</f>
        <v>Abrir facsímil</v>
      </c>
      <c r="K730" s="15" t="s">
        <v>23</v>
      </c>
    </row>
    <row r="731" spans="1:11" ht="42" customHeight="1">
      <c r="A731" s="4" t="s">
        <v>2077</v>
      </c>
      <c r="B731" s="5" t="s">
        <v>2078</v>
      </c>
      <c r="C731" s="5" t="s">
        <v>17</v>
      </c>
      <c r="D731" s="5" t="s">
        <v>18</v>
      </c>
      <c r="E731" s="5" t="s">
        <v>130</v>
      </c>
      <c r="F731" s="9" t="s">
        <v>131</v>
      </c>
      <c r="G731" s="9">
        <v>1602</v>
      </c>
      <c r="H731" s="5" t="s">
        <v>21</v>
      </c>
      <c r="I731" s="5" t="s">
        <v>2079</v>
      </c>
      <c r="J731" s="12" t="str">
        <f>HYPERLINK("https://www.boe.es/gazeta/dias/1808/12/15/pdfs/GMD-1808-155.pdf#page=6","Abrir facsímil")</f>
        <v>Abrir facsímil</v>
      </c>
      <c r="K731" s="15" t="s">
        <v>23</v>
      </c>
    </row>
    <row r="732" spans="1:11" ht="42" customHeight="1">
      <c r="A732" s="4" t="s">
        <v>2080</v>
      </c>
      <c r="B732" s="5" t="s">
        <v>2081</v>
      </c>
      <c r="C732" s="5" t="s">
        <v>33</v>
      </c>
      <c r="D732" s="5" t="s">
        <v>34</v>
      </c>
      <c r="E732" s="5" t="s">
        <v>558</v>
      </c>
      <c r="F732" s="9" t="s">
        <v>758</v>
      </c>
      <c r="G732" s="9" t="s">
        <v>75</v>
      </c>
      <c r="H732" s="5" t="s">
        <v>21</v>
      </c>
      <c r="I732" s="5" t="s">
        <v>2082</v>
      </c>
      <c r="J732" s="12" t="str">
        <f>HYPERLINK("https://www.boe.es/gazeta/dias/1808/11/25/pdfs/GMD-E-1808-147.pdf#page=4","Abrir facsímil")</f>
        <v>Abrir facsímil</v>
      </c>
      <c r="K732" s="15" t="s">
        <v>23</v>
      </c>
    </row>
    <row r="733" spans="1:11" ht="42" customHeight="1">
      <c r="A733" s="4" t="s">
        <v>2083</v>
      </c>
      <c r="B733" s="5" t="s">
        <v>2083</v>
      </c>
      <c r="C733" s="5" t="s">
        <v>33</v>
      </c>
      <c r="D733" s="5" t="s">
        <v>34</v>
      </c>
      <c r="E733" s="5" t="s">
        <v>35</v>
      </c>
      <c r="F733" s="9" t="s">
        <v>36</v>
      </c>
      <c r="G733" s="9" t="s">
        <v>279</v>
      </c>
      <c r="H733" s="5" t="s">
        <v>21</v>
      </c>
      <c r="I733" s="5" t="s">
        <v>2084</v>
      </c>
      <c r="J733" s="12" t="str">
        <f>HYPERLINK("https://www.boe.es/gazeta/dias/1808/04/22/pdfs/GMD-C-1808-38.pdf#page=44","Abrir facsímil")</f>
        <v>Abrir facsímil</v>
      </c>
      <c r="K733" s="15" t="s">
        <v>23</v>
      </c>
    </row>
    <row r="734" spans="1:11" ht="42" customHeight="1">
      <c r="A734" s="4" t="s">
        <v>2085</v>
      </c>
      <c r="B734" s="5" t="s">
        <v>2086</v>
      </c>
      <c r="C734" s="5" t="s">
        <v>41</v>
      </c>
      <c r="D734" s="5" t="s">
        <v>42</v>
      </c>
      <c r="E734" s="5" t="s">
        <v>35</v>
      </c>
      <c r="F734" s="9" t="s">
        <v>36</v>
      </c>
      <c r="G734" s="9" t="s">
        <v>299</v>
      </c>
      <c r="H734" s="5" t="s">
        <v>21</v>
      </c>
      <c r="I734" s="5" t="s">
        <v>2087</v>
      </c>
      <c r="J734" s="12" t="str">
        <f>HYPERLINK("https://www.boe.es/gazeta/dias/1808/04/22/pdfs/GMD-C-1808-38.pdf#page=14","Abrir facsímil")</f>
        <v>Abrir facsímil</v>
      </c>
      <c r="K734" s="15" t="s">
        <v>23</v>
      </c>
    </row>
    <row r="735" spans="1:11" ht="42" customHeight="1">
      <c r="A735" s="4" t="s">
        <v>2085</v>
      </c>
      <c r="B735" s="5" t="s">
        <v>2086</v>
      </c>
      <c r="C735" s="5" t="s">
        <v>41</v>
      </c>
      <c r="D735" s="5" t="s">
        <v>42</v>
      </c>
      <c r="E735" s="5" t="s">
        <v>35</v>
      </c>
      <c r="F735" s="9" t="s">
        <v>36</v>
      </c>
      <c r="G735" s="9" t="s">
        <v>277</v>
      </c>
      <c r="H735" s="5" t="s">
        <v>21</v>
      </c>
      <c r="I735" s="5" t="s">
        <v>2088</v>
      </c>
      <c r="J735" s="12" t="str">
        <f>HYPERLINK("https://www.boe.es/gazeta/dias/1808/04/22/pdfs/GMD-C-1808-38.pdf#page=34","Abrir facsímil")</f>
        <v>Abrir facsímil</v>
      </c>
      <c r="K735" s="15" t="s">
        <v>23</v>
      </c>
    </row>
    <row r="736" spans="1:11" ht="42" customHeight="1">
      <c r="A736" s="4" t="s">
        <v>2089</v>
      </c>
      <c r="B736" s="5" t="s">
        <v>2090</v>
      </c>
      <c r="C736" s="5" t="s">
        <v>17</v>
      </c>
      <c r="D736" s="5" t="s">
        <v>18</v>
      </c>
      <c r="E736" s="5" t="s">
        <v>427</v>
      </c>
      <c r="F736" s="9" t="s">
        <v>1802</v>
      </c>
      <c r="G736" s="9">
        <v>1526</v>
      </c>
      <c r="H736" s="5" t="s">
        <v>21</v>
      </c>
      <c r="I736" s="5" t="s">
        <v>2091</v>
      </c>
      <c r="J736" s="12" t="str">
        <f>HYPERLINK("https://www.boe.es/gazeta/dias/1808/11/22/pdfs/GMD-1808-146.pdf#page=12","Abrir facsímil")</f>
        <v>Abrir facsímil</v>
      </c>
      <c r="K736" s="15" t="s">
        <v>23</v>
      </c>
    </row>
    <row r="737" spans="1:11" ht="42" customHeight="1">
      <c r="A737" s="4" t="s">
        <v>2092</v>
      </c>
      <c r="B737" s="5" t="s">
        <v>2093</v>
      </c>
      <c r="C737" s="5" t="s">
        <v>94</v>
      </c>
      <c r="D737" s="5" t="s">
        <v>95</v>
      </c>
      <c r="E737" s="5" t="s">
        <v>166</v>
      </c>
      <c r="F737" s="9" t="s">
        <v>400</v>
      </c>
      <c r="G737" s="9" t="s">
        <v>199</v>
      </c>
      <c r="H737" s="5" t="s">
        <v>21</v>
      </c>
      <c r="I737" s="5" t="s">
        <v>2094</v>
      </c>
      <c r="J737" s="12" t="str">
        <f>HYPERLINK("https://www.boe.es/gazeta/dias/1808/11/18/pdfs/D00069-00072.pdf#page=2","Abrir facsímil")</f>
        <v>Abrir facsímil</v>
      </c>
      <c r="K737" s="15" t="s">
        <v>23</v>
      </c>
    </row>
    <row r="738" spans="1:11" ht="42" customHeight="1">
      <c r="A738" s="4" t="s">
        <v>2095</v>
      </c>
      <c r="B738" s="5" t="s">
        <v>2096</v>
      </c>
      <c r="C738" s="5" t="s">
        <v>33</v>
      </c>
      <c r="D738" s="5" t="s">
        <v>34</v>
      </c>
      <c r="E738" s="5" t="s">
        <v>461</v>
      </c>
      <c r="F738" s="9" t="s">
        <v>462</v>
      </c>
      <c r="G738" s="9" t="s">
        <v>117</v>
      </c>
      <c r="H738" s="5" t="s">
        <v>21</v>
      </c>
      <c r="I738" s="5" t="s">
        <v>2097</v>
      </c>
      <c r="J738" s="12" t="str">
        <f>HYPERLINK("https://www.boe.es/gazeta/dias/1808/11/08/pdfs/GMD-D-1808-142.pdf#page=1","Abrir facsímil")</f>
        <v>Abrir facsímil</v>
      </c>
      <c r="K738" s="15" t="s">
        <v>23</v>
      </c>
    </row>
    <row r="739" spans="1:11" ht="42" customHeight="1">
      <c r="A739" s="4" t="s">
        <v>2098</v>
      </c>
      <c r="B739" s="5" t="s">
        <v>2099</v>
      </c>
      <c r="C739" s="5" t="s">
        <v>94</v>
      </c>
      <c r="D739" s="5" t="s">
        <v>95</v>
      </c>
      <c r="E739" s="5" t="s">
        <v>73</v>
      </c>
      <c r="F739" s="9" t="s">
        <v>1570</v>
      </c>
      <c r="G739" s="9">
        <v>1479</v>
      </c>
      <c r="H739" s="5" t="s">
        <v>21</v>
      </c>
      <c r="I739" s="5" t="s">
        <v>2100</v>
      </c>
      <c r="J739" s="12" t="str">
        <f>HYPERLINK("https://www.boe.es/gazeta/dias/1808/11/11/pdfs/GMD-C-1808-143.pdf#page=9","Abrir facsímil")</f>
        <v>Abrir facsímil</v>
      </c>
      <c r="K739" s="15" t="s">
        <v>23</v>
      </c>
    </row>
    <row r="740" spans="1:11" ht="42" customHeight="1">
      <c r="A740" s="4" t="s">
        <v>2101</v>
      </c>
      <c r="B740" s="5" t="s">
        <v>2102</v>
      </c>
      <c r="C740" s="5" t="s">
        <v>33</v>
      </c>
      <c r="D740" s="5" t="s">
        <v>34</v>
      </c>
      <c r="E740" s="5" t="s">
        <v>89</v>
      </c>
      <c r="F740" s="9" t="s">
        <v>563</v>
      </c>
      <c r="G740" s="9" t="s">
        <v>75</v>
      </c>
      <c r="H740" s="5" t="s">
        <v>21</v>
      </c>
      <c r="I740" s="5" t="s">
        <v>2103</v>
      </c>
      <c r="J740" s="12" t="str">
        <f>HYPERLINK("https://www.boe.es/gazeta/dias/1808/10/25/pdfs/GMD-D-1808-137.pdf#page=4","Abrir facsímil")</f>
        <v>Abrir facsímil</v>
      </c>
      <c r="K740" s="15" t="s">
        <v>23</v>
      </c>
    </row>
    <row r="741" spans="1:11" ht="42" customHeight="1">
      <c r="A741" s="4" t="s">
        <v>2104</v>
      </c>
      <c r="B741" s="5" t="s">
        <v>2105</v>
      </c>
      <c r="C741" s="5" t="s">
        <v>17</v>
      </c>
      <c r="D741" s="5" t="s">
        <v>18</v>
      </c>
      <c r="E741" s="5" t="s">
        <v>539</v>
      </c>
      <c r="F741" s="9" t="s">
        <v>540</v>
      </c>
      <c r="G741" s="9">
        <v>1113</v>
      </c>
      <c r="H741" s="5" t="s">
        <v>21</v>
      </c>
      <c r="I741" s="5" t="s">
        <v>2106</v>
      </c>
      <c r="J741" s="12" t="str">
        <f>HYPERLINK("https://www.boe.es/gazeta/dias/1808/09/02/pdfs/GMD-1808-119.pdf#page=7","Abrir facsímil")</f>
        <v>Abrir facsímil</v>
      </c>
      <c r="K741" s="15" t="s">
        <v>23</v>
      </c>
    </row>
    <row r="742" spans="1:11" ht="42" customHeight="1">
      <c r="A742" s="4" t="s">
        <v>2107</v>
      </c>
      <c r="B742" s="5" t="s">
        <v>2108</v>
      </c>
      <c r="C742" s="5" t="s">
        <v>260</v>
      </c>
      <c r="D742" s="5" t="s">
        <v>42</v>
      </c>
      <c r="E742" s="5" t="s">
        <v>96</v>
      </c>
      <c r="F742" s="9" t="s">
        <v>97</v>
      </c>
      <c r="G742" s="9">
        <v>265</v>
      </c>
      <c r="H742" s="5" t="s">
        <v>21</v>
      </c>
      <c r="I742" s="5" t="s">
        <v>2109</v>
      </c>
      <c r="J742" s="12" t="str">
        <f>HYPERLINK("https://www.boe.es/gazeta/dias/1808/03/15/pdfs/GMD-1808-22.pdf#page=7","Abrir facsímil")</f>
        <v>Abrir facsímil</v>
      </c>
      <c r="K742" s="15" t="s">
        <v>23</v>
      </c>
    </row>
    <row r="743" spans="1:11" ht="42" customHeight="1">
      <c r="A743" s="4" t="s">
        <v>2110</v>
      </c>
      <c r="B743" s="5" t="s">
        <v>2111</v>
      </c>
      <c r="C743" s="5" t="s">
        <v>41</v>
      </c>
      <c r="D743" s="5" t="s">
        <v>42</v>
      </c>
      <c r="E743" s="5" t="s">
        <v>339</v>
      </c>
      <c r="F743" s="9" t="s">
        <v>340</v>
      </c>
      <c r="G743" s="9">
        <v>82</v>
      </c>
      <c r="H743" s="5" t="s">
        <v>21</v>
      </c>
      <c r="I743" s="5" t="s">
        <v>2112</v>
      </c>
      <c r="J743" s="12" t="str">
        <f>HYPERLINK("https://www.boe.es/gazeta/dias/1808/01/22/pdfs/GMD-1808-7.pdf#page=10","Abrir facsímil")</f>
        <v>Abrir facsímil</v>
      </c>
      <c r="K743" s="15" t="s">
        <v>23</v>
      </c>
    </row>
    <row r="744" spans="1:11" ht="42" customHeight="1">
      <c r="A744" s="4" t="s">
        <v>2113</v>
      </c>
      <c r="B744" s="5" t="s">
        <v>2114</v>
      </c>
      <c r="C744" s="5" t="s">
        <v>94</v>
      </c>
      <c r="D744" s="5" t="s">
        <v>95</v>
      </c>
      <c r="E744" s="5" t="s">
        <v>238</v>
      </c>
      <c r="F744" s="9" t="s">
        <v>239</v>
      </c>
      <c r="G744" s="9">
        <v>34</v>
      </c>
      <c r="H744" s="5" t="s">
        <v>21</v>
      </c>
      <c r="I744" s="5" t="s">
        <v>2115</v>
      </c>
      <c r="J744" s="12" t="str">
        <f>HYPERLINK("https://www.boe.es/gazeta/dias/1808/01/08/pdfs/GMD-1808-3.pdf#page=10","Abrir facsímil")</f>
        <v>Abrir facsímil</v>
      </c>
      <c r="K744" s="15" t="s">
        <v>23</v>
      </c>
    </row>
    <row r="745" spans="1:11" ht="42" customHeight="1">
      <c r="A745" s="4" t="s">
        <v>2116</v>
      </c>
      <c r="B745" s="5" t="s">
        <v>2117</v>
      </c>
      <c r="C745" s="5" t="s">
        <v>94</v>
      </c>
      <c r="D745" s="5" t="s">
        <v>95</v>
      </c>
      <c r="E745" s="5" t="s">
        <v>974</v>
      </c>
      <c r="F745" s="9" t="s">
        <v>975</v>
      </c>
      <c r="G745" s="9">
        <v>391</v>
      </c>
      <c r="H745" s="5" t="s">
        <v>21</v>
      </c>
      <c r="I745" s="5" t="s">
        <v>2118</v>
      </c>
      <c r="J745" s="12" t="str">
        <f>HYPERLINK("https://www.boe.es/gazeta/dias/1808/04/19/pdfs/GMD-1808-37.pdf#page=7","Abrir facsímil")</f>
        <v>Abrir facsímil</v>
      </c>
      <c r="K745" s="15" t="s">
        <v>23</v>
      </c>
    </row>
    <row r="746" spans="1:11" ht="42" customHeight="1">
      <c r="A746" s="4" t="s">
        <v>2119</v>
      </c>
      <c r="B746" s="5" t="s">
        <v>2120</v>
      </c>
      <c r="C746" s="5" t="s">
        <v>94</v>
      </c>
      <c r="D746" s="5" t="s">
        <v>95</v>
      </c>
      <c r="E746" s="5" t="s">
        <v>215</v>
      </c>
      <c r="F746" s="9" t="s">
        <v>216</v>
      </c>
      <c r="G746" s="9">
        <v>300</v>
      </c>
      <c r="H746" s="5" t="s">
        <v>21</v>
      </c>
      <c r="I746" s="5" t="s">
        <v>2121</v>
      </c>
      <c r="J746" s="12" t="str">
        <f>HYPERLINK("https://www.boe.es/gazeta/dias/1808/03/25/pdfs/GMD-1808-25.pdf#page=10","Abrir facsímil")</f>
        <v>Abrir facsímil</v>
      </c>
      <c r="K746" s="15" t="s">
        <v>23</v>
      </c>
    </row>
    <row r="747" spans="1:11" ht="42" customHeight="1">
      <c r="A747" s="4" t="s">
        <v>2122</v>
      </c>
      <c r="B747" s="5" t="s">
        <v>2122</v>
      </c>
      <c r="C747" s="5" t="s">
        <v>17</v>
      </c>
      <c r="D747" s="5" t="s">
        <v>18</v>
      </c>
      <c r="E747" s="5" t="s">
        <v>493</v>
      </c>
      <c r="F747" s="9" t="s">
        <v>494</v>
      </c>
      <c r="G747" s="9">
        <v>42</v>
      </c>
      <c r="H747" s="5" t="s">
        <v>21</v>
      </c>
      <c r="I747" s="5" t="s">
        <v>2123</v>
      </c>
      <c r="J747" s="12" t="str">
        <f>HYPERLINK("https://www.boe.es/gazeta/dias/1808/01/12/pdfs/GMD-1808-4.pdf#page=6","Abrir facsímil")</f>
        <v>Abrir facsímil</v>
      </c>
      <c r="K747" s="15" t="s">
        <v>23</v>
      </c>
    </row>
    <row r="748" spans="1:11" ht="42" customHeight="1">
      <c r="A748" s="4" t="s">
        <v>2124</v>
      </c>
      <c r="B748" s="5" t="s">
        <v>2125</v>
      </c>
      <c r="C748" s="5" t="s">
        <v>26</v>
      </c>
      <c r="D748" s="5" t="s">
        <v>27</v>
      </c>
      <c r="E748" s="5" t="s">
        <v>73</v>
      </c>
      <c r="F748" s="9" t="s">
        <v>581</v>
      </c>
      <c r="G748" s="9">
        <v>1467</v>
      </c>
      <c r="H748" s="5" t="s">
        <v>21</v>
      </c>
      <c r="I748" s="5" t="s">
        <v>2126</v>
      </c>
      <c r="J748" s="12" t="str">
        <f>HYPERLINK("https://www.boe.es/gazeta/dias/1808/11/11/pdfs/GMD-1808-143.pdf#page=9","Abrir facsímil")</f>
        <v>Abrir facsímil</v>
      </c>
      <c r="K748" s="15" t="s">
        <v>23</v>
      </c>
    </row>
    <row r="749" spans="1:11" ht="42" customHeight="1">
      <c r="A749" s="4" t="s">
        <v>2127</v>
      </c>
      <c r="B749" s="5" t="s">
        <v>2128</v>
      </c>
      <c r="C749" s="5" t="s">
        <v>41</v>
      </c>
      <c r="D749" s="5" t="s">
        <v>42</v>
      </c>
      <c r="E749" s="5" t="s">
        <v>35</v>
      </c>
      <c r="F749" s="9" t="s">
        <v>36</v>
      </c>
      <c r="G749" s="9" t="s">
        <v>814</v>
      </c>
      <c r="H749" s="5" t="s">
        <v>21</v>
      </c>
      <c r="I749" s="5" t="s">
        <v>2129</v>
      </c>
      <c r="J749" s="12" t="str">
        <f>HYPERLINK("https://www.boe.es/gazeta/dias/1808/04/22/pdfs/GMD-C-1808-38.pdf#page=25","Abrir facsímil")</f>
        <v>Abrir facsímil</v>
      </c>
      <c r="K749" s="15" t="s">
        <v>23</v>
      </c>
    </row>
    <row r="750" spans="1:11" ht="42" customHeight="1">
      <c r="A750" s="4" t="s">
        <v>2130</v>
      </c>
      <c r="B750" s="5" t="s">
        <v>2130</v>
      </c>
      <c r="C750" s="5" t="s">
        <v>94</v>
      </c>
      <c r="D750" s="5" t="s">
        <v>95</v>
      </c>
      <c r="E750" s="5" t="s">
        <v>65</v>
      </c>
      <c r="F750" s="9" t="s">
        <v>66</v>
      </c>
      <c r="G750" s="9">
        <v>1307</v>
      </c>
      <c r="H750" s="5" t="s">
        <v>21</v>
      </c>
      <c r="I750" s="5" t="s">
        <v>2131</v>
      </c>
      <c r="J750" s="12" t="str">
        <f>HYPERLINK("https://www.boe.es/gazeta/dias/1808/10/18/pdfs/GMD-1808-135.pdf#page=7","Abrir facsímil")</f>
        <v>Abrir facsímil</v>
      </c>
      <c r="K750" s="15" t="s">
        <v>23</v>
      </c>
    </row>
    <row r="751" spans="1:11" ht="42" customHeight="1">
      <c r="A751" s="4" t="s">
        <v>2132</v>
      </c>
      <c r="B751" s="5" t="s">
        <v>2132</v>
      </c>
      <c r="C751" s="5" t="s">
        <v>41</v>
      </c>
      <c r="D751" s="5" t="s">
        <v>42</v>
      </c>
      <c r="E751" s="5" t="s">
        <v>51</v>
      </c>
      <c r="F751" s="9" t="s">
        <v>1366</v>
      </c>
      <c r="G751" s="9">
        <v>165</v>
      </c>
      <c r="H751" s="5" t="s">
        <v>21</v>
      </c>
      <c r="I751" s="5" t="s">
        <v>2133</v>
      </c>
      <c r="J751" s="12" t="str">
        <f>HYPERLINK("https://www.boe.es/gazeta/dias/1808/08/09/pdfs/GMS-1808-21.pdf#page=5","Abrir facsímil")</f>
        <v>Abrir facsímil</v>
      </c>
      <c r="K751" s="15" t="s">
        <v>23</v>
      </c>
    </row>
    <row r="752" spans="1:11" ht="42" customHeight="1">
      <c r="A752" s="4" t="s">
        <v>2134</v>
      </c>
      <c r="B752" s="5" t="s">
        <v>2134</v>
      </c>
      <c r="C752" s="5" t="s">
        <v>33</v>
      </c>
      <c r="D752" s="5" t="s">
        <v>34</v>
      </c>
      <c r="E752" s="5" t="s">
        <v>35</v>
      </c>
      <c r="F752" s="9" t="s">
        <v>36</v>
      </c>
      <c r="G752" s="9" t="s">
        <v>299</v>
      </c>
      <c r="H752" s="5" t="s">
        <v>21</v>
      </c>
      <c r="I752" s="5" t="s">
        <v>2135</v>
      </c>
      <c r="J752" s="12" t="str">
        <f>HYPERLINK("https://www.boe.es/gazeta/dias/1808/04/22/pdfs/GMD-C-1808-38.pdf#page=14","Abrir facsímil")</f>
        <v>Abrir facsímil</v>
      </c>
      <c r="K752" s="15" t="s">
        <v>23</v>
      </c>
    </row>
    <row r="753" spans="1:11" ht="42" customHeight="1">
      <c r="A753" s="4" t="s">
        <v>2136</v>
      </c>
      <c r="B753" s="5" t="s">
        <v>2136</v>
      </c>
      <c r="C753" s="5" t="s">
        <v>33</v>
      </c>
      <c r="D753" s="5" t="s">
        <v>34</v>
      </c>
      <c r="E753" s="5" t="s">
        <v>110</v>
      </c>
      <c r="F753" s="9" t="s">
        <v>828</v>
      </c>
      <c r="G753" s="9" t="s">
        <v>75</v>
      </c>
      <c r="H753" s="5" t="s">
        <v>21</v>
      </c>
      <c r="I753" s="5" t="s">
        <v>2137</v>
      </c>
      <c r="J753" s="12" t="str">
        <f>HYPERLINK("https://www.boe.es/gazeta/dias/1808/10/28/pdfs/GMD-D-1808-138.pdf#page=4","Abrir facsímil")</f>
        <v>Abrir facsímil</v>
      </c>
      <c r="K753" s="15" t="s">
        <v>23</v>
      </c>
    </row>
    <row r="754" spans="1:11" ht="42" customHeight="1">
      <c r="A754" s="4" t="s">
        <v>2138</v>
      </c>
      <c r="B754" s="5" t="s">
        <v>2139</v>
      </c>
      <c r="C754" s="5" t="s">
        <v>17</v>
      </c>
      <c r="D754" s="5" t="s">
        <v>18</v>
      </c>
      <c r="E754" s="5" t="s">
        <v>197</v>
      </c>
      <c r="F754" s="9" t="s">
        <v>857</v>
      </c>
      <c r="G754" s="9">
        <v>357</v>
      </c>
      <c r="H754" s="5" t="s">
        <v>21</v>
      </c>
      <c r="I754" s="5" t="s">
        <v>2140</v>
      </c>
      <c r="J754" s="12" t="str">
        <f>HYPERLINK("https://www.boe.es/gazeta/dias/1808/11/01/pdfs/GMS-1808-45.pdf#page=5","Abrir facsímil")</f>
        <v>Abrir facsímil</v>
      </c>
      <c r="K754" s="15" t="s">
        <v>23</v>
      </c>
    </row>
    <row r="755" spans="1:11" ht="42" customHeight="1">
      <c r="A755" s="4" t="s">
        <v>2141</v>
      </c>
      <c r="B755" s="5" t="s">
        <v>2142</v>
      </c>
      <c r="C755" s="5" t="s">
        <v>642</v>
      </c>
      <c r="D755" s="5" t="s">
        <v>643</v>
      </c>
      <c r="E755" s="5" t="s">
        <v>2143</v>
      </c>
      <c r="F755" s="9" t="s">
        <v>2144</v>
      </c>
      <c r="G755" s="9">
        <v>1217</v>
      </c>
      <c r="H755" s="5" t="s">
        <v>21</v>
      </c>
      <c r="I755" s="5" t="s">
        <v>2145</v>
      </c>
      <c r="J755" s="12" t="str">
        <f>HYPERLINK("https://www.boe.es/gazeta/dias/1808/09/29/pdfs/GMD-1808-129E.pdf#page=1","Abrir facsímil")</f>
        <v>Abrir facsímil</v>
      </c>
      <c r="K755" s="15" t="s">
        <v>23</v>
      </c>
    </row>
    <row r="756" spans="1:11" ht="42" customHeight="1">
      <c r="A756" s="4" t="s">
        <v>2146</v>
      </c>
      <c r="B756" s="5" t="s">
        <v>2147</v>
      </c>
      <c r="C756" s="5" t="s">
        <v>94</v>
      </c>
      <c r="D756" s="5" t="s">
        <v>95</v>
      </c>
      <c r="E756" s="5" t="s">
        <v>215</v>
      </c>
      <c r="F756" s="9" t="s">
        <v>216</v>
      </c>
      <c r="G756" s="9">
        <v>300</v>
      </c>
      <c r="H756" s="5" t="s">
        <v>21</v>
      </c>
      <c r="I756" s="5" t="s">
        <v>2148</v>
      </c>
      <c r="J756" s="12" t="str">
        <f>HYPERLINK("https://www.boe.es/gazeta/dias/1808/03/25/pdfs/GMD-1808-25.pdf#page=10","Abrir facsímil")</f>
        <v>Abrir facsímil</v>
      </c>
      <c r="K756" s="15" t="s">
        <v>23</v>
      </c>
    </row>
    <row r="757" spans="1:11" ht="42" customHeight="1">
      <c r="A757" s="4" t="s">
        <v>2149</v>
      </c>
      <c r="B757" s="5" t="s">
        <v>2149</v>
      </c>
      <c r="C757" s="5" t="s">
        <v>41</v>
      </c>
      <c r="D757" s="5" t="s">
        <v>42</v>
      </c>
      <c r="E757" s="5" t="s">
        <v>478</v>
      </c>
      <c r="F757" s="9" t="s">
        <v>479</v>
      </c>
      <c r="G757" s="9">
        <v>244</v>
      </c>
      <c r="H757" s="5" t="s">
        <v>21</v>
      </c>
      <c r="I757" s="5" t="s">
        <v>2150</v>
      </c>
      <c r="J757" s="12" t="str">
        <f>HYPERLINK("https://www.boe.es/gazeta/dias/1808/03/08/pdfs/GMD-1808-20.pdf#page=10","Abrir facsímil")</f>
        <v>Abrir facsímil</v>
      </c>
      <c r="K757" s="15" t="s">
        <v>23</v>
      </c>
    </row>
    <row r="758" spans="1:11" ht="42" customHeight="1">
      <c r="A758" s="4" t="s">
        <v>2151</v>
      </c>
      <c r="B758" s="5" t="s">
        <v>2152</v>
      </c>
      <c r="C758" s="5" t="s">
        <v>94</v>
      </c>
      <c r="D758" s="5" t="s">
        <v>95</v>
      </c>
      <c r="E758" s="5" t="s">
        <v>203</v>
      </c>
      <c r="F758" s="9" t="s">
        <v>204</v>
      </c>
      <c r="G758" s="9">
        <v>141</v>
      </c>
      <c r="H758" s="5" t="s">
        <v>21</v>
      </c>
      <c r="I758" s="5" t="s">
        <v>2153</v>
      </c>
      <c r="J758" s="12" t="str">
        <f>HYPERLINK("https://www.boe.es/gazeta/dias/1808/02/09/pdfs/GMD-1808-12.pdf#page=9","Abrir facsímil")</f>
        <v>Abrir facsímil</v>
      </c>
      <c r="K758" s="15" t="s">
        <v>23</v>
      </c>
    </row>
    <row r="759" spans="1:11" ht="42" customHeight="1">
      <c r="A759" s="4" t="s">
        <v>2154</v>
      </c>
      <c r="B759" s="5" t="s">
        <v>2155</v>
      </c>
      <c r="C759" s="5" t="s">
        <v>41</v>
      </c>
      <c r="D759" s="5" t="s">
        <v>42</v>
      </c>
      <c r="E759" s="5" t="s">
        <v>35</v>
      </c>
      <c r="F759" s="9" t="s">
        <v>36</v>
      </c>
      <c r="G759" s="9" t="s">
        <v>106</v>
      </c>
      <c r="H759" s="5" t="s">
        <v>21</v>
      </c>
      <c r="I759" s="5" t="s">
        <v>2156</v>
      </c>
      <c r="J759" s="12" t="str">
        <f>HYPERLINK("https://www.boe.es/gazeta/dias/1808/04/22/pdfs/GMD-C-1808-38.pdf#page=3","Abrir facsímil")</f>
        <v>Abrir facsímil</v>
      </c>
      <c r="K759" s="15" t="s">
        <v>23</v>
      </c>
    </row>
    <row r="760" spans="1:11" ht="42" customHeight="1">
      <c r="A760" s="4" t="s">
        <v>2157</v>
      </c>
      <c r="B760" s="5" t="s">
        <v>2158</v>
      </c>
      <c r="C760" s="5" t="s">
        <v>17</v>
      </c>
      <c r="D760" s="5" t="s">
        <v>18</v>
      </c>
      <c r="E760" s="5" t="s">
        <v>2159</v>
      </c>
      <c r="F760" s="9" t="s">
        <v>2160</v>
      </c>
      <c r="G760" s="9">
        <v>175</v>
      </c>
      <c r="H760" s="5" t="s">
        <v>21</v>
      </c>
      <c r="I760" s="5" t="s">
        <v>2161</v>
      </c>
      <c r="J760" s="12" t="str">
        <f>HYPERLINK("https://www.boe.es/gazeta/dias/1808/02/19/pdfs/GMD-1808-15.pdf#page=5","Abrir facsímil")</f>
        <v>Abrir facsímil</v>
      </c>
      <c r="K760" s="15" t="s">
        <v>23</v>
      </c>
    </row>
    <row r="761" spans="1:11" ht="42" customHeight="1">
      <c r="A761" s="4" t="s">
        <v>2162</v>
      </c>
      <c r="B761" s="5" t="s">
        <v>2163</v>
      </c>
      <c r="C761" s="5" t="s">
        <v>101</v>
      </c>
      <c r="D761" s="5" t="s">
        <v>102</v>
      </c>
      <c r="E761" s="5" t="s">
        <v>991</v>
      </c>
      <c r="F761" s="9" t="s">
        <v>992</v>
      </c>
      <c r="G761" s="9">
        <v>216</v>
      </c>
      <c r="H761" s="5" t="s">
        <v>21</v>
      </c>
      <c r="I761" s="5" t="s">
        <v>2164</v>
      </c>
      <c r="J761" s="12" t="str">
        <f>HYPERLINK("https://www.boe.es/gazeta/dias/1808/03/01/pdfs/GMD-1808-18.pdf#page=6","Abrir facsímil")</f>
        <v>Abrir facsímil</v>
      </c>
      <c r="K761" s="15" t="s">
        <v>23</v>
      </c>
    </row>
    <row r="762" spans="1:11" ht="42" customHeight="1">
      <c r="A762" s="4" t="s">
        <v>2162</v>
      </c>
      <c r="B762" s="5" t="s">
        <v>2163</v>
      </c>
      <c r="C762" s="5" t="s">
        <v>101</v>
      </c>
      <c r="D762" s="5" t="s">
        <v>102</v>
      </c>
      <c r="E762" s="5" t="s">
        <v>96</v>
      </c>
      <c r="F762" s="9" t="s">
        <v>97</v>
      </c>
      <c r="G762" s="9">
        <v>264</v>
      </c>
      <c r="H762" s="5" t="s">
        <v>21</v>
      </c>
      <c r="I762" s="5" t="s">
        <v>2165</v>
      </c>
      <c r="J762" s="12" t="str">
        <f>HYPERLINK("https://www.boe.es/gazeta/dias/1808/03/15/pdfs/GMD-1808-22.pdf#page=6","Abrir facsímil")</f>
        <v>Abrir facsímil</v>
      </c>
      <c r="K762" s="15" t="s">
        <v>23</v>
      </c>
    </row>
    <row r="763" spans="1:11" ht="42" customHeight="1">
      <c r="A763" s="4" t="s">
        <v>2166</v>
      </c>
      <c r="B763" s="5" t="s">
        <v>2166</v>
      </c>
      <c r="C763" s="5" t="s">
        <v>17</v>
      </c>
      <c r="D763" s="5" t="s">
        <v>18</v>
      </c>
      <c r="E763" s="5" t="s">
        <v>2167</v>
      </c>
      <c r="F763" s="9" t="s">
        <v>2168</v>
      </c>
      <c r="G763" s="9">
        <v>1631</v>
      </c>
      <c r="H763" s="5" t="s">
        <v>21</v>
      </c>
      <c r="I763" s="5" t="s">
        <v>2169</v>
      </c>
      <c r="J763" s="12" t="str">
        <f>HYPERLINK("https://www.boe.es/gazeta/dias/1808/12/18/pdfs/GMD-1808-158.pdf#page=1","Abrir facsímil")</f>
        <v>Abrir facsímil</v>
      </c>
      <c r="K763" s="15" t="s">
        <v>23</v>
      </c>
    </row>
    <row r="764" spans="1:11" ht="42" customHeight="1">
      <c r="A764" s="4" t="s">
        <v>2170</v>
      </c>
      <c r="B764" s="5" t="s">
        <v>2170</v>
      </c>
      <c r="C764" s="5" t="s">
        <v>94</v>
      </c>
      <c r="D764" s="5" t="s">
        <v>95</v>
      </c>
      <c r="E764" s="5" t="s">
        <v>2171</v>
      </c>
      <c r="F764" s="9" t="s">
        <v>2172</v>
      </c>
      <c r="G764" s="9">
        <v>772</v>
      </c>
      <c r="H764" s="5" t="s">
        <v>21</v>
      </c>
      <c r="I764" s="5" t="s">
        <v>2173</v>
      </c>
      <c r="J764" s="12" t="str">
        <f>HYPERLINK("https://www.boe.es/gazeta/dias/1808/07/10/pdfs/GMD-1808-82.pdf#page=6","Abrir facsímil")</f>
        <v>Abrir facsímil</v>
      </c>
      <c r="K764" s="15" t="s">
        <v>23</v>
      </c>
    </row>
    <row r="765" spans="1:11" ht="42" customHeight="1">
      <c r="A765" s="4" t="s">
        <v>2174</v>
      </c>
      <c r="B765" s="5" t="s">
        <v>2174</v>
      </c>
      <c r="C765" s="5" t="s">
        <v>101</v>
      </c>
      <c r="D765" s="5" t="s">
        <v>102</v>
      </c>
      <c r="E765" s="5" t="s">
        <v>1962</v>
      </c>
      <c r="F765" s="9" t="s">
        <v>1963</v>
      </c>
      <c r="G765" s="9">
        <v>729</v>
      </c>
      <c r="H765" s="5" t="s">
        <v>21</v>
      </c>
      <c r="I765" s="5" t="s">
        <v>2175</v>
      </c>
      <c r="J765" s="12" t="str">
        <f>HYPERLINK("https://www.boe.es/gazeta/dias/1808/07/05/pdfs/GMD-1808-77.pdf#page=3","Abrir facsímil")</f>
        <v>Abrir facsímil</v>
      </c>
      <c r="K765" s="15" t="s">
        <v>23</v>
      </c>
    </row>
    <row r="766" spans="1:11" ht="42" customHeight="1">
      <c r="A766" s="4" t="s">
        <v>2176</v>
      </c>
      <c r="B766" s="5" t="s">
        <v>2176</v>
      </c>
      <c r="C766" s="5" t="s">
        <v>101</v>
      </c>
      <c r="D766" s="5" t="s">
        <v>102</v>
      </c>
      <c r="E766" s="5" t="s">
        <v>2177</v>
      </c>
      <c r="F766" s="9" t="s">
        <v>2178</v>
      </c>
      <c r="G766" s="9">
        <v>722</v>
      </c>
      <c r="H766" s="5" t="s">
        <v>21</v>
      </c>
      <c r="I766" s="5" t="s">
        <v>2179</v>
      </c>
      <c r="J766" s="12" t="str">
        <f>HYPERLINK("https://www.boe.es/gazeta/dias/1808/07/04/pdfs/GMD-1808-76.pdf#page=4","Abrir facsímil")</f>
        <v>Abrir facsímil</v>
      </c>
      <c r="K766" s="15" t="s">
        <v>23</v>
      </c>
    </row>
    <row r="767" spans="1:11" ht="42" customHeight="1">
      <c r="A767" s="4" t="s">
        <v>2180</v>
      </c>
      <c r="B767" s="5" t="s">
        <v>2181</v>
      </c>
      <c r="C767" s="5" t="s">
        <v>94</v>
      </c>
      <c r="D767" s="5" t="s">
        <v>95</v>
      </c>
      <c r="E767" s="5" t="s">
        <v>877</v>
      </c>
      <c r="F767" s="9" t="s">
        <v>878</v>
      </c>
      <c r="G767" s="9">
        <v>118</v>
      </c>
      <c r="H767" s="5" t="s">
        <v>21</v>
      </c>
      <c r="I767" s="5" t="s">
        <v>2182</v>
      </c>
      <c r="J767" s="12" t="str">
        <f>HYPERLINK("https://www.boe.es/gazeta/dias/1808/02/02/pdfs/GMD-1808-10.pdf#page=10","Abrir facsímil")</f>
        <v>Abrir facsímil</v>
      </c>
      <c r="K767" s="15" t="s">
        <v>23</v>
      </c>
    </row>
    <row r="768" spans="1:11" ht="42" customHeight="1">
      <c r="A768" s="4" t="s">
        <v>2183</v>
      </c>
      <c r="B768" s="5" t="s">
        <v>2184</v>
      </c>
      <c r="C768" s="5" t="s">
        <v>17</v>
      </c>
      <c r="D768" s="5" t="s">
        <v>18</v>
      </c>
      <c r="E768" s="5" t="s">
        <v>1472</v>
      </c>
      <c r="F768" s="9" t="s">
        <v>1473</v>
      </c>
      <c r="G768" s="9">
        <v>94</v>
      </c>
      <c r="H768" s="5" t="s">
        <v>21</v>
      </c>
      <c r="I768" s="5" t="s">
        <v>2185</v>
      </c>
      <c r="J768" s="12" t="str">
        <f>HYPERLINK("https://www.boe.es/gazeta/dias/1808/01/26/pdfs/GMD-1808-8.pdf#page=10","Abrir facsímil")</f>
        <v>Abrir facsímil</v>
      </c>
      <c r="K768" s="15" t="s">
        <v>23</v>
      </c>
    </row>
    <row r="769" spans="1:11" ht="42" customHeight="1">
      <c r="A769" s="4" t="s">
        <v>2186</v>
      </c>
      <c r="B769" s="5" t="s">
        <v>2187</v>
      </c>
      <c r="C769" s="5" t="s">
        <v>94</v>
      </c>
      <c r="D769" s="5" t="s">
        <v>95</v>
      </c>
      <c r="E769" s="5" t="s">
        <v>166</v>
      </c>
      <c r="F769" s="9" t="s">
        <v>400</v>
      </c>
      <c r="G769" s="9" t="s">
        <v>199</v>
      </c>
      <c r="H769" s="5" t="s">
        <v>21</v>
      </c>
      <c r="I769" s="5" t="s">
        <v>2188</v>
      </c>
      <c r="J769" s="12" t="str">
        <f>HYPERLINK("https://www.boe.es/gazeta/dias/1808/11/18/pdfs/D00069-00072.pdf#page=2","Abrir facsímil")</f>
        <v>Abrir facsímil</v>
      </c>
      <c r="K769" s="15" t="s">
        <v>23</v>
      </c>
    </row>
    <row r="770" spans="1:11" ht="42" customHeight="1">
      <c r="A770" s="4" t="s">
        <v>2189</v>
      </c>
      <c r="B770" s="5" t="s">
        <v>2190</v>
      </c>
      <c r="C770" s="5" t="s">
        <v>33</v>
      </c>
      <c r="D770" s="5" t="s">
        <v>34</v>
      </c>
      <c r="E770" s="5" t="s">
        <v>35</v>
      </c>
      <c r="F770" s="9" t="s">
        <v>36</v>
      </c>
      <c r="G770" s="9" t="s">
        <v>837</v>
      </c>
      <c r="H770" s="5" t="s">
        <v>21</v>
      </c>
      <c r="I770" s="5" t="s">
        <v>2191</v>
      </c>
      <c r="J770" s="12" t="str">
        <f>HYPERLINK("https://www.boe.es/gazeta/dias/1808/04/22/pdfs/GMD-C-1808-38.pdf#page=10","Abrir facsímil")</f>
        <v>Abrir facsímil</v>
      </c>
      <c r="K770" s="15" t="s">
        <v>23</v>
      </c>
    </row>
    <row r="771" spans="1:11" ht="42" customHeight="1">
      <c r="A771" s="4" t="s">
        <v>2192</v>
      </c>
      <c r="B771" s="5" t="s">
        <v>2193</v>
      </c>
      <c r="C771" s="5" t="s">
        <v>33</v>
      </c>
      <c r="D771" s="5" t="s">
        <v>34</v>
      </c>
      <c r="E771" s="5" t="s">
        <v>2194</v>
      </c>
      <c r="F771" s="9" t="s">
        <v>2195</v>
      </c>
      <c r="G771" s="9">
        <v>344</v>
      </c>
      <c r="H771" s="5" t="s">
        <v>21</v>
      </c>
      <c r="I771" s="5" t="s">
        <v>2196</v>
      </c>
      <c r="J771" s="12" t="str">
        <f>HYPERLINK("https://www.boe.es/gazeta/dias/1808/04/05/pdfs/GMD-C-1808-31.pdf#page=2","Abrir facsímil")</f>
        <v>Abrir facsímil</v>
      </c>
      <c r="K771" s="15" t="s">
        <v>23</v>
      </c>
    </row>
    <row r="772" spans="1:11" ht="42" customHeight="1">
      <c r="A772" s="4" t="s">
        <v>2197</v>
      </c>
      <c r="B772" s="5" t="s">
        <v>2197</v>
      </c>
      <c r="C772" s="5" t="s">
        <v>101</v>
      </c>
      <c r="D772" s="5" t="s">
        <v>102</v>
      </c>
      <c r="E772" s="5" t="s">
        <v>207</v>
      </c>
      <c r="F772" s="9" t="s">
        <v>208</v>
      </c>
      <c r="G772" s="9">
        <v>194</v>
      </c>
      <c r="H772" s="5" t="s">
        <v>21</v>
      </c>
      <c r="I772" s="5" t="s">
        <v>2198</v>
      </c>
      <c r="J772" s="12" t="str">
        <f>HYPERLINK("https://www.boe.es/gazeta/dias/1808/02/23/pdfs/GMD-1808-16.pdf#page=8","Abrir facsímil")</f>
        <v>Abrir facsímil</v>
      </c>
      <c r="K772" s="15" t="s">
        <v>23</v>
      </c>
    </row>
    <row r="773" spans="1:11" ht="42" customHeight="1">
      <c r="A773" s="4" t="s">
        <v>2199</v>
      </c>
      <c r="B773" s="5" t="s">
        <v>2200</v>
      </c>
      <c r="C773" s="5" t="s">
        <v>33</v>
      </c>
      <c r="D773" s="5" t="s">
        <v>34</v>
      </c>
      <c r="E773" s="5" t="s">
        <v>139</v>
      </c>
      <c r="F773" s="9" t="s">
        <v>1089</v>
      </c>
      <c r="G773" s="9" t="s">
        <v>117</v>
      </c>
      <c r="H773" s="5" t="s">
        <v>21</v>
      </c>
      <c r="I773" s="5" t="s">
        <v>2201</v>
      </c>
      <c r="J773" s="12" t="str">
        <f>HYPERLINK("https://www.boe.es/gazeta/dias/1808/09/23/pdfs/GMD-C-1808-127.pdf#page=1","Abrir facsímil")</f>
        <v>Abrir facsímil</v>
      </c>
      <c r="K773" s="15" t="s">
        <v>23</v>
      </c>
    </row>
    <row r="774" spans="1:11" ht="42" customHeight="1">
      <c r="A774" s="4" t="s">
        <v>2202</v>
      </c>
      <c r="B774" s="5" t="s">
        <v>2203</v>
      </c>
      <c r="C774" s="5" t="s">
        <v>94</v>
      </c>
      <c r="D774" s="5" t="s">
        <v>95</v>
      </c>
      <c r="E774" s="5" t="s">
        <v>2204</v>
      </c>
      <c r="F774" s="9" t="s">
        <v>2205</v>
      </c>
      <c r="G774" s="9">
        <v>70</v>
      </c>
      <c r="H774" s="5" t="s">
        <v>21</v>
      </c>
      <c r="I774" s="5" t="s">
        <v>2206</v>
      </c>
      <c r="J774" s="12" t="str">
        <f>HYPERLINK("https://www.boe.es/gazeta/dias/1808/06/29/pdfs/GMS-1808-9.pdf#page=6","Abrir facsímil")</f>
        <v>Abrir facsímil</v>
      </c>
      <c r="K774" s="15" t="s">
        <v>23</v>
      </c>
    </row>
    <row r="775" spans="1:11" ht="42" customHeight="1">
      <c r="A775" s="4" t="s">
        <v>2207</v>
      </c>
      <c r="B775" s="5" t="s">
        <v>2208</v>
      </c>
      <c r="C775" s="5" t="s">
        <v>94</v>
      </c>
      <c r="D775" s="5" t="s">
        <v>95</v>
      </c>
      <c r="E775" s="5" t="s">
        <v>572</v>
      </c>
      <c r="F775" s="9" t="s">
        <v>573</v>
      </c>
      <c r="G775" s="9">
        <v>20</v>
      </c>
      <c r="H775" s="5" t="s">
        <v>21</v>
      </c>
      <c r="I775" s="5" t="s">
        <v>2209</v>
      </c>
      <c r="J775" s="12" t="str">
        <f>HYPERLINK("https://www.boe.es/gazeta/dias/1808/01/05/pdfs/GMD-1808-2.pdf#page=8","Abrir facsímil")</f>
        <v>Abrir facsímil</v>
      </c>
      <c r="K775" s="15" t="s">
        <v>23</v>
      </c>
    </row>
    <row r="776" spans="1:11" ht="42" customHeight="1">
      <c r="A776" s="4" t="s">
        <v>2210</v>
      </c>
      <c r="B776" s="5" t="s">
        <v>2210</v>
      </c>
      <c r="C776" s="5" t="s">
        <v>41</v>
      </c>
      <c r="D776" s="5" t="s">
        <v>42</v>
      </c>
      <c r="E776" s="5" t="s">
        <v>228</v>
      </c>
      <c r="F776" s="9" t="s">
        <v>229</v>
      </c>
      <c r="G776" s="9">
        <v>837</v>
      </c>
      <c r="H776" s="5" t="s">
        <v>21</v>
      </c>
      <c r="I776" s="5" t="s">
        <v>2211</v>
      </c>
      <c r="J776" s="12" t="str">
        <f>HYPERLINK("https://www.boe.es/gazeta/dias/1808/07/18/pdfs/GMD-1808-90.pdf#page=7","Abrir facsímil")</f>
        <v>Abrir facsímil</v>
      </c>
      <c r="K776" s="15" t="s">
        <v>23</v>
      </c>
    </row>
    <row r="777" spans="1:11" ht="42" customHeight="1">
      <c r="A777" s="4" t="s">
        <v>2212</v>
      </c>
      <c r="B777" s="5" t="s">
        <v>2212</v>
      </c>
      <c r="C777" s="5" t="s">
        <v>17</v>
      </c>
      <c r="D777" s="5" t="s">
        <v>18</v>
      </c>
      <c r="E777" s="5" t="s">
        <v>1361</v>
      </c>
      <c r="F777" s="9" t="s">
        <v>1362</v>
      </c>
      <c r="G777" s="9">
        <v>471</v>
      </c>
      <c r="H777" s="5" t="s">
        <v>21</v>
      </c>
      <c r="I777" s="5" t="s">
        <v>2213</v>
      </c>
      <c r="J777" s="12" t="str">
        <f>HYPERLINK("https://www.boe.es/gazeta/dias/1808/05/17/pdfs/GMD-1808-47.pdf#page=11","Abrir facsímil")</f>
        <v>Abrir facsímil</v>
      </c>
      <c r="K777" s="15" t="s">
        <v>23</v>
      </c>
    </row>
    <row r="778" spans="1:11" ht="42" customHeight="1">
      <c r="A778" s="4" t="s">
        <v>2214</v>
      </c>
      <c r="B778" s="5" t="s">
        <v>2215</v>
      </c>
      <c r="C778" s="5" t="s">
        <v>94</v>
      </c>
      <c r="D778" s="5" t="s">
        <v>95</v>
      </c>
      <c r="E778" s="5" t="s">
        <v>287</v>
      </c>
      <c r="F778" s="9" t="s">
        <v>489</v>
      </c>
      <c r="G778" s="9">
        <v>1003</v>
      </c>
      <c r="H778" s="5" t="s">
        <v>21</v>
      </c>
      <c r="I778" s="5" t="s">
        <v>2216</v>
      </c>
      <c r="J778" s="12" t="str">
        <f>HYPERLINK("https://www.boe.es/gazeta/dias/1808/08/12/pdfs/GMD-1808-112.pdf#page=7","Abrir facsímil")</f>
        <v>Abrir facsímil</v>
      </c>
      <c r="K778" s="15" t="s">
        <v>23</v>
      </c>
    </row>
    <row r="779" spans="1:11" ht="42" customHeight="1">
      <c r="A779" s="4" t="s">
        <v>2217</v>
      </c>
      <c r="B779" s="5" t="s">
        <v>2217</v>
      </c>
      <c r="C779" s="5" t="s">
        <v>101</v>
      </c>
      <c r="D779" s="5" t="s">
        <v>102</v>
      </c>
      <c r="E779" s="5" t="s">
        <v>1415</v>
      </c>
      <c r="F779" s="9" t="s">
        <v>1416</v>
      </c>
      <c r="G779" s="9">
        <v>414</v>
      </c>
      <c r="H779" s="5" t="s">
        <v>21</v>
      </c>
      <c r="I779" s="5" t="s">
        <v>2218</v>
      </c>
      <c r="J779" s="12" t="str">
        <f>HYPERLINK("https://www.boe.es/gazeta/dias/1808/04/26/pdfs/GMD-1808-41.pdf#page=6","Abrir facsímil")</f>
        <v>Abrir facsímil</v>
      </c>
      <c r="K779" s="15" t="s">
        <v>23</v>
      </c>
    </row>
    <row r="780" spans="1:11" ht="42" customHeight="1">
      <c r="A780" s="4" t="s">
        <v>2219</v>
      </c>
      <c r="B780" s="5" t="s">
        <v>2219</v>
      </c>
      <c r="C780" s="5" t="s">
        <v>33</v>
      </c>
      <c r="D780" s="5" t="s">
        <v>34</v>
      </c>
      <c r="E780" s="5" t="s">
        <v>35</v>
      </c>
      <c r="F780" s="9" t="s">
        <v>36</v>
      </c>
      <c r="G780" s="9" t="s">
        <v>1178</v>
      </c>
      <c r="H780" s="5" t="s">
        <v>21</v>
      </c>
      <c r="I780" s="5" t="s">
        <v>2220</v>
      </c>
      <c r="J780" s="12" t="str">
        <f>HYPERLINK("https://www.boe.es/gazeta/dias/1808/04/22/pdfs/GMD-C-1808-38.pdf#page=9","Abrir facsímil")</f>
        <v>Abrir facsímil</v>
      </c>
      <c r="K780" s="15" t="s">
        <v>23</v>
      </c>
    </row>
    <row r="781" spans="1:11" ht="42" customHeight="1">
      <c r="A781" s="4" t="s">
        <v>2221</v>
      </c>
      <c r="B781" s="5" t="s">
        <v>2221</v>
      </c>
      <c r="C781" s="5" t="s">
        <v>33</v>
      </c>
      <c r="D781" s="5" t="s">
        <v>34</v>
      </c>
      <c r="E781" s="5" t="s">
        <v>391</v>
      </c>
      <c r="F781" s="9" t="s">
        <v>588</v>
      </c>
      <c r="G781" s="9" t="s">
        <v>75</v>
      </c>
      <c r="H781" s="5" t="s">
        <v>21</v>
      </c>
      <c r="I781" s="5" t="s">
        <v>2222</v>
      </c>
      <c r="J781" s="12" t="str">
        <f>HYPERLINK("https://www.boe.es/gazeta/dias/1808/09/27/pdfs/GMD-C-1808-128.pdf#page=4","Abrir facsímil")</f>
        <v>Abrir facsímil</v>
      </c>
      <c r="K781" s="15" t="s">
        <v>23</v>
      </c>
    </row>
    <row r="782" spans="1:11" ht="42" customHeight="1">
      <c r="A782" s="4" t="s">
        <v>2223</v>
      </c>
      <c r="B782" s="5" t="s">
        <v>2224</v>
      </c>
      <c r="C782" s="5" t="s">
        <v>33</v>
      </c>
      <c r="D782" s="5" t="s">
        <v>34</v>
      </c>
      <c r="E782" s="5" t="s">
        <v>391</v>
      </c>
      <c r="F782" s="9" t="s">
        <v>588</v>
      </c>
      <c r="G782" s="9" t="s">
        <v>106</v>
      </c>
      <c r="H782" s="5" t="s">
        <v>21</v>
      </c>
      <c r="I782" s="5" t="s">
        <v>2225</v>
      </c>
      <c r="J782" s="12" t="str">
        <f>HYPERLINK("https://www.boe.es/gazeta/dias/1808/09/27/pdfs/GMD-C-1808-128.pdf#page=3","Abrir facsímil")</f>
        <v>Abrir facsímil</v>
      </c>
      <c r="K782" s="15" t="s">
        <v>23</v>
      </c>
    </row>
    <row r="783" spans="1:11" ht="42" customHeight="1">
      <c r="A783" s="4" t="s">
        <v>2223</v>
      </c>
      <c r="B783" s="5" t="s">
        <v>2224</v>
      </c>
      <c r="C783" s="5" t="s">
        <v>17</v>
      </c>
      <c r="D783" s="5" t="s">
        <v>18</v>
      </c>
      <c r="E783" s="5" t="s">
        <v>89</v>
      </c>
      <c r="F783" s="9" t="s">
        <v>90</v>
      </c>
      <c r="G783" s="9">
        <v>1362</v>
      </c>
      <c r="H783" s="5" t="s">
        <v>21</v>
      </c>
      <c r="I783" s="5" t="s">
        <v>2226</v>
      </c>
      <c r="J783" s="12" t="str">
        <f>HYPERLINK("https://www.boe.es/gazeta/dias/1808/10/25/pdfs/GMD-1808-137.pdf#page=10","Abrir facsímil")</f>
        <v>Abrir facsímil</v>
      </c>
      <c r="K783" s="15" t="s">
        <v>23</v>
      </c>
    </row>
    <row r="784" spans="1:11" ht="42" customHeight="1">
      <c r="A784" s="4" t="s">
        <v>2223</v>
      </c>
      <c r="B784" s="5" t="s">
        <v>2224</v>
      </c>
      <c r="C784" s="5" t="s">
        <v>17</v>
      </c>
      <c r="D784" s="5" t="s">
        <v>18</v>
      </c>
      <c r="E784" s="5" t="s">
        <v>28</v>
      </c>
      <c r="F784" s="9" t="s">
        <v>29</v>
      </c>
      <c r="G784" s="9">
        <v>1427</v>
      </c>
      <c r="H784" s="5" t="s">
        <v>21</v>
      </c>
      <c r="I784" s="5" t="s">
        <v>2227</v>
      </c>
      <c r="J784" s="12" t="str">
        <f>HYPERLINK("https://www.boe.es/gazeta/dias/1808/11/04/pdfs/GMD-1808-141.pdf#page=9","Abrir facsímil")</f>
        <v>Abrir facsímil</v>
      </c>
      <c r="K784" s="15" t="s">
        <v>23</v>
      </c>
    </row>
    <row r="785" spans="1:11" ht="42" customHeight="1">
      <c r="A785" s="4" t="s">
        <v>2228</v>
      </c>
      <c r="B785" s="5" t="s">
        <v>2229</v>
      </c>
      <c r="C785" s="5" t="s">
        <v>17</v>
      </c>
      <c r="D785" s="5" t="s">
        <v>18</v>
      </c>
      <c r="E785" s="5" t="s">
        <v>139</v>
      </c>
      <c r="F785" s="9" t="s">
        <v>140</v>
      </c>
      <c r="G785" s="9">
        <v>1203</v>
      </c>
      <c r="H785" s="5" t="s">
        <v>21</v>
      </c>
      <c r="I785" s="5" t="s">
        <v>2230</v>
      </c>
      <c r="J785" s="12" t="str">
        <f>HYPERLINK("https://www.boe.es/gazeta/dias/1808/09/23/pdfs/GMD-1808-127.pdf#page=11","Abrir facsímil")</f>
        <v>Abrir facsímil</v>
      </c>
      <c r="K785" s="15" t="s">
        <v>23</v>
      </c>
    </row>
    <row r="786" spans="1:11" ht="42" customHeight="1">
      <c r="A786" s="4" t="s">
        <v>2231</v>
      </c>
      <c r="B786" s="5" t="s">
        <v>2232</v>
      </c>
      <c r="C786" s="5" t="s">
        <v>41</v>
      </c>
      <c r="D786" s="5" t="s">
        <v>42</v>
      </c>
      <c r="E786" s="5" t="s">
        <v>616</v>
      </c>
      <c r="F786" s="9" t="s">
        <v>617</v>
      </c>
      <c r="G786" s="9">
        <v>1046</v>
      </c>
      <c r="H786" s="5" t="s">
        <v>21</v>
      </c>
      <c r="I786" s="5" t="s">
        <v>2233</v>
      </c>
      <c r="J786" s="12" t="str">
        <f>HYPERLINK("https://www.boe.es/gazeta/dias/1808/08/19/pdfs/GMD-1808-115.pdf#page=12","Abrir facsímil")</f>
        <v>Abrir facsímil</v>
      </c>
      <c r="K786" s="15" t="s">
        <v>23</v>
      </c>
    </row>
    <row r="787" spans="1:11" ht="42" customHeight="1">
      <c r="A787" s="4" t="s">
        <v>2234</v>
      </c>
      <c r="B787" s="5" t="s">
        <v>2235</v>
      </c>
      <c r="C787" s="5" t="s">
        <v>33</v>
      </c>
      <c r="D787" s="5" t="s">
        <v>34</v>
      </c>
      <c r="E787" s="5" t="s">
        <v>363</v>
      </c>
      <c r="F787" s="9" t="s">
        <v>364</v>
      </c>
      <c r="G787" s="9" t="s">
        <v>199</v>
      </c>
      <c r="H787" s="5" t="s">
        <v>21</v>
      </c>
      <c r="I787" s="5" t="s">
        <v>2236</v>
      </c>
      <c r="J787" s="12" t="str">
        <f>HYPERLINK("https://www.boe.es/gazeta/dias/1808/09/20/pdfs/GMD-C-1808-126.pdf#page=2","Abrir facsímil")</f>
        <v>Abrir facsímil</v>
      </c>
      <c r="K787" s="15" t="s">
        <v>23</v>
      </c>
    </row>
    <row r="788" spans="1:11" ht="42" customHeight="1">
      <c r="A788" s="4" t="s">
        <v>2237</v>
      </c>
      <c r="B788" s="5" t="s">
        <v>2238</v>
      </c>
      <c r="C788" s="5" t="s">
        <v>17</v>
      </c>
      <c r="D788" s="5" t="s">
        <v>18</v>
      </c>
      <c r="E788" s="5" t="s">
        <v>418</v>
      </c>
      <c r="F788" s="9" t="s">
        <v>1218</v>
      </c>
      <c r="G788" s="9">
        <v>1121</v>
      </c>
      <c r="H788" s="5" t="s">
        <v>21</v>
      </c>
      <c r="I788" s="5" t="s">
        <v>2239</v>
      </c>
      <c r="J788" s="12" t="str">
        <f>HYPERLINK("https://www.boe.es/gazeta/dias/1808/09/06/pdfs/GMD-1808-120.pdf#page=3","Abrir facsímil")</f>
        <v>Abrir facsímil</v>
      </c>
      <c r="K788" s="15" t="s">
        <v>23</v>
      </c>
    </row>
    <row r="789" spans="1:11" ht="42" customHeight="1">
      <c r="A789" s="4" t="s">
        <v>2240</v>
      </c>
      <c r="B789" s="5" t="s">
        <v>2241</v>
      </c>
      <c r="C789" s="5" t="s">
        <v>33</v>
      </c>
      <c r="D789" s="5" t="s">
        <v>34</v>
      </c>
      <c r="E789" s="5" t="s">
        <v>19</v>
      </c>
      <c r="F789" s="9" t="s">
        <v>949</v>
      </c>
      <c r="G789" s="9" t="s">
        <v>199</v>
      </c>
      <c r="H789" s="5" t="s">
        <v>21</v>
      </c>
      <c r="I789" s="5" t="s">
        <v>2242</v>
      </c>
      <c r="J789" s="12" t="str">
        <f>HYPERLINK("https://www.boe.es/gazeta/dias/1808/09/30/pdfs/GMD-C-1808-130.pdf#page=2","Abrir facsímil")</f>
        <v>Abrir facsímil</v>
      </c>
      <c r="K789" s="15" t="s">
        <v>23</v>
      </c>
    </row>
    <row r="790" spans="1:11" ht="42" customHeight="1">
      <c r="A790" s="4" t="s">
        <v>2243</v>
      </c>
      <c r="B790" s="5" t="s">
        <v>2244</v>
      </c>
      <c r="C790" s="5" t="s">
        <v>17</v>
      </c>
      <c r="D790" s="5" t="s">
        <v>18</v>
      </c>
      <c r="E790" s="5" t="s">
        <v>1415</v>
      </c>
      <c r="F790" s="9" t="s">
        <v>1416</v>
      </c>
      <c r="G790" s="9">
        <v>415</v>
      </c>
      <c r="H790" s="5" t="s">
        <v>21</v>
      </c>
      <c r="I790" s="5" t="s">
        <v>2245</v>
      </c>
      <c r="J790" s="12" t="str">
        <f>HYPERLINK("https://www.boe.es/gazeta/dias/1808/04/26/pdfs/GMD-1808-41.pdf#page=7","Abrir facsímil")</f>
        <v>Abrir facsímil</v>
      </c>
      <c r="K790" s="15" t="s">
        <v>23</v>
      </c>
    </row>
    <row r="791" spans="1:11" ht="42" customHeight="1">
      <c r="A791" s="4" t="s">
        <v>2246</v>
      </c>
      <c r="B791" s="5" t="s">
        <v>2247</v>
      </c>
      <c r="C791" s="5" t="s">
        <v>33</v>
      </c>
      <c r="D791" s="5" t="s">
        <v>34</v>
      </c>
      <c r="E791" s="5" t="s">
        <v>153</v>
      </c>
      <c r="F791" s="9" t="s">
        <v>154</v>
      </c>
      <c r="G791" s="9" t="s">
        <v>75</v>
      </c>
      <c r="H791" s="5" t="s">
        <v>21</v>
      </c>
      <c r="I791" s="5" t="s">
        <v>2248</v>
      </c>
      <c r="J791" s="12" t="str">
        <f>HYPERLINK("https://www.boe.es/gazeta/dias/1808/09/09/pdfs/GMD-C-1808-121.pdf#page=4","Abrir facsímil")</f>
        <v>Abrir facsímil</v>
      </c>
      <c r="K791" s="15" t="s">
        <v>23</v>
      </c>
    </row>
    <row r="792" spans="1:11" ht="42" customHeight="1">
      <c r="A792" s="4" t="s">
        <v>2249</v>
      </c>
      <c r="B792" s="5" t="s">
        <v>2250</v>
      </c>
      <c r="C792" s="5" t="s">
        <v>41</v>
      </c>
      <c r="D792" s="5" t="s">
        <v>42</v>
      </c>
      <c r="E792" s="5" t="s">
        <v>35</v>
      </c>
      <c r="F792" s="9" t="s">
        <v>36</v>
      </c>
      <c r="G792" s="9" t="s">
        <v>43</v>
      </c>
      <c r="H792" s="5" t="s">
        <v>21</v>
      </c>
      <c r="I792" s="5" t="s">
        <v>2251</v>
      </c>
      <c r="J792" s="12" t="str">
        <f>HYPERLINK("https://www.boe.es/gazeta/dias/1808/04/22/pdfs/GMD-C-1808-38.pdf#page=30","Abrir facsímil")</f>
        <v>Abrir facsímil</v>
      </c>
      <c r="K792" s="15" t="s">
        <v>23</v>
      </c>
    </row>
    <row r="793" spans="1:11" ht="42" customHeight="1">
      <c r="A793" s="4" t="s">
        <v>2252</v>
      </c>
      <c r="B793" s="5" t="s">
        <v>2253</v>
      </c>
      <c r="C793" s="5" t="s">
        <v>33</v>
      </c>
      <c r="D793" s="5" t="s">
        <v>34</v>
      </c>
      <c r="E793" s="5" t="s">
        <v>139</v>
      </c>
      <c r="F793" s="9" t="s">
        <v>1089</v>
      </c>
      <c r="G793" s="9" t="s">
        <v>117</v>
      </c>
      <c r="H793" s="5" t="s">
        <v>21</v>
      </c>
      <c r="I793" s="5" t="s">
        <v>2254</v>
      </c>
      <c r="J793" s="12" t="str">
        <f>HYPERLINK("https://www.boe.es/gazeta/dias/1808/09/23/pdfs/GMD-C-1808-127.pdf#page=1","Abrir facsímil")</f>
        <v>Abrir facsímil</v>
      </c>
      <c r="K793" s="15" t="s">
        <v>23</v>
      </c>
    </row>
    <row r="794" spans="1:11" ht="42" customHeight="1">
      <c r="A794" s="4" t="s">
        <v>2255</v>
      </c>
      <c r="B794" s="5" t="s">
        <v>2255</v>
      </c>
      <c r="C794" s="5" t="s">
        <v>94</v>
      </c>
      <c r="D794" s="5" t="s">
        <v>95</v>
      </c>
      <c r="E794" s="5" t="s">
        <v>264</v>
      </c>
      <c r="F794" s="9" t="s">
        <v>2256</v>
      </c>
      <c r="G794" s="9">
        <v>1559</v>
      </c>
      <c r="H794" s="5" t="s">
        <v>21</v>
      </c>
      <c r="I794" s="5" t="s">
        <v>2257</v>
      </c>
      <c r="J794" s="12" t="str">
        <f>HYPERLINK("https://www.boe.es/gazeta/dias/1808/11/29/pdfs/GMD-1808-148.pdf#page=5","Abrir facsímil")</f>
        <v>Abrir facsímil</v>
      </c>
      <c r="K794" s="15" t="s">
        <v>23</v>
      </c>
    </row>
    <row r="795" spans="1:11" ht="42" customHeight="1">
      <c r="A795" s="4" t="s">
        <v>2258</v>
      </c>
      <c r="B795" s="5" t="s">
        <v>2258</v>
      </c>
      <c r="C795" s="5" t="s">
        <v>389</v>
      </c>
      <c r="D795" s="5" t="s">
        <v>390</v>
      </c>
      <c r="E795" s="5" t="s">
        <v>572</v>
      </c>
      <c r="F795" s="9" t="s">
        <v>573</v>
      </c>
      <c r="G795" s="9">
        <v>24</v>
      </c>
      <c r="H795" s="5" t="s">
        <v>21</v>
      </c>
      <c r="I795" s="5" t="s">
        <v>2259</v>
      </c>
      <c r="J795" s="12" t="str">
        <f>HYPERLINK("https://www.boe.es/gazeta/dias/1808/01/05/pdfs/GMD-1808-2.pdf#page=12","Abrir facsímil")</f>
        <v>Abrir facsímil</v>
      </c>
      <c r="K795" s="15" t="s">
        <v>23</v>
      </c>
    </row>
    <row r="796" spans="1:11" ht="42" customHeight="1">
      <c r="A796" s="4" t="s">
        <v>2260</v>
      </c>
      <c r="B796" s="5" t="s">
        <v>2261</v>
      </c>
      <c r="C796" s="5" t="s">
        <v>41</v>
      </c>
      <c r="D796" s="5" t="s">
        <v>42</v>
      </c>
      <c r="E796" s="5" t="s">
        <v>35</v>
      </c>
      <c r="F796" s="9" t="s">
        <v>36</v>
      </c>
      <c r="G796" s="9" t="s">
        <v>277</v>
      </c>
      <c r="H796" s="5" t="s">
        <v>21</v>
      </c>
      <c r="I796" s="5" t="s">
        <v>2262</v>
      </c>
      <c r="J796" s="12" t="str">
        <f>HYPERLINK("https://www.boe.es/gazeta/dias/1808/04/22/pdfs/GMD-C-1808-38.pdf#page=34","Abrir facsímil")</f>
        <v>Abrir facsímil</v>
      </c>
      <c r="K796" s="15" t="s">
        <v>23</v>
      </c>
    </row>
    <row r="797" spans="1:11" ht="42" customHeight="1">
      <c r="A797" s="4" t="s">
        <v>2263</v>
      </c>
      <c r="B797" s="5" t="s">
        <v>2263</v>
      </c>
      <c r="C797" s="5" t="s">
        <v>17</v>
      </c>
      <c r="D797" s="5" t="s">
        <v>18</v>
      </c>
      <c r="E797" s="5" t="s">
        <v>218</v>
      </c>
      <c r="F797" s="9" t="s">
        <v>219</v>
      </c>
      <c r="G797" s="9">
        <v>328</v>
      </c>
      <c r="H797" s="5" t="s">
        <v>21</v>
      </c>
      <c r="I797" s="5" t="s">
        <v>2264</v>
      </c>
      <c r="J797" s="12" t="str">
        <f>HYPERLINK("https://www.boe.es/gazeta/dias/1808/04/01/pdfs/GMD-1808-29.pdf#page=4","Abrir facsímil")</f>
        <v>Abrir facsímil</v>
      </c>
      <c r="K797" s="15" t="s">
        <v>23</v>
      </c>
    </row>
    <row r="798" spans="1:11" ht="42" customHeight="1">
      <c r="A798" s="4" t="s">
        <v>2265</v>
      </c>
      <c r="B798" s="5" t="s">
        <v>2266</v>
      </c>
      <c r="C798" s="5" t="s">
        <v>94</v>
      </c>
      <c r="D798" s="5" t="s">
        <v>95</v>
      </c>
      <c r="E798" s="5" t="s">
        <v>19</v>
      </c>
      <c r="F798" s="9" t="s">
        <v>59</v>
      </c>
      <c r="G798" s="9">
        <v>1226</v>
      </c>
      <c r="H798" s="5" t="s">
        <v>21</v>
      </c>
      <c r="I798" s="5" t="s">
        <v>2267</v>
      </c>
      <c r="J798" s="12" t="str">
        <f>HYPERLINK("https://www.boe.es/gazeta/dias/1808/09/30/pdfs/GMD-1808-130.pdf#page=6","Abrir facsímil")</f>
        <v>Abrir facsímil</v>
      </c>
      <c r="K798" s="15" t="s">
        <v>23</v>
      </c>
    </row>
    <row r="799" spans="1:11" ht="42" customHeight="1">
      <c r="A799" s="4" t="s">
        <v>2268</v>
      </c>
      <c r="B799" s="5" t="s">
        <v>2268</v>
      </c>
      <c r="C799" s="5" t="s">
        <v>33</v>
      </c>
      <c r="D799" s="5" t="s">
        <v>34</v>
      </c>
      <c r="E799" s="5" t="s">
        <v>197</v>
      </c>
      <c r="F799" s="9" t="s">
        <v>2269</v>
      </c>
      <c r="G799" s="9">
        <v>1411</v>
      </c>
      <c r="H799" s="5" t="s">
        <v>21</v>
      </c>
      <c r="I799" s="5" t="s">
        <v>2270</v>
      </c>
      <c r="J799" s="12" t="str">
        <f>HYPERLINK("https://www.boe.es/gazeta/dias/1808/11/01/pdfs/GMD-C-1808-140.pdf#page=1","Abrir facsímil")</f>
        <v>Abrir facsímil</v>
      </c>
      <c r="K799" s="15" t="s">
        <v>23</v>
      </c>
    </row>
    <row r="800" spans="1:11" ht="42" customHeight="1">
      <c r="A800" s="4" t="s">
        <v>2271</v>
      </c>
      <c r="B800" s="5" t="s">
        <v>2272</v>
      </c>
      <c r="C800" s="5" t="s">
        <v>94</v>
      </c>
      <c r="D800" s="5" t="s">
        <v>95</v>
      </c>
      <c r="E800" s="5" t="s">
        <v>51</v>
      </c>
      <c r="F800" s="9" t="s">
        <v>52</v>
      </c>
      <c r="G800" s="9">
        <v>990</v>
      </c>
      <c r="H800" s="5" t="s">
        <v>21</v>
      </c>
      <c r="I800" s="5" t="s">
        <v>2273</v>
      </c>
      <c r="J800" s="12" t="str">
        <f>HYPERLINK("https://www.boe.es/gazeta/dias/1808/08/09/pdfs/GMD-1808-111.pdf#page=6","Abrir facsímil")</f>
        <v>Abrir facsímil</v>
      </c>
      <c r="K800" s="15" t="s">
        <v>23</v>
      </c>
    </row>
    <row r="801" spans="1:11" ht="42" customHeight="1">
      <c r="A801" s="4" t="s">
        <v>2274</v>
      </c>
      <c r="B801" s="5" t="s">
        <v>2275</v>
      </c>
      <c r="C801" s="5" t="s">
        <v>41</v>
      </c>
      <c r="D801" s="5" t="s">
        <v>42</v>
      </c>
      <c r="E801" s="5" t="s">
        <v>35</v>
      </c>
      <c r="F801" s="9" t="s">
        <v>36</v>
      </c>
      <c r="G801" s="9" t="s">
        <v>284</v>
      </c>
      <c r="H801" s="5" t="s">
        <v>21</v>
      </c>
      <c r="I801" s="5" t="s">
        <v>2276</v>
      </c>
      <c r="J801" s="12" t="str">
        <f>HYPERLINK("https://www.boe.es/gazeta/dias/1808/04/22/pdfs/GMD-C-1808-38.pdf#page=35","Abrir facsímil")</f>
        <v>Abrir facsímil</v>
      </c>
      <c r="K801" s="15" t="s">
        <v>23</v>
      </c>
    </row>
    <row r="802" spans="1:11" ht="42" customHeight="1">
      <c r="A802" s="4" t="s">
        <v>2277</v>
      </c>
      <c r="B802" s="5" t="s">
        <v>2277</v>
      </c>
      <c r="C802" s="5" t="s">
        <v>41</v>
      </c>
      <c r="D802" s="5" t="s">
        <v>42</v>
      </c>
      <c r="E802" s="5" t="s">
        <v>35</v>
      </c>
      <c r="F802" s="9" t="s">
        <v>36</v>
      </c>
      <c r="G802" s="9" t="s">
        <v>37</v>
      </c>
      <c r="H802" s="5" t="s">
        <v>21</v>
      </c>
      <c r="I802" s="5" t="s">
        <v>2278</v>
      </c>
      <c r="J802" s="12" t="str">
        <f>HYPERLINK("https://www.boe.es/gazeta/dias/1808/04/22/pdfs/GMD-C-1808-38.pdf#page=33","Abrir facsímil")</f>
        <v>Abrir facsímil</v>
      </c>
      <c r="K802" s="15" t="s">
        <v>23</v>
      </c>
    </row>
    <row r="803" spans="1:11" ht="42" customHeight="1">
      <c r="A803" s="4" t="s">
        <v>2279</v>
      </c>
      <c r="B803" s="5" t="s">
        <v>2280</v>
      </c>
      <c r="C803" s="5" t="s">
        <v>389</v>
      </c>
      <c r="D803" s="5" t="s">
        <v>390</v>
      </c>
      <c r="E803" s="5" t="s">
        <v>2281</v>
      </c>
      <c r="F803" s="9" t="s">
        <v>2282</v>
      </c>
      <c r="G803" s="9">
        <v>424</v>
      </c>
      <c r="H803" s="5" t="s">
        <v>21</v>
      </c>
      <c r="I803" s="5" t="s">
        <v>2283</v>
      </c>
      <c r="J803" s="12" t="str">
        <f>HYPERLINK("https://www.boe.es/gazeta/dias/1808/04/29/pdfs/GMD-1808-42.pdf#page=8","Abrir facsímil")</f>
        <v>Abrir facsímil</v>
      </c>
      <c r="K803" s="15" t="s">
        <v>23</v>
      </c>
    </row>
    <row r="804" spans="1:11" ht="42" customHeight="1">
      <c r="A804" s="4" t="s">
        <v>2284</v>
      </c>
      <c r="B804" s="5" t="s">
        <v>2284</v>
      </c>
      <c r="C804" s="5" t="s">
        <v>17</v>
      </c>
      <c r="D804" s="5" t="s">
        <v>18</v>
      </c>
      <c r="E804" s="5" t="s">
        <v>2204</v>
      </c>
      <c r="F804" s="9" t="s">
        <v>2285</v>
      </c>
      <c r="G804" s="9">
        <v>685</v>
      </c>
      <c r="H804" s="5" t="s">
        <v>21</v>
      </c>
      <c r="I804" s="5" t="s">
        <v>2286</v>
      </c>
      <c r="J804" s="12" t="str">
        <f>HYPERLINK("https://www.boe.es/gazeta/dias/1808/06/29/pdfs/GMD-1808-71.pdf#page=7","Abrir facsímil")</f>
        <v>Abrir facsímil</v>
      </c>
      <c r="K804" s="15" t="s">
        <v>23</v>
      </c>
    </row>
    <row r="805" spans="1:11" ht="42" customHeight="1">
      <c r="A805" s="4" t="s">
        <v>2284</v>
      </c>
      <c r="B805" s="5" t="s">
        <v>2284</v>
      </c>
      <c r="C805" s="5" t="s">
        <v>17</v>
      </c>
      <c r="D805" s="5" t="s">
        <v>18</v>
      </c>
      <c r="E805" s="5" t="s">
        <v>28</v>
      </c>
      <c r="F805" s="9" t="s">
        <v>29</v>
      </c>
      <c r="G805" s="9">
        <v>1430</v>
      </c>
      <c r="H805" s="5" t="s">
        <v>21</v>
      </c>
      <c r="I805" s="5" t="s">
        <v>2287</v>
      </c>
      <c r="J805" s="12" t="str">
        <f>HYPERLINK("https://www.boe.es/gazeta/dias/1808/11/04/pdfs/GMD-1808-141.pdf#page=12","Abrir facsímil")</f>
        <v>Abrir facsímil</v>
      </c>
      <c r="K805" s="15" t="s">
        <v>23</v>
      </c>
    </row>
    <row r="806" spans="1:11" ht="42" customHeight="1">
      <c r="A806" s="4" t="s">
        <v>2288</v>
      </c>
      <c r="B806" s="5" t="s">
        <v>2288</v>
      </c>
      <c r="C806" s="5" t="s">
        <v>94</v>
      </c>
      <c r="D806" s="5" t="s">
        <v>95</v>
      </c>
      <c r="E806" s="5" t="s">
        <v>427</v>
      </c>
      <c r="F806" s="9" t="s">
        <v>1802</v>
      </c>
      <c r="G806" s="9">
        <v>1522</v>
      </c>
      <c r="H806" s="5" t="s">
        <v>21</v>
      </c>
      <c r="I806" s="5" t="s">
        <v>2289</v>
      </c>
      <c r="J806" s="12" t="str">
        <f>HYPERLINK("https://www.boe.es/gazeta/dias/1808/11/22/pdfs/GMD-1808-146.pdf#page=8","Abrir facsímil")</f>
        <v>Abrir facsímil</v>
      </c>
      <c r="K806" s="15" t="s">
        <v>23</v>
      </c>
    </row>
    <row r="807" spans="1:11" ht="42" customHeight="1">
      <c r="A807" s="4" t="s">
        <v>2290</v>
      </c>
      <c r="B807" s="5" t="s">
        <v>2290</v>
      </c>
      <c r="C807" s="5" t="s">
        <v>260</v>
      </c>
      <c r="D807" s="5" t="s">
        <v>42</v>
      </c>
      <c r="E807" s="5" t="s">
        <v>2204</v>
      </c>
      <c r="F807" s="9" t="s">
        <v>2285</v>
      </c>
      <c r="G807" s="9">
        <v>685</v>
      </c>
      <c r="H807" s="5" t="s">
        <v>21</v>
      </c>
      <c r="I807" s="5" t="s">
        <v>2291</v>
      </c>
      <c r="J807" s="12" t="str">
        <f>HYPERLINK("https://www.boe.es/gazeta/dias/1808/06/29/pdfs/GMD-1808-71.pdf#page=7","Abrir facsímil")</f>
        <v>Abrir facsímil</v>
      </c>
      <c r="K807" s="15" t="s">
        <v>23</v>
      </c>
    </row>
    <row r="808" spans="1:11" ht="42" customHeight="1">
      <c r="A808" s="4" t="s">
        <v>2290</v>
      </c>
      <c r="B808" s="5" t="s">
        <v>2290</v>
      </c>
      <c r="C808" s="5" t="s">
        <v>260</v>
      </c>
      <c r="D808" s="5" t="s">
        <v>42</v>
      </c>
      <c r="E808" s="5" t="s">
        <v>28</v>
      </c>
      <c r="F808" s="9" t="s">
        <v>29</v>
      </c>
      <c r="G808" s="9">
        <v>1430</v>
      </c>
      <c r="H808" s="5" t="s">
        <v>21</v>
      </c>
      <c r="I808" s="5" t="s">
        <v>2292</v>
      </c>
      <c r="J808" s="12" t="str">
        <f>HYPERLINK("https://www.boe.es/gazeta/dias/1808/11/04/pdfs/GMD-1808-141.pdf#page=12","Abrir facsímil")</f>
        <v>Abrir facsímil</v>
      </c>
      <c r="K808" s="15" t="s">
        <v>23</v>
      </c>
    </row>
    <row r="809" spans="1:11" ht="42" customHeight="1">
      <c r="A809" s="4" t="s">
        <v>2293</v>
      </c>
      <c r="B809" s="5" t="s">
        <v>2293</v>
      </c>
      <c r="C809" s="5" t="s">
        <v>17</v>
      </c>
      <c r="D809" s="5" t="s">
        <v>18</v>
      </c>
      <c r="E809" s="5" t="s">
        <v>65</v>
      </c>
      <c r="F809" s="9" t="s">
        <v>66</v>
      </c>
      <c r="G809" s="9">
        <v>1307</v>
      </c>
      <c r="H809" s="5" t="s">
        <v>21</v>
      </c>
      <c r="I809" s="5" t="s">
        <v>2294</v>
      </c>
      <c r="J809" s="12" t="str">
        <f>HYPERLINK("https://www.boe.es/gazeta/dias/1808/10/18/pdfs/GMD-1808-135.pdf#page=7","Abrir facsímil")</f>
        <v>Abrir facsímil</v>
      </c>
      <c r="K809" s="15" t="s">
        <v>23</v>
      </c>
    </row>
    <row r="810" spans="1:11" ht="42" customHeight="1">
      <c r="A810" s="4" t="s">
        <v>2295</v>
      </c>
      <c r="B810" s="5" t="s">
        <v>2296</v>
      </c>
      <c r="C810" s="5" t="s">
        <v>26</v>
      </c>
      <c r="D810" s="5" t="s">
        <v>27</v>
      </c>
      <c r="E810" s="5" t="s">
        <v>68</v>
      </c>
      <c r="F810" s="9" t="s">
        <v>309</v>
      </c>
      <c r="G810" s="9" t="s">
        <v>117</v>
      </c>
      <c r="H810" s="5" t="s">
        <v>21</v>
      </c>
      <c r="I810" s="5" t="s">
        <v>2297</v>
      </c>
      <c r="J810" s="12" t="str">
        <f>HYPERLINK("https://www.boe.es/gazeta/dias/1808/10/21/pdfs/GMD-D-1808-136.pdf#page=1","Abrir facsímil")</f>
        <v>Abrir facsímil</v>
      </c>
      <c r="K810" s="15" t="s">
        <v>23</v>
      </c>
    </row>
    <row r="811" spans="1:11" ht="42" customHeight="1">
      <c r="A811" s="4" t="s">
        <v>2298</v>
      </c>
      <c r="B811" s="5" t="s">
        <v>2298</v>
      </c>
      <c r="C811" s="5" t="s">
        <v>101</v>
      </c>
      <c r="D811" s="5" t="s">
        <v>102</v>
      </c>
      <c r="E811" s="5" t="s">
        <v>1148</v>
      </c>
      <c r="F811" s="9" t="s">
        <v>1149</v>
      </c>
      <c r="G811" s="9">
        <v>498</v>
      </c>
      <c r="H811" s="5" t="s">
        <v>21</v>
      </c>
      <c r="I811" s="5" t="s">
        <v>2299</v>
      </c>
      <c r="J811" s="12" t="str">
        <f>HYPERLINK("https://www.boe.es/gazeta/dias/1808/05/27/pdfs/GMD-1808-50.pdf#page=2","Abrir facsímil")</f>
        <v>Abrir facsímil</v>
      </c>
      <c r="K811" s="15" t="s">
        <v>23</v>
      </c>
    </row>
    <row r="812" spans="1:11" ht="42" customHeight="1">
      <c r="A812" s="4" t="s">
        <v>2300</v>
      </c>
      <c r="B812" s="5" t="s">
        <v>2301</v>
      </c>
      <c r="C812" s="5" t="s">
        <v>17</v>
      </c>
      <c r="D812" s="5" t="s">
        <v>18</v>
      </c>
      <c r="E812" s="5" t="s">
        <v>242</v>
      </c>
      <c r="F812" s="9" t="s">
        <v>243</v>
      </c>
      <c r="G812" s="9">
        <v>10</v>
      </c>
      <c r="H812" s="5" t="s">
        <v>21</v>
      </c>
      <c r="I812" s="5" t="s">
        <v>2302</v>
      </c>
      <c r="J812" s="12" t="str">
        <f>HYPERLINK("https://www.boe.es/gazeta/dias/1808/01/01/pdfs/GMD-1808-1.pdf#page=10","Abrir facsímil")</f>
        <v>Abrir facsímil</v>
      </c>
      <c r="K812" s="15" t="s">
        <v>23</v>
      </c>
    </row>
    <row r="813" spans="1:11" ht="42" customHeight="1">
      <c r="A813" s="4" t="s">
        <v>2303</v>
      </c>
      <c r="B813" s="5" t="s">
        <v>2304</v>
      </c>
      <c r="C813" s="5" t="s">
        <v>33</v>
      </c>
      <c r="D813" s="5" t="s">
        <v>34</v>
      </c>
      <c r="E813" s="5" t="s">
        <v>334</v>
      </c>
      <c r="F813" s="9" t="s">
        <v>335</v>
      </c>
      <c r="G813" s="9">
        <v>1251</v>
      </c>
      <c r="H813" s="5" t="s">
        <v>21</v>
      </c>
      <c r="I813" s="5" t="s">
        <v>2305</v>
      </c>
      <c r="J813" s="12" t="str">
        <f>HYPERLINK("https://www.boe.es/gazeta/dias/1808/10/04/pdfs/GMD-C-1808-131.pdf#page=3","Abrir facsímil")</f>
        <v>Abrir facsímil</v>
      </c>
      <c r="K813" s="15" t="s">
        <v>23</v>
      </c>
    </row>
    <row r="814" spans="1:11" ht="42" customHeight="1">
      <c r="A814" s="4" t="s">
        <v>2306</v>
      </c>
      <c r="B814" s="5" t="s">
        <v>2307</v>
      </c>
      <c r="C814" s="5" t="s">
        <v>33</v>
      </c>
      <c r="D814" s="5" t="s">
        <v>34</v>
      </c>
      <c r="E814" s="5" t="s">
        <v>115</v>
      </c>
      <c r="F814" s="9" t="s">
        <v>116</v>
      </c>
      <c r="G814" s="9" t="s">
        <v>117</v>
      </c>
      <c r="H814" s="5" t="s">
        <v>21</v>
      </c>
      <c r="I814" s="5" t="s">
        <v>2308</v>
      </c>
      <c r="J814" s="12" t="str">
        <f>HYPERLINK("https://www.boe.es/gazeta/dias/1808/09/16/pdfs/GMD-C-1808-125.pdf#page=1","Abrir facsímil")</f>
        <v>Abrir facsímil</v>
      </c>
      <c r="K814" s="15" t="s">
        <v>23</v>
      </c>
    </row>
    <row r="815" spans="1:11" ht="42" customHeight="1">
      <c r="A815" s="4" t="s">
        <v>2309</v>
      </c>
      <c r="B815" s="5" t="s">
        <v>2310</v>
      </c>
      <c r="C815" s="5" t="s">
        <v>33</v>
      </c>
      <c r="D815" s="5" t="s">
        <v>34</v>
      </c>
      <c r="E815" s="5" t="s">
        <v>35</v>
      </c>
      <c r="F815" s="9" t="s">
        <v>36</v>
      </c>
      <c r="G815" s="9" t="s">
        <v>273</v>
      </c>
      <c r="H815" s="5" t="s">
        <v>21</v>
      </c>
      <c r="I815" s="5" t="s">
        <v>2311</v>
      </c>
      <c r="J815" s="12" t="str">
        <f>HYPERLINK("https://www.boe.es/gazeta/dias/1808/04/22/pdfs/GMD-C-1808-38.pdf#page=12","Abrir facsímil")</f>
        <v>Abrir facsímil</v>
      </c>
      <c r="K815" s="15" t="s">
        <v>23</v>
      </c>
    </row>
    <row r="816" spans="1:11" ht="42" customHeight="1">
      <c r="A816" s="4" t="s">
        <v>2312</v>
      </c>
      <c r="B816" s="5" t="s">
        <v>2313</v>
      </c>
      <c r="C816" s="5" t="s">
        <v>33</v>
      </c>
      <c r="D816" s="5" t="s">
        <v>34</v>
      </c>
      <c r="E816" s="5" t="s">
        <v>35</v>
      </c>
      <c r="F816" s="9" t="s">
        <v>36</v>
      </c>
      <c r="G816" s="9" t="s">
        <v>75</v>
      </c>
      <c r="H816" s="5" t="s">
        <v>21</v>
      </c>
      <c r="I816" s="5" t="s">
        <v>2314</v>
      </c>
      <c r="J816" s="12" t="str">
        <f>HYPERLINK("https://www.boe.es/gazeta/dias/1808/04/22/pdfs/GMD-C-1808-38.pdf#page=4","Abrir facsímil")</f>
        <v>Abrir facsímil</v>
      </c>
      <c r="K816" s="15" t="s">
        <v>23</v>
      </c>
    </row>
    <row r="817" spans="1:11" ht="42" customHeight="1">
      <c r="A817" s="4" t="s">
        <v>2315</v>
      </c>
      <c r="B817" s="5" t="s">
        <v>2315</v>
      </c>
      <c r="C817" s="5" t="s">
        <v>94</v>
      </c>
      <c r="D817" s="5" t="s">
        <v>95</v>
      </c>
      <c r="E817" s="5" t="s">
        <v>2316</v>
      </c>
      <c r="F817" s="9" t="s">
        <v>2317</v>
      </c>
      <c r="G817" s="9">
        <v>1693</v>
      </c>
      <c r="H817" s="5" t="s">
        <v>21</v>
      </c>
      <c r="I817" s="5" t="s">
        <v>2318</v>
      </c>
      <c r="J817" s="12" t="str">
        <f>HYPERLINK("https://www.boe.es/gazeta/dias/1808/12/29/pdfs/GMD-1808-169.pdf#page=3","Abrir facsímil")</f>
        <v>Abrir facsímil</v>
      </c>
      <c r="K817" s="15" t="s">
        <v>23</v>
      </c>
    </row>
    <row r="818" spans="1:11" ht="42" customHeight="1">
      <c r="A818" s="4" t="s">
        <v>2319</v>
      </c>
      <c r="B818" s="5" t="s">
        <v>2320</v>
      </c>
      <c r="C818" s="5" t="s">
        <v>94</v>
      </c>
      <c r="D818" s="5" t="s">
        <v>95</v>
      </c>
      <c r="E818" s="5" t="s">
        <v>210</v>
      </c>
      <c r="F818" s="9" t="s">
        <v>211</v>
      </c>
      <c r="G818" s="9">
        <v>253</v>
      </c>
      <c r="H818" s="5" t="s">
        <v>21</v>
      </c>
      <c r="I818" s="5" t="s">
        <v>2321</v>
      </c>
      <c r="J818" s="12" t="str">
        <f>HYPERLINK("https://www.boe.es/gazeta/dias/1808/03/11/pdfs/GMD-1808-21.pdf#page=7","Abrir facsímil")</f>
        <v>Abrir facsímil</v>
      </c>
      <c r="K818" s="15" t="s">
        <v>23</v>
      </c>
    </row>
    <row r="819" spans="1:11" ht="42" customHeight="1">
      <c r="A819" s="4" t="s">
        <v>2322</v>
      </c>
      <c r="B819" s="5" t="s">
        <v>2322</v>
      </c>
      <c r="C819" s="5" t="s">
        <v>94</v>
      </c>
      <c r="D819" s="5" t="s">
        <v>95</v>
      </c>
      <c r="E819" s="5" t="s">
        <v>2323</v>
      </c>
      <c r="F819" s="9" t="s">
        <v>2324</v>
      </c>
      <c r="G819" s="9">
        <v>921</v>
      </c>
      <c r="H819" s="5" t="s">
        <v>21</v>
      </c>
      <c r="I819" s="5" t="s">
        <v>2325</v>
      </c>
      <c r="J819" s="12" t="str">
        <f>HYPERLINK("https://www.boe.es/gazeta/dias/1808/07/29/pdfs/GMD-1808-101.pdf#page=3","Abrir facsímil")</f>
        <v>Abrir facsímil</v>
      </c>
      <c r="K819" s="15" t="s">
        <v>23</v>
      </c>
    </row>
    <row r="820" spans="1:11" ht="42" customHeight="1">
      <c r="A820" s="4" t="s">
        <v>2326</v>
      </c>
      <c r="B820" s="5" t="s">
        <v>2327</v>
      </c>
      <c r="C820" s="5" t="s">
        <v>33</v>
      </c>
      <c r="D820" s="5" t="s">
        <v>34</v>
      </c>
      <c r="E820" s="5" t="s">
        <v>115</v>
      </c>
      <c r="F820" s="9" t="s">
        <v>116</v>
      </c>
      <c r="G820" s="9" t="s">
        <v>117</v>
      </c>
      <c r="H820" s="5" t="s">
        <v>21</v>
      </c>
      <c r="I820" s="5" t="s">
        <v>2328</v>
      </c>
      <c r="J820" s="12" t="str">
        <f>HYPERLINK("https://www.boe.es/gazeta/dias/1808/09/16/pdfs/GMD-C-1808-125.pdf#page=1","Abrir facsímil")</f>
        <v>Abrir facsímil</v>
      </c>
      <c r="K820" s="15" t="s">
        <v>23</v>
      </c>
    </row>
    <row r="821" spans="1:11" ht="42" customHeight="1">
      <c r="A821" s="4" t="s">
        <v>2329</v>
      </c>
      <c r="B821" s="5" t="s">
        <v>2330</v>
      </c>
      <c r="C821" s="5" t="s">
        <v>94</v>
      </c>
      <c r="D821" s="5" t="s">
        <v>95</v>
      </c>
      <c r="E821" s="5" t="s">
        <v>418</v>
      </c>
      <c r="F821" s="9" t="s">
        <v>419</v>
      </c>
      <c r="G821" s="9">
        <v>1141</v>
      </c>
      <c r="H821" s="5" t="s">
        <v>21</v>
      </c>
      <c r="I821" s="5" t="s">
        <v>2331</v>
      </c>
      <c r="J821" s="12" t="str">
        <f>HYPERLINK("https://www.boe.es/gazeta/dias/1808/09/06/pdfs/GMD-C-1808-120.pdf#page=15","Abrir facsímil")</f>
        <v>Abrir facsímil</v>
      </c>
      <c r="K821" s="15" t="s">
        <v>23</v>
      </c>
    </row>
    <row r="822" spans="1:11" ht="42" customHeight="1">
      <c r="A822" s="4" t="s">
        <v>2332</v>
      </c>
      <c r="B822" s="5" t="s">
        <v>2333</v>
      </c>
      <c r="C822" s="5" t="s">
        <v>94</v>
      </c>
      <c r="D822" s="5" t="s">
        <v>95</v>
      </c>
      <c r="E822" s="5" t="s">
        <v>493</v>
      </c>
      <c r="F822" s="9" t="s">
        <v>494</v>
      </c>
      <c r="G822" s="9">
        <v>44</v>
      </c>
      <c r="H822" s="5" t="s">
        <v>21</v>
      </c>
      <c r="I822" s="5" t="s">
        <v>2334</v>
      </c>
      <c r="J822" s="12" t="str">
        <f>HYPERLINK("https://www.boe.es/gazeta/dias/1808/01/12/pdfs/GMD-1808-4.pdf#page=8","Abrir facsímil")</f>
        <v>Abrir facsímil</v>
      </c>
      <c r="K822" s="15" t="s">
        <v>23</v>
      </c>
    </row>
    <row r="823" spans="1:11" ht="42" customHeight="1">
      <c r="A823" s="4" t="s">
        <v>2335</v>
      </c>
      <c r="B823" s="5" t="s">
        <v>2336</v>
      </c>
      <c r="C823" s="5" t="s">
        <v>33</v>
      </c>
      <c r="D823" s="5" t="s">
        <v>34</v>
      </c>
      <c r="E823" s="5" t="s">
        <v>35</v>
      </c>
      <c r="F823" s="9" t="s">
        <v>36</v>
      </c>
      <c r="G823" s="9" t="s">
        <v>1294</v>
      </c>
      <c r="H823" s="5" t="s">
        <v>21</v>
      </c>
      <c r="I823" s="5" t="s">
        <v>2337</v>
      </c>
      <c r="J823" s="12" t="str">
        <f>HYPERLINK("https://www.boe.es/gazeta/dias/1808/04/22/pdfs/GMD-C-1808-38.pdf#page=8","Abrir facsímil")</f>
        <v>Abrir facsímil</v>
      </c>
      <c r="K823" s="15" t="s">
        <v>23</v>
      </c>
    </row>
    <row r="824" spans="1:11" ht="42" customHeight="1">
      <c r="A824" s="4" t="s">
        <v>2338</v>
      </c>
      <c r="B824" s="5" t="s">
        <v>2339</v>
      </c>
      <c r="C824" s="5" t="s">
        <v>17</v>
      </c>
      <c r="D824" s="5" t="s">
        <v>18</v>
      </c>
      <c r="E824" s="5" t="s">
        <v>130</v>
      </c>
      <c r="F824" s="9" t="s">
        <v>131</v>
      </c>
      <c r="G824" s="9">
        <v>1604</v>
      </c>
      <c r="H824" s="5" t="s">
        <v>21</v>
      </c>
      <c r="I824" s="5" t="s">
        <v>2340</v>
      </c>
      <c r="J824" s="12" t="str">
        <f>HYPERLINK("https://www.boe.es/gazeta/dias/1808/12/15/pdfs/GMD-1808-155.pdf#page=8","Abrir facsímil")</f>
        <v>Abrir facsímil</v>
      </c>
      <c r="K824" s="15" t="s">
        <v>23</v>
      </c>
    </row>
    <row r="825" spans="1:11" ht="42" customHeight="1">
      <c r="A825" s="4" t="s">
        <v>2341</v>
      </c>
      <c r="B825" s="5" t="s">
        <v>2342</v>
      </c>
      <c r="C825" s="5" t="s">
        <v>17</v>
      </c>
      <c r="D825" s="5" t="s">
        <v>18</v>
      </c>
      <c r="E825" s="5" t="s">
        <v>203</v>
      </c>
      <c r="F825" s="9" t="s">
        <v>204</v>
      </c>
      <c r="G825" s="9">
        <v>140</v>
      </c>
      <c r="H825" s="5" t="s">
        <v>21</v>
      </c>
      <c r="I825" s="5" t="s">
        <v>2343</v>
      </c>
      <c r="J825" s="12" t="str">
        <f>HYPERLINK("https://www.boe.es/gazeta/dias/1808/02/09/pdfs/GMD-1808-12.pdf#page=8","Abrir facsímil")</f>
        <v>Abrir facsímil</v>
      </c>
      <c r="K825" s="15" t="s">
        <v>23</v>
      </c>
    </row>
    <row r="826" spans="1:11" ht="42" customHeight="1">
      <c r="A826" s="4" t="s">
        <v>2344</v>
      </c>
      <c r="B826" s="5" t="s">
        <v>2345</v>
      </c>
      <c r="C826" s="5" t="s">
        <v>17</v>
      </c>
      <c r="D826" s="5" t="s">
        <v>18</v>
      </c>
      <c r="E826" s="5" t="s">
        <v>65</v>
      </c>
      <c r="F826" s="9" t="s">
        <v>66</v>
      </c>
      <c r="G826" s="9">
        <v>1310</v>
      </c>
      <c r="H826" s="5" t="s">
        <v>21</v>
      </c>
      <c r="I826" s="5" t="s">
        <v>2346</v>
      </c>
      <c r="J826" s="12" t="str">
        <f>HYPERLINK("https://www.boe.es/gazeta/dias/1808/10/18/pdfs/GMD-1808-135.pdf#page=10","Abrir facsímil")</f>
        <v>Abrir facsímil</v>
      </c>
      <c r="K826" s="15" t="s">
        <v>23</v>
      </c>
    </row>
    <row r="827" spans="1:11" ht="42" customHeight="1">
      <c r="A827" s="4" t="s">
        <v>2347</v>
      </c>
      <c r="B827" s="5" t="s">
        <v>2348</v>
      </c>
      <c r="C827" s="5" t="s">
        <v>17</v>
      </c>
      <c r="D827" s="5" t="s">
        <v>18</v>
      </c>
      <c r="E827" s="5" t="s">
        <v>290</v>
      </c>
      <c r="F827" s="9" t="s">
        <v>291</v>
      </c>
      <c r="G827" s="9">
        <v>1063</v>
      </c>
      <c r="H827" s="5" t="s">
        <v>21</v>
      </c>
      <c r="I827" s="5" t="s">
        <v>2349</v>
      </c>
      <c r="J827" s="12" t="str">
        <f>HYPERLINK("https://www.boe.es/gazeta/dias/1808/08/23/pdfs/GMD-1808-116.pdf#page=9","Abrir facsímil")</f>
        <v>Abrir facsímil</v>
      </c>
      <c r="K827" s="15" t="s">
        <v>23</v>
      </c>
    </row>
    <row r="828" spans="1:11" ht="42" customHeight="1">
      <c r="A828" s="4" t="s">
        <v>2350</v>
      </c>
      <c r="B828" s="5" t="s">
        <v>2351</v>
      </c>
      <c r="C828" s="5" t="s">
        <v>17</v>
      </c>
      <c r="D828" s="5" t="s">
        <v>18</v>
      </c>
      <c r="E828" s="5" t="s">
        <v>19</v>
      </c>
      <c r="F828" s="9" t="s">
        <v>59</v>
      </c>
      <c r="G828" s="9">
        <v>1228</v>
      </c>
      <c r="H828" s="5" t="s">
        <v>21</v>
      </c>
      <c r="I828" s="5" t="s">
        <v>2352</v>
      </c>
      <c r="J828" s="12" t="str">
        <f>HYPERLINK("https://www.boe.es/gazeta/dias/1808/09/30/pdfs/GMD-1808-130.pdf#page=8","Abrir facsímil")</f>
        <v>Abrir facsímil</v>
      </c>
      <c r="K828" s="15" t="s">
        <v>23</v>
      </c>
    </row>
    <row r="829" spans="1:11" ht="42" customHeight="1">
      <c r="A829" s="4" t="s">
        <v>2353</v>
      </c>
      <c r="B829" s="5" t="s">
        <v>2354</v>
      </c>
      <c r="C829" s="5" t="s">
        <v>41</v>
      </c>
      <c r="D829" s="5" t="s">
        <v>42</v>
      </c>
      <c r="E829" s="5" t="s">
        <v>363</v>
      </c>
      <c r="F829" s="9" t="s">
        <v>1224</v>
      </c>
      <c r="G829" s="9">
        <v>1189</v>
      </c>
      <c r="H829" s="5" t="s">
        <v>21</v>
      </c>
      <c r="I829" s="5" t="s">
        <v>2355</v>
      </c>
      <c r="J829" s="12" t="str">
        <f>HYPERLINK("https://www.boe.es/gazeta/dias/1808/09/20/pdfs/GMD-1808-126.pdf#page=9","Abrir facsímil")</f>
        <v>Abrir facsímil</v>
      </c>
      <c r="K829" s="15" t="s">
        <v>23</v>
      </c>
    </row>
    <row r="830" spans="1:11" ht="42" customHeight="1">
      <c r="A830" s="4" t="s">
        <v>2353</v>
      </c>
      <c r="B830" s="5" t="s">
        <v>2354</v>
      </c>
      <c r="C830" s="5" t="s">
        <v>17</v>
      </c>
      <c r="D830" s="5" t="s">
        <v>18</v>
      </c>
      <c r="E830" s="5" t="s">
        <v>19</v>
      </c>
      <c r="F830" s="9" t="s">
        <v>59</v>
      </c>
      <c r="G830" s="9">
        <v>1228</v>
      </c>
      <c r="H830" s="5" t="s">
        <v>21</v>
      </c>
      <c r="I830" s="5" t="s">
        <v>2356</v>
      </c>
      <c r="J830" s="12" t="str">
        <f>HYPERLINK("https://www.boe.es/gazeta/dias/1808/09/30/pdfs/GMD-1808-130.pdf#page=8","Abrir facsímil")</f>
        <v>Abrir facsímil</v>
      </c>
      <c r="K830" s="15" t="s">
        <v>23</v>
      </c>
    </row>
    <row r="831" spans="1:11" ht="42" customHeight="1">
      <c r="A831" s="4" t="s">
        <v>2353</v>
      </c>
      <c r="B831" s="5" t="s">
        <v>2354</v>
      </c>
      <c r="C831" s="5" t="s">
        <v>41</v>
      </c>
      <c r="D831" s="5" t="s">
        <v>42</v>
      </c>
      <c r="E831" s="5" t="s">
        <v>461</v>
      </c>
      <c r="F831" s="9" t="s">
        <v>733</v>
      </c>
      <c r="G831" s="9">
        <v>1447</v>
      </c>
      <c r="H831" s="5" t="s">
        <v>21</v>
      </c>
      <c r="I831" s="5" t="s">
        <v>2357</v>
      </c>
      <c r="J831" s="12" t="str">
        <f>HYPERLINK("https://www.boe.es/gazeta/dias/1808/11/08/pdfs/GMD-1808-142.pdf#page=9","Abrir facsímil")</f>
        <v>Abrir facsímil</v>
      </c>
      <c r="K831" s="15" t="s">
        <v>23</v>
      </c>
    </row>
    <row r="832" spans="1:11" ht="42" customHeight="1">
      <c r="A832" s="4" t="s">
        <v>2353</v>
      </c>
      <c r="B832" s="5" t="s">
        <v>2354</v>
      </c>
      <c r="C832" s="5" t="s">
        <v>41</v>
      </c>
      <c r="D832" s="5" t="s">
        <v>42</v>
      </c>
      <c r="E832" s="5" t="s">
        <v>461</v>
      </c>
      <c r="F832" s="9" t="s">
        <v>462</v>
      </c>
      <c r="G832" s="9" t="s">
        <v>199</v>
      </c>
      <c r="H832" s="5" t="s">
        <v>21</v>
      </c>
      <c r="I832" s="5" t="s">
        <v>2358</v>
      </c>
      <c r="J832" s="12" t="str">
        <f>HYPERLINK("https://www.boe.es/gazeta/dias/1808/11/08/pdfs/GMD-D-1808-142.pdf#page=2","Abrir facsímil")</f>
        <v>Abrir facsímil</v>
      </c>
      <c r="K832" s="15" t="s">
        <v>23</v>
      </c>
    </row>
    <row r="833" spans="1:11" ht="42" customHeight="1">
      <c r="A833" s="4" t="s">
        <v>2359</v>
      </c>
      <c r="B833" s="5" t="s">
        <v>2360</v>
      </c>
      <c r="C833" s="5" t="s">
        <v>260</v>
      </c>
      <c r="D833" s="5" t="s">
        <v>42</v>
      </c>
      <c r="E833" s="5" t="s">
        <v>222</v>
      </c>
      <c r="F833" s="9" t="s">
        <v>223</v>
      </c>
      <c r="G833" s="9">
        <v>355</v>
      </c>
      <c r="H833" s="5" t="s">
        <v>21</v>
      </c>
      <c r="I833" s="5" t="s">
        <v>2361</v>
      </c>
      <c r="J833" s="12" t="str">
        <f>HYPERLINK("https://www.boe.es/gazeta/dias/1808/04/08/pdfs/GMD-1808-32.pdf#page=9","Abrir facsímil")</f>
        <v>Abrir facsímil</v>
      </c>
      <c r="K833" s="15" t="s">
        <v>23</v>
      </c>
    </row>
    <row r="834" spans="1:11" ht="42" customHeight="1">
      <c r="A834" s="4" t="s">
        <v>2362</v>
      </c>
      <c r="B834" s="5" t="s">
        <v>2363</v>
      </c>
      <c r="C834" s="5" t="s">
        <v>94</v>
      </c>
      <c r="D834" s="5" t="s">
        <v>95</v>
      </c>
      <c r="E834" s="5" t="s">
        <v>269</v>
      </c>
      <c r="F834" s="9" t="s">
        <v>270</v>
      </c>
      <c r="G834" s="9">
        <v>69</v>
      </c>
      <c r="H834" s="5" t="s">
        <v>21</v>
      </c>
      <c r="I834" s="5" t="s">
        <v>2364</v>
      </c>
      <c r="J834" s="12" t="str">
        <f>HYPERLINK("https://www.boe.es/gazeta/dias/1808/01/19/pdfs/GMD-1808-6.pdf#page=9","Abrir facsímil")</f>
        <v>Abrir facsímil</v>
      </c>
      <c r="K834" s="15" t="s">
        <v>23</v>
      </c>
    </row>
    <row r="835" spans="1:11" ht="42" customHeight="1">
      <c r="A835" s="4" t="s">
        <v>2365</v>
      </c>
      <c r="B835" s="5" t="s">
        <v>2366</v>
      </c>
      <c r="C835" s="5" t="s">
        <v>17</v>
      </c>
      <c r="D835" s="5" t="s">
        <v>18</v>
      </c>
      <c r="E835" s="5" t="s">
        <v>73</v>
      </c>
      <c r="F835" s="9" t="s">
        <v>581</v>
      </c>
      <c r="G835" s="9">
        <v>1467</v>
      </c>
      <c r="H835" s="5" t="s">
        <v>21</v>
      </c>
      <c r="I835" s="5" t="s">
        <v>2367</v>
      </c>
      <c r="J835" s="12" t="str">
        <f>HYPERLINK("https://www.boe.es/gazeta/dias/1808/11/11/pdfs/GMD-1808-143.pdf#page=9","Abrir facsímil")</f>
        <v>Abrir facsímil</v>
      </c>
      <c r="K835" s="15" t="s">
        <v>23</v>
      </c>
    </row>
    <row r="836" spans="1:11" ht="42" customHeight="1">
      <c r="A836" s="4" t="s">
        <v>2368</v>
      </c>
      <c r="B836" s="5" t="s">
        <v>2369</v>
      </c>
      <c r="C836" s="5" t="s">
        <v>41</v>
      </c>
      <c r="D836" s="5" t="s">
        <v>42</v>
      </c>
      <c r="E836" s="5" t="s">
        <v>35</v>
      </c>
      <c r="F836" s="9" t="s">
        <v>36</v>
      </c>
      <c r="G836" s="9" t="s">
        <v>284</v>
      </c>
      <c r="H836" s="5" t="s">
        <v>21</v>
      </c>
      <c r="I836" s="5" t="s">
        <v>2370</v>
      </c>
      <c r="J836" s="12" t="str">
        <f>HYPERLINK("https://www.boe.es/gazeta/dias/1808/04/22/pdfs/GMD-C-1808-38.pdf#page=35","Abrir facsímil")</f>
        <v>Abrir facsímil</v>
      </c>
      <c r="K836" s="15" t="s">
        <v>23</v>
      </c>
    </row>
    <row r="837" spans="1:11" ht="42" customHeight="1">
      <c r="A837" s="4" t="s">
        <v>2368</v>
      </c>
      <c r="B837" s="5" t="s">
        <v>2369</v>
      </c>
      <c r="C837" s="5" t="s">
        <v>33</v>
      </c>
      <c r="D837" s="5" t="s">
        <v>34</v>
      </c>
      <c r="E837" s="5" t="s">
        <v>35</v>
      </c>
      <c r="F837" s="9" t="s">
        <v>36</v>
      </c>
      <c r="G837" s="9" t="s">
        <v>148</v>
      </c>
      <c r="H837" s="5" t="s">
        <v>21</v>
      </c>
      <c r="I837" s="5" t="s">
        <v>2371</v>
      </c>
      <c r="J837" s="12" t="str">
        <f>HYPERLINK("https://www.boe.es/gazeta/dias/1808/04/22/pdfs/GMD-C-1808-38.pdf#page=38","Abrir facsímil")</f>
        <v>Abrir facsímil</v>
      </c>
      <c r="K837" s="15" t="s">
        <v>23</v>
      </c>
    </row>
    <row r="838" spans="1:11" ht="42" customHeight="1">
      <c r="A838" s="4" t="s">
        <v>2372</v>
      </c>
      <c r="B838" s="5" t="s">
        <v>2373</v>
      </c>
      <c r="C838" s="5" t="s">
        <v>94</v>
      </c>
      <c r="D838" s="5" t="s">
        <v>95</v>
      </c>
      <c r="E838" s="5" t="s">
        <v>877</v>
      </c>
      <c r="F838" s="9" t="s">
        <v>878</v>
      </c>
      <c r="G838" s="9">
        <v>118</v>
      </c>
      <c r="H838" s="5" t="s">
        <v>21</v>
      </c>
      <c r="I838" s="5" t="s">
        <v>2374</v>
      </c>
      <c r="J838" s="12" t="str">
        <f>HYPERLINK("https://www.boe.es/gazeta/dias/1808/02/02/pdfs/GMD-1808-10.pdf#page=10","Abrir facsímil")</f>
        <v>Abrir facsímil</v>
      </c>
      <c r="K838" s="15" t="s">
        <v>23</v>
      </c>
    </row>
    <row r="839" spans="1:11" ht="42" customHeight="1">
      <c r="A839" s="4" t="s">
        <v>2372</v>
      </c>
      <c r="B839" s="5" t="s">
        <v>2373</v>
      </c>
      <c r="C839" s="5" t="s">
        <v>41</v>
      </c>
      <c r="D839" s="5" t="s">
        <v>42</v>
      </c>
      <c r="E839" s="5" t="s">
        <v>1385</v>
      </c>
      <c r="F839" s="9" t="s">
        <v>1386</v>
      </c>
      <c r="G839" s="9">
        <v>231</v>
      </c>
      <c r="H839" s="5" t="s">
        <v>21</v>
      </c>
      <c r="I839" s="5" t="s">
        <v>2375</v>
      </c>
      <c r="J839" s="12" t="str">
        <f>HYPERLINK("https://www.boe.es/gazeta/dias/1808/03/04/pdfs/GMD-1808-19.pdf#page=9","Abrir facsímil")</f>
        <v>Abrir facsímil</v>
      </c>
      <c r="K839" s="15" t="s">
        <v>23</v>
      </c>
    </row>
    <row r="840" spans="1:11" ht="42" customHeight="1">
      <c r="A840" s="4" t="s">
        <v>2376</v>
      </c>
      <c r="B840" s="5" t="s">
        <v>2377</v>
      </c>
      <c r="C840" s="5" t="s">
        <v>41</v>
      </c>
      <c r="D840" s="5" t="s">
        <v>42</v>
      </c>
      <c r="E840" s="5" t="s">
        <v>19</v>
      </c>
      <c r="F840" s="9" t="s">
        <v>59</v>
      </c>
      <c r="G840" s="9">
        <v>1230</v>
      </c>
      <c r="H840" s="5" t="s">
        <v>21</v>
      </c>
      <c r="I840" s="5" t="s">
        <v>2378</v>
      </c>
      <c r="J840" s="12" t="str">
        <f>HYPERLINK("https://www.boe.es/gazeta/dias/1808/09/30/pdfs/GMD-1808-130.pdf#page=10","Abrir facsímil")</f>
        <v>Abrir facsímil</v>
      </c>
      <c r="K840" s="15" t="s">
        <v>23</v>
      </c>
    </row>
    <row r="841" spans="1:11" ht="42" customHeight="1">
      <c r="A841" s="4" t="s">
        <v>2376</v>
      </c>
      <c r="B841" s="5" t="s">
        <v>2377</v>
      </c>
      <c r="C841" s="5" t="s">
        <v>33</v>
      </c>
      <c r="D841" s="5" t="s">
        <v>34</v>
      </c>
      <c r="E841" s="5" t="s">
        <v>68</v>
      </c>
      <c r="F841" s="9" t="s">
        <v>309</v>
      </c>
      <c r="G841" s="9" t="s">
        <v>199</v>
      </c>
      <c r="H841" s="5" t="s">
        <v>21</v>
      </c>
      <c r="I841" s="5" t="s">
        <v>2379</v>
      </c>
      <c r="J841" s="12" t="str">
        <f>HYPERLINK("https://www.boe.es/gazeta/dias/1808/10/21/pdfs/GMD-D-1808-136.pdf#page=2","Abrir facsímil")</f>
        <v>Abrir facsímil</v>
      </c>
      <c r="K841" s="15" t="s">
        <v>23</v>
      </c>
    </row>
    <row r="842" spans="1:11" ht="42" customHeight="1">
      <c r="A842" s="4" t="s">
        <v>2376</v>
      </c>
      <c r="B842" s="5" t="s">
        <v>2377</v>
      </c>
      <c r="C842" s="5" t="s">
        <v>17</v>
      </c>
      <c r="D842" s="5" t="s">
        <v>18</v>
      </c>
      <c r="E842" s="5" t="s">
        <v>130</v>
      </c>
      <c r="F842" s="9" t="s">
        <v>131</v>
      </c>
      <c r="G842" s="9">
        <v>1603</v>
      </c>
      <c r="H842" s="5" t="s">
        <v>21</v>
      </c>
      <c r="I842" s="5" t="s">
        <v>2380</v>
      </c>
      <c r="J842" s="12" t="str">
        <f>HYPERLINK("https://www.boe.es/gazeta/dias/1808/12/15/pdfs/GMD-1808-155.pdf#page=7","Abrir facsímil")</f>
        <v>Abrir facsímil</v>
      </c>
      <c r="K842" s="15" t="s">
        <v>23</v>
      </c>
    </row>
    <row r="843" spans="1:11" ht="42" customHeight="1">
      <c r="A843" s="4" t="s">
        <v>2381</v>
      </c>
      <c r="B843" s="5" t="s">
        <v>2382</v>
      </c>
      <c r="C843" s="5" t="s">
        <v>41</v>
      </c>
      <c r="D843" s="5" t="s">
        <v>42</v>
      </c>
      <c r="E843" s="5" t="s">
        <v>35</v>
      </c>
      <c r="F843" s="9" t="s">
        <v>36</v>
      </c>
      <c r="G843" s="9" t="s">
        <v>818</v>
      </c>
      <c r="H843" s="5" t="s">
        <v>21</v>
      </c>
      <c r="I843" s="5" t="s">
        <v>2383</v>
      </c>
      <c r="J843" s="12" t="str">
        <f>HYPERLINK("https://www.boe.es/gazeta/dias/1808/04/22/pdfs/GMD-C-1808-38.pdf#page=7","Abrir facsímil")</f>
        <v>Abrir facsímil</v>
      </c>
      <c r="K843" s="15" t="s">
        <v>23</v>
      </c>
    </row>
    <row r="844" spans="1:11" ht="42" customHeight="1">
      <c r="A844" s="4" t="s">
        <v>2384</v>
      </c>
      <c r="B844" s="5" t="s">
        <v>2384</v>
      </c>
      <c r="C844" s="5" t="s">
        <v>260</v>
      </c>
      <c r="D844" s="5" t="s">
        <v>42</v>
      </c>
      <c r="E844" s="5" t="s">
        <v>245</v>
      </c>
      <c r="F844" s="9" t="s">
        <v>246</v>
      </c>
      <c r="G844" s="9">
        <v>540</v>
      </c>
      <c r="H844" s="5" t="s">
        <v>21</v>
      </c>
      <c r="I844" s="5" t="s">
        <v>2385</v>
      </c>
      <c r="J844" s="12" t="str">
        <f>HYPERLINK("https://www.boe.es/gazeta/dias/1808/06/07/pdfs/GMD-1808-54.pdf#page=6","Abrir facsímil")</f>
        <v>Abrir facsímil</v>
      </c>
      <c r="K844" s="15" t="s">
        <v>23</v>
      </c>
    </row>
    <row r="845" spans="1:11" ht="42" customHeight="1">
      <c r="A845" s="4" t="s">
        <v>2386</v>
      </c>
      <c r="B845" s="5" t="s">
        <v>2386</v>
      </c>
      <c r="C845" s="5" t="s">
        <v>260</v>
      </c>
      <c r="D845" s="5" t="s">
        <v>42</v>
      </c>
      <c r="E845" s="5" t="s">
        <v>1962</v>
      </c>
      <c r="F845" s="9" t="s">
        <v>1963</v>
      </c>
      <c r="G845" s="9">
        <v>732</v>
      </c>
      <c r="H845" s="5" t="s">
        <v>21</v>
      </c>
      <c r="I845" s="5" t="s">
        <v>2387</v>
      </c>
      <c r="J845" s="12" t="str">
        <f>HYPERLINK("https://www.boe.es/gazeta/dias/1808/07/05/pdfs/GMD-1808-77.pdf#page=6","Abrir facsímil")</f>
        <v>Abrir facsímil</v>
      </c>
      <c r="K845" s="15" t="s">
        <v>23</v>
      </c>
    </row>
    <row r="846" spans="1:11" ht="42" customHeight="1">
      <c r="A846" s="4" t="s">
        <v>2388</v>
      </c>
      <c r="B846" s="5" t="s">
        <v>2389</v>
      </c>
      <c r="C846" s="5" t="s">
        <v>33</v>
      </c>
      <c r="D846" s="5" t="s">
        <v>34</v>
      </c>
      <c r="E846" s="5" t="s">
        <v>35</v>
      </c>
      <c r="F846" s="9" t="s">
        <v>36</v>
      </c>
      <c r="G846" s="9" t="s">
        <v>450</v>
      </c>
      <c r="H846" s="5" t="s">
        <v>21</v>
      </c>
      <c r="I846" s="5" t="s">
        <v>2390</v>
      </c>
      <c r="J846" s="12" t="str">
        <f>HYPERLINK("https://www.boe.es/gazeta/dias/1808/04/22/pdfs/GMD-C-1808-38.pdf#page=45","Abrir facsímil")</f>
        <v>Abrir facsímil</v>
      </c>
      <c r="K846" s="15" t="s">
        <v>23</v>
      </c>
    </row>
    <row r="847" spans="1:11" ht="42" customHeight="1">
      <c r="A847" s="4" t="s">
        <v>2391</v>
      </c>
      <c r="B847" s="5" t="s">
        <v>2392</v>
      </c>
      <c r="C847" s="5" t="s">
        <v>260</v>
      </c>
      <c r="D847" s="5" t="s">
        <v>42</v>
      </c>
      <c r="E847" s="5" t="s">
        <v>469</v>
      </c>
      <c r="F847" s="9" t="s">
        <v>470</v>
      </c>
      <c r="G847" s="9">
        <v>153</v>
      </c>
      <c r="H847" s="5" t="s">
        <v>21</v>
      </c>
      <c r="I847" s="5" t="s">
        <v>2393</v>
      </c>
      <c r="J847" s="12" t="str">
        <f>HYPERLINK("https://www.boe.es/gazeta/dias/1808/02/12/pdfs/GMD-1808-13.pdf#page=9","Abrir facsímil")</f>
        <v>Abrir facsímil</v>
      </c>
      <c r="K847" s="15" t="s">
        <v>23</v>
      </c>
    </row>
    <row r="848" spans="1:11" ht="42" customHeight="1">
      <c r="A848" s="4" t="s">
        <v>2394</v>
      </c>
      <c r="B848" s="5" t="s">
        <v>2395</v>
      </c>
      <c r="C848" s="5" t="s">
        <v>33</v>
      </c>
      <c r="D848" s="5" t="s">
        <v>34</v>
      </c>
      <c r="E848" s="5" t="s">
        <v>35</v>
      </c>
      <c r="F848" s="9" t="s">
        <v>36</v>
      </c>
      <c r="G848" s="9" t="s">
        <v>867</v>
      </c>
      <c r="H848" s="5" t="s">
        <v>21</v>
      </c>
      <c r="I848" s="5" t="s">
        <v>2396</v>
      </c>
      <c r="J848" s="12" t="str">
        <f>HYPERLINK("https://www.boe.es/gazeta/dias/1808/04/22/pdfs/GMD-C-1808-38.pdf#page=19","Abrir facsímil")</f>
        <v>Abrir facsímil</v>
      </c>
      <c r="K848" s="15" t="s">
        <v>23</v>
      </c>
    </row>
    <row r="849" spans="1:11" ht="42" customHeight="1">
      <c r="A849" s="4" t="s">
        <v>2394</v>
      </c>
      <c r="B849" s="5" t="s">
        <v>2395</v>
      </c>
      <c r="C849" s="5" t="s">
        <v>33</v>
      </c>
      <c r="D849" s="5" t="s">
        <v>34</v>
      </c>
      <c r="E849" s="5" t="s">
        <v>35</v>
      </c>
      <c r="F849" s="9" t="s">
        <v>36</v>
      </c>
      <c r="G849" s="9" t="s">
        <v>818</v>
      </c>
      <c r="H849" s="5" t="s">
        <v>21</v>
      </c>
      <c r="I849" s="5" t="s">
        <v>2397</v>
      </c>
      <c r="J849" s="12" t="str">
        <f>HYPERLINK("https://www.boe.es/gazeta/dias/1808/04/22/pdfs/GMD-C-1808-38.pdf#page=7","Abrir facsímil")</f>
        <v>Abrir facsímil</v>
      </c>
      <c r="K849" s="15" t="s">
        <v>23</v>
      </c>
    </row>
    <row r="850" spans="1:11" ht="42" customHeight="1">
      <c r="A850" s="4" t="s">
        <v>2398</v>
      </c>
      <c r="B850" s="5" t="s">
        <v>2399</v>
      </c>
      <c r="C850" s="5" t="s">
        <v>33</v>
      </c>
      <c r="D850" s="5" t="s">
        <v>34</v>
      </c>
      <c r="E850" s="5" t="s">
        <v>558</v>
      </c>
      <c r="F850" s="9" t="s">
        <v>758</v>
      </c>
      <c r="G850" s="9" t="s">
        <v>106</v>
      </c>
      <c r="H850" s="5" t="s">
        <v>21</v>
      </c>
      <c r="I850" s="5" t="s">
        <v>2400</v>
      </c>
      <c r="J850" s="12" t="str">
        <f>HYPERLINK("https://www.boe.es/gazeta/dias/1808/11/25/pdfs/GMD-E-1808-147.pdf#page=3","Abrir facsímil")</f>
        <v>Abrir facsímil</v>
      </c>
      <c r="K850" s="15" t="s">
        <v>23</v>
      </c>
    </row>
    <row r="851" spans="1:11" ht="42" customHeight="1">
      <c r="A851" s="4" t="s">
        <v>2401</v>
      </c>
      <c r="B851" s="5" t="s">
        <v>2402</v>
      </c>
      <c r="C851" s="5" t="s">
        <v>94</v>
      </c>
      <c r="D851" s="5" t="s">
        <v>95</v>
      </c>
      <c r="E851" s="5" t="s">
        <v>363</v>
      </c>
      <c r="F851" s="9" t="s">
        <v>364</v>
      </c>
      <c r="G851" s="9" t="s">
        <v>199</v>
      </c>
      <c r="H851" s="5" t="s">
        <v>21</v>
      </c>
      <c r="I851" s="5" t="s">
        <v>2403</v>
      </c>
      <c r="J851" s="12" t="str">
        <f>HYPERLINK("https://www.boe.es/gazeta/dias/1808/09/20/pdfs/GMD-C-1808-126.pdf#page=2","Abrir facsímil")</f>
        <v>Abrir facsímil</v>
      </c>
      <c r="K851" s="15" t="s">
        <v>23</v>
      </c>
    </row>
    <row r="852" spans="1:11" ht="42" customHeight="1">
      <c r="A852" s="4" t="s">
        <v>2404</v>
      </c>
      <c r="B852" s="5" t="s">
        <v>2405</v>
      </c>
      <c r="C852" s="5" t="s">
        <v>17</v>
      </c>
      <c r="D852" s="5" t="s">
        <v>18</v>
      </c>
      <c r="E852" s="5" t="s">
        <v>51</v>
      </c>
      <c r="F852" s="9" t="s">
        <v>1366</v>
      </c>
      <c r="G852" s="9">
        <v>168</v>
      </c>
      <c r="H852" s="5" t="s">
        <v>21</v>
      </c>
      <c r="I852" s="5" t="s">
        <v>2406</v>
      </c>
      <c r="J852" s="12" t="str">
        <f>HYPERLINK("https://www.boe.es/gazeta/dias/1808/08/09/pdfs/GMS-1808-21.pdf#page=8","Abrir facsímil")</f>
        <v>Abrir facsímil</v>
      </c>
      <c r="K852" s="15" t="s">
        <v>23</v>
      </c>
    </row>
    <row r="853" spans="1:11" ht="42" customHeight="1">
      <c r="A853" s="4" t="s">
        <v>2407</v>
      </c>
      <c r="B853" s="5" t="s">
        <v>2408</v>
      </c>
      <c r="C853" s="5" t="s">
        <v>33</v>
      </c>
      <c r="D853" s="5" t="s">
        <v>34</v>
      </c>
      <c r="E853" s="5" t="s">
        <v>125</v>
      </c>
      <c r="F853" s="9" t="s">
        <v>126</v>
      </c>
      <c r="G853" s="9" t="s">
        <v>117</v>
      </c>
      <c r="H853" s="5" t="s">
        <v>21</v>
      </c>
      <c r="I853" s="5" t="s">
        <v>2409</v>
      </c>
      <c r="J853" s="12" t="str">
        <f>HYPERLINK("https://www.boe.es/gazeta/dias/1808/10/07/pdfs/GMD-C-1808-132.pdf#page=1","Abrir facsímil")</f>
        <v>Abrir facsímil</v>
      </c>
      <c r="K853" s="15" t="s">
        <v>23</v>
      </c>
    </row>
    <row r="854" spans="1:11" ht="42" customHeight="1">
      <c r="A854" s="4" t="s">
        <v>2410</v>
      </c>
      <c r="B854" s="5" t="s">
        <v>2411</v>
      </c>
      <c r="C854" s="5" t="s">
        <v>41</v>
      </c>
      <c r="D854" s="5" t="s">
        <v>42</v>
      </c>
      <c r="E854" s="5" t="s">
        <v>28</v>
      </c>
      <c r="F854" s="9" t="s">
        <v>446</v>
      </c>
      <c r="G854" s="9" t="s">
        <v>75</v>
      </c>
      <c r="H854" s="5" t="s">
        <v>21</v>
      </c>
      <c r="I854" s="5" t="s">
        <v>2412</v>
      </c>
      <c r="J854" s="12" t="str">
        <f>HYPERLINK("https://www.boe.es/gazeta/dias/1808/11/04/pdfs/GMD-D-1808-141.pdf#page=4","Abrir facsímil")</f>
        <v>Abrir facsímil</v>
      </c>
      <c r="K854" s="15" t="s">
        <v>23</v>
      </c>
    </row>
    <row r="855" spans="1:11" ht="42" customHeight="1">
      <c r="A855" s="4" t="s">
        <v>2413</v>
      </c>
      <c r="B855" s="5" t="s">
        <v>2414</v>
      </c>
      <c r="C855" s="5" t="s">
        <v>33</v>
      </c>
      <c r="D855" s="5" t="s">
        <v>34</v>
      </c>
      <c r="E855" s="5" t="s">
        <v>153</v>
      </c>
      <c r="F855" s="9" t="s">
        <v>154</v>
      </c>
      <c r="G855" s="9" t="s">
        <v>75</v>
      </c>
      <c r="H855" s="5" t="s">
        <v>21</v>
      </c>
      <c r="I855" s="5" t="s">
        <v>2415</v>
      </c>
      <c r="J855" s="12" t="str">
        <f>HYPERLINK("https://www.boe.es/gazeta/dias/1808/09/09/pdfs/GMD-C-1808-121.pdf#page=4","Abrir facsímil")</f>
        <v>Abrir facsímil</v>
      </c>
      <c r="K855" s="15" t="s">
        <v>23</v>
      </c>
    </row>
    <row r="856" spans="1:11" ht="42" customHeight="1">
      <c r="A856" s="4" t="s">
        <v>2416</v>
      </c>
      <c r="B856" s="5" t="s">
        <v>2417</v>
      </c>
      <c r="C856" s="5" t="s">
        <v>33</v>
      </c>
      <c r="D856" s="5" t="s">
        <v>34</v>
      </c>
      <c r="E856" s="5" t="s">
        <v>115</v>
      </c>
      <c r="F856" s="9" t="s">
        <v>116</v>
      </c>
      <c r="G856" s="9" t="s">
        <v>106</v>
      </c>
      <c r="H856" s="5" t="s">
        <v>21</v>
      </c>
      <c r="I856" s="5" t="s">
        <v>2418</v>
      </c>
      <c r="J856" s="12" t="str">
        <f>HYPERLINK("https://www.boe.es/gazeta/dias/1808/09/16/pdfs/GMD-C-1808-125.pdf#page=3","Abrir facsímil")</f>
        <v>Abrir facsímil</v>
      </c>
      <c r="K856" s="15" t="s">
        <v>23</v>
      </c>
    </row>
    <row r="857" spans="1:11" ht="42" customHeight="1">
      <c r="A857" s="4" t="s">
        <v>2419</v>
      </c>
      <c r="B857" s="5" t="s">
        <v>2420</v>
      </c>
      <c r="C857" s="5" t="s">
        <v>33</v>
      </c>
      <c r="D857" s="5" t="s">
        <v>34</v>
      </c>
      <c r="E857" s="5" t="s">
        <v>68</v>
      </c>
      <c r="F857" s="9" t="s">
        <v>849</v>
      </c>
      <c r="G857" s="9">
        <v>1344</v>
      </c>
      <c r="H857" s="5" t="s">
        <v>21</v>
      </c>
      <c r="I857" s="5" t="s">
        <v>2421</v>
      </c>
      <c r="J857" s="12" t="str">
        <f>HYPERLINK("https://www.boe.es/gazeta/dias/1808/10/21/pdfs/GMD-C-1808-136.pdf#page=4","Abrir facsímil")</f>
        <v>Abrir facsímil</v>
      </c>
      <c r="K857" s="15" t="s">
        <v>23</v>
      </c>
    </row>
    <row r="858" spans="1:11" ht="42" customHeight="1">
      <c r="A858" s="4" t="s">
        <v>2422</v>
      </c>
      <c r="B858" s="5" t="s">
        <v>2423</v>
      </c>
      <c r="C858" s="5" t="s">
        <v>33</v>
      </c>
      <c r="D858" s="5" t="s">
        <v>34</v>
      </c>
      <c r="E858" s="5" t="s">
        <v>363</v>
      </c>
      <c r="F858" s="9" t="s">
        <v>364</v>
      </c>
      <c r="G858" s="9" t="s">
        <v>117</v>
      </c>
      <c r="H858" s="5" t="s">
        <v>21</v>
      </c>
      <c r="I858" s="5" t="s">
        <v>2424</v>
      </c>
      <c r="J858" s="12" t="str">
        <f>HYPERLINK("https://www.boe.es/gazeta/dias/1808/09/20/pdfs/GMD-C-1808-126.pdf#page=1","Abrir facsímil")</f>
        <v>Abrir facsímil</v>
      </c>
      <c r="K858" s="15" t="s">
        <v>23</v>
      </c>
    </row>
    <row r="859" spans="1:11" ht="42" customHeight="1">
      <c r="A859" s="4" t="s">
        <v>2425</v>
      </c>
      <c r="B859" s="5" t="s">
        <v>2426</v>
      </c>
      <c r="C859" s="5" t="s">
        <v>41</v>
      </c>
      <c r="D859" s="5" t="s">
        <v>42</v>
      </c>
      <c r="E859" s="5" t="s">
        <v>19</v>
      </c>
      <c r="F859" s="9" t="s">
        <v>949</v>
      </c>
      <c r="G859" s="9" t="s">
        <v>75</v>
      </c>
      <c r="H859" s="5" t="s">
        <v>21</v>
      </c>
      <c r="I859" s="5" t="s">
        <v>2427</v>
      </c>
      <c r="J859" s="12" t="str">
        <f>HYPERLINK("https://www.boe.es/gazeta/dias/1808/09/30/pdfs/GMD-C-1808-130.pdf#page=4","Abrir facsímil")</f>
        <v>Abrir facsímil</v>
      </c>
      <c r="K859" s="15" t="s">
        <v>23</v>
      </c>
    </row>
    <row r="860" spans="1:11" ht="42" customHeight="1">
      <c r="A860" s="4" t="s">
        <v>2428</v>
      </c>
      <c r="B860" s="5" t="s">
        <v>2429</v>
      </c>
      <c r="C860" s="5" t="s">
        <v>26</v>
      </c>
      <c r="D860" s="5" t="s">
        <v>27</v>
      </c>
      <c r="E860" s="5" t="s">
        <v>19</v>
      </c>
      <c r="F860" s="9" t="s">
        <v>59</v>
      </c>
      <c r="G860" s="9">
        <v>1229</v>
      </c>
      <c r="H860" s="5" t="s">
        <v>21</v>
      </c>
      <c r="I860" s="5" t="s">
        <v>2430</v>
      </c>
      <c r="J860" s="12" t="str">
        <f>HYPERLINK("https://www.boe.es/gazeta/dias/1808/09/30/pdfs/GMD-1808-130.pdf#page=9","Abrir facsímil")</f>
        <v>Abrir facsímil</v>
      </c>
      <c r="K860" s="15" t="s">
        <v>23</v>
      </c>
    </row>
    <row r="861" spans="1:11" ht="42" customHeight="1">
      <c r="A861" s="4" t="s">
        <v>2431</v>
      </c>
      <c r="B861" s="5" t="s">
        <v>2432</v>
      </c>
      <c r="C861" s="5" t="s">
        <v>41</v>
      </c>
      <c r="D861" s="5" t="s">
        <v>42</v>
      </c>
      <c r="E861" s="5" t="s">
        <v>35</v>
      </c>
      <c r="F861" s="9" t="s">
        <v>36</v>
      </c>
      <c r="G861" s="9" t="s">
        <v>37</v>
      </c>
      <c r="H861" s="5" t="s">
        <v>21</v>
      </c>
      <c r="I861" s="5" t="s">
        <v>2433</v>
      </c>
      <c r="J861" s="12" t="str">
        <f>HYPERLINK("https://www.boe.es/gazeta/dias/1808/04/22/pdfs/GMD-C-1808-38.pdf#page=33","Abrir facsímil")</f>
        <v>Abrir facsímil</v>
      </c>
      <c r="K861" s="15" t="s">
        <v>23</v>
      </c>
    </row>
    <row r="862" spans="1:11" ht="42" customHeight="1">
      <c r="A862" s="4" t="s">
        <v>2434</v>
      </c>
      <c r="B862" s="5" t="s">
        <v>2435</v>
      </c>
      <c r="C862" s="5" t="s">
        <v>41</v>
      </c>
      <c r="D862" s="5" t="s">
        <v>42</v>
      </c>
      <c r="E862" s="5" t="s">
        <v>110</v>
      </c>
      <c r="F862" s="9" t="s">
        <v>828</v>
      </c>
      <c r="G862" s="9" t="s">
        <v>199</v>
      </c>
      <c r="H862" s="5" t="s">
        <v>21</v>
      </c>
      <c r="I862" s="5" t="s">
        <v>2436</v>
      </c>
      <c r="J862" s="12" t="str">
        <f>HYPERLINK("https://www.boe.es/gazeta/dias/1808/10/28/pdfs/GMD-D-1808-138.pdf#page=2","Abrir facsímil")</f>
        <v>Abrir facsímil</v>
      </c>
      <c r="K862" s="15" t="s">
        <v>23</v>
      </c>
    </row>
    <row r="863" spans="1:11" ht="42" customHeight="1">
      <c r="A863" s="4" t="s">
        <v>2437</v>
      </c>
      <c r="B863" s="5" t="s">
        <v>2438</v>
      </c>
      <c r="C863" s="5" t="s">
        <v>94</v>
      </c>
      <c r="D863" s="5" t="s">
        <v>95</v>
      </c>
      <c r="E863" s="5" t="s">
        <v>210</v>
      </c>
      <c r="F863" s="9" t="s">
        <v>211</v>
      </c>
      <c r="G863" s="9">
        <v>254</v>
      </c>
      <c r="H863" s="5" t="s">
        <v>21</v>
      </c>
      <c r="I863" s="5" t="s">
        <v>2439</v>
      </c>
      <c r="J863" s="12" t="str">
        <f>HYPERLINK("https://www.boe.es/gazeta/dias/1808/03/11/pdfs/GMD-1808-21.pdf#page=8","Abrir facsímil")</f>
        <v>Abrir facsímil</v>
      </c>
      <c r="K863" s="15" t="s">
        <v>23</v>
      </c>
    </row>
    <row r="864" spans="1:11" ht="42" customHeight="1">
      <c r="A864" s="4" t="s">
        <v>2440</v>
      </c>
      <c r="B864" s="5" t="s">
        <v>2441</v>
      </c>
      <c r="C864" s="5" t="s">
        <v>17</v>
      </c>
      <c r="D864" s="5" t="s">
        <v>18</v>
      </c>
      <c r="E864" s="5" t="s">
        <v>65</v>
      </c>
      <c r="F864" s="9" t="s">
        <v>66</v>
      </c>
      <c r="G864" s="9">
        <v>1314</v>
      </c>
      <c r="H864" s="5" t="s">
        <v>21</v>
      </c>
      <c r="I864" s="5" t="s">
        <v>2442</v>
      </c>
      <c r="J864" s="12" t="str">
        <f>HYPERLINK("https://www.boe.es/gazeta/dias/1808/10/18/pdfs/GMD-1808-135.pdf#page=14","Abrir facsímil")</f>
        <v>Abrir facsímil</v>
      </c>
      <c r="K864" s="15" t="s">
        <v>23</v>
      </c>
    </row>
    <row r="865" spans="1:11" ht="42" customHeight="1">
      <c r="A865" s="4" t="s">
        <v>2443</v>
      </c>
      <c r="B865" s="5" t="s">
        <v>2443</v>
      </c>
      <c r="C865" s="5" t="s">
        <v>101</v>
      </c>
      <c r="D865" s="5" t="s">
        <v>102</v>
      </c>
      <c r="E865" s="5" t="s">
        <v>1415</v>
      </c>
      <c r="F865" s="9" t="s">
        <v>1416</v>
      </c>
      <c r="G865" s="9">
        <v>411</v>
      </c>
      <c r="H865" s="5" t="s">
        <v>21</v>
      </c>
      <c r="I865" s="5" t="s">
        <v>2444</v>
      </c>
      <c r="J865" s="12" t="str">
        <f>HYPERLINK("https://www.boe.es/gazeta/dias/1808/04/26/pdfs/GMD-1808-41.pdf#page=3","Abrir facsímil")</f>
        <v>Abrir facsímil</v>
      </c>
      <c r="K865" s="15" t="s">
        <v>23</v>
      </c>
    </row>
    <row r="866" spans="1:11" ht="42" customHeight="1">
      <c r="A866" s="4" t="s">
        <v>2443</v>
      </c>
      <c r="B866" s="5" t="s">
        <v>2443</v>
      </c>
      <c r="C866" s="5" t="s">
        <v>17</v>
      </c>
      <c r="D866" s="5" t="s">
        <v>18</v>
      </c>
      <c r="E866" s="5" t="s">
        <v>1148</v>
      </c>
      <c r="F866" s="9" t="s">
        <v>1149</v>
      </c>
      <c r="G866" s="9">
        <v>502</v>
      </c>
      <c r="H866" s="5" t="s">
        <v>21</v>
      </c>
      <c r="I866" s="5" t="s">
        <v>2445</v>
      </c>
      <c r="J866" s="12" t="str">
        <f>HYPERLINK("https://www.boe.es/gazeta/dias/1808/05/27/pdfs/GMD-1808-50.pdf#page=6","Abrir facsímil")</f>
        <v>Abrir facsímil</v>
      </c>
      <c r="K866" s="15" t="s">
        <v>23</v>
      </c>
    </row>
    <row r="867" spans="1:11" ht="42" customHeight="1">
      <c r="A867" s="4" t="s">
        <v>2443</v>
      </c>
      <c r="B867" s="5" t="s">
        <v>2443</v>
      </c>
      <c r="C867" s="5" t="s">
        <v>101</v>
      </c>
      <c r="D867" s="5" t="s">
        <v>102</v>
      </c>
      <c r="E867" s="5" t="s">
        <v>1676</v>
      </c>
      <c r="F867" s="9" t="s">
        <v>1677</v>
      </c>
      <c r="G867" s="9">
        <v>552</v>
      </c>
      <c r="H867" s="5" t="s">
        <v>21</v>
      </c>
      <c r="I867" s="5" t="s">
        <v>2446</v>
      </c>
      <c r="J867" s="12" t="str">
        <f>HYPERLINK("https://www.boe.es/gazeta/dias/1808/06/10/pdfs/GMD-1808-55.pdf#page=6","Abrir facsímil")</f>
        <v>Abrir facsímil</v>
      </c>
      <c r="K867" s="15" t="s">
        <v>23</v>
      </c>
    </row>
    <row r="868" spans="1:11" ht="42" customHeight="1">
      <c r="A868" s="4" t="s">
        <v>2447</v>
      </c>
      <c r="B868" s="5" t="s">
        <v>2447</v>
      </c>
      <c r="C868" s="5" t="s">
        <v>94</v>
      </c>
      <c r="D868" s="5" t="s">
        <v>95</v>
      </c>
      <c r="E868" s="5" t="s">
        <v>719</v>
      </c>
      <c r="F868" s="9" t="s">
        <v>720</v>
      </c>
      <c r="G868" s="9">
        <v>1611</v>
      </c>
      <c r="H868" s="5" t="s">
        <v>21</v>
      </c>
      <c r="I868" s="5" t="s">
        <v>2448</v>
      </c>
      <c r="J868" s="12" t="str">
        <f>HYPERLINK("https://www.boe.es/gazeta/dias/1808/12/16/pdfs/GMD-1808-156.pdf#page=3","Abrir facsímil")</f>
        <v>Abrir facsímil</v>
      </c>
      <c r="K868" s="15" t="s">
        <v>23</v>
      </c>
    </row>
    <row r="869" spans="1:11" ht="42" customHeight="1">
      <c r="A869" s="4" t="s">
        <v>2447</v>
      </c>
      <c r="B869" s="5" t="s">
        <v>2447</v>
      </c>
      <c r="C869" s="5" t="s">
        <v>17</v>
      </c>
      <c r="D869" s="5" t="s">
        <v>18</v>
      </c>
      <c r="E869" s="5" t="s">
        <v>719</v>
      </c>
      <c r="F869" s="9" t="s">
        <v>720</v>
      </c>
      <c r="G869" s="9">
        <v>1613</v>
      </c>
      <c r="H869" s="5" t="s">
        <v>21</v>
      </c>
      <c r="I869" s="5" t="s">
        <v>2449</v>
      </c>
      <c r="J869" s="12" t="str">
        <f>HYPERLINK("https://www.boe.es/gazeta/dias/1808/12/16/pdfs/GMD-1808-156.pdf#page=5","Abrir facsímil")</f>
        <v>Abrir facsímil</v>
      </c>
      <c r="K869" s="15" t="s">
        <v>23</v>
      </c>
    </row>
    <row r="870" spans="1:11" ht="42" customHeight="1">
      <c r="A870" s="4" t="s">
        <v>2450</v>
      </c>
      <c r="B870" s="5" t="s">
        <v>2450</v>
      </c>
      <c r="C870" s="5" t="s">
        <v>33</v>
      </c>
      <c r="D870" s="5" t="s">
        <v>34</v>
      </c>
      <c r="E870" s="5" t="s">
        <v>125</v>
      </c>
      <c r="F870" s="9" t="s">
        <v>126</v>
      </c>
      <c r="G870" s="9" t="s">
        <v>199</v>
      </c>
      <c r="H870" s="5" t="s">
        <v>21</v>
      </c>
      <c r="I870" s="5" t="s">
        <v>2451</v>
      </c>
      <c r="J870" s="12" t="str">
        <f>HYPERLINK("https://www.boe.es/gazeta/dias/1808/10/07/pdfs/GMD-C-1808-132.pdf#page=2","Abrir facsímil")</f>
        <v>Abrir facsímil</v>
      </c>
      <c r="K870" s="15" t="s">
        <v>23</v>
      </c>
    </row>
    <row r="871" spans="1:11" ht="42" customHeight="1">
      <c r="A871" s="4" t="s">
        <v>2452</v>
      </c>
      <c r="B871" s="5" t="s">
        <v>2453</v>
      </c>
      <c r="C871" s="5" t="s">
        <v>41</v>
      </c>
      <c r="D871" s="5" t="s">
        <v>42</v>
      </c>
      <c r="E871" s="5" t="s">
        <v>558</v>
      </c>
      <c r="F871" s="9" t="s">
        <v>758</v>
      </c>
      <c r="G871" s="9" t="s">
        <v>199</v>
      </c>
      <c r="H871" s="5" t="s">
        <v>21</v>
      </c>
      <c r="I871" s="5" t="s">
        <v>2454</v>
      </c>
      <c r="J871" s="12" t="str">
        <f>HYPERLINK("https://www.boe.es/gazeta/dias/1808/11/25/pdfs/GMD-E-1808-147.pdf#page=2","Abrir facsímil")</f>
        <v>Abrir facsímil</v>
      </c>
      <c r="K871" s="15" t="s">
        <v>23</v>
      </c>
    </row>
    <row r="872" spans="1:11" ht="42" customHeight="1">
      <c r="A872" s="4" t="s">
        <v>2455</v>
      </c>
      <c r="B872" s="5" t="s">
        <v>2456</v>
      </c>
      <c r="C872" s="5" t="s">
        <v>33</v>
      </c>
      <c r="D872" s="5" t="s">
        <v>34</v>
      </c>
      <c r="E872" s="5" t="s">
        <v>35</v>
      </c>
      <c r="F872" s="9" t="s">
        <v>36</v>
      </c>
      <c r="G872" s="9" t="s">
        <v>37</v>
      </c>
      <c r="H872" s="5" t="s">
        <v>21</v>
      </c>
      <c r="I872" s="5" t="s">
        <v>2457</v>
      </c>
      <c r="J872" s="12" t="str">
        <f>HYPERLINK("https://www.boe.es/gazeta/dias/1808/04/22/pdfs/GMD-C-1808-38.pdf#page=33","Abrir facsímil")</f>
        <v>Abrir facsímil</v>
      </c>
      <c r="K872" s="15" t="s">
        <v>23</v>
      </c>
    </row>
    <row r="873" spans="1:11" ht="42" customHeight="1">
      <c r="A873" s="4" t="s">
        <v>2458</v>
      </c>
      <c r="B873" s="5" t="s">
        <v>2459</v>
      </c>
      <c r="C873" s="5" t="s">
        <v>94</v>
      </c>
      <c r="D873" s="5" t="s">
        <v>95</v>
      </c>
      <c r="E873" s="5" t="s">
        <v>368</v>
      </c>
      <c r="F873" s="9" t="s">
        <v>369</v>
      </c>
      <c r="G873" s="9">
        <v>167</v>
      </c>
      <c r="H873" s="5" t="s">
        <v>21</v>
      </c>
      <c r="I873" s="5" t="s">
        <v>2460</v>
      </c>
      <c r="J873" s="12" t="str">
        <f>HYPERLINK("https://www.boe.es/gazeta/dias/1808/02/16/pdfs/GMD-1808-14.pdf#page=9","Abrir facsímil")</f>
        <v>Abrir facsímil</v>
      </c>
      <c r="K873" s="15" t="s">
        <v>23</v>
      </c>
    </row>
    <row r="874" spans="1:11" ht="42" customHeight="1">
      <c r="A874" s="4" t="s">
        <v>2461</v>
      </c>
      <c r="B874" s="5" t="s">
        <v>2462</v>
      </c>
      <c r="C874" s="5" t="s">
        <v>94</v>
      </c>
      <c r="D874" s="5" t="s">
        <v>95</v>
      </c>
      <c r="E874" s="5" t="s">
        <v>68</v>
      </c>
      <c r="F874" s="9" t="s">
        <v>849</v>
      </c>
      <c r="G874" s="9">
        <v>1341</v>
      </c>
      <c r="H874" s="5" t="s">
        <v>21</v>
      </c>
      <c r="I874" s="5" t="s">
        <v>2463</v>
      </c>
      <c r="J874" s="12" t="str">
        <f>HYPERLINK("https://www.boe.es/gazeta/dias/1808/10/21/pdfs/GMD-C-1808-136.pdf#page=1","Abrir facsímil")</f>
        <v>Abrir facsímil</v>
      </c>
      <c r="K874" s="15" t="s">
        <v>23</v>
      </c>
    </row>
    <row r="875" spans="1:11" ht="42" customHeight="1">
      <c r="A875" s="4" t="s">
        <v>2464</v>
      </c>
      <c r="B875" s="5" t="s">
        <v>2465</v>
      </c>
      <c r="C875" s="5" t="s">
        <v>41</v>
      </c>
      <c r="D875" s="5" t="s">
        <v>42</v>
      </c>
      <c r="E875" s="5" t="s">
        <v>65</v>
      </c>
      <c r="F875" s="9" t="s">
        <v>105</v>
      </c>
      <c r="G875" s="9" t="s">
        <v>75</v>
      </c>
      <c r="H875" s="5" t="s">
        <v>21</v>
      </c>
      <c r="I875" s="5" t="s">
        <v>2466</v>
      </c>
      <c r="J875" s="12" t="str">
        <f>HYPERLINK("https://www.boe.es/gazeta/dias/1808/10/18/pdfs/GMD-D-1808-135.pdf#page=4","Abrir facsímil")</f>
        <v>Abrir facsímil</v>
      </c>
      <c r="K875" s="15" t="s">
        <v>23</v>
      </c>
    </row>
    <row r="876" spans="1:11" ht="42" customHeight="1">
      <c r="A876" s="4" t="s">
        <v>2467</v>
      </c>
      <c r="B876" s="5" t="s">
        <v>2468</v>
      </c>
      <c r="C876" s="5" t="s">
        <v>642</v>
      </c>
      <c r="D876" s="5" t="s">
        <v>643</v>
      </c>
      <c r="E876" s="5" t="s">
        <v>2143</v>
      </c>
      <c r="F876" s="9" t="s">
        <v>2144</v>
      </c>
      <c r="G876" s="9">
        <v>1217</v>
      </c>
      <c r="H876" s="5" t="s">
        <v>21</v>
      </c>
      <c r="I876" s="5" t="s">
        <v>2469</v>
      </c>
      <c r="J876" s="12" t="str">
        <f>HYPERLINK("https://www.boe.es/gazeta/dias/1808/09/29/pdfs/GMD-1808-129E.pdf#page=1","Abrir facsímil")</f>
        <v>Abrir facsímil</v>
      </c>
      <c r="K876" s="15" t="s">
        <v>23</v>
      </c>
    </row>
    <row r="877" spans="1:11" ht="42" customHeight="1">
      <c r="A877" s="4" t="s">
        <v>2467</v>
      </c>
      <c r="B877" s="5" t="s">
        <v>2468</v>
      </c>
      <c r="C877" s="5" t="s">
        <v>17</v>
      </c>
      <c r="D877" s="5" t="s">
        <v>18</v>
      </c>
      <c r="E877" s="5" t="s">
        <v>19</v>
      </c>
      <c r="F877" s="9" t="s">
        <v>59</v>
      </c>
      <c r="G877" s="9">
        <v>1227</v>
      </c>
      <c r="H877" s="5" t="s">
        <v>21</v>
      </c>
      <c r="I877" s="5" t="s">
        <v>2470</v>
      </c>
      <c r="J877" s="12" t="str">
        <f>HYPERLINK("https://www.boe.es/gazeta/dias/1808/09/30/pdfs/GMD-1808-130.pdf#page=7","Abrir facsímil")</f>
        <v>Abrir facsímil</v>
      </c>
      <c r="K877" s="15" t="s">
        <v>23</v>
      </c>
    </row>
    <row r="878" spans="1:11" ht="42" customHeight="1">
      <c r="A878" s="4" t="s">
        <v>2467</v>
      </c>
      <c r="B878" s="5" t="s">
        <v>2468</v>
      </c>
      <c r="C878" s="5" t="s">
        <v>17</v>
      </c>
      <c r="D878" s="5" t="s">
        <v>18</v>
      </c>
      <c r="E878" s="5" t="s">
        <v>197</v>
      </c>
      <c r="F878" s="9" t="s">
        <v>857</v>
      </c>
      <c r="G878" s="9">
        <v>356</v>
      </c>
      <c r="H878" s="5" t="s">
        <v>21</v>
      </c>
      <c r="I878" s="5" t="s">
        <v>2471</v>
      </c>
      <c r="J878" s="12" t="str">
        <f>HYPERLINK("https://www.boe.es/gazeta/dias/1808/11/01/pdfs/GMS-1808-45.pdf#page=4","Abrir facsímil")</f>
        <v>Abrir facsímil</v>
      </c>
      <c r="K878" s="15" t="s">
        <v>23</v>
      </c>
    </row>
    <row r="879" spans="1:11" ht="42" customHeight="1">
      <c r="A879" s="4" t="s">
        <v>2472</v>
      </c>
      <c r="B879" s="5" t="s">
        <v>2473</v>
      </c>
      <c r="C879" s="5" t="s">
        <v>260</v>
      </c>
      <c r="D879" s="5" t="s">
        <v>42</v>
      </c>
      <c r="E879" s="5" t="s">
        <v>269</v>
      </c>
      <c r="F879" s="9" t="s">
        <v>270</v>
      </c>
      <c r="G879" s="9">
        <v>69</v>
      </c>
      <c r="H879" s="5" t="s">
        <v>21</v>
      </c>
      <c r="I879" s="5" t="s">
        <v>2474</v>
      </c>
      <c r="J879" s="12" t="str">
        <f>HYPERLINK("https://www.boe.es/gazeta/dias/1808/01/19/pdfs/GMD-1808-6.pdf#page=9","Abrir facsímil")</f>
        <v>Abrir facsímil</v>
      </c>
      <c r="K879" s="15" t="s">
        <v>23</v>
      </c>
    </row>
    <row r="880" spans="1:11" ht="42" customHeight="1">
      <c r="A880" s="4" t="s">
        <v>2472</v>
      </c>
      <c r="B880" s="5" t="s">
        <v>2473</v>
      </c>
      <c r="C880" s="5" t="s">
        <v>17</v>
      </c>
      <c r="D880" s="5" t="s">
        <v>18</v>
      </c>
      <c r="E880" s="5" t="s">
        <v>469</v>
      </c>
      <c r="F880" s="9" t="s">
        <v>470</v>
      </c>
      <c r="G880" s="9">
        <v>153</v>
      </c>
      <c r="H880" s="5" t="s">
        <v>21</v>
      </c>
      <c r="I880" s="5" t="s">
        <v>2475</v>
      </c>
      <c r="J880" s="12" t="str">
        <f>HYPERLINK("https://www.boe.es/gazeta/dias/1808/02/12/pdfs/GMD-1808-13.pdf#page=9","Abrir facsímil")</f>
        <v>Abrir facsímil</v>
      </c>
      <c r="K880" s="15" t="s">
        <v>23</v>
      </c>
    </row>
    <row r="881" spans="1:11" ht="42" customHeight="1">
      <c r="A881" s="4" t="s">
        <v>2476</v>
      </c>
      <c r="B881" s="5" t="s">
        <v>2477</v>
      </c>
      <c r="C881" s="5" t="s">
        <v>17</v>
      </c>
      <c r="D881" s="5" t="s">
        <v>18</v>
      </c>
      <c r="E881" s="5" t="s">
        <v>1671</v>
      </c>
      <c r="F881" s="9" t="s">
        <v>1672</v>
      </c>
      <c r="G881" s="9">
        <v>484</v>
      </c>
      <c r="H881" s="5" t="s">
        <v>21</v>
      </c>
      <c r="I881" s="5" t="s">
        <v>2478</v>
      </c>
      <c r="J881" s="12" t="str">
        <f>HYPERLINK("https://www.boe.es/gazeta/dias/1808/05/20/pdfs/GMD-1808-48.pdf#page=12","Abrir facsímil")</f>
        <v>Abrir facsímil</v>
      </c>
      <c r="K881" s="15" t="s">
        <v>23</v>
      </c>
    </row>
    <row r="882" spans="1:11" ht="42" customHeight="1">
      <c r="A882" s="4" t="s">
        <v>2479</v>
      </c>
      <c r="B882" s="5" t="s">
        <v>2480</v>
      </c>
      <c r="C882" s="5" t="s">
        <v>94</v>
      </c>
      <c r="D882" s="5" t="s">
        <v>95</v>
      </c>
      <c r="E882" s="5" t="s">
        <v>203</v>
      </c>
      <c r="F882" s="9" t="s">
        <v>204</v>
      </c>
      <c r="G882" s="9">
        <v>141</v>
      </c>
      <c r="H882" s="5" t="s">
        <v>21</v>
      </c>
      <c r="I882" s="5" t="s">
        <v>2481</v>
      </c>
      <c r="J882" s="12" t="str">
        <f>HYPERLINK("https://www.boe.es/gazeta/dias/1808/02/09/pdfs/GMD-1808-12.pdf#page=9","Abrir facsímil")</f>
        <v>Abrir facsímil</v>
      </c>
      <c r="K882" s="15" t="s">
        <v>23</v>
      </c>
    </row>
    <row r="883" spans="1:11" ht="42" customHeight="1">
      <c r="A883" s="4" t="s">
        <v>2479</v>
      </c>
      <c r="B883" s="5" t="s">
        <v>2480</v>
      </c>
      <c r="C883" s="5" t="s">
        <v>94</v>
      </c>
      <c r="D883" s="5" t="s">
        <v>95</v>
      </c>
      <c r="E883" s="5" t="s">
        <v>203</v>
      </c>
      <c r="F883" s="9" t="s">
        <v>204</v>
      </c>
      <c r="G883" s="9">
        <v>142</v>
      </c>
      <c r="H883" s="5" t="s">
        <v>21</v>
      </c>
      <c r="I883" s="5" t="s">
        <v>2482</v>
      </c>
      <c r="J883" s="12" t="str">
        <f>HYPERLINK("https://www.boe.es/gazeta/dias/1808/02/09/pdfs/GMD-1808-12.pdf#page=10","Abrir facsímil")</f>
        <v>Abrir facsímil</v>
      </c>
      <c r="K883" s="15" t="s">
        <v>23</v>
      </c>
    </row>
    <row r="884" spans="1:11" ht="42" customHeight="1">
      <c r="A884" s="4" t="s">
        <v>2483</v>
      </c>
      <c r="B884" s="5" t="s">
        <v>2483</v>
      </c>
      <c r="C884" s="5" t="s">
        <v>17</v>
      </c>
      <c r="D884" s="5" t="s">
        <v>18</v>
      </c>
      <c r="E884" s="5" t="s">
        <v>493</v>
      </c>
      <c r="F884" s="9" t="s">
        <v>494</v>
      </c>
      <c r="G884" s="9">
        <v>41</v>
      </c>
      <c r="H884" s="5" t="s">
        <v>21</v>
      </c>
      <c r="I884" s="5" t="s">
        <v>2484</v>
      </c>
      <c r="J884" s="12" t="str">
        <f>HYPERLINK("https://www.boe.es/gazeta/dias/1808/01/12/pdfs/GMD-1808-4.pdf#page=5","Abrir facsímil")</f>
        <v>Abrir facsímil</v>
      </c>
      <c r="K884" s="15" t="s">
        <v>23</v>
      </c>
    </row>
    <row r="885" spans="1:11" ht="42" customHeight="1">
      <c r="A885" s="4" t="s">
        <v>2485</v>
      </c>
      <c r="B885" s="5" t="s">
        <v>2486</v>
      </c>
      <c r="C885" s="5" t="s">
        <v>41</v>
      </c>
      <c r="D885" s="5" t="s">
        <v>42</v>
      </c>
      <c r="E885" s="5" t="s">
        <v>210</v>
      </c>
      <c r="F885" s="9" t="s">
        <v>211</v>
      </c>
      <c r="G885" s="9">
        <v>255</v>
      </c>
      <c r="H885" s="5" t="s">
        <v>21</v>
      </c>
      <c r="I885" s="5" t="s">
        <v>2487</v>
      </c>
      <c r="J885" s="12" t="str">
        <f>HYPERLINK("https://www.boe.es/gazeta/dias/1808/03/11/pdfs/GMD-1808-21.pdf#page=9","Abrir facsímil")</f>
        <v>Abrir facsímil</v>
      </c>
      <c r="K885" s="15" t="s">
        <v>23</v>
      </c>
    </row>
    <row r="886" spans="1:11" ht="42" customHeight="1">
      <c r="A886" s="4" t="s">
        <v>2488</v>
      </c>
      <c r="B886" s="5" t="s">
        <v>2488</v>
      </c>
      <c r="C886" s="5" t="s">
        <v>33</v>
      </c>
      <c r="D886" s="5" t="s">
        <v>34</v>
      </c>
      <c r="E886" s="5" t="s">
        <v>558</v>
      </c>
      <c r="F886" s="9" t="s">
        <v>758</v>
      </c>
      <c r="G886" s="9" t="s">
        <v>199</v>
      </c>
      <c r="H886" s="5" t="s">
        <v>21</v>
      </c>
      <c r="I886" s="5" t="s">
        <v>2489</v>
      </c>
      <c r="J886" s="12" t="str">
        <f>HYPERLINK("https://www.boe.es/gazeta/dias/1808/11/25/pdfs/GMD-E-1808-147.pdf#page=2","Abrir facsímil")</f>
        <v>Abrir facsímil</v>
      </c>
      <c r="K886" s="15" t="s">
        <v>23</v>
      </c>
    </row>
    <row r="887" spans="1:11" ht="42" customHeight="1">
      <c r="A887" s="4" t="s">
        <v>2490</v>
      </c>
      <c r="B887" s="5" t="s">
        <v>2490</v>
      </c>
      <c r="C887" s="5" t="s">
        <v>41</v>
      </c>
      <c r="D887" s="5" t="s">
        <v>42</v>
      </c>
      <c r="E887" s="5" t="s">
        <v>35</v>
      </c>
      <c r="F887" s="9" t="s">
        <v>36</v>
      </c>
      <c r="G887" s="9" t="s">
        <v>1806</v>
      </c>
      <c r="H887" s="5" t="s">
        <v>21</v>
      </c>
      <c r="I887" s="5" t="s">
        <v>2491</v>
      </c>
      <c r="J887" s="12" t="str">
        <f>HYPERLINK("https://www.boe.es/gazeta/dias/1808/04/22/pdfs/GMD-C-1808-38.pdf#page=6","Abrir facsímil")</f>
        <v>Abrir facsímil</v>
      </c>
      <c r="K887" s="15" t="s">
        <v>23</v>
      </c>
    </row>
    <row r="888" spans="1:11" ht="42" customHeight="1">
      <c r="A888" s="4" t="s">
        <v>2492</v>
      </c>
      <c r="B888" s="5" t="s">
        <v>2492</v>
      </c>
      <c r="C888" s="5" t="s">
        <v>33</v>
      </c>
      <c r="D888" s="5" t="s">
        <v>34</v>
      </c>
      <c r="E888" s="5" t="s">
        <v>558</v>
      </c>
      <c r="F888" s="9" t="s">
        <v>758</v>
      </c>
      <c r="G888" s="9" t="s">
        <v>199</v>
      </c>
      <c r="H888" s="5" t="s">
        <v>21</v>
      </c>
      <c r="I888" s="5" t="s">
        <v>2493</v>
      </c>
      <c r="J888" s="12" t="str">
        <f>HYPERLINK("https://www.boe.es/gazeta/dias/1808/11/25/pdfs/GMD-E-1808-147.pdf#page=2","Abrir facsímil")</f>
        <v>Abrir facsímil</v>
      </c>
      <c r="K888" s="15" t="s">
        <v>23</v>
      </c>
    </row>
    <row r="889" spans="1:11" ht="42" customHeight="1">
      <c r="A889" s="4" t="s">
        <v>2494</v>
      </c>
      <c r="B889" s="5" t="s">
        <v>2494</v>
      </c>
      <c r="C889" s="5" t="s">
        <v>17</v>
      </c>
      <c r="D889" s="5" t="s">
        <v>18</v>
      </c>
      <c r="E889" s="5" t="s">
        <v>222</v>
      </c>
      <c r="F889" s="9" t="s">
        <v>223</v>
      </c>
      <c r="G889" s="9">
        <v>353</v>
      </c>
      <c r="H889" s="5" t="s">
        <v>21</v>
      </c>
      <c r="I889" s="5" t="s">
        <v>2495</v>
      </c>
      <c r="J889" s="12" t="str">
        <f>HYPERLINK("https://www.boe.es/gazeta/dias/1808/04/08/pdfs/GMD-1808-32.pdf#page=7","Abrir facsímil")</f>
        <v>Abrir facsímil</v>
      </c>
      <c r="K889" s="15" t="s">
        <v>23</v>
      </c>
    </row>
    <row r="890" spans="1:11" ht="42" customHeight="1">
      <c r="A890" s="4" t="s">
        <v>2496</v>
      </c>
      <c r="B890" s="5" t="s">
        <v>2497</v>
      </c>
      <c r="C890" s="5" t="s">
        <v>41</v>
      </c>
      <c r="D890" s="5" t="s">
        <v>42</v>
      </c>
      <c r="E890" s="5" t="s">
        <v>153</v>
      </c>
      <c r="F890" s="9" t="s">
        <v>154</v>
      </c>
      <c r="G890" s="9" t="s">
        <v>106</v>
      </c>
      <c r="H890" s="5" t="s">
        <v>21</v>
      </c>
      <c r="I890" s="5" t="s">
        <v>2498</v>
      </c>
      <c r="J890" s="12" t="str">
        <f>HYPERLINK("https://www.boe.es/gazeta/dias/1808/09/09/pdfs/GMD-C-1808-121.pdf#page=3","Abrir facsímil")</f>
        <v>Abrir facsímil</v>
      </c>
      <c r="K890" s="15" t="s">
        <v>23</v>
      </c>
    </row>
    <row r="891" spans="1:11" ht="42" customHeight="1">
      <c r="A891" s="4" t="s">
        <v>2499</v>
      </c>
      <c r="B891" s="5" t="s">
        <v>2500</v>
      </c>
      <c r="C891" s="5" t="s">
        <v>33</v>
      </c>
      <c r="D891" s="5" t="s">
        <v>34</v>
      </c>
      <c r="E891" s="5" t="s">
        <v>65</v>
      </c>
      <c r="F891" s="9" t="s">
        <v>105</v>
      </c>
      <c r="G891" s="9" t="s">
        <v>106</v>
      </c>
      <c r="H891" s="5" t="s">
        <v>21</v>
      </c>
      <c r="I891" s="5" t="s">
        <v>2501</v>
      </c>
      <c r="J891" s="12" t="str">
        <f>HYPERLINK("https://www.boe.es/gazeta/dias/1808/10/18/pdfs/GMD-D-1808-135.pdf#page=3","Abrir facsímil")</f>
        <v>Abrir facsímil</v>
      </c>
      <c r="K891" s="15" t="s">
        <v>23</v>
      </c>
    </row>
    <row r="892" spans="1:11" ht="42" customHeight="1">
      <c r="A892" s="4" t="s">
        <v>2502</v>
      </c>
      <c r="B892" s="5" t="s">
        <v>2503</v>
      </c>
      <c r="C892" s="5" t="s">
        <v>33</v>
      </c>
      <c r="D892" s="5" t="s">
        <v>34</v>
      </c>
      <c r="E892" s="5" t="s">
        <v>110</v>
      </c>
      <c r="F892" s="9" t="s">
        <v>828</v>
      </c>
      <c r="G892" s="9" t="s">
        <v>106</v>
      </c>
      <c r="H892" s="5" t="s">
        <v>21</v>
      </c>
      <c r="I892" s="5" t="s">
        <v>2504</v>
      </c>
      <c r="J892" s="12" t="str">
        <f>HYPERLINK("https://www.boe.es/gazeta/dias/1808/10/28/pdfs/GMD-D-1808-138.pdf#page=3","Abrir facsímil")</f>
        <v>Abrir facsímil</v>
      </c>
      <c r="K892" s="15" t="s">
        <v>23</v>
      </c>
    </row>
    <row r="893" spans="1:11" ht="42" customHeight="1">
      <c r="A893" s="4" t="s">
        <v>2505</v>
      </c>
      <c r="B893" s="5" t="s">
        <v>2506</v>
      </c>
      <c r="C893" s="5" t="s">
        <v>33</v>
      </c>
      <c r="D893" s="5" t="s">
        <v>34</v>
      </c>
      <c r="E893" s="5" t="s">
        <v>334</v>
      </c>
      <c r="F893" s="9" t="s">
        <v>335</v>
      </c>
      <c r="G893" s="9">
        <v>1258</v>
      </c>
      <c r="H893" s="5" t="s">
        <v>21</v>
      </c>
      <c r="I893" s="5" t="s">
        <v>2507</v>
      </c>
      <c r="J893" s="12" t="str">
        <f>HYPERLINK("https://www.boe.es/gazeta/dias/1808/10/04/pdfs/GMD-C-1808-131.pdf#page=10","Abrir facsímil")</f>
        <v>Abrir facsímil</v>
      </c>
      <c r="K893" s="15" t="s">
        <v>23</v>
      </c>
    </row>
    <row r="894" spans="1:11" ht="42" customHeight="1">
      <c r="A894" s="4" t="s">
        <v>2508</v>
      </c>
      <c r="B894" s="5" t="s">
        <v>2509</v>
      </c>
      <c r="C894" s="5" t="s">
        <v>17</v>
      </c>
      <c r="D894" s="5" t="s">
        <v>18</v>
      </c>
      <c r="E894" s="5" t="s">
        <v>139</v>
      </c>
      <c r="F894" s="9" t="s">
        <v>140</v>
      </c>
      <c r="G894" s="9">
        <v>1202</v>
      </c>
      <c r="H894" s="5" t="s">
        <v>21</v>
      </c>
      <c r="I894" s="5" t="s">
        <v>2510</v>
      </c>
      <c r="J894" s="12" t="str">
        <f>HYPERLINK("https://www.boe.es/gazeta/dias/1808/09/23/pdfs/GMD-1808-127.pdf#page=10","Abrir facsímil")</f>
        <v>Abrir facsímil</v>
      </c>
      <c r="K894" s="15" t="s">
        <v>23</v>
      </c>
    </row>
    <row r="895" spans="1:11" ht="42" customHeight="1">
      <c r="A895" s="4" t="s">
        <v>2511</v>
      </c>
      <c r="B895" s="5" t="s">
        <v>2512</v>
      </c>
      <c r="C895" s="5" t="s">
        <v>17</v>
      </c>
      <c r="D895" s="5" t="s">
        <v>18</v>
      </c>
      <c r="E895" s="5" t="s">
        <v>130</v>
      </c>
      <c r="F895" s="9" t="s">
        <v>131</v>
      </c>
      <c r="G895" s="9">
        <v>1602</v>
      </c>
      <c r="H895" s="5" t="s">
        <v>21</v>
      </c>
      <c r="I895" s="5" t="s">
        <v>2513</v>
      </c>
      <c r="J895" s="12" t="str">
        <f>HYPERLINK("https://www.boe.es/gazeta/dias/1808/12/15/pdfs/GMD-1808-155.pdf#page=6","Abrir facsímil")</f>
        <v>Abrir facsímil</v>
      </c>
      <c r="K895" s="15" t="s">
        <v>23</v>
      </c>
    </row>
    <row r="896" spans="1:11" ht="42" customHeight="1">
      <c r="A896" s="4" t="s">
        <v>2514</v>
      </c>
      <c r="B896" s="5" t="s">
        <v>2515</v>
      </c>
      <c r="C896" s="5" t="s">
        <v>26</v>
      </c>
      <c r="D896" s="5" t="s">
        <v>27</v>
      </c>
      <c r="E896" s="5" t="s">
        <v>334</v>
      </c>
      <c r="F896" s="9" t="s">
        <v>1814</v>
      </c>
      <c r="G896" s="9">
        <v>1245</v>
      </c>
      <c r="H896" s="5" t="s">
        <v>21</v>
      </c>
      <c r="I896" s="5" t="s">
        <v>2516</v>
      </c>
      <c r="J896" s="12" t="str">
        <f>HYPERLINK("https://www.boe.es/gazeta/dias/1808/10/04/pdfs/GMD-1808-131.pdf#page=13","Abrir facsímil")</f>
        <v>Abrir facsímil</v>
      </c>
      <c r="K896" s="15" t="s">
        <v>23</v>
      </c>
    </row>
    <row r="897" spans="1:11" ht="42" customHeight="1">
      <c r="A897" s="4" t="s">
        <v>2517</v>
      </c>
      <c r="B897" s="5" t="s">
        <v>2517</v>
      </c>
      <c r="C897" s="5" t="s">
        <v>94</v>
      </c>
      <c r="D897" s="5" t="s">
        <v>95</v>
      </c>
      <c r="E897" s="5" t="s">
        <v>1361</v>
      </c>
      <c r="F897" s="9" t="s">
        <v>1362</v>
      </c>
      <c r="G897" s="9">
        <v>471</v>
      </c>
      <c r="H897" s="5" t="s">
        <v>21</v>
      </c>
      <c r="I897" s="5" t="s">
        <v>2518</v>
      </c>
      <c r="J897" s="12" t="str">
        <f>HYPERLINK("https://www.boe.es/gazeta/dias/1808/05/17/pdfs/GMD-1808-47.pdf#page=11","Abrir facsímil")</f>
        <v>Abrir facsímil</v>
      </c>
      <c r="K897" s="15" t="s">
        <v>23</v>
      </c>
    </row>
    <row r="898" spans="1:11" ht="42" customHeight="1">
      <c r="A898" s="4" t="s">
        <v>2519</v>
      </c>
      <c r="B898" s="5" t="s">
        <v>2520</v>
      </c>
      <c r="C898" s="5" t="s">
        <v>33</v>
      </c>
      <c r="D898" s="5" t="s">
        <v>34</v>
      </c>
      <c r="E898" s="5" t="s">
        <v>110</v>
      </c>
      <c r="F898" s="9" t="s">
        <v>828</v>
      </c>
      <c r="G898" s="9" t="s">
        <v>117</v>
      </c>
      <c r="H898" s="5" t="s">
        <v>21</v>
      </c>
      <c r="I898" s="5" t="s">
        <v>2521</v>
      </c>
      <c r="J898" s="12" t="str">
        <f>HYPERLINK("https://www.boe.es/gazeta/dias/1808/10/28/pdfs/GMD-D-1808-138.pdf#page=1","Abrir facsímil")</f>
        <v>Abrir facsímil</v>
      </c>
      <c r="K898" s="15" t="s">
        <v>23</v>
      </c>
    </row>
    <row r="899" spans="1:11" ht="42" customHeight="1">
      <c r="A899" s="4" t="s">
        <v>2522</v>
      </c>
      <c r="B899" s="5" t="s">
        <v>2523</v>
      </c>
      <c r="C899" s="5" t="s">
        <v>17</v>
      </c>
      <c r="D899" s="5" t="s">
        <v>18</v>
      </c>
      <c r="E899" s="5" t="s">
        <v>2524</v>
      </c>
      <c r="F899" s="9" t="s">
        <v>2525</v>
      </c>
      <c r="G899" s="9">
        <v>1666</v>
      </c>
      <c r="H899" s="5" t="s">
        <v>21</v>
      </c>
      <c r="I899" s="5" t="s">
        <v>2526</v>
      </c>
      <c r="J899" s="12" t="str">
        <f>HYPERLINK("https://www.boe.es/gazeta/dias/1808/12/23/pdfs/GMD-1808-163.pdf#page=4","Abrir facsímil")</f>
        <v>Abrir facsímil</v>
      </c>
      <c r="K899" s="15" t="s">
        <v>23</v>
      </c>
    </row>
    <row r="900" spans="1:11" ht="42" customHeight="1">
      <c r="A900" s="4" t="s">
        <v>2527</v>
      </c>
      <c r="B900" s="5" t="s">
        <v>2528</v>
      </c>
      <c r="C900" s="5" t="s">
        <v>94</v>
      </c>
      <c r="D900" s="5" t="s">
        <v>95</v>
      </c>
      <c r="E900" s="5" t="s">
        <v>65</v>
      </c>
      <c r="F900" s="9" t="s">
        <v>66</v>
      </c>
      <c r="G900" s="9">
        <v>1310</v>
      </c>
      <c r="H900" s="5" t="s">
        <v>21</v>
      </c>
      <c r="I900" s="5" t="s">
        <v>2529</v>
      </c>
      <c r="J900" s="12" t="str">
        <f>HYPERLINK("https://www.boe.es/gazeta/dias/1808/10/18/pdfs/GMD-1808-135.pdf#page=10","Abrir facsímil")</f>
        <v>Abrir facsímil</v>
      </c>
      <c r="K900" s="15" t="s">
        <v>23</v>
      </c>
    </row>
    <row r="901" spans="1:11" ht="42" customHeight="1">
      <c r="A901" s="4" t="s">
        <v>2530</v>
      </c>
      <c r="B901" s="5" t="s">
        <v>2530</v>
      </c>
      <c r="C901" s="5" t="s">
        <v>33</v>
      </c>
      <c r="D901" s="5" t="s">
        <v>34</v>
      </c>
      <c r="E901" s="5" t="s">
        <v>35</v>
      </c>
      <c r="F901" s="9" t="s">
        <v>36</v>
      </c>
      <c r="G901" s="9" t="s">
        <v>135</v>
      </c>
      <c r="H901" s="5" t="s">
        <v>21</v>
      </c>
      <c r="I901" s="5" t="s">
        <v>2531</v>
      </c>
      <c r="J901" s="12" t="str">
        <f>HYPERLINK("https://www.boe.es/gazeta/dias/1808/04/22/pdfs/GMD-C-1808-38.pdf#page=26","Abrir facsímil")</f>
        <v>Abrir facsímil</v>
      </c>
      <c r="K901" s="15" t="s">
        <v>23</v>
      </c>
    </row>
    <row r="902" spans="1:11" ht="42" customHeight="1">
      <c r="A902" s="4" t="s">
        <v>2532</v>
      </c>
      <c r="B902" s="5" t="s">
        <v>2532</v>
      </c>
      <c r="C902" s="5" t="s">
        <v>17</v>
      </c>
      <c r="D902" s="5" t="s">
        <v>18</v>
      </c>
      <c r="E902" s="5" t="s">
        <v>558</v>
      </c>
      <c r="F902" s="9" t="s">
        <v>559</v>
      </c>
      <c r="G902" s="9">
        <v>1545</v>
      </c>
      <c r="H902" s="5" t="s">
        <v>21</v>
      </c>
      <c r="I902" s="5" t="s">
        <v>2533</v>
      </c>
      <c r="J902" s="12" t="str">
        <f>HYPERLINK("https://www.boe.es/gazeta/dias/1808/11/25/pdfs/GMD-1808-147.pdf#page=11","Abrir facsímil")</f>
        <v>Abrir facsímil</v>
      </c>
      <c r="K902" s="15" t="s">
        <v>23</v>
      </c>
    </row>
    <row r="903" spans="1:11" ht="42" customHeight="1">
      <c r="A903" s="4" t="s">
        <v>2534</v>
      </c>
      <c r="B903" s="5" t="s">
        <v>2534</v>
      </c>
      <c r="C903" s="5" t="s">
        <v>17</v>
      </c>
      <c r="D903" s="5" t="s">
        <v>18</v>
      </c>
      <c r="E903" s="5" t="s">
        <v>61</v>
      </c>
      <c r="F903" s="9" t="s">
        <v>62</v>
      </c>
      <c r="G903" s="9">
        <v>1286</v>
      </c>
      <c r="H903" s="5" t="s">
        <v>21</v>
      </c>
      <c r="I903" s="5" t="s">
        <v>2535</v>
      </c>
      <c r="J903" s="12" t="str">
        <f>HYPERLINK("https://www.boe.es/gazeta/dias/1808/10/11/pdfs/GMD-1808-133.pdf#page=14","Abrir facsímil")</f>
        <v>Abrir facsímil</v>
      </c>
      <c r="K903" s="15" t="s">
        <v>23</v>
      </c>
    </row>
    <row r="904" spans="1:11" ht="42" customHeight="1">
      <c r="A904" s="4" t="s">
        <v>2536</v>
      </c>
      <c r="B904" s="5" t="s">
        <v>2536</v>
      </c>
      <c r="C904" s="5" t="s">
        <v>41</v>
      </c>
      <c r="D904" s="5" t="s">
        <v>42</v>
      </c>
      <c r="E904" s="5" t="s">
        <v>35</v>
      </c>
      <c r="F904" s="9" t="s">
        <v>36</v>
      </c>
      <c r="G904" s="9" t="s">
        <v>501</v>
      </c>
      <c r="H904" s="5" t="s">
        <v>21</v>
      </c>
      <c r="I904" s="5" t="s">
        <v>2537</v>
      </c>
      <c r="J904" s="12" t="str">
        <f>HYPERLINK("https://www.boe.es/gazeta/dias/1808/04/22/pdfs/GMD-C-1808-38.pdf#page=5","Abrir facsímil")</f>
        <v>Abrir facsímil</v>
      </c>
      <c r="K904" s="15" t="s">
        <v>23</v>
      </c>
    </row>
    <row r="905" spans="1:11" ht="42" customHeight="1">
      <c r="A905" s="4" t="s">
        <v>2538</v>
      </c>
      <c r="B905" s="5" t="s">
        <v>2538</v>
      </c>
      <c r="C905" s="5" t="s">
        <v>94</v>
      </c>
      <c r="D905" s="5" t="s">
        <v>95</v>
      </c>
      <c r="E905" s="5" t="s">
        <v>35</v>
      </c>
      <c r="F905" s="9" t="s">
        <v>36</v>
      </c>
      <c r="G905" s="9" t="s">
        <v>47</v>
      </c>
      <c r="H905" s="5" t="s">
        <v>21</v>
      </c>
      <c r="I905" s="5" t="s">
        <v>2539</v>
      </c>
      <c r="J905" s="12" t="str">
        <f>HYPERLINK("https://www.boe.es/gazeta/dias/1808/04/22/pdfs/GMD-C-1808-38.pdf#page=13","Abrir facsímil")</f>
        <v>Abrir facsímil</v>
      </c>
      <c r="K905" s="15" t="s">
        <v>23</v>
      </c>
    </row>
    <row r="906" spans="1:11" ht="42" customHeight="1">
      <c r="A906" s="4" t="s">
        <v>2538</v>
      </c>
      <c r="B906" s="5" t="s">
        <v>2538</v>
      </c>
      <c r="C906" s="5" t="s">
        <v>33</v>
      </c>
      <c r="D906" s="5" t="s">
        <v>34</v>
      </c>
      <c r="E906" s="5" t="s">
        <v>35</v>
      </c>
      <c r="F906" s="9" t="s">
        <v>36</v>
      </c>
      <c r="G906" s="9" t="s">
        <v>135</v>
      </c>
      <c r="H906" s="5" t="s">
        <v>21</v>
      </c>
      <c r="I906" s="5" t="s">
        <v>2540</v>
      </c>
      <c r="J906" s="12" t="str">
        <f>HYPERLINK("https://www.boe.es/gazeta/dias/1808/04/22/pdfs/GMD-C-1808-38.pdf#page=26","Abrir facsímil")</f>
        <v>Abrir facsímil</v>
      </c>
      <c r="K906" s="15" t="s">
        <v>23</v>
      </c>
    </row>
    <row r="907" spans="1:11" ht="42" customHeight="1">
      <c r="A907" s="4" t="s">
        <v>2538</v>
      </c>
      <c r="B907" s="5" t="s">
        <v>2538</v>
      </c>
      <c r="C907" s="5" t="s">
        <v>33</v>
      </c>
      <c r="D907" s="5" t="s">
        <v>34</v>
      </c>
      <c r="E907" s="5" t="s">
        <v>35</v>
      </c>
      <c r="F907" s="9" t="s">
        <v>36</v>
      </c>
      <c r="G907" s="9" t="s">
        <v>313</v>
      </c>
      <c r="H907" s="5" t="s">
        <v>21</v>
      </c>
      <c r="I907" s="5" t="s">
        <v>2541</v>
      </c>
      <c r="J907" s="12" t="str">
        <f>HYPERLINK("https://www.boe.es/gazeta/dias/1808/04/22/pdfs/GMD-C-1808-38.pdf#page=29","Abrir facsímil")</f>
        <v>Abrir facsímil</v>
      </c>
      <c r="K907" s="15" t="s">
        <v>23</v>
      </c>
    </row>
    <row r="908" spans="1:11" ht="42" customHeight="1">
      <c r="A908" s="4" t="s">
        <v>2542</v>
      </c>
      <c r="B908" s="5" t="s">
        <v>2543</v>
      </c>
      <c r="C908" s="5" t="s">
        <v>41</v>
      </c>
      <c r="D908" s="5" t="s">
        <v>42</v>
      </c>
      <c r="E908" s="5" t="s">
        <v>110</v>
      </c>
      <c r="F908" s="9" t="s">
        <v>828</v>
      </c>
      <c r="G908" s="9" t="s">
        <v>75</v>
      </c>
      <c r="H908" s="5" t="s">
        <v>21</v>
      </c>
      <c r="I908" s="5" t="s">
        <v>2544</v>
      </c>
      <c r="J908" s="12" t="str">
        <f>HYPERLINK("https://www.boe.es/gazeta/dias/1808/10/28/pdfs/GMD-D-1808-138.pdf#page=4","Abrir facsímil")</f>
        <v>Abrir facsímil</v>
      </c>
      <c r="K908" s="15" t="s">
        <v>23</v>
      </c>
    </row>
    <row r="909" spans="1:11" ht="42" customHeight="1">
      <c r="A909" s="4" t="s">
        <v>2545</v>
      </c>
      <c r="B909" s="5" t="s">
        <v>2546</v>
      </c>
      <c r="C909" s="5" t="s">
        <v>41</v>
      </c>
      <c r="D909" s="5" t="s">
        <v>42</v>
      </c>
      <c r="E909" s="5" t="s">
        <v>616</v>
      </c>
      <c r="F909" s="9" t="s">
        <v>617</v>
      </c>
      <c r="G909" s="9">
        <v>1041</v>
      </c>
      <c r="H909" s="5" t="s">
        <v>21</v>
      </c>
      <c r="I909" s="5" t="s">
        <v>2547</v>
      </c>
      <c r="J909" s="12" t="str">
        <f>HYPERLINK("https://www.boe.es/gazeta/dias/1808/08/19/pdfs/GMD-1808-115.pdf#page=7","Abrir facsímil")</f>
        <v>Abrir facsímil</v>
      </c>
      <c r="K909" s="15" t="s">
        <v>23</v>
      </c>
    </row>
    <row r="910" spans="1:11" ht="42" customHeight="1">
      <c r="A910" s="4" t="s">
        <v>2548</v>
      </c>
      <c r="B910" s="5" t="s">
        <v>2548</v>
      </c>
      <c r="C910" s="5" t="s">
        <v>94</v>
      </c>
      <c r="D910" s="5" t="s">
        <v>95</v>
      </c>
      <c r="E910" s="5" t="s">
        <v>473</v>
      </c>
      <c r="F910" s="9" t="s">
        <v>474</v>
      </c>
      <c r="G910" s="9">
        <v>705</v>
      </c>
      <c r="H910" s="5" t="s">
        <v>21</v>
      </c>
      <c r="I910" s="5" t="s">
        <v>2549</v>
      </c>
      <c r="J910" s="12" t="str">
        <f>HYPERLINK("https://www.boe.es/gazeta/dias/1808/07/02/pdfs/GMD-1808-74.pdf#page=3","Abrir facsímil")</f>
        <v>Abrir facsímil</v>
      </c>
      <c r="K910" s="15" t="s">
        <v>23</v>
      </c>
    </row>
    <row r="911" spans="1:11" ht="42" customHeight="1">
      <c r="A911" s="4" t="s">
        <v>2550</v>
      </c>
      <c r="B911" s="5" t="s">
        <v>2551</v>
      </c>
      <c r="C911" s="5" t="s">
        <v>33</v>
      </c>
      <c r="D911" s="5" t="s">
        <v>34</v>
      </c>
      <c r="E911" s="5" t="s">
        <v>461</v>
      </c>
      <c r="F911" s="9" t="s">
        <v>462</v>
      </c>
      <c r="G911" s="9" t="s">
        <v>106</v>
      </c>
      <c r="H911" s="5" t="s">
        <v>21</v>
      </c>
      <c r="I911" s="5" t="s">
        <v>2552</v>
      </c>
      <c r="J911" s="12" t="str">
        <f>HYPERLINK("https://www.boe.es/gazeta/dias/1808/11/08/pdfs/GMD-D-1808-142.pdf#page=3","Abrir facsímil")</f>
        <v>Abrir facsímil</v>
      </c>
      <c r="K911" s="15" t="s">
        <v>23</v>
      </c>
    </row>
    <row r="912" spans="1:11" ht="42" customHeight="1">
      <c r="A912" s="4" t="s">
        <v>2553</v>
      </c>
      <c r="B912" s="5" t="s">
        <v>2553</v>
      </c>
      <c r="C912" s="5" t="s">
        <v>94</v>
      </c>
      <c r="D912" s="5" t="s">
        <v>95</v>
      </c>
      <c r="E912" s="5" t="s">
        <v>1085</v>
      </c>
      <c r="F912" s="9" t="s">
        <v>1086</v>
      </c>
      <c r="G912" s="9">
        <v>102</v>
      </c>
      <c r="H912" s="5" t="s">
        <v>21</v>
      </c>
      <c r="I912" s="5" t="s">
        <v>2554</v>
      </c>
      <c r="J912" s="12" t="str">
        <f>HYPERLINK("https://www.boe.es/gazeta/dias/1808/01/29/pdfs/GMD-1808-9.pdf#page=6","Abrir facsímil")</f>
        <v>Abrir facsímil</v>
      </c>
      <c r="K912" s="15" t="s">
        <v>23</v>
      </c>
    </row>
    <row r="913" spans="1:11" ht="42" customHeight="1">
      <c r="A913" s="4" t="s">
        <v>2553</v>
      </c>
      <c r="B913" s="5" t="s">
        <v>2553</v>
      </c>
      <c r="C913" s="5" t="s">
        <v>101</v>
      </c>
      <c r="D913" s="5" t="s">
        <v>102</v>
      </c>
      <c r="E913" s="5" t="s">
        <v>2555</v>
      </c>
      <c r="F913" s="9" t="s">
        <v>2556</v>
      </c>
      <c r="G913" s="9">
        <v>126</v>
      </c>
      <c r="H913" s="5" t="s">
        <v>21</v>
      </c>
      <c r="I913" s="5" t="s">
        <v>2557</v>
      </c>
      <c r="J913" s="12" t="str">
        <f>HYPERLINK("https://www.boe.es/gazeta/dias/1808/02/05/pdfs/GMD-1808-11.pdf#page=6","Abrir facsímil")</f>
        <v>Abrir facsímil</v>
      </c>
      <c r="K913" s="15" t="s">
        <v>23</v>
      </c>
    </row>
    <row r="914" spans="1:11" ht="42" customHeight="1">
      <c r="A914" s="4" t="s">
        <v>2553</v>
      </c>
      <c r="B914" s="5" t="s">
        <v>2553</v>
      </c>
      <c r="C914" s="5" t="s">
        <v>94</v>
      </c>
      <c r="D914" s="5" t="s">
        <v>95</v>
      </c>
      <c r="E914" s="5" t="s">
        <v>663</v>
      </c>
      <c r="F914" s="9" t="s">
        <v>664</v>
      </c>
      <c r="G914" s="9">
        <v>199</v>
      </c>
      <c r="H914" s="5" t="s">
        <v>21</v>
      </c>
      <c r="I914" s="5" t="s">
        <v>2558</v>
      </c>
      <c r="J914" s="12" t="str">
        <f>HYPERLINK("https://www.boe.es/gazeta/dias/1808/02/26/pdfs/GMD-1808-17.pdf#page=1","Abrir facsímil")</f>
        <v>Abrir facsímil</v>
      </c>
      <c r="K914" s="15" t="s">
        <v>23</v>
      </c>
    </row>
    <row r="915" spans="1:11" ht="42" customHeight="1">
      <c r="A915" s="4" t="s">
        <v>2553</v>
      </c>
      <c r="B915" s="5" t="s">
        <v>2553</v>
      </c>
      <c r="C915" s="5" t="s">
        <v>101</v>
      </c>
      <c r="D915" s="5" t="s">
        <v>102</v>
      </c>
      <c r="E915" s="5" t="s">
        <v>663</v>
      </c>
      <c r="F915" s="9" t="s">
        <v>664</v>
      </c>
      <c r="G915" s="9">
        <v>200</v>
      </c>
      <c r="H915" s="5" t="s">
        <v>21</v>
      </c>
      <c r="I915" s="5" t="s">
        <v>2559</v>
      </c>
      <c r="J915" s="12" t="str">
        <f>HYPERLINK("https://www.boe.es/gazeta/dias/1808/02/26/pdfs/GMD-1808-17.pdf#page=2","Abrir facsímil")</f>
        <v>Abrir facsímil</v>
      </c>
      <c r="K915" s="15" t="s">
        <v>23</v>
      </c>
    </row>
    <row r="916" spans="1:11" ht="42" customHeight="1">
      <c r="A916" s="4" t="s">
        <v>2553</v>
      </c>
      <c r="B916" s="5" t="s">
        <v>2553</v>
      </c>
      <c r="C916" s="5" t="s">
        <v>41</v>
      </c>
      <c r="D916" s="5" t="s">
        <v>42</v>
      </c>
      <c r="E916" s="5" t="s">
        <v>991</v>
      </c>
      <c r="F916" s="9" t="s">
        <v>992</v>
      </c>
      <c r="G916" s="9">
        <v>213</v>
      </c>
      <c r="H916" s="5" t="s">
        <v>21</v>
      </c>
      <c r="I916" s="5" t="s">
        <v>2560</v>
      </c>
      <c r="J916" s="12" t="str">
        <f>HYPERLINK("https://www.boe.es/gazeta/dias/1808/03/01/pdfs/GMD-1808-18.pdf#page=3","Abrir facsímil")</f>
        <v>Abrir facsímil</v>
      </c>
      <c r="K916" s="15" t="s">
        <v>23</v>
      </c>
    </row>
    <row r="917" spans="1:11" ht="42" customHeight="1">
      <c r="A917" s="4" t="s">
        <v>2553</v>
      </c>
      <c r="B917" s="5" t="s">
        <v>2553</v>
      </c>
      <c r="C917" s="5" t="s">
        <v>94</v>
      </c>
      <c r="D917" s="5" t="s">
        <v>95</v>
      </c>
      <c r="E917" s="5" t="s">
        <v>513</v>
      </c>
      <c r="F917" s="9" t="s">
        <v>514</v>
      </c>
      <c r="G917" s="9">
        <v>281</v>
      </c>
      <c r="H917" s="5" t="s">
        <v>21</v>
      </c>
      <c r="I917" s="5" t="s">
        <v>2561</v>
      </c>
      <c r="J917" s="12" t="str">
        <f>HYPERLINK("https://www.boe.es/gazeta/dias/1808/03/22/pdfs/GMD-1808-24.pdf#page=3","Abrir facsímil")</f>
        <v>Abrir facsímil</v>
      </c>
      <c r="K917" s="15" t="s">
        <v>23</v>
      </c>
    </row>
    <row r="918" spans="1:11" ht="42" customHeight="1">
      <c r="A918" s="4" t="s">
        <v>2553</v>
      </c>
      <c r="B918" s="5" t="s">
        <v>2553</v>
      </c>
      <c r="C918" s="5" t="s">
        <v>101</v>
      </c>
      <c r="D918" s="5" t="s">
        <v>102</v>
      </c>
      <c r="E918" s="5" t="s">
        <v>120</v>
      </c>
      <c r="F918" s="9" t="s">
        <v>121</v>
      </c>
      <c r="G918" s="9">
        <v>307</v>
      </c>
      <c r="H918" s="5" t="s">
        <v>21</v>
      </c>
      <c r="I918" s="5" t="s">
        <v>2562</v>
      </c>
      <c r="J918" s="12" t="str">
        <f>HYPERLINK("https://www.boe.es/gazeta/dias/1808/03/29/pdfs/GMD-1808-27.pdf#page=3","Abrir facsímil")</f>
        <v>Abrir facsímil</v>
      </c>
      <c r="K918" s="15" t="s">
        <v>23</v>
      </c>
    </row>
    <row r="919" spans="1:11" ht="42" customHeight="1">
      <c r="A919" s="4" t="s">
        <v>2553</v>
      </c>
      <c r="B919" s="5" t="s">
        <v>2553</v>
      </c>
      <c r="C919" s="5" t="s">
        <v>94</v>
      </c>
      <c r="D919" s="5" t="s">
        <v>95</v>
      </c>
      <c r="E919" s="5" t="s">
        <v>120</v>
      </c>
      <c r="F919" s="9" t="s">
        <v>121</v>
      </c>
      <c r="G919" s="9">
        <v>308</v>
      </c>
      <c r="H919" s="5" t="s">
        <v>21</v>
      </c>
      <c r="I919" s="5" t="s">
        <v>2563</v>
      </c>
      <c r="J919" s="12" t="str">
        <f>HYPERLINK("https://www.boe.es/gazeta/dias/1808/03/29/pdfs/GMD-1808-27.pdf#page=4","Abrir facsímil")</f>
        <v>Abrir facsímil</v>
      </c>
      <c r="K919" s="15" t="s">
        <v>23</v>
      </c>
    </row>
    <row r="920" spans="1:11" ht="42" customHeight="1">
      <c r="A920" s="4" t="s">
        <v>2553</v>
      </c>
      <c r="B920" s="5" t="s">
        <v>2553</v>
      </c>
      <c r="C920" s="5" t="s">
        <v>101</v>
      </c>
      <c r="D920" s="5" t="s">
        <v>102</v>
      </c>
      <c r="E920" s="5" t="s">
        <v>1415</v>
      </c>
      <c r="F920" s="9" t="s">
        <v>1416</v>
      </c>
      <c r="G920" s="9">
        <v>411</v>
      </c>
      <c r="H920" s="5" t="s">
        <v>21</v>
      </c>
      <c r="I920" s="5" t="s">
        <v>2564</v>
      </c>
      <c r="J920" s="12" t="str">
        <f>HYPERLINK("https://www.boe.es/gazeta/dias/1808/04/26/pdfs/GMD-1808-41.pdf#page=3","Abrir facsímil")</f>
        <v>Abrir facsímil</v>
      </c>
      <c r="K920" s="15" t="s">
        <v>23</v>
      </c>
    </row>
    <row r="921" spans="1:11" ht="42" customHeight="1">
      <c r="A921" s="4" t="s">
        <v>2553</v>
      </c>
      <c r="B921" s="5" t="s">
        <v>2553</v>
      </c>
      <c r="C921" s="5" t="s">
        <v>94</v>
      </c>
      <c r="D921" s="5" t="s">
        <v>95</v>
      </c>
      <c r="E921" s="5" t="s">
        <v>1361</v>
      </c>
      <c r="F921" s="9" t="s">
        <v>1362</v>
      </c>
      <c r="G921" s="9">
        <v>466</v>
      </c>
      <c r="H921" s="5" t="s">
        <v>21</v>
      </c>
      <c r="I921" s="5" t="s">
        <v>2565</v>
      </c>
      <c r="J921" s="12" t="str">
        <f>HYPERLINK("https://www.boe.es/gazeta/dias/1808/05/17/pdfs/GMD-1808-47.pdf#page=6","Abrir facsímil")</f>
        <v>Abrir facsímil</v>
      </c>
      <c r="K921" s="15" t="s">
        <v>23</v>
      </c>
    </row>
    <row r="922" spans="1:11" ht="42" customHeight="1">
      <c r="A922" s="4" t="s">
        <v>2553</v>
      </c>
      <c r="B922" s="5" t="s">
        <v>2553</v>
      </c>
      <c r="C922" s="5" t="s">
        <v>389</v>
      </c>
      <c r="D922" s="5" t="s">
        <v>390</v>
      </c>
      <c r="E922" s="5" t="s">
        <v>1361</v>
      </c>
      <c r="F922" s="9" t="s">
        <v>1362</v>
      </c>
      <c r="G922" s="9">
        <v>467</v>
      </c>
      <c r="H922" s="5" t="s">
        <v>21</v>
      </c>
      <c r="I922" s="5" t="s">
        <v>2566</v>
      </c>
      <c r="J922" s="12" t="str">
        <f>HYPERLINK("https://www.boe.es/gazeta/dias/1808/05/17/pdfs/GMD-1808-47.pdf#page=7","Abrir facsímil")</f>
        <v>Abrir facsímil</v>
      </c>
      <c r="K922" s="15" t="s">
        <v>23</v>
      </c>
    </row>
    <row r="923" spans="1:11" ht="42" customHeight="1">
      <c r="A923" s="4" t="s">
        <v>2553</v>
      </c>
      <c r="B923" s="5" t="s">
        <v>2553</v>
      </c>
      <c r="C923" s="5" t="s">
        <v>101</v>
      </c>
      <c r="D923" s="5" t="s">
        <v>102</v>
      </c>
      <c r="E923" s="5" t="s">
        <v>1962</v>
      </c>
      <c r="F923" s="9" t="s">
        <v>1963</v>
      </c>
      <c r="G923" s="9">
        <v>729</v>
      </c>
      <c r="H923" s="5" t="s">
        <v>21</v>
      </c>
      <c r="I923" s="5" t="s">
        <v>2567</v>
      </c>
      <c r="J923" s="12" t="str">
        <f>HYPERLINK("https://www.boe.es/gazeta/dias/1808/07/05/pdfs/GMD-1808-77.pdf#page=3","Abrir facsímil")</f>
        <v>Abrir facsímil</v>
      </c>
      <c r="K923" s="15" t="s">
        <v>23</v>
      </c>
    </row>
    <row r="924" spans="1:11" ht="42" customHeight="1">
      <c r="A924" s="4" t="s">
        <v>2553</v>
      </c>
      <c r="B924" s="5" t="s">
        <v>2553</v>
      </c>
      <c r="C924" s="5" t="s">
        <v>17</v>
      </c>
      <c r="D924" s="5" t="s">
        <v>18</v>
      </c>
      <c r="E924" s="5" t="s">
        <v>180</v>
      </c>
      <c r="F924" s="9" t="s">
        <v>2568</v>
      </c>
      <c r="G924" s="9">
        <v>1493</v>
      </c>
      <c r="H924" s="5" t="s">
        <v>21</v>
      </c>
      <c r="I924" s="5" t="s">
        <v>2569</v>
      </c>
      <c r="J924" s="12" t="str">
        <f>HYPERLINK("https://www.boe.es/gazeta/dias/1808/11/15/pdfs/GMD-1808-144.pdf#page=7","Abrir facsímil")</f>
        <v>Abrir facsímil</v>
      </c>
      <c r="K924" s="15" t="s">
        <v>23</v>
      </c>
    </row>
    <row r="925" spans="1:11" ht="42" customHeight="1">
      <c r="A925" s="4" t="s">
        <v>2570</v>
      </c>
      <c r="B925" s="5" t="s">
        <v>2570</v>
      </c>
      <c r="C925" s="5" t="s">
        <v>101</v>
      </c>
      <c r="D925" s="5" t="s">
        <v>102</v>
      </c>
      <c r="E925" s="5" t="s">
        <v>339</v>
      </c>
      <c r="F925" s="9" t="s">
        <v>340</v>
      </c>
      <c r="G925" s="9">
        <v>74</v>
      </c>
      <c r="H925" s="5" t="s">
        <v>21</v>
      </c>
      <c r="I925" s="5" t="s">
        <v>2571</v>
      </c>
      <c r="J925" s="12" t="str">
        <f>HYPERLINK("https://www.boe.es/gazeta/dias/1808/01/22/pdfs/GMD-1808-7.pdf#page=2","Abrir facsímil")</f>
        <v>Abrir facsímil</v>
      </c>
      <c r="K925" s="15" t="s">
        <v>23</v>
      </c>
    </row>
    <row r="926" spans="1:11" ht="42" customHeight="1">
      <c r="A926" s="4" t="s">
        <v>2572</v>
      </c>
      <c r="B926" s="5" t="s">
        <v>2573</v>
      </c>
      <c r="C926" s="5" t="s">
        <v>389</v>
      </c>
      <c r="D926" s="5" t="s">
        <v>390</v>
      </c>
      <c r="E926" s="5" t="s">
        <v>870</v>
      </c>
      <c r="F926" s="9" t="s">
        <v>871</v>
      </c>
      <c r="G926" s="9">
        <v>586</v>
      </c>
      <c r="H926" s="5" t="s">
        <v>21</v>
      </c>
      <c r="I926" s="5" t="s">
        <v>2574</v>
      </c>
      <c r="J926" s="12" t="str">
        <f>HYPERLINK("https://www.boe.es/gazeta/dias/1808/06/17/pdfs/GMD-1808-59.pdf#page=8","Abrir facsímil")</f>
        <v>Abrir facsímil</v>
      </c>
      <c r="K926" s="15" t="s">
        <v>23</v>
      </c>
    </row>
    <row r="927" spans="1:11" ht="42" customHeight="1">
      <c r="A927" s="4" t="s">
        <v>2572</v>
      </c>
      <c r="B927" s="5" t="s">
        <v>2573</v>
      </c>
      <c r="C927" s="5" t="s">
        <v>41</v>
      </c>
      <c r="D927" s="5" t="s">
        <v>42</v>
      </c>
      <c r="E927" s="5" t="s">
        <v>427</v>
      </c>
      <c r="F927" s="9" t="s">
        <v>428</v>
      </c>
      <c r="G927" s="9" t="s">
        <v>199</v>
      </c>
      <c r="H927" s="5" t="s">
        <v>21</v>
      </c>
      <c r="I927" s="5" t="s">
        <v>2575</v>
      </c>
      <c r="J927" s="12" t="str">
        <f>HYPERLINK("https://www.boe.es/gazeta/dias/1808/11/22/pdfs/GMD-D-1808-146.pdf#page=2","Abrir facsímil")</f>
        <v>Abrir facsímil</v>
      </c>
      <c r="K927" s="15" t="s">
        <v>23</v>
      </c>
    </row>
    <row r="928" spans="1:11" ht="42" customHeight="1">
      <c r="A928" s="4" t="s">
        <v>2576</v>
      </c>
      <c r="B928" s="5" t="s">
        <v>2577</v>
      </c>
      <c r="C928" s="5" t="s">
        <v>94</v>
      </c>
      <c r="D928" s="5" t="s">
        <v>95</v>
      </c>
      <c r="E928" s="5" t="s">
        <v>974</v>
      </c>
      <c r="F928" s="9" t="s">
        <v>975</v>
      </c>
      <c r="G928" s="9">
        <v>391</v>
      </c>
      <c r="H928" s="5" t="s">
        <v>21</v>
      </c>
      <c r="I928" s="5" t="s">
        <v>2578</v>
      </c>
      <c r="J928" s="12" t="str">
        <f>HYPERLINK("https://www.boe.es/gazeta/dias/1808/04/19/pdfs/GMD-1808-37.pdf#page=7","Abrir facsímil")</f>
        <v>Abrir facsímil</v>
      </c>
      <c r="K928" s="15" t="s">
        <v>23</v>
      </c>
    </row>
    <row r="929" spans="1:11" ht="42" customHeight="1">
      <c r="A929" s="4" t="s">
        <v>2579</v>
      </c>
      <c r="B929" s="5" t="s">
        <v>2580</v>
      </c>
      <c r="C929" s="5" t="s">
        <v>33</v>
      </c>
      <c r="D929" s="5" t="s">
        <v>34</v>
      </c>
      <c r="E929" s="5" t="s">
        <v>153</v>
      </c>
      <c r="F929" s="9" t="s">
        <v>154</v>
      </c>
      <c r="G929" s="9" t="s">
        <v>75</v>
      </c>
      <c r="H929" s="5" t="s">
        <v>21</v>
      </c>
      <c r="I929" s="5" t="s">
        <v>2581</v>
      </c>
      <c r="J929" s="12" t="str">
        <f>HYPERLINK("https://www.boe.es/gazeta/dias/1808/09/09/pdfs/GMD-C-1808-121.pdf#page=4","Abrir facsímil")</f>
        <v>Abrir facsímil</v>
      </c>
      <c r="K929" s="15" t="s">
        <v>23</v>
      </c>
    </row>
    <row r="930" spans="1:11" ht="42" customHeight="1">
      <c r="A930" s="4" t="s">
        <v>2582</v>
      </c>
      <c r="B930" s="5" t="s">
        <v>2583</v>
      </c>
      <c r="C930" s="5" t="s">
        <v>33</v>
      </c>
      <c r="D930" s="5" t="s">
        <v>34</v>
      </c>
      <c r="E930" s="5" t="s">
        <v>35</v>
      </c>
      <c r="F930" s="9" t="s">
        <v>36</v>
      </c>
      <c r="G930" s="9" t="s">
        <v>273</v>
      </c>
      <c r="H930" s="5" t="s">
        <v>21</v>
      </c>
      <c r="I930" s="5" t="s">
        <v>2584</v>
      </c>
      <c r="J930" s="12" t="str">
        <f>HYPERLINK("https://www.boe.es/gazeta/dias/1808/04/22/pdfs/GMD-C-1808-38.pdf#page=12","Abrir facsímil")</f>
        <v>Abrir facsímil</v>
      </c>
      <c r="K930" s="15" t="s">
        <v>23</v>
      </c>
    </row>
    <row r="931" spans="1:11" ht="42" customHeight="1">
      <c r="A931" s="4" t="s">
        <v>2585</v>
      </c>
      <c r="B931" s="5" t="s">
        <v>2586</v>
      </c>
      <c r="C931" s="5" t="s">
        <v>33</v>
      </c>
      <c r="D931" s="5" t="s">
        <v>34</v>
      </c>
      <c r="E931" s="5" t="s">
        <v>89</v>
      </c>
      <c r="F931" s="9" t="s">
        <v>563</v>
      </c>
      <c r="G931" s="9" t="s">
        <v>199</v>
      </c>
      <c r="H931" s="5" t="s">
        <v>21</v>
      </c>
      <c r="I931" s="5" t="s">
        <v>2587</v>
      </c>
      <c r="J931" s="12" t="str">
        <f>HYPERLINK("https://www.boe.es/gazeta/dias/1808/10/25/pdfs/GMD-D-1808-137.pdf#page=2","Abrir facsímil")</f>
        <v>Abrir facsímil</v>
      </c>
      <c r="K931" s="15" t="s">
        <v>23</v>
      </c>
    </row>
    <row r="932" spans="1:11" ht="42" customHeight="1">
      <c r="A932" s="4" t="s">
        <v>2588</v>
      </c>
      <c r="B932" s="5" t="s">
        <v>2589</v>
      </c>
      <c r="C932" s="5" t="s">
        <v>41</v>
      </c>
      <c r="D932" s="5" t="s">
        <v>42</v>
      </c>
      <c r="E932" s="5" t="s">
        <v>207</v>
      </c>
      <c r="F932" s="9" t="s">
        <v>208</v>
      </c>
      <c r="G932" s="9">
        <v>196</v>
      </c>
      <c r="H932" s="5" t="s">
        <v>21</v>
      </c>
      <c r="I932" s="5" t="s">
        <v>2590</v>
      </c>
      <c r="J932" s="12" t="str">
        <f>HYPERLINK("https://www.boe.es/gazeta/dias/1808/02/23/pdfs/GMD-1808-16.pdf#page=10","Abrir facsímil")</f>
        <v>Abrir facsímil</v>
      </c>
      <c r="K932" s="15" t="s">
        <v>23</v>
      </c>
    </row>
    <row r="933" spans="1:11" ht="42" customHeight="1">
      <c r="A933" s="4" t="s">
        <v>2591</v>
      </c>
      <c r="B933" s="5" t="s">
        <v>2592</v>
      </c>
      <c r="C933" s="5" t="s">
        <v>17</v>
      </c>
      <c r="D933" s="5" t="s">
        <v>18</v>
      </c>
      <c r="E933" s="5" t="s">
        <v>68</v>
      </c>
      <c r="F933" s="9" t="s">
        <v>69</v>
      </c>
      <c r="G933" s="9">
        <v>1337</v>
      </c>
      <c r="H933" s="5" t="s">
        <v>21</v>
      </c>
      <c r="I933" s="5" t="s">
        <v>2593</v>
      </c>
      <c r="J933" s="12" t="str">
        <f>HYPERLINK("https://www.boe.es/gazeta/dias/1808/10/21/pdfs/GMD-1808-136.pdf#page=9","Abrir facsímil")</f>
        <v>Abrir facsímil</v>
      </c>
      <c r="K933" s="15" t="s">
        <v>23</v>
      </c>
    </row>
    <row r="934" spans="1:11" ht="42" customHeight="1">
      <c r="A934" s="4" t="s">
        <v>2594</v>
      </c>
      <c r="B934" s="5" t="s">
        <v>2595</v>
      </c>
      <c r="C934" s="5" t="s">
        <v>94</v>
      </c>
      <c r="D934" s="5" t="s">
        <v>95</v>
      </c>
      <c r="E934" s="5" t="s">
        <v>35</v>
      </c>
      <c r="F934" s="9" t="s">
        <v>36</v>
      </c>
      <c r="G934" s="9" t="s">
        <v>1128</v>
      </c>
      <c r="H934" s="5" t="s">
        <v>21</v>
      </c>
      <c r="I934" s="5" t="s">
        <v>2596</v>
      </c>
      <c r="J934" s="12" t="str">
        <f>HYPERLINK("https://www.boe.es/gazeta/dias/1808/04/22/pdfs/GMD-C-1808-38.pdf#page=11","Abrir facsímil")</f>
        <v>Abrir facsímil</v>
      </c>
      <c r="K934" s="15" t="s">
        <v>23</v>
      </c>
    </row>
    <row r="935" spans="1:11" ht="42" customHeight="1">
      <c r="A935" s="4" t="s">
        <v>2597</v>
      </c>
      <c r="B935" s="5" t="s">
        <v>2597</v>
      </c>
      <c r="C935" s="5" t="s">
        <v>101</v>
      </c>
      <c r="D935" s="5" t="s">
        <v>102</v>
      </c>
      <c r="E935" s="5" t="s">
        <v>2598</v>
      </c>
      <c r="F935" s="9" t="s">
        <v>2599</v>
      </c>
      <c r="G935" s="9">
        <v>945</v>
      </c>
      <c r="H935" s="5" t="s">
        <v>21</v>
      </c>
      <c r="I935" s="5" t="s">
        <v>2600</v>
      </c>
      <c r="J935" s="12" t="str">
        <f>HYPERLINK("https://www.boe.es/gazeta/dias/1808/08/01/pdfs/GMD-1808-104.pdf#page=3","Abrir facsímil")</f>
        <v>Abrir facsímil</v>
      </c>
      <c r="K935" s="15" t="s">
        <v>23</v>
      </c>
    </row>
    <row r="936" spans="1:11" ht="42" customHeight="1">
      <c r="A936" s="4" t="s">
        <v>2601</v>
      </c>
      <c r="B936" s="5" t="s">
        <v>2602</v>
      </c>
      <c r="C936" s="5" t="s">
        <v>101</v>
      </c>
      <c r="D936" s="5" t="s">
        <v>102</v>
      </c>
      <c r="E936" s="5" t="s">
        <v>2603</v>
      </c>
      <c r="F936" s="9" t="s">
        <v>2604</v>
      </c>
      <c r="G936" s="9">
        <v>665</v>
      </c>
      <c r="H936" s="5" t="s">
        <v>21</v>
      </c>
      <c r="I936" s="5" t="s">
        <v>2605</v>
      </c>
      <c r="J936" s="12" t="str">
        <f>HYPERLINK("https://www.boe.es/gazeta/dias/1808/06/27/pdfs/GMD-1808-69.pdf#page=3","Abrir facsímil")</f>
        <v>Abrir facsímil</v>
      </c>
      <c r="K936" s="15" t="s">
        <v>23</v>
      </c>
    </row>
    <row r="937" spans="1:11" ht="42" customHeight="1">
      <c r="A937" s="4" t="s">
        <v>2606</v>
      </c>
      <c r="B937" s="5" t="s">
        <v>2607</v>
      </c>
      <c r="C937" s="5" t="s">
        <v>41</v>
      </c>
      <c r="D937" s="5" t="s">
        <v>42</v>
      </c>
      <c r="E937" s="5" t="s">
        <v>684</v>
      </c>
      <c r="F937" s="9" t="s">
        <v>685</v>
      </c>
      <c r="G937" s="9">
        <v>382</v>
      </c>
      <c r="H937" s="5" t="s">
        <v>21</v>
      </c>
      <c r="I937" s="5" t="s">
        <v>2608</v>
      </c>
      <c r="J937" s="12" t="str">
        <f>HYPERLINK("https://www.boe.es/gazeta/dias/1808/04/15/pdfs/GMD-1808-35.pdf#page=8","Abrir facsímil")</f>
        <v>Abrir facsímil</v>
      </c>
      <c r="K937" s="15" t="s">
        <v>23</v>
      </c>
    </row>
    <row r="938" spans="1:11" ht="42" customHeight="1">
      <c r="A938" s="4" t="s">
        <v>2609</v>
      </c>
      <c r="B938" s="5" t="s">
        <v>2610</v>
      </c>
      <c r="C938" s="5" t="s">
        <v>17</v>
      </c>
      <c r="D938" s="5" t="s">
        <v>18</v>
      </c>
      <c r="E938" s="5" t="s">
        <v>19</v>
      </c>
      <c r="F938" s="9" t="s">
        <v>59</v>
      </c>
      <c r="G938" s="9">
        <v>1226</v>
      </c>
      <c r="H938" s="5" t="s">
        <v>21</v>
      </c>
      <c r="I938" s="5" t="s">
        <v>2611</v>
      </c>
      <c r="J938" s="12" t="str">
        <f>HYPERLINK("https://www.boe.es/gazeta/dias/1808/09/30/pdfs/GMD-1808-130.pdf#page=6","Abrir facsímil")</f>
        <v>Abrir facsímil</v>
      </c>
      <c r="K938" s="15" t="s">
        <v>23</v>
      </c>
    </row>
    <row r="939" spans="1:11" ht="42" customHeight="1">
      <c r="A939" s="4" t="s">
        <v>2612</v>
      </c>
      <c r="B939" s="5" t="s">
        <v>2613</v>
      </c>
      <c r="C939" s="5" t="s">
        <v>94</v>
      </c>
      <c r="D939" s="5" t="s">
        <v>95</v>
      </c>
      <c r="E939" s="5" t="s">
        <v>185</v>
      </c>
      <c r="F939" s="9" t="s">
        <v>186</v>
      </c>
      <c r="G939" s="9">
        <v>1100</v>
      </c>
      <c r="H939" s="5" t="s">
        <v>21</v>
      </c>
      <c r="I939" s="5" t="s">
        <v>2614</v>
      </c>
      <c r="J939" s="12" t="str">
        <f>HYPERLINK("https://www.boe.es/gazeta/dias/1808/08/30/pdfs/GMD-1808-118.pdf#page=6","Abrir facsímil")</f>
        <v>Abrir facsímil</v>
      </c>
      <c r="K939" s="15" t="s">
        <v>23</v>
      </c>
    </row>
    <row r="940" spans="1:11" ht="42" customHeight="1">
      <c r="A940" s="4" t="s">
        <v>2615</v>
      </c>
      <c r="B940" s="5" t="s">
        <v>2616</v>
      </c>
      <c r="C940" s="5" t="s">
        <v>33</v>
      </c>
      <c r="D940" s="5" t="s">
        <v>34</v>
      </c>
      <c r="E940" s="5" t="s">
        <v>35</v>
      </c>
      <c r="F940" s="9" t="s">
        <v>36</v>
      </c>
      <c r="G940" s="9" t="s">
        <v>106</v>
      </c>
      <c r="H940" s="5" t="s">
        <v>21</v>
      </c>
      <c r="I940" s="5" t="s">
        <v>2617</v>
      </c>
      <c r="J940" s="12" t="str">
        <f>HYPERLINK("https://www.boe.es/gazeta/dias/1808/04/22/pdfs/GMD-C-1808-38.pdf#page=3","Abrir facsímil")</f>
        <v>Abrir facsímil</v>
      </c>
      <c r="K940" s="15" t="s">
        <v>23</v>
      </c>
    </row>
    <row r="941" spans="1:11" ht="42" customHeight="1">
      <c r="A941" s="4" t="s">
        <v>2618</v>
      </c>
      <c r="B941" s="5" t="s">
        <v>2619</v>
      </c>
      <c r="C941" s="5" t="s">
        <v>94</v>
      </c>
      <c r="D941" s="5" t="s">
        <v>95</v>
      </c>
      <c r="E941" s="5" t="s">
        <v>203</v>
      </c>
      <c r="F941" s="9" t="s">
        <v>204</v>
      </c>
      <c r="G941" s="9">
        <v>141</v>
      </c>
      <c r="H941" s="5" t="s">
        <v>21</v>
      </c>
      <c r="I941" s="5" t="s">
        <v>2620</v>
      </c>
      <c r="J941" s="12" t="str">
        <f>HYPERLINK("https://www.boe.es/gazeta/dias/1808/02/09/pdfs/GMD-1808-12.pdf#page=9","Abrir facsímil")</f>
        <v>Abrir facsímil</v>
      </c>
      <c r="K941" s="15" t="s">
        <v>23</v>
      </c>
    </row>
    <row r="942" spans="1:11" ht="42" customHeight="1">
      <c r="A942" s="4" t="s">
        <v>2621</v>
      </c>
      <c r="B942" s="5" t="s">
        <v>2622</v>
      </c>
      <c r="C942" s="5" t="s">
        <v>33</v>
      </c>
      <c r="D942" s="5" t="s">
        <v>34</v>
      </c>
      <c r="E942" s="5" t="s">
        <v>391</v>
      </c>
      <c r="F942" s="9" t="s">
        <v>588</v>
      </c>
      <c r="G942" s="9" t="s">
        <v>117</v>
      </c>
      <c r="H942" s="5" t="s">
        <v>21</v>
      </c>
      <c r="I942" s="5" t="s">
        <v>2623</v>
      </c>
      <c r="J942" s="12" t="str">
        <f>HYPERLINK("https://www.boe.es/gazeta/dias/1808/09/27/pdfs/GMD-C-1808-128.pdf#page=1","Abrir facsímil")</f>
        <v>Abrir facsímil</v>
      </c>
      <c r="K942" s="15" t="s">
        <v>23</v>
      </c>
    </row>
    <row r="943" spans="1:11" ht="42" customHeight="1">
      <c r="A943" s="4" t="s">
        <v>2624</v>
      </c>
      <c r="B943" s="5" t="s">
        <v>2624</v>
      </c>
      <c r="C943" s="5" t="s">
        <v>17</v>
      </c>
      <c r="D943" s="5" t="s">
        <v>18</v>
      </c>
      <c r="E943" s="5" t="s">
        <v>616</v>
      </c>
      <c r="F943" s="9" t="s">
        <v>617</v>
      </c>
      <c r="G943" s="9">
        <v>1041</v>
      </c>
      <c r="H943" s="5" t="s">
        <v>21</v>
      </c>
      <c r="I943" s="5" t="s">
        <v>2625</v>
      </c>
      <c r="J943" s="12" t="str">
        <f>HYPERLINK("https://www.boe.es/gazeta/dias/1808/08/19/pdfs/GMD-1808-115.pdf#page=7","Abrir facsímil")</f>
        <v>Abrir facsímil</v>
      </c>
      <c r="K943" s="15" t="s">
        <v>23</v>
      </c>
    </row>
    <row r="944" spans="1:11" ht="42" customHeight="1">
      <c r="A944" s="4" t="s">
        <v>2626</v>
      </c>
      <c r="B944" s="5" t="s">
        <v>2626</v>
      </c>
      <c r="C944" s="5" t="s">
        <v>101</v>
      </c>
      <c r="D944" s="5" t="s">
        <v>102</v>
      </c>
      <c r="E944" s="5" t="s">
        <v>2555</v>
      </c>
      <c r="F944" s="9" t="s">
        <v>2556</v>
      </c>
      <c r="G944" s="9">
        <v>127</v>
      </c>
      <c r="H944" s="5" t="s">
        <v>21</v>
      </c>
      <c r="I944" s="5" t="s">
        <v>2627</v>
      </c>
      <c r="J944" s="12" t="str">
        <f>HYPERLINK("https://www.boe.es/gazeta/dias/1808/02/05/pdfs/GMD-1808-11.pdf#page=7","Abrir facsímil")</f>
        <v>Abrir facsímil</v>
      </c>
      <c r="K944" s="15" t="s">
        <v>23</v>
      </c>
    </row>
    <row r="945" spans="1:11" ht="42" customHeight="1">
      <c r="A945" s="4" t="s">
        <v>2628</v>
      </c>
      <c r="B945" s="5" t="s">
        <v>2629</v>
      </c>
      <c r="C945" s="5" t="s">
        <v>260</v>
      </c>
      <c r="D945" s="5" t="s">
        <v>42</v>
      </c>
      <c r="E945" s="5" t="s">
        <v>1182</v>
      </c>
      <c r="F945" s="9" t="s">
        <v>1197</v>
      </c>
      <c r="G945" s="9">
        <v>658</v>
      </c>
      <c r="H945" s="5" t="s">
        <v>21</v>
      </c>
      <c r="I945" s="5" t="s">
        <v>2630</v>
      </c>
      <c r="J945" s="12" t="str">
        <f>HYPERLINK("https://www.boe.es/gazeta/dias/1808/06/26/pdfs/GMD-1808-68.pdf#page=4","Abrir facsímil")</f>
        <v>Abrir facsímil</v>
      </c>
      <c r="K945" s="15" t="s">
        <v>23</v>
      </c>
    </row>
    <row r="946" spans="1:11" ht="42" customHeight="1">
      <c r="A946" s="4" t="s">
        <v>2631</v>
      </c>
      <c r="B946" s="5" t="s">
        <v>2631</v>
      </c>
      <c r="C946" s="5" t="s">
        <v>94</v>
      </c>
      <c r="D946" s="5" t="s">
        <v>95</v>
      </c>
      <c r="E946" s="5" t="s">
        <v>120</v>
      </c>
      <c r="F946" s="9" t="s">
        <v>121</v>
      </c>
      <c r="G946" s="9">
        <v>315</v>
      </c>
      <c r="H946" s="5" t="s">
        <v>21</v>
      </c>
      <c r="I946" s="5" t="s">
        <v>2632</v>
      </c>
      <c r="J946" s="12" t="str">
        <f>HYPERLINK("https://www.boe.es/gazeta/dias/1808/03/29/pdfs/GMD-1808-27.pdf#page=11","Abrir facsímil")</f>
        <v>Abrir facsímil</v>
      </c>
      <c r="K946" s="15" t="s">
        <v>23</v>
      </c>
    </row>
    <row r="947" spans="1:11" ht="42" customHeight="1">
      <c r="A947" s="4" t="s">
        <v>2633</v>
      </c>
      <c r="B947" s="5" t="s">
        <v>2633</v>
      </c>
      <c r="C947" s="5" t="s">
        <v>389</v>
      </c>
      <c r="D947" s="5" t="s">
        <v>390</v>
      </c>
      <c r="E947" s="5" t="s">
        <v>2281</v>
      </c>
      <c r="F947" s="9" t="s">
        <v>2282</v>
      </c>
      <c r="G947" s="9">
        <v>424</v>
      </c>
      <c r="H947" s="5" t="s">
        <v>21</v>
      </c>
      <c r="I947" s="5" t="s">
        <v>2634</v>
      </c>
      <c r="J947" s="12" t="str">
        <f>HYPERLINK("https://www.boe.es/gazeta/dias/1808/04/29/pdfs/GMD-1808-42.pdf#page=8","Abrir facsímil")</f>
        <v>Abrir facsímil</v>
      </c>
      <c r="K947" s="15" t="s">
        <v>23</v>
      </c>
    </row>
    <row r="948" spans="1:11" ht="42" customHeight="1">
      <c r="A948" s="4" t="s">
        <v>2635</v>
      </c>
      <c r="B948" s="5" t="s">
        <v>2636</v>
      </c>
      <c r="C948" s="5" t="s">
        <v>260</v>
      </c>
      <c r="D948" s="5" t="s">
        <v>42</v>
      </c>
      <c r="E948" s="5" t="s">
        <v>1345</v>
      </c>
      <c r="F948" s="9" t="s">
        <v>1346</v>
      </c>
      <c r="G948" s="9">
        <v>81</v>
      </c>
      <c r="H948" s="5" t="s">
        <v>21</v>
      </c>
      <c r="I948" s="5" t="s">
        <v>2637</v>
      </c>
      <c r="J948" s="12" t="str">
        <f>HYPERLINK("https://www.boe.es/gazeta/dias/1808/07/06/pdfs/GMS-1808-11.pdf#page=1","Abrir facsímil")</f>
        <v>Abrir facsímil</v>
      </c>
      <c r="K948" s="15" t="s">
        <v>23</v>
      </c>
    </row>
    <row r="949" spans="1:11" ht="42" customHeight="1">
      <c r="A949" s="4" t="s">
        <v>2635</v>
      </c>
      <c r="B949" s="5" t="s">
        <v>2636</v>
      </c>
      <c r="C949" s="5" t="s">
        <v>17</v>
      </c>
      <c r="D949" s="5" t="s">
        <v>18</v>
      </c>
      <c r="E949" s="5" t="s">
        <v>714</v>
      </c>
      <c r="F949" s="9" t="s">
        <v>715</v>
      </c>
      <c r="G949" s="9">
        <v>111</v>
      </c>
      <c r="H949" s="5" t="s">
        <v>21</v>
      </c>
      <c r="I949" s="5" t="s">
        <v>2638</v>
      </c>
      <c r="J949" s="12" t="str">
        <f>HYPERLINK("https://www.boe.es/gazeta/dias/1808/07/16/pdfs/GMS-1808-14.pdf#page=7","Abrir facsímil")</f>
        <v>Abrir facsímil</v>
      </c>
      <c r="K949" s="15" t="s">
        <v>23</v>
      </c>
    </row>
    <row r="950" spans="1:11" ht="42" customHeight="1">
      <c r="A950" s="4" t="s">
        <v>2635</v>
      </c>
      <c r="B950" s="5" t="s">
        <v>2636</v>
      </c>
      <c r="C950" s="5" t="s">
        <v>17</v>
      </c>
      <c r="D950" s="5" t="s">
        <v>18</v>
      </c>
      <c r="E950" s="5" t="s">
        <v>2639</v>
      </c>
      <c r="F950" s="9" t="s">
        <v>2640</v>
      </c>
      <c r="G950" s="9">
        <v>115</v>
      </c>
      <c r="H950" s="5" t="s">
        <v>21</v>
      </c>
      <c r="I950" s="5" t="s">
        <v>2641</v>
      </c>
      <c r="J950" s="12" t="str">
        <f>HYPERLINK("https://www.boe.es/gazeta/dias/1808/07/20/pdfs/GMS-1808-15.pdf#page=3","Abrir facsímil")</f>
        <v>Abrir facsímil</v>
      </c>
      <c r="K950" s="15" t="s">
        <v>23</v>
      </c>
    </row>
    <row r="951" spans="1:11" ht="42" customHeight="1">
      <c r="A951" s="4" t="s">
        <v>2642</v>
      </c>
      <c r="B951" s="5" t="s">
        <v>2642</v>
      </c>
      <c r="C951" s="5" t="s">
        <v>33</v>
      </c>
      <c r="D951" s="5" t="s">
        <v>34</v>
      </c>
      <c r="E951" s="5" t="s">
        <v>35</v>
      </c>
      <c r="F951" s="9" t="s">
        <v>36</v>
      </c>
      <c r="G951" s="9" t="s">
        <v>2643</v>
      </c>
      <c r="H951" s="5" t="s">
        <v>21</v>
      </c>
      <c r="I951" s="5" t="s">
        <v>2644</v>
      </c>
      <c r="J951" s="12" t="str">
        <f>HYPERLINK("https://www.boe.es/gazeta/dias/1808/04/22/pdfs/GMD-C-1808-38.pdf#page=17","Abrir facsímil")</f>
        <v>Abrir facsímil</v>
      </c>
      <c r="K951" s="15" t="s">
        <v>23</v>
      </c>
    </row>
    <row r="952" spans="1:11" ht="42" customHeight="1">
      <c r="A952" s="4" t="s">
        <v>2645</v>
      </c>
      <c r="B952" s="5" t="s">
        <v>2646</v>
      </c>
      <c r="C952" s="5" t="s">
        <v>260</v>
      </c>
      <c r="D952" s="5" t="s">
        <v>42</v>
      </c>
      <c r="E952" s="5" t="s">
        <v>478</v>
      </c>
      <c r="F952" s="9" t="s">
        <v>479</v>
      </c>
      <c r="G952" s="9">
        <v>237</v>
      </c>
      <c r="H952" s="5" t="s">
        <v>21</v>
      </c>
      <c r="I952" s="5" t="s">
        <v>2647</v>
      </c>
      <c r="J952" s="12" t="str">
        <f>HYPERLINK("https://www.boe.es/gazeta/dias/1808/03/08/pdfs/GMD-1808-20.pdf#page=3","Abrir facsímil")</f>
        <v>Abrir facsímil</v>
      </c>
      <c r="K952" s="15" t="s">
        <v>23</v>
      </c>
    </row>
    <row r="953" spans="1:11" ht="42" customHeight="1">
      <c r="A953" s="4" t="s">
        <v>2648</v>
      </c>
      <c r="B953" s="5" t="s">
        <v>2649</v>
      </c>
      <c r="C953" s="5" t="s">
        <v>260</v>
      </c>
      <c r="D953" s="5" t="s">
        <v>42</v>
      </c>
      <c r="E953" s="5" t="s">
        <v>572</v>
      </c>
      <c r="F953" s="9" t="s">
        <v>573</v>
      </c>
      <c r="G953" s="9">
        <v>15</v>
      </c>
      <c r="H953" s="5" t="s">
        <v>21</v>
      </c>
      <c r="I953" s="5" t="s">
        <v>2650</v>
      </c>
      <c r="J953" s="12" t="str">
        <f>HYPERLINK("https://www.boe.es/gazeta/dias/1808/01/05/pdfs/GMD-1808-2.pdf#page=3","Abrir facsímil")</f>
        <v>Abrir facsímil</v>
      </c>
      <c r="K953" s="15" t="s">
        <v>23</v>
      </c>
    </row>
    <row r="954" spans="1:11" ht="42" customHeight="1">
      <c r="A954" s="4" t="s">
        <v>2648</v>
      </c>
      <c r="B954" s="5" t="s">
        <v>2649</v>
      </c>
      <c r="C954" s="5" t="s">
        <v>101</v>
      </c>
      <c r="D954" s="5" t="s">
        <v>102</v>
      </c>
      <c r="E954" s="5" t="s">
        <v>2651</v>
      </c>
      <c r="F954" s="9" t="s">
        <v>2652</v>
      </c>
      <c r="G954" s="9">
        <v>631</v>
      </c>
      <c r="H954" s="5" t="s">
        <v>21</v>
      </c>
      <c r="I954" s="5" t="s">
        <v>2653</v>
      </c>
      <c r="J954" s="12" t="str">
        <f>HYPERLINK("https://www.boe.es/gazeta/dias/1808/06/23/pdfs/GMD-1808-65.pdf#page=1","Abrir facsímil")</f>
        <v>Abrir facsímil</v>
      </c>
      <c r="K954" s="15" t="s">
        <v>23</v>
      </c>
    </row>
    <row r="955" spans="1:11" ht="42" customHeight="1">
      <c r="A955" s="4" t="s">
        <v>2654</v>
      </c>
      <c r="B955" s="5" t="s">
        <v>2655</v>
      </c>
      <c r="C955" s="5" t="s">
        <v>94</v>
      </c>
      <c r="D955" s="5" t="s">
        <v>95</v>
      </c>
      <c r="E955" s="5" t="s">
        <v>54</v>
      </c>
      <c r="F955" s="9" t="s">
        <v>55</v>
      </c>
      <c r="G955" s="9">
        <v>1087</v>
      </c>
      <c r="H955" s="5" t="s">
        <v>21</v>
      </c>
      <c r="I955" s="5" t="s">
        <v>2656</v>
      </c>
      <c r="J955" s="12" t="str">
        <f>HYPERLINK("https://www.boe.es/gazeta/dias/1808/08/26/pdfs/GMD-1808-117.pdf#page=9","Abrir facsímil")</f>
        <v>Abrir facsímil</v>
      </c>
      <c r="K955" s="15" t="s">
        <v>23</v>
      </c>
    </row>
    <row r="956" spans="1:11" ht="42" customHeight="1">
      <c r="A956" s="4" t="s">
        <v>2657</v>
      </c>
      <c r="B956" s="5" t="s">
        <v>2657</v>
      </c>
      <c r="C956" s="5" t="s">
        <v>41</v>
      </c>
      <c r="D956" s="5" t="s">
        <v>42</v>
      </c>
      <c r="E956" s="5" t="s">
        <v>35</v>
      </c>
      <c r="F956" s="9" t="s">
        <v>36</v>
      </c>
      <c r="G956" s="9" t="s">
        <v>273</v>
      </c>
      <c r="H956" s="5" t="s">
        <v>21</v>
      </c>
      <c r="I956" s="5" t="s">
        <v>2658</v>
      </c>
      <c r="J956" s="12" t="str">
        <f>HYPERLINK("https://www.boe.es/gazeta/dias/1808/04/22/pdfs/GMD-C-1808-38.pdf#page=12","Abrir facsímil")</f>
        <v>Abrir facsímil</v>
      </c>
      <c r="K956" s="15" t="s">
        <v>23</v>
      </c>
    </row>
    <row r="957" spans="1:11" ht="42" customHeight="1">
      <c r="A957" s="4" t="s">
        <v>2659</v>
      </c>
      <c r="B957" s="5" t="s">
        <v>2660</v>
      </c>
      <c r="C957" s="5" t="s">
        <v>389</v>
      </c>
      <c r="D957" s="5" t="s">
        <v>390</v>
      </c>
      <c r="E957" s="5" t="s">
        <v>461</v>
      </c>
      <c r="F957" s="9" t="s">
        <v>462</v>
      </c>
      <c r="G957" s="9" t="s">
        <v>75</v>
      </c>
      <c r="H957" s="5" t="s">
        <v>21</v>
      </c>
      <c r="I957" s="5" t="s">
        <v>2661</v>
      </c>
      <c r="J957" s="12" t="str">
        <f>HYPERLINK("https://www.boe.es/gazeta/dias/1808/11/08/pdfs/GMD-D-1808-142.pdf#page=4","Abrir facsímil")</f>
        <v>Abrir facsímil</v>
      </c>
      <c r="K957" s="15" t="s">
        <v>23</v>
      </c>
    </row>
    <row r="958" spans="1:11" ht="42" customHeight="1">
      <c r="A958" s="4" t="s">
        <v>2662</v>
      </c>
      <c r="B958" s="5" t="s">
        <v>2663</v>
      </c>
      <c r="C958" s="5" t="s">
        <v>389</v>
      </c>
      <c r="D958" s="5" t="s">
        <v>390</v>
      </c>
      <c r="E958" s="5" t="s">
        <v>2281</v>
      </c>
      <c r="F958" s="9" t="s">
        <v>2282</v>
      </c>
      <c r="G958" s="9">
        <v>424</v>
      </c>
      <c r="H958" s="5" t="s">
        <v>21</v>
      </c>
      <c r="I958" s="5" t="s">
        <v>2664</v>
      </c>
      <c r="J958" s="12" t="str">
        <f>HYPERLINK("https://www.boe.es/gazeta/dias/1808/04/29/pdfs/GMD-1808-42.pdf#page=8","Abrir facsímil")</f>
        <v>Abrir facsímil</v>
      </c>
      <c r="K958" s="15" t="s">
        <v>23</v>
      </c>
    </row>
    <row r="959" spans="1:11" ht="42" customHeight="1">
      <c r="A959" s="4" t="s">
        <v>2665</v>
      </c>
      <c r="B959" s="5" t="s">
        <v>2666</v>
      </c>
      <c r="C959" s="5" t="s">
        <v>33</v>
      </c>
      <c r="D959" s="5" t="s">
        <v>34</v>
      </c>
      <c r="E959" s="5" t="s">
        <v>363</v>
      </c>
      <c r="F959" s="9" t="s">
        <v>364</v>
      </c>
      <c r="G959" s="9" t="s">
        <v>199</v>
      </c>
      <c r="H959" s="5" t="s">
        <v>21</v>
      </c>
      <c r="I959" s="5" t="s">
        <v>2667</v>
      </c>
      <c r="J959" s="12" t="str">
        <f>HYPERLINK("https://www.boe.es/gazeta/dias/1808/09/20/pdfs/GMD-C-1808-126.pdf#page=2","Abrir facsímil")</f>
        <v>Abrir facsímil</v>
      </c>
      <c r="K959" s="15" t="s">
        <v>23</v>
      </c>
    </row>
    <row r="960" spans="1:11" ht="42" customHeight="1">
      <c r="A960" s="4" t="s">
        <v>2668</v>
      </c>
      <c r="B960" s="5" t="s">
        <v>2669</v>
      </c>
      <c r="C960" s="5" t="s">
        <v>94</v>
      </c>
      <c r="D960" s="5" t="s">
        <v>95</v>
      </c>
      <c r="E960" s="5" t="s">
        <v>35</v>
      </c>
      <c r="F960" s="9" t="s">
        <v>36</v>
      </c>
      <c r="G960" s="9" t="s">
        <v>162</v>
      </c>
      <c r="H960" s="5" t="s">
        <v>21</v>
      </c>
      <c r="I960" s="5" t="s">
        <v>2670</v>
      </c>
      <c r="J960" s="12" t="str">
        <f>HYPERLINK("https://www.boe.es/gazeta/dias/1808/04/22/pdfs/GMD-C-1808-38.pdf#page=31","Abrir facsímil")</f>
        <v>Abrir facsímil</v>
      </c>
      <c r="K960" s="15" t="s">
        <v>23</v>
      </c>
    </row>
    <row r="961" spans="1:11" ht="42" customHeight="1">
      <c r="A961" s="4" t="s">
        <v>2671</v>
      </c>
      <c r="B961" s="5" t="s">
        <v>2672</v>
      </c>
      <c r="C961" s="5" t="s">
        <v>41</v>
      </c>
      <c r="D961" s="5" t="s">
        <v>42</v>
      </c>
      <c r="E961" s="5" t="s">
        <v>334</v>
      </c>
      <c r="F961" s="9" t="s">
        <v>1814</v>
      </c>
      <c r="G961" s="9">
        <v>1247</v>
      </c>
      <c r="H961" s="5" t="s">
        <v>21</v>
      </c>
      <c r="I961" s="5" t="s">
        <v>2673</v>
      </c>
      <c r="J961" s="12" t="str">
        <f>HYPERLINK("https://www.boe.es/gazeta/dias/1808/10/04/pdfs/GMD-1808-131.pdf#page=15","Abrir facsímil")</f>
        <v>Abrir facsímil</v>
      </c>
      <c r="K961" s="15" t="s">
        <v>23</v>
      </c>
    </row>
    <row r="962" spans="1:11" ht="42" customHeight="1">
      <c r="A962" s="4" t="s">
        <v>2674</v>
      </c>
      <c r="B962" s="5" t="s">
        <v>2675</v>
      </c>
      <c r="C962" s="5" t="s">
        <v>17</v>
      </c>
      <c r="D962" s="5" t="s">
        <v>18</v>
      </c>
      <c r="E962" s="5" t="s">
        <v>461</v>
      </c>
      <c r="F962" s="9" t="s">
        <v>733</v>
      </c>
      <c r="G962" s="9">
        <v>1447</v>
      </c>
      <c r="H962" s="5" t="s">
        <v>21</v>
      </c>
      <c r="I962" s="5" t="s">
        <v>2676</v>
      </c>
      <c r="J962" s="12" t="str">
        <f>HYPERLINK("https://www.boe.es/gazeta/dias/1808/11/08/pdfs/GMD-1808-142.pdf#page=9","Abrir facsímil")</f>
        <v>Abrir facsímil</v>
      </c>
      <c r="K962" s="15" t="s">
        <v>23</v>
      </c>
    </row>
    <row r="963" spans="1:11" ht="42" customHeight="1">
      <c r="A963" s="4" t="s">
        <v>2677</v>
      </c>
      <c r="B963" s="5" t="s">
        <v>2678</v>
      </c>
      <c r="C963" s="5" t="s">
        <v>41</v>
      </c>
      <c r="D963" s="5" t="s">
        <v>42</v>
      </c>
      <c r="E963" s="5" t="s">
        <v>431</v>
      </c>
      <c r="F963" s="9" t="s">
        <v>432</v>
      </c>
      <c r="G963" s="9">
        <v>492</v>
      </c>
      <c r="H963" s="5" t="s">
        <v>21</v>
      </c>
      <c r="I963" s="5" t="s">
        <v>2679</v>
      </c>
      <c r="J963" s="12" t="str">
        <f>HYPERLINK("https://www.boe.es/gazeta/dias/1808/12/27/pdfs/GMS-1808-61.pdf#page=8","Abrir facsímil")</f>
        <v>Abrir facsímil</v>
      </c>
      <c r="K963" s="15" t="s">
        <v>23</v>
      </c>
    </row>
    <row r="964" spans="1:11" ht="42" customHeight="1">
      <c r="A964" s="4" t="s">
        <v>2680</v>
      </c>
      <c r="B964" s="5" t="s">
        <v>2681</v>
      </c>
      <c r="C964" s="5" t="s">
        <v>260</v>
      </c>
      <c r="D964" s="5" t="s">
        <v>42</v>
      </c>
      <c r="E964" s="5" t="s">
        <v>115</v>
      </c>
      <c r="F964" s="9" t="s">
        <v>1650</v>
      </c>
      <c r="G964" s="9">
        <v>1177</v>
      </c>
      <c r="H964" s="5" t="s">
        <v>21</v>
      </c>
      <c r="I964" s="5" t="s">
        <v>2682</v>
      </c>
      <c r="J964" s="12" t="str">
        <f>HYPERLINK("https://www.boe.es/gazeta/dias/1808/09/16/pdfs/GMD-1808-125.pdf#page=9","Abrir facsímil")</f>
        <v>Abrir facsímil</v>
      </c>
      <c r="K964" s="15" t="s">
        <v>23</v>
      </c>
    </row>
    <row r="965" spans="1:11" ht="42" customHeight="1">
      <c r="A965" s="4" t="s">
        <v>2683</v>
      </c>
      <c r="B965" s="5" t="s">
        <v>2684</v>
      </c>
      <c r="C965" s="5" t="s">
        <v>33</v>
      </c>
      <c r="D965" s="5" t="s">
        <v>34</v>
      </c>
      <c r="E965" s="5" t="s">
        <v>68</v>
      </c>
      <c r="F965" s="9" t="s">
        <v>309</v>
      </c>
      <c r="G965" s="9" t="s">
        <v>199</v>
      </c>
      <c r="H965" s="5" t="s">
        <v>21</v>
      </c>
      <c r="I965" s="5" t="s">
        <v>2685</v>
      </c>
      <c r="J965" s="12" t="str">
        <f>HYPERLINK("https://www.boe.es/gazeta/dias/1808/10/21/pdfs/GMD-D-1808-136.pdf#page=2","Abrir facsímil")</f>
        <v>Abrir facsímil</v>
      </c>
      <c r="K965" s="15" t="s">
        <v>23</v>
      </c>
    </row>
    <row r="966" spans="1:11" ht="42" customHeight="1">
      <c r="A966" s="4" t="s">
        <v>2686</v>
      </c>
      <c r="B966" s="5" t="s">
        <v>2687</v>
      </c>
      <c r="C966" s="5" t="s">
        <v>33</v>
      </c>
      <c r="D966" s="5" t="s">
        <v>34</v>
      </c>
      <c r="E966" s="5" t="s">
        <v>461</v>
      </c>
      <c r="F966" s="9" t="s">
        <v>462</v>
      </c>
      <c r="G966" s="9" t="s">
        <v>199</v>
      </c>
      <c r="H966" s="5" t="s">
        <v>21</v>
      </c>
      <c r="I966" s="5" t="s">
        <v>2688</v>
      </c>
      <c r="J966" s="12" t="str">
        <f>HYPERLINK("https://www.boe.es/gazeta/dias/1808/11/08/pdfs/GMD-D-1808-142.pdf#page=2","Abrir facsímil")</f>
        <v>Abrir facsímil</v>
      </c>
      <c r="K966" s="15" t="s">
        <v>23</v>
      </c>
    </row>
    <row r="967" spans="1:11" ht="42" customHeight="1">
      <c r="A967" s="4" t="s">
        <v>2689</v>
      </c>
      <c r="B967" s="5" t="s">
        <v>2690</v>
      </c>
      <c r="C967" s="5" t="s">
        <v>33</v>
      </c>
      <c r="D967" s="5" t="s">
        <v>34</v>
      </c>
      <c r="E967" s="5" t="s">
        <v>558</v>
      </c>
      <c r="F967" s="9" t="s">
        <v>758</v>
      </c>
      <c r="G967" s="9" t="s">
        <v>106</v>
      </c>
      <c r="H967" s="5" t="s">
        <v>21</v>
      </c>
      <c r="I967" s="5" t="s">
        <v>2691</v>
      </c>
      <c r="J967" s="12" t="str">
        <f>HYPERLINK("https://www.boe.es/gazeta/dias/1808/11/25/pdfs/GMD-E-1808-147.pdf#page=3","Abrir facsímil")</f>
        <v>Abrir facsímil</v>
      </c>
      <c r="K967" s="15" t="s">
        <v>23</v>
      </c>
    </row>
    <row r="968" spans="1:11" ht="42" customHeight="1">
      <c r="A968" s="4" t="s">
        <v>2692</v>
      </c>
      <c r="B968" s="5" t="s">
        <v>2693</v>
      </c>
      <c r="C968" s="5" t="s">
        <v>17</v>
      </c>
      <c r="D968" s="5" t="s">
        <v>18</v>
      </c>
      <c r="E968" s="5" t="s">
        <v>1676</v>
      </c>
      <c r="F968" s="9" t="s">
        <v>1677</v>
      </c>
      <c r="G968" s="9">
        <v>558</v>
      </c>
      <c r="H968" s="5" t="s">
        <v>21</v>
      </c>
      <c r="I968" s="5" t="s">
        <v>2694</v>
      </c>
      <c r="J968" s="12" t="str">
        <f>HYPERLINK("https://www.boe.es/gazeta/dias/1808/06/10/pdfs/GMD-1808-55.pdf#page=12","Abrir facsímil")</f>
        <v>Abrir facsímil</v>
      </c>
      <c r="K968" s="15" t="s">
        <v>23</v>
      </c>
    </row>
    <row r="969" spans="1:11" ht="42" customHeight="1">
      <c r="A969" s="4" t="s">
        <v>2695</v>
      </c>
      <c r="B969" s="5" t="s">
        <v>2696</v>
      </c>
      <c r="C969" s="5" t="s">
        <v>94</v>
      </c>
      <c r="D969" s="5" t="s">
        <v>95</v>
      </c>
      <c r="E969" s="5" t="s">
        <v>215</v>
      </c>
      <c r="F969" s="9" t="s">
        <v>216</v>
      </c>
      <c r="G969" s="9">
        <v>300</v>
      </c>
      <c r="H969" s="5" t="s">
        <v>21</v>
      </c>
      <c r="I969" s="5" t="s">
        <v>2697</v>
      </c>
      <c r="J969" s="12" t="str">
        <f>HYPERLINK("https://www.boe.es/gazeta/dias/1808/03/25/pdfs/GMD-1808-25.pdf#page=10","Abrir facsímil")</f>
        <v>Abrir facsímil</v>
      </c>
      <c r="K969" s="15" t="s">
        <v>23</v>
      </c>
    </row>
    <row r="970" spans="1:11" ht="42" customHeight="1">
      <c r="A970" s="4" t="s">
        <v>2698</v>
      </c>
      <c r="B970" s="5" t="s">
        <v>2699</v>
      </c>
      <c r="C970" s="5" t="s">
        <v>94</v>
      </c>
      <c r="D970" s="5" t="s">
        <v>95</v>
      </c>
      <c r="E970" s="5" t="s">
        <v>548</v>
      </c>
      <c r="F970" s="9" t="s">
        <v>549</v>
      </c>
      <c r="G970" s="9">
        <v>277</v>
      </c>
      <c r="H970" s="5" t="s">
        <v>21</v>
      </c>
      <c r="I970" s="5" t="s">
        <v>2700</v>
      </c>
      <c r="J970" s="12" t="str">
        <f>HYPERLINK("https://www.boe.es/gazeta/dias/1808/03/18/pdfs/GMD-1808-23.pdf#page=7","Abrir facsímil")</f>
        <v>Abrir facsímil</v>
      </c>
      <c r="K970" s="15" t="s">
        <v>23</v>
      </c>
    </row>
    <row r="971" spans="1:11" ht="42" customHeight="1">
      <c r="A971" s="4" t="s">
        <v>2701</v>
      </c>
      <c r="B971" s="5" t="s">
        <v>2702</v>
      </c>
      <c r="C971" s="5" t="s">
        <v>17</v>
      </c>
      <c r="D971" s="5" t="s">
        <v>18</v>
      </c>
      <c r="E971" s="5" t="s">
        <v>493</v>
      </c>
      <c r="F971" s="9" t="s">
        <v>494</v>
      </c>
      <c r="G971" s="9">
        <v>43</v>
      </c>
      <c r="H971" s="5" t="s">
        <v>21</v>
      </c>
      <c r="I971" s="5" t="s">
        <v>2703</v>
      </c>
      <c r="J971" s="12" t="str">
        <f>HYPERLINK("https://www.boe.es/gazeta/dias/1808/01/12/pdfs/GMD-1808-4.pdf#page=7","Abrir facsímil")</f>
        <v>Abrir facsímil</v>
      </c>
      <c r="K971" s="15" t="s">
        <v>23</v>
      </c>
    </row>
    <row r="972" spans="1:11" ht="42" customHeight="1">
      <c r="A972" s="4" t="s">
        <v>2704</v>
      </c>
      <c r="B972" s="5" t="s">
        <v>2705</v>
      </c>
      <c r="C972" s="5" t="s">
        <v>17</v>
      </c>
      <c r="D972" s="5" t="s">
        <v>18</v>
      </c>
      <c r="E972" s="5" t="s">
        <v>130</v>
      </c>
      <c r="F972" s="9" t="s">
        <v>131</v>
      </c>
      <c r="G972" s="9">
        <v>1602</v>
      </c>
      <c r="H972" s="5" t="s">
        <v>21</v>
      </c>
      <c r="I972" s="5" t="s">
        <v>2706</v>
      </c>
      <c r="J972" s="12" t="str">
        <f>HYPERLINK("https://www.boe.es/gazeta/dias/1808/12/15/pdfs/GMD-1808-155.pdf#page=6","Abrir facsímil")</f>
        <v>Abrir facsímil</v>
      </c>
      <c r="K972" s="15" t="s">
        <v>23</v>
      </c>
    </row>
    <row r="973" spans="1:11" ht="42" customHeight="1">
      <c r="A973" s="4" t="s">
        <v>2707</v>
      </c>
      <c r="B973" s="5" t="s">
        <v>2708</v>
      </c>
      <c r="C973" s="5" t="s">
        <v>33</v>
      </c>
      <c r="D973" s="5" t="s">
        <v>34</v>
      </c>
      <c r="E973" s="5" t="s">
        <v>35</v>
      </c>
      <c r="F973" s="9" t="s">
        <v>36</v>
      </c>
      <c r="G973" s="9" t="s">
        <v>814</v>
      </c>
      <c r="H973" s="5" t="s">
        <v>21</v>
      </c>
      <c r="I973" s="5" t="s">
        <v>2709</v>
      </c>
      <c r="J973" s="12" t="str">
        <f>HYPERLINK("https://www.boe.es/gazeta/dias/1808/04/22/pdfs/GMD-C-1808-38.pdf#page=25","Abrir facsímil")</f>
        <v>Abrir facsímil</v>
      </c>
      <c r="K973" s="15" t="s">
        <v>23</v>
      </c>
    </row>
    <row r="974" spans="1:11" ht="42" customHeight="1">
      <c r="A974" s="4" t="s">
        <v>2710</v>
      </c>
      <c r="B974" s="5" t="s">
        <v>2711</v>
      </c>
      <c r="C974" s="5" t="s">
        <v>389</v>
      </c>
      <c r="D974" s="5" t="s">
        <v>390</v>
      </c>
      <c r="E974" s="5" t="s">
        <v>2204</v>
      </c>
      <c r="F974" s="9" t="s">
        <v>2205</v>
      </c>
      <c r="G974" s="9">
        <v>72</v>
      </c>
      <c r="H974" s="5" t="s">
        <v>21</v>
      </c>
      <c r="I974" s="5" t="s">
        <v>2712</v>
      </c>
      <c r="J974" s="12" t="str">
        <f>HYPERLINK("https://www.boe.es/gazeta/dias/1808/06/29/pdfs/GMS-1808-9.pdf#page=8","Abrir facsímil")</f>
        <v>Abrir facsímil</v>
      </c>
      <c r="K974" s="15" t="s">
        <v>23</v>
      </c>
    </row>
    <row r="975" spans="1:11" ht="42" customHeight="1">
      <c r="A975" s="4" t="s">
        <v>2713</v>
      </c>
      <c r="B975" s="5" t="s">
        <v>2714</v>
      </c>
      <c r="C975" s="5" t="s">
        <v>41</v>
      </c>
      <c r="D975" s="5" t="s">
        <v>42</v>
      </c>
      <c r="E975" s="5" t="s">
        <v>35</v>
      </c>
      <c r="F975" s="9" t="s">
        <v>36</v>
      </c>
      <c r="G975" s="9" t="s">
        <v>924</v>
      </c>
      <c r="H975" s="5" t="s">
        <v>21</v>
      </c>
      <c r="I975" s="5" t="s">
        <v>2715</v>
      </c>
      <c r="J975" s="12" t="str">
        <f>HYPERLINK("https://www.boe.es/gazeta/dias/1808/04/22/pdfs/GMD-C-1808-38.pdf#page=27","Abrir facsímil")</f>
        <v>Abrir facsímil</v>
      </c>
      <c r="K975" s="15" t="s">
        <v>23</v>
      </c>
    </row>
    <row r="976" spans="1:11" ht="42" customHeight="1">
      <c r="A976" s="4" t="s">
        <v>2713</v>
      </c>
      <c r="B976" s="5" t="s">
        <v>2714</v>
      </c>
      <c r="C976" s="5" t="s">
        <v>41</v>
      </c>
      <c r="D976" s="5" t="s">
        <v>42</v>
      </c>
      <c r="E976" s="5" t="s">
        <v>35</v>
      </c>
      <c r="F976" s="9" t="s">
        <v>36</v>
      </c>
      <c r="G976" s="9" t="s">
        <v>37</v>
      </c>
      <c r="H976" s="5" t="s">
        <v>21</v>
      </c>
      <c r="I976" s="5" t="s">
        <v>2716</v>
      </c>
      <c r="J976" s="12" t="str">
        <f>HYPERLINK("https://www.boe.es/gazeta/dias/1808/04/22/pdfs/GMD-C-1808-38.pdf#page=33","Abrir facsímil")</f>
        <v>Abrir facsímil</v>
      </c>
      <c r="K976" s="15" t="s">
        <v>23</v>
      </c>
    </row>
    <row r="977" spans="1:11" ht="42" customHeight="1">
      <c r="A977" s="4" t="s">
        <v>2717</v>
      </c>
      <c r="B977" s="5" t="s">
        <v>2718</v>
      </c>
      <c r="C977" s="5" t="s">
        <v>41</v>
      </c>
      <c r="D977" s="5" t="s">
        <v>42</v>
      </c>
      <c r="E977" s="5" t="s">
        <v>28</v>
      </c>
      <c r="F977" s="9" t="s">
        <v>446</v>
      </c>
      <c r="G977" s="9" t="s">
        <v>106</v>
      </c>
      <c r="H977" s="5" t="s">
        <v>21</v>
      </c>
      <c r="I977" s="5" t="s">
        <v>2719</v>
      </c>
      <c r="J977" s="12" t="str">
        <f>HYPERLINK("https://www.boe.es/gazeta/dias/1808/11/04/pdfs/GMD-D-1808-141.pdf#page=3","Abrir facsímil")</f>
        <v>Abrir facsímil</v>
      </c>
      <c r="K977" s="15" t="s">
        <v>23</v>
      </c>
    </row>
    <row r="978" spans="1:11" ht="42" customHeight="1">
      <c r="A978" s="4" t="s">
        <v>2720</v>
      </c>
      <c r="B978" s="5" t="s">
        <v>2721</v>
      </c>
      <c r="C978" s="5" t="s">
        <v>33</v>
      </c>
      <c r="D978" s="5" t="s">
        <v>34</v>
      </c>
      <c r="E978" s="5" t="s">
        <v>35</v>
      </c>
      <c r="F978" s="9" t="s">
        <v>36</v>
      </c>
      <c r="G978" s="9" t="s">
        <v>299</v>
      </c>
      <c r="H978" s="5" t="s">
        <v>21</v>
      </c>
      <c r="I978" s="5" t="s">
        <v>2722</v>
      </c>
      <c r="J978" s="12" t="str">
        <f>HYPERLINK("https://www.boe.es/gazeta/dias/1808/04/22/pdfs/GMD-C-1808-38.pdf#page=14","Abrir facsímil")</f>
        <v>Abrir facsímil</v>
      </c>
      <c r="K978" s="15" t="s">
        <v>23</v>
      </c>
    </row>
    <row r="979" spans="1:11" ht="42" customHeight="1">
      <c r="A979" s="4" t="s">
        <v>2720</v>
      </c>
      <c r="B979" s="5" t="s">
        <v>2721</v>
      </c>
      <c r="C979" s="5" t="s">
        <v>33</v>
      </c>
      <c r="D979" s="5" t="s">
        <v>34</v>
      </c>
      <c r="E979" s="5" t="s">
        <v>35</v>
      </c>
      <c r="F979" s="9" t="s">
        <v>36</v>
      </c>
      <c r="G979" s="9" t="s">
        <v>324</v>
      </c>
      <c r="H979" s="5" t="s">
        <v>21</v>
      </c>
      <c r="I979" s="5" t="s">
        <v>2723</v>
      </c>
      <c r="J979" s="12" t="str">
        <f>HYPERLINK("https://www.boe.es/gazeta/dias/1808/04/22/pdfs/GMD-C-1808-38.pdf#page=24","Abrir facsímil")</f>
        <v>Abrir facsímil</v>
      </c>
      <c r="K979" s="15" t="s">
        <v>23</v>
      </c>
    </row>
    <row r="980" spans="1:11" ht="42" customHeight="1">
      <c r="A980" s="4" t="s">
        <v>2724</v>
      </c>
      <c r="B980" s="5" t="s">
        <v>2725</v>
      </c>
      <c r="C980" s="5" t="s">
        <v>94</v>
      </c>
      <c r="D980" s="5" t="s">
        <v>95</v>
      </c>
      <c r="E980" s="5" t="s">
        <v>68</v>
      </c>
      <c r="F980" s="9" t="s">
        <v>849</v>
      </c>
      <c r="G980" s="9">
        <v>1349</v>
      </c>
      <c r="H980" s="5" t="s">
        <v>21</v>
      </c>
      <c r="I980" s="5" t="s">
        <v>2726</v>
      </c>
      <c r="J980" s="12" t="str">
        <f>HYPERLINK("https://www.boe.es/gazeta/dias/1808/10/21/pdfs/GMD-C-1808-136.pdf#page=9","Abrir facsímil")</f>
        <v>Abrir facsímil</v>
      </c>
      <c r="K980" s="15" t="s">
        <v>23</v>
      </c>
    </row>
    <row r="981" spans="1:11" ht="42" customHeight="1">
      <c r="A981" s="4" t="s">
        <v>2727</v>
      </c>
      <c r="B981" s="5" t="s">
        <v>2728</v>
      </c>
      <c r="C981" s="5" t="s">
        <v>94</v>
      </c>
      <c r="D981" s="5" t="s">
        <v>95</v>
      </c>
      <c r="E981" s="5" t="s">
        <v>210</v>
      </c>
      <c r="F981" s="9" t="s">
        <v>211</v>
      </c>
      <c r="G981" s="9">
        <v>254</v>
      </c>
      <c r="H981" s="5" t="s">
        <v>21</v>
      </c>
      <c r="I981" s="5" t="s">
        <v>2729</v>
      </c>
      <c r="J981" s="12" t="str">
        <f>HYPERLINK("https://www.boe.es/gazeta/dias/1808/03/11/pdfs/GMD-1808-21.pdf#page=8","Abrir facsímil")</f>
        <v>Abrir facsímil</v>
      </c>
      <c r="K981" s="15" t="s">
        <v>23</v>
      </c>
    </row>
    <row r="982" spans="1:11" ht="42" customHeight="1">
      <c r="A982" s="4" t="s">
        <v>2730</v>
      </c>
      <c r="B982" s="5" t="s">
        <v>2731</v>
      </c>
      <c r="C982" s="5" t="s">
        <v>642</v>
      </c>
      <c r="D982" s="5" t="s">
        <v>643</v>
      </c>
      <c r="E982" s="5" t="s">
        <v>516</v>
      </c>
      <c r="F982" s="9" t="s">
        <v>2732</v>
      </c>
      <c r="G982" s="9" t="s">
        <v>2733</v>
      </c>
      <c r="H982" s="5" t="s">
        <v>21</v>
      </c>
      <c r="I982" s="5" t="s">
        <v>2734</v>
      </c>
      <c r="J982" s="12" t="str">
        <f>HYPERLINK("https://www.boe.es/gazeta/dias/1808/06/19/pdfs/GMS-1808-6E.pdf#page=3","Abrir facsímil")</f>
        <v>Abrir facsímil</v>
      </c>
      <c r="K982" s="15" t="s">
        <v>23</v>
      </c>
    </row>
    <row r="983" spans="1:11" ht="42" customHeight="1">
      <c r="A983" s="4" t="s">
        <v>2735</v>
      </c>
      <c r="B983" s="5" t="s">
        <v>2735</v>
      </c>
      <c r="C983" s="5" t="s">
        <v>17</v>
      </c>
      <c r="D983" s="5" t="s">
        <v>18</v>
      </c>
      <c r="E983" s="5" t="s">
        <v>714</v>
      </c>
      <c r="F983" s="9" t="s">
        <v>2736</v>
      </c>
      <c r="G983" s="9">
        <v>820</v>
      </c>
      <c r="H983" s="5" t="s">
        <v>21</v>
      </c>
      <c r="I983" s="5" t="s">
        <v>2737</v>
      </c>
      <c r="J983" s="12" t="str">
        <f>HYPERLINK("https://www.boe.es/gazeta/dias/1808/07/16/pdfs/GMD-1808-88.pdf#page=6","Abrir facsímil")</f>
        <v>Abrir facsímil</v>
      </c>
      <c r="K983" s="15" t="s">
        <v>23</v>
      </c>
    </row>
    <row r="984" spans="1:11" ht="42" customHeight="1">
      <c r="A984" s="4" t="s">
        <v>2738</v>
      </c>
      <c r="B984" s="5" t="s">
        <v>2739</v>
      </c>
      <c r="C984" s="5" t="s">
        <v>94</v>
      </c>
      <c r="D984" s="5" t="s">
        <v>95</v>
      </c>
      <c r="E984" s="5" t="s">
        <v>513</v>
      </c>
      <c r="F984" s="9" t="s">
        <v>514</v>
      </c>
      <c r="G984" s="9">
        <v>286</v>
      </c>
      <c r="H984" s="5" t="s">
        <v>21</v>
      </c>
      <c r="I984" s="5" t="s">
        <v>2740</v>
      </c>
      <c r="J984" s="12" t="str">
        <f>HYPERLINK("https://www.boe.es/gazeta/dias/1808/03/22/pdfs/GMD-1808-24.pdf#page=8","Abrir facsímil")</f>
        <v>Abrir facsímil</v>
      </c>
      <c r="K984" s="15" t="s">
        <v>23</v>
      </c>
    </row>
    <row r="985" spans="1:11" ht="42" customHeight="1">
      <c r="A985" s="4" t="s">
        <v>2741</v>
      </c>
      <c r="B985" s="5" t="s">
        <v>2742</v>
      </c>
      <c r="C985" s="5" t="s">
        <v>33</v>
      </c>
      <c r="D985" s="5" t="s">
        <v>34</v>
      </c>
      <c r="E985" s="5" t="s">
        <v>65</v>
      </c>
      <c r="F985" s="9" t="s">
        <v>105</v>
      </c>
      <c r="G985" s="9" t="s">
        <v>75</v>
      </c>
      <c r="H985" s="5" t="s">
        <v>21</v>
      </c>
      <c r="I985" s="5" t="s">
        <v>2743</v>
      </c>
      <c r="J985" s="12" t="str">
        <f>HYPERLINK("https://www.boe.es/gazeta/dias/1808/10/18/pdfs/GMD-D-1808-135.pdf#page=4","Abrir facsímil")</f>
        <v>Abrir facsímil</v>
      </c>
      <c r="K985" s="15" t="s">
        <v>23</v>
      </c>
    </row>
    <row r="986" spans="1:11" ht="42" customHeight="1">
      <c r="A986" s="4" t="s">
        <v>2744</v>
      </c>
      <c r="B986" s="5" t="s">
        <v>2745</v>
      </c>
      <c r="C986" s="5" t="s">
        <v>17</v>
      </c>
      <c r="D986" s="5" t="s">
        <v>18</v>
      </c>
      <c r="E986" s="5" t="s">
        <v>110</v>
      </c>
      <c r="F986" s="9" t="s">
        <v>111</v>
      </c>
      <c r="G986" s="9">
        <v>1383</v>
      </c>
      <c r="H986" s="5" t="s">
        <v>21</v>
      </c>
      <c r="I986" s="5" t="s">
        <v>2746</v>
      </c>
      <c r="J986" s="12" t="str">
        <f>HYPERLINK("https://www.boe.es/gazeta/dias/1808/10/28/pdfs/GMD-1808-138.pdf#page=9","Abrir facsímil")</f>
        <v>Abrir facsímil</v>
      </c>
      <c r="K986" s="15" t="s">
        <v>23</v>
      </c>
    </row>
    <row r="987" spans="1:11" ht="42" customHeight="1">
      <c r="A987" s="4" t="s">
        <v>2747</v>
      </c>
      <c r="B987" s="5" t="s">
        <v>2748</v>
      </c>
      <c r="C987" s="5" t="s">
        <v>94</v>
      </c>
      <c r="D987" s="5" t="s">
        <v>95</v>
      </c>
      <c r="E987" s="5" t="s">
        <v>210</v>
      </c>
      <c r="F987" s="9" t="s">
        <v>211</v>
      </c>
      <c r="G987" s="9">
        <v>254</v>
      </c>
      <c r="H987" s="5" t="s">
        <v>21</v>
      </c>
      <c r="I987" s="5" t="s">
        <v>2749</v>
      </c>
      <c r="J987" s="12" t="str">
        <f>HYPERLINK("https://www.boe.es/gazeta/dias/1808/03/11/pdfs/GMD-1808-21.pdf#page=8","Abrir facsímil")</f>
        <v>Abrir facsímil</v>
      </c>
      <c r="K987" s="15" t="s">
        <v>23</v>
      </c>
    </row>
    <row r="988" spans="1:11" ht="42" customHeight="1">
      <c r="A988" s="4" t="s">
        <v>2750</v>
      </c>
      <c r="B988" s="5" t="s">
        <v>2751</v>
      </c>
      <c r="C988" s="5" t="s">
        <v>17</v>
      </c>
      <c r="D988" s="5" t="s">
        <v>18</v>
      </c>
      <c r="E988" s="5" t="s">
        <v>461</v>
      </c>
      <c r="F988" s="9" t="s">
        <v>733</v>
      </c>
      <c r="G988" s="9">
        <v>1447</v>
      </c>
      <c r="H988" s="5" t="s">
        <v>21</v>
      </c>
      <c r="I988" s="5" t="s">
        <v>2752</v>
      </c>
      <c r="J988" s="12" t="str">
        <f>HYPERLINK("https://www.boe.es/gazeta/dias/1808/11/08/pdfs/GMD-1808-142.pdf#page=9","Abrir facsímil")</f>
        <v>Abrir facsímil</v>
      </c>
      <c r="K988" s="15" t="s">
        <v>23</v>
      </c>
    </row>
    <row r="989" spans="1:11" ht="42" customHeight="1">
      <c r="A989" s="4" t="s">
        <v>2753</v>
      </c>
      <c r="B989" s="5" t="s">
        <v>2754</v>
      </c>
      <c r="C989" s="5" t="s">
        <v>33</v>
      </c>
      <c r="D989" s="5" t="s">
        <v>34</v>
      </c>
      <c r="E989" s="5" t="s">
        <v>35</v>
      </c>
      <c r="F989" s="9" t="s">
        <v>36</v>
      </c>
      <c r="G989" s="9" t="s">
        <v>322</v>
      </c>
      <c r="H989" s="5" t="s">
        <v>21</v>
      </c>
      <c r="I989" s="5" t="s">
        <v>2755</v>
      </c>
      <c r="J989" s="12" t="str">
        <f>HYPERLINK("https://www.boe.es/gazeta/dias/1808/04/22/pdfs/GMD-C-1808-38.pdf#page=15","Abrir facsímil")</f>
        <v>Abrir facsímil</v>
      </c>
      <c r="K989" s="15" t="s">
        <v>23</v>
      </c>
    </row>
    <row r="990" spans="1:11" ht="42" customHeight="1">
      <c r="A990" s="4" t="s">
        <v>2756</v>
      </c>
      <c r="B990" s="5" t="s">
        <v>2757</v>
      </c>
      <c r="C990" s="5" t="s">
        <v>94</v>
      </c>
      <c r="D990" s="5" t="s">
        <v>95</v>
      </c>
      <c r="E990" s="5" t="s">
        <v>351</v>
      </c>
      <c r="F990" s="9" t="s">
        <v>352</v>
      </c>
      <c r="G990" s="9">
        <v>32</v>
      </c>
      <c r="H990" s="5" t="s">
        <v>21</v>
      </c>
      <c r="I990" s="5" t="s">
        <v>2758</v>
      </c>
      <c r="J990" s="12" t="str">
        <f>HYPERLINK("https://www.boe.es/gazeta/dias/1808/06/11/pdfs/GMS-1808-4.pdf#page=8","Abrir facsímil")</f>
        <v>Abrir facsímil</v>
      </c>
      <c r="K990" s="15" t="s">
        <v>23</v>
      </c>
    </row>
    <row r="991" spans="1:11" ht="42" customHeight="1">
      <c r="A991" s="4" t="s">
        <v>2759</v>
      </c>
      <c r="B991" s="5" t="s">
        <v>2760</v>
      </c>
      <c r="C991" s="5" t="s">
        <v>41</v>
      </c>
      <c r="D991" s="5" t="s">
        <v>42</v>
      </c>
      <c r="E991" s="5" t="s">
        <v>35</v>
      </c>
      <c r="F991" s="9" t="s">
        <v>36</v>
      </c>
      <c r="G991" s="9" t="s">
        <v>277</v>
      </c>
      <c r="H991" s="5" t="s">
        <v>21</v>
      </c>
      <c r="I991" s="5" t="s">
        <v>2761</v>
      </c>
      <c r="J991" s="12" t="str">
        <f>HYPERLINK("https://www.boe.es/gazeta/dias/1808/04/22/pdfs/GMD-C-1808-38.pdf#page=34","Abrir facsímil")</f>
        <v>Abrir facsímil</v>
      </c>
      <c r="K991" s="15" t="s">
        <v>23</v>
      </c>
    </row>
    <row r="992" spans="1:11" ht="42" customHeight="1">
      <c r="A992" s="4" t="s">
        <v>2762</v>
      </c>
      <c r="B992" s="5" t="s">
        <v>2763</v>
      </c>
      <c r="C992" s="5" t="s">
        <v>33</v>
      </c>
      <c r="D992" s="5" t="s">
        <v>34</v>
      </c>
      <c r="E992" s="5" t="s">
        <v>35</v>
      </c>
      <c r="F992" s="9" t="s">
        <v>36</v>
      </c>
      <c r="G992" s="9" t="s">
        <v>273</v>
      </c>
      <c r="H992" s="5" t="s">
        <v>21</v>
      </c>
      <c r="I992" s="5" t="s">
        <v>2764</v>
      </c>
      <c r="J992" s="12" t="str">
        <f>HYPERLINK("https://www.boe.es/gazeta/dias/1808/04/22/pdfs/GMD-C-1808-38.pdf#page=12","Abrir facsímil")</f>
        <v>Abrir facsímil</v>
      </c>
      <c r="K992" s="15" t="s">
        <v>23</v>
      </c>
    </row>
    <row r="993" spans="1:11" ht="42" customHeight="1">
      <c r="A993" s="4" t="s">
        <v>2765</v>
      </c>
      <c r="B993" s="5" t="s">
        <v>2766</v>
      </c>
      <c r="C993" s="5" t="s">
        <v>33</v>
      </c>
      <c r="D993" s="5" t="s">
        <v>34</v>
      </c>
      <c r="E993" s="5" t="s">
        <v>35</v>
      </c>
      <c r="F993" s="9" t="s">
        <v>36</v>
      </c>
      <c r="G993" s="9" t="s">
        <v>324</v>
      </c>
      <c r="H993" s="5" t="s">
        <v>21</v>
      </c>
      <c r="I993" s="5" t="s">
        <v>2767</v>
      </c>
      <c r="J993" s="12" t="str">
        <f>HYPERLINK("https://www.boe.es/gazeta/dias/1808/04/22/pdfs/GMD-C-1808-38.pdf#page=24","Abrir facsímil")</f>
        <v>Abrir facsímil</v>
      </c>
      <c r="K993" s="15" t="s">
        <v>23</v>
      </c>
    </row>
    <row r="994" spans="1:11" ht="42" customHeight="1">
      <c r="A994" s="4" t="s">
        <v>2765</v>
      </c>
      <c r="B994" s="5" t="s">
        <v>2766</v>
      </c>
      <c r="C994" s="5" t="s">
        <v>17</v>
      </c>
      <c r="D994" s="5" t="s">
        <v>18</v>
      </c>
      <c r="E994" s="5" t="s">
        <v>522</v>
      </c>
      <c r="F994" s="9" t="s">
        <v>523</v>
      </c>
      <c r="G994" s="9">
        <v>984</v>
      </c>
      <c r="H994" s="5" t="s">
        <v>21</v>
      </c>
      <c r="I994" s="5" t="s">
        <v>2768</v>
      </c>
      <c r="J994" s="12" t="str">
        <f>HYPERLINK("https://www.boe.es/gazeta/dias/1808/08/07/pdfs/GMD-1808-110.pdf#page=6","Abrir facsímil")</f>
        <v>Abrir facsímil</v>
      </c>
      <c r="K994" s="15" t="s">
        <v>23</v>
      </c>
    </row>
    <row r="995" spans="1:11" ht="42" customHeight="1">
      <c r="A995" s="4" t="s">
        <v>2769</v>
      </c>
      <c r="B995" s="5" t="s">
        <v>2770</v>
      </c>
      <c r="C995" s="5" t="s">
        <v>33</v>
      </c>
      <c r="D995" s="5" t="s">
        <v>34</v>
      </c>
      <c r="E995" s="5" t="s">
        <v>35</v>
      </c>
      <c r="F995" s="9" t="s">
        <v>36</v>
      </c>
      <c r="G995" s="9" t="s">
        <v>1128</v>
      </c>
      <c r="H995" s="5" t="s">
        <v>21</v>
      </c>
      <c r="I995" s="5" t="s">
        <v>2771</v>
      </c>
      <c r="J995" s="12" t="str">
        <f>HYPERLINK("https://www.boe.es/gazeta/dias/1808/04/22/pdfs/GMD-C-1808-38.pdf#page=11","Abrir facsímil")</f>
        <v>Abrir facsímil</v>
      </c>
      <c r="K995" s="15" t="s">
        <v>23</v>
      </c>
    </row>
    <row r="996" spans="1:11" ht="42" customHeight="1">
      <c r="A996" s="4" t="s">
        <v>2772</v>
      </c>
      <c r="B996" s="5" t="s">
        <v>2773</v>
      </c>
      <c r="C996" s="5" t="s">
        <v>33</v>
      </c>
      <c r="D996" s="5" t="s">
        <v>34</v>
      </c>
      <c r="E996" s="5" t="s">
        <v>35</v>
      </c>
      <c r="F996" s="9" t="s">
        <v>36</v>
      </c>
      <c r="G996" s="9" t="s">
        <v>501</v>
      </c>
      <c r="H996" s="5" t="s">
        <v>21</v>
      </c>
      <c r="I996" s="5" t="s">
        <v>2774</v>
      </c>
      <c r="J996" s="12" t="str">
        <f>HYPERLINK("https://www.boe.es/gazeta/dias/1808/04/22/pdfs/GMD-C-1808-38.pdf#page=5","Abrir facsímil")</f>
        <v>Abrir facsímil</v>
      </c>
      <c r="K996" s="15" t="s">
        <v>23</v>
      </c>
    </row>
    <row r="997" spans="1:11" ht="42" customHeight="1">
      <c r="A997" s="4" t="s">
        <v>2775</v>
      </c>
      <c r="B997" s="5" t="s">
        <v>2776</v>
      </c>
      <c r="C997" s="5" t="s">
        <v>33</v>
      </c>
      <c r="D997" s="5" t="s">
        <v>34</v>
      </c>
      <c r="E997" s="5" t="s">
        <v>363</v>
      </c>
      <c r="F997" s="9" t="s">
        <v>364</v>
      </c>
      <c r="G997" s="9" t="s">
        <v>117</v>
      </c>
      <c r="H997" s="5" t="s">
        <v>21</v>
      </c>
      <c r="I997" s="5" t="s">
        <v>2777</v>
      </c>
      <c r="J997" s="12" t="str">
        <f>HYPERLINK("https://www.boe.es/gazeta/dias/1808/09/20/pdfs/GMD-C-1808-126.pdf#page=1","Abrir facsímil")</f>
        <v>Abrir facsímil</v>
      </c>
      <c r="K997" s="15" t="s">
        <v>23</v>
      </c>
    </row>
    <row r="998" spans="1:11" ht="42" customHeight="1">
      <c r="A998" s="4" t="s">
        <v>2778</v>
      </c>
      <c r="B998" s="5" t="s">
        <v>2779</v>
      </c>
      <c r="C998" s="5" t="s">
        <v>17</v>
      </c>
      <c r="D998" s="5" t="s">
        <v>18</v>
      </c>
      <c r="E998" s="5" t="s">
        <v>684</v>
      </c>
      <c r="F998" s="9" t="s">
        <v>685</v>
      </c>
      <c r="G998" s="9">
        <v>382</v>
      </c>
      <c r="H998" s="5" t="s">
        <v>21</v>
      </c>
      <c r="I998" s="5" t="s">
        <v>2780</v>
      </c>
      <c r="J998" s="12" t="str">
        <f>HYPERLINK("https://www.boe.es/gazeta/dias/1808/04/15/pdfs/GMD-1808-35.pdf#page=8","Abrir facsímil")</f>
        <v>Abrir facsímil</v>
      </c>
      <c r="K998" s="15" t="s">
        <v>23</v>
      </c>
    </row>
    <row r="999" spans="1:11" ht="42" customHeight="1">
      <c r="A999" s="4" t="s">
        <v>2778</v>
      </c>
      <c r="B999" s="5" t="s">
        <v>2779</v>
      </c>
      <c r="C999" s="5" t="s">
        <v>33</v>
      </c>
      <c r="D999" s="5" t="s">
        <v>34</v>
      </c>
      <c r="E999" s="5" t="s">
        <v>35</v>
      </c>
      <c r="F999" s="9" t="s">
        <v>36</v>
      </c>
      <c r="G999" s="9" t="s">
        <v>924</v>
      </c>
      <c r="H999" s="5" t="s">
        <v>21</v>
      </c>
      <c r="I999" s="5" t="s">
        <v>2781</v>
      </c>
      <c r="J999" s="12" t="str">
        <f>HYPERLINK("https://www.boe.es/gazeta/dias/1808/04/22/pdfs/GMD-C-1808-38.pdf#page=27","Abrir facsímil")</f>
        <v>Abrir facsímil</v>
      </c>
      <c r="K999" s="15" t="s">
        <v>23</v>
      </c>
    </row>
    <row r="1000" spans="1:11" ht="42" customHeight="1">
      <c r="A1000" s="4" t="s">
        <v>2782</v>
      </c>
      <c r="B1000" s="5" t="s">
        <v>2783</v>
      </c>
      <c r="C1000" s="5" t="s">
        <v>94</v>
      </c>
      <c r="D1000" s="5" t="s">
        <v>95</v>
      </c>
      <c r="E1000" s="5" t="s">
        <v>125</v>
      </c>
      <c r="F1000" s="9" t="s">
        <v>126</v>
      </c>
      <c r="G1000" s="9" t="s">
        <v>117</v>
      </c>
      <c r="H1000" s="5" t="s">
        <v>21</v>
      </c>
      <c r="I1000" s="5" t="s">
        <v>2784</v>
      </c>
      <c r="J1000" s="12" t="str">
        <f>HYPERLINK("https://www.boe.es/gazeta/dias/1808/10/07/pdfs/GMD-C-1808-132.pdf#page=1","Abrir facsímil")</f>
        <v>Abrir facsímil</v>
      </c>
      <c r="K1000" s="15" t="s">
        <v>23</v>
      </c>
    </row>
    <row r="1001" spans="1:11" ht="42" customHeight="1">
      <c r="A1001" s="4" t="s">
        <v>2785</v>
      </c>
      <c r="B1001" s="5" t="s">
        <v>2785</v>
      </c>
      <c r="C1001" s="5" t="s">
        <v>33</v>
      </c>
      <c r="D1001" s="5" t="s">
        <v>34</v>
      </c>
      <c r="E1001" s="5" t="s">
        <v>125</v>
      </c>
      <c r="F1001" s="9" t="s">
        <v>126</v>
      </c>
      <c r="G1001" s="9" t="s">
        <v>75</v>
      </c>
      <c r="H1001" s="5" t="s">
        <v>21</v>
      </c>
      <c r="I1001" s="5" t="s">
        <v>2786</v>
      </c>
      <c r="J1001" s="12" t="str">
        <f>HYPERLINK("https://www.boe.es/gazeta/dias/1808/10/07/pdfs/GMD-C-1808-132.pdf#page=4","Abrir facsímil")</f>
        <v>Abrir facsímil</v>
      </c>
      <c r="K1001" s="15" t="s">
        <v>23</v>
      </c>
    </row>
    <row r="1002" spans="1:11" ht="42" customHeight="1">
      <c r="A1002" s="4" t="s">
        <v>2787</v>
      </c>
      <c r="B1002" s="5" t="s">
        <v>2787</v>
      </c>
      <c r="C1002" s="5" t="s">
        <v>17</v>
      </c>
      <c r="D1002" s="5" t="s">
        <v>18</v>
      </c>
      <c r="E1002" s="5" t="s">
        <v>461</v>
      </c>
      <c r="F1002" s="9" t="s">
        <v>733</v>
      </c>
      <c r="G1002" s="9">
        <v>1448</v>
      </c>
      <c r="H1002" s="5" t="s">
        <v>21</v>
      </c>
      <c r="I1002" s="5" t="s">
        <v>2788</v>
      </c>
      <c r="J1002" s="12" t="str">
        <f>HYPERLINK("https://www.boe.es/gazeta/dias/1808/11/08/pdfs/GMD-1808-142.pdf#page=10","Abrir facsímil")</f>
        <v>Abrir facsímil</v>
      </c>
      <c r="K1002" s="15" t="s">
        <v>23</v>
      </c>
    </row>
    <row r="1003" spans="1:11" ht="42" customHeight="1">
      <c r="A1003" s="4" t="s">
        <v>2789</v>
      </c>
      <c r="B1003" s="5" t="s">
        <v>2789</v>
      </c>
      <c r="C1003" s="5" t="s">
        <v>33</v>
      </c>
      <c r="D1003" s="5" t="s">
        <v>34</v>
      </c>
      <c r="E1003" s="5" t="s">
        <v>35</v>
      </c>
      <c r="F1003" s="9" t="s">
        <v>36</v>
      </c>
      <c r="G1003" s="9" t="s">
        <v>106</v>
      </c>
      <c r="H1003" s="5" t="s">
        <v>21</v>
      </c>
      <c r="I1003" s="5" t="s">
        <v>2790</v>
      </c>
      <c r="J1003" s="12" t="str">
        <f>HYPERLINK("https://www.boe.es/gazeta/dias/1808/04/22/pdfs/GMD-C-1808-38.pdf#page=3","Abrir facsímil")</f>
        <v>Abrir facsímil</v>
      </c>
      <c r="K1003" s="15" t="s">
        <v>23</v>
      </c>
    </row>
    <row r="1004" spans="1:11" ht="42" customHeight="1">
      <c r="A1004" s="4" t="s">
        <v>2791</v>
      </c>
      <c r="B1004" s="5" t="s">
        <v>2791</v>
      </c>
      <c r="C1004" s="5" t="s">
        <v>41</v>
      </c>
      <c r="D1004" s="5" t="s">
        <v>42</v>
      </c>
      <c r="E1004" s="5" t="s">
        <v>1466</v>
      </c>
      <c r="F1004" s="9" t="s">
        <v>1467</v>
      </c>
      <c r="G1004" s="9">
        <v>59</v>
      </c>
      <c r="H1004" s="5" t="s">
        <v>21</v>
      </c>
      <c r="I1004" s="5" t="s">
        <v>2792</v>
      </c>
      <c r="J1004" s="12" t="str">
        <f>HYPERLINK("https://www.boe.es/gazeta/dias/1808/01/15/pdfs/GMD-1808-5.pdf#page=11","Abrir facsímil")</f>
        <v>Abrir facsímil</v>
      </c>
      <c r="K1004" s="15" t="s">
        <v>23</v>
      </c>
    </row>
    <row r="1005" spans="1:11" ht="42" customHeight="1">
      <c r="A1005" s="4" t="s">
        <v>2793</v>
      </c>
      <c r="B1005" s="5" t="s">
        <v>2793</v>
      </c>
      <c r="C1005" s="5" t="s">
        <v>94</v>
      </c>
      <c r="D1005" s="5" t="s">
        <v>95</v>
      </c>
      <c r="E1005" s="5" t="s">
        <v>2794</v>
      </c>
      <c r="F1005" s="9" t="s">
        <v>2795</v>
      </c>
      <c r="G1005" s="9">
        <v>975</v>
      </c>
      <c r="H1005" s="5" t="s">
        <v>21</v>
      </c>
      <c r="I1005" s="5" t="s">
        <v>2796</v>
      </c>
      <c r="J1005" s="12" t="str">
        <f>HYPERLINK("https://www.boe.es/gazeta/dias/1808/08/06/pdfs/GMD-1808-109.pdf#page=1","Abrir facsímil")</f>
        <v>Abrir facsímil</v>
      </c>
      <c r="K1005" s="15" t="s">
        <v>23</v>
      </c>
    </row>
    <row r="1006" spans="1:11" ht="42" customHeight="1">
      <c r="A1006" s="4" t="s">
        <v>2793</v>
      </c>
      <c r="B1006" s="5" t="s">
        <v>2793</v>
      </c>
      <c r="C1006" s="5" t="s">
        <v>41</v>
      </c>
      <c r="D1006" s="5" t="s">
        <v>42</v>
      </c>
      <c r="E1006" s="5" t="s">
        <v>139</v>
      </c>
      <c r="F1006" s="9" t="s">
        <v>1089</v>
      </c>
      <c r="G1006" s="9" t="s">
        <v>199</v>
      </c>
      <c r="H1006" s="5" t="s">
        <v>21</v>
      </c>
      <c r="I1006" s="5" t="s">
        <v>2797</v>
      </c>
      <c r="J1006" s="12" t="str">
        <f>HYPERLINK("https://www.boe.es/gazeta/dias/1808/09/23/pdfs/GMD-C-1808-127.pdf#page=2","Abrir facsímil")</f>
        <v>Abrir facsímil</v>
      </c>
      <c r="K1006" s="15" t="s">
        <v>23</v>
      </c>
    </row>
    <row r="1007" spans="1:11" ht="42" customHeight="1">
      <c r="A1007" s="4" t="s">
        <v>2798</v>
      </c>
      <c r="B1007" s="5" t="s">
        <v>2798</v>
      </c>
      <c r="C1007" s="5" t="s">
        <v>33</v>
      </c>
      <c r="D1007" s="5" t="s">
        <v>34</v>
      </c>
      <c r="E1007" s="5" t="s">
        <v>558</v>
      </c>
      <c r="F1007" s="9" t="s">
        <v>758</v>
      </c>
      <c r="G1007" s="9" t="s">
        <v>106</v>
      </c>
      <c r="H1007" s="5" t="s">
        <v>21</v>
      </c>
      <c r="I1007" s="5" t="s">
        <v>2799</v>
      </c>
      <c r="J1007" s="12" t="str">
        <f>HYPERLINK("https://www.boe.es/gazeta/dias/1808/11/25/pdfs/GMD-E-1808-147.pdf#page=3","Abrir facsímil")</f>
        <v>Abrir facsímil</v>
      </c>
      <c r="K1007" s="15" t="s">
        <v>23</v>
      </c>
    </row>
    <row r="1008" spans="1:11" ht="42" customHeight="1">
      <c r="A1008" s="4" t="s">
        <v>2800</v>
      </c>
      <c r="B1008" s="5" t="s">
        <v>2800</v>
      </c>
      <c r="C1008" s="5" t="s">
        <v>33</v>
      </c>
      <c r="D1008" s="5" t="s">
        <v>34</v>
      </c>
      <c r="E1008" s="5" t="s">
        <v>125</v>
      </c>
      <c r="F1008" s="9" t="s">
        <v>126</v>
      </c>
      <c r="G1008" s="9" t="s">
        <v>75</v>
      </c>
      <c r="H1008" s="5" t="s">
        <v>21</v>
      </c>
      <c r="I1008" s="5" t="s">
        <v>2801</v>
      </c>
      <c r="J1008" s="12" t="str">
        <f>HYPERLINK("https://www.boe.es/gazeta/dias/1808/10/07/pdfs/GMD-C-1808-132.pdf#page=4","Abrir facsímil")</f>
        <v>Abrir facsímil</v>
      </c>
      <c r="K1008" s="15" t="s">
        <v>23</v>
      </c>
    </row>
    <row r="1009" spans="1:11" ht="42" customHeight="1">
      <c r="A1009" s="4" t="s">
        <v>2802</v>
      </c>
      <c r="B1009" s="5" t="s">
        <v>2802</v>
      </c>
      <c r="C1009" s="5" t="s">
        <v>41</v>
      </c>
      <c r="D1009" s="5" t="s">
        <v>42</v>
      </c>
      <c r="E1009" s="5" t="s">
        <v>180</v>
      </c>
      <c r="F1009" s="9" t="s">
        <v>768</v>
      </c>
      <c r="G1009" s="9" t="s">
        <v>75</v>
      </c>
      <c r="H1009" s="5" t="s">
        <v>21</v>
      </c>
      <c r="I1009" s="5" t="s">
        <v>2803</v>
      </c>
      <c r="J1009" s="12" t="str">
        <f>HYPERLINK("https://www.boe.es/gazeta/dias/1808/11/15/pdfs/GMD-D-1808-144.pdf#page=4","Abrir facsímil")</f>
        <v>Abrir facsímil</v>
      </c>
      <c r="K1009" s="15" t="s">
        <v>23</v>
      </c>
    </row>
    <row r="1010" spans="1:11" ht="42" customHeight="1">
      <c r="A1010" s="4" t="s">
        <v>2804</v>
      </c>
      <c r="B1010" s="5" t="s">
        <v>2804</v>
      </c>
      <c r="C1010" s="5" t="s">
        <v>389</v>
      </c>
      <c r="D1010" s="5" t="s">
        <v>390</v>
      </c>
      <c r="E1010" s="5" t="s">
        <v>461</v>
      </c>
      <c r="F1010" s="9" t="s">
        <v>462</v>
      </c>
      <c r="G1010" s="9" t="s">
        <v>106</v>
      </c>
      <c r="H1010" s="5" t="s">
        <v>21</v>
      </c>
      <c r="I1010" s="5" t="s">
        <v>2805</v>
      </c>
      <c r="J1010" s="12" t="str">
        <f>HYPERLINK("https://www.boe.es/gazeta/dias/1808/11/08/pdfs/GMD-D-1808-142.pdf#page=3","Abrir facsímil")</f>
        <v>Abrir facsímil</v>
      </c>
      <c r="K1010" s="15" t="s">
        <v>23</v>
      </c>
    </row>
    <row r="1011" spans="1:11" ht="42" customHeight="1">
      <c r="A1011" s="4" t="s">
        <v>2806</v>
      </c>
      <c r="B1011" s="5" t="s">
        <v>2806</v>
      </c>
      <c r="C1011" s="5" t="s">
        <v>33</v>
      </c>
      <c r="D1011" s="5" t="s">
        <v>34</v>
      </c>
      <c r="E1011" s="5" t="s">
        <v>89</v>
      </c>
      <c r="F1011" s="9" t="s">
        <v>1247</v>
      </c>
      <c r="G1011" s="9">
        <v>1373</v>
      </c>
      <c r="H1011" s="5" t="s">
        <v>21</v>
      </c>
      <c r="I1011" s="5" t="s">
        <v>2807</v>
      </c>
      <c r="J1011" s="12" t="str">
        <f>HYPERLINK("https://www.boe.es/gazeta/dias/1808/10/25/pdfs/GMD-C-1808-137.pdf#page=9","Abrir facsímil")</f>
        <v>Abrir facsímil</v>
      </c>
      <c r="K1011" s="15" t="s">
        <v>23</v>
      </c>
    </row>
    <row r="1012" spans="1:11" ht="42" customHeight="1">
      <c r="A1012" s="4" t="s">
        <v>2806</v>
      </c>
      <c r="B1012" s="5" t="s">
        <v>2806</v>
      </c>
      <c r="C1012" s="5" t="s">
        <v>41</v>
      </c>
      <c r="D1012" s="5" t="s">
        <v>42</v>
      </c>
      <c r="E1012" s="5" t="s">
        <v>89</v>
      </c>
      <c r="F1012" s="9" t="s">
        <v>1247</v>
      </c>
      <c r="G1012" s="9">
        <v>1374</v>
      </c>
      <c r="H1012" s="5" t="s">
        <v>21</v>
      </c>
      <c r="I1012" s="5" t="s">
        <v>2808</v>
      </c>
      <c r="J1012" s="12" t="str">
        <f>HYPERLINK("https://www.boe.es/gazeta/dias/1808/10/25/pdfs/GMD-C-1808-137.pdf#page=10","Abrir facsímil")</f>
        <v>Abrir facsímil</v>
      </c>
      <c r="K1012" s="15" t="s">
        <v>23</v>
      </c>
    </row>
    <row r="1013" spans="1:11" ht="42" customHeight="1">
      <c r="A1013" s="4" t="s">
        <v>2809</v>
      </c>
      <c r="B1013" s="5" t="s">
        <v>2809</v>
      </c>
      <c r="C1013" s="5" t="s">
        <v>94</v>
      </c>
      <c r="D1013" s="5" t="s">
        <v>95</v>
      </c>
      <c r="E1013" s="5" t="s">
        <v>264</v>
      </c>
      <c r="F1013" s="9" t="s">
        <v>2256</v>
      </c>
      <c r="G1013" s="9">
        <v>1565</v>
      </c>
      <c r="H1013" s="5" t="s">
        <v>21</v>
      </c>
      <c r="I1013" s="5" t="s">
        <v>2810</v>
      </c>
      <c r="J1013" s="12" t="str">
        <f>HYPERLINK("https://www.boe.es/gazeta/dias/1808/11/29/pdfs/GMD-1808-148.pdf#page=11","Abrir facsímil")</f>
        <v>Abrir facsímil</v>
      </c>
      <c r="K1013" s="15" t="s">
        <v>23</v>
      </c>
    </row>
    <row r="1014" spans="1:11" ht="42" customHeight="1">
      <c r="A1014" s="4" t="s">
        <v>2811</v>
      </c>
      <c r="B1014" s="5" t="s">
        <v>2812</v>
      </c>
      <c r="C1014" s="5" t="s">
        <v>17</v>
      </c>
      <c r="D1014" s="5" t="s">
        <v>18</v>
      </c>
      <c r="E1014" s="5" t="s">
        <v>218</v>
      </c>
      <c r="F1014" s="9" t="s">
        <v>219</v>
      </c>
      <c r="G1014" s="9">
        <v>331</v>
      </c>
      <c r="H1014" s="5" t="s">
        <v>21</v>
      </c>
      <c r="I1014" s="5" t="s">
        <v>2813</v>
      </c>
      <c r="J1014" s="12" t="str">
        <f>HYPERLINK("https://www.boe.es/gazeta/dias/1808/04/01/pdfs/GMD-1808-29.pdf#page=7","Abrir facsímil")</f>
        <v>Abrir facsímil</v>
      </c>
      <c r="K1014" s="15" t="s">
        <v>23</v>
      </c>
    </row>
    <row r="1015" spans="1:11" ht="42" customHeight="1">
      <c r="A1015" s="4" t="s">
        <v>2811</v>
      </c>
      <c r="B1015" s="5" t="s">
        <v>2812</v>
      </c>
      <c r="C1015" s="5" t="s">
        <v>17</v>
      </c>
      <c r="D1015" s="5" t="s">
        <v>18</v>
      </c>
      <c r="E1015" s="5" t="s">
        <v>1791</v>
      </c>
      <c r="F1015" s="9" t="s">
        <v>2814</v>
      </c>
      <c r="G1015" s="9">
        <v>930</v>
      </c>
      <c r="H1015" s="5" t="s">
        <v>21</v>
      </c>
      <c r="I1015" s="5" t="s">
        <v>2815</v>
      </c>
      <c r="J1015" s="12" t="str">
        <f>HYPERLINK("https://www.boe.es/gazeta/dias/1808/07/30/pdfs/GMD-1808-102.pdf#page=4","Abrir facsímil")</f>
        <v>Abrir facsímil</v>
      </c>
      <c r="K1015" s="15" t="s">
        <v>23</v>
      </c>
    </row>
    <row r="1016" spans="1:11" ht="42" customHeight="1">
      <c r="A1016" s="4" t="s">
        <v>2811</v>
      </c>
      <c r="B1016" s="5" t="s">
        <v>2812</v>
      </c>
      <c r="C1016" s="5" t="s">
        <v>17</v>
      </c>
      <c r="D1016" s="5" t="s">
        <v>18</v>
      </c>
      <c r="E1016" s="5" t="s">
        <v>427</v>
      </c>
      <c r="F1016" s="9" t="s">
        <v>1802</v>
      </c>
      <c r="G1016" s="9">
        <v>1525</v>
      </c>
      <c r="H1016" s="5" t="s">
        <v>21</v>
      </c>
      <c r="I1016" s="5" t="s">
        <v>2816</v>
      </c>
      <c r="J1016" s="12" t="str">
        <f>HYPERLINK("https://www.boe.es/gazeta/dias/1808/11/22/pdfs/GMD-1808-146.pdf#page=11","Abrir facsímil")</f>
        <v>Abrir facsímil</v>
      </c>
      <c r="K1016" s="15" t="s">
        <v>23</v>
      </c>
    </row>
    <row r="1017" spans="1:11" ht="42" customHeight="1">
      <c r="A1017" s="4" t="s">
        <v>2817</v>
      </c>
      <c r="B1017" s="5" t="s">
        <v>2818</v>
      </c>
      <c r="C1017" s="5" t="s">
        <v>33</v>
      </c>
      <c r="D1017" s="5" t="s">
        <v>34</v>
      </c>
      <c r="E1017" s="5" t="s">
        <v>35</v>
      </c>
      <c r="F1017" s="9" t="s">
        <v>36</v>
      </c>
      <c r="G1017" s="9" t="s">
        <v>144</v>
      </c>
      <c r="H1017" s="5" t="s">
        <v>21</v>
      </c>
      <c r="I1017" s="5" t="s">
        <v>2819</v>
      </c>
      <c r="J1017" s="12" t="str">
        <f>HYPERLINK("https://www.boe.es/gazeta/dias/1808/04/22/pdfs/GMD-C-1808-38.pdf#page=40","Abrir facsímil")</f>
        <v>Abrir facsímil</v>
      </c>
      <c r="K1017" s="15" t="s">
        <v>23</v>
      </c>
    </row>
    <row r="1018" spans="1:11" ht="42" customHeight="1">
      <c r="A1018" s="4" t="s">
        <v>2820</v>
      </c>
      <c r="B1018" s="5" t="s">
        <v>2821</v>
      </c>
      <c r="C1018" s="5" t="s">
        <v>94</v>
      </c>
      <c r="D1018" s="5" t="s">
        <v>95</v>
      </c>
      <c r="E1018" s="5" t="s">
        <v>368</v>
      </c>
      <c r="F1018" s="9" t="s">
        <v>369</v>
      </c>
      <c r="G1018" s="9">
        <v>167</v>
      </c>
      <c r="H1018" s="5" t="s">
        <v>21</v>
      </c>
      <c r="I1018" s="5" t="s">
        <v>2822</v>
      </c>
      <c r="J1018" s="12" t="str">
        <f>HYPERLINK("https://www.boe.es/gazeta/dias/1808/02/16/pdfs/GMD-1808-14.pdf#page=9","Abrir facsímil")</f>
        <v>Abrir facsímil</v>
      </c>
      <c r="K1018" s="15" t="s">
        <v>23</v>
      </c>
    </row>
    <row r="1019" spans="1:11" ht="42" customHeight="1">
      <c r="A1019" s="4" t="s">
        <v>2823</v>
      </c>
      <c r="B1019" s="5" t="s">
        <v>2824</v>
      </c>
      <c r="C1019" s="5" t="s">
        <v>41</v>
      </c>
      <c r="D1019" s="5" t="s">
        <v>42</v>
      </c>
      <c r="E1019" s="5" t="s">
        <v>456</v>
      </c>
      <c r="F1019" s="9" t="s">
        <v>2825</v>
      </c>
      <c r="G1019" s="9">
        <v>320</v>
      </c>
      <c r="H1019" s="5" t="s">
        <v>21</v>
      </c>
      <c r="I1019" s="5" t="s">
        <v>2826</v>
      </c>
      <c r="J1019" s="12" t="str">
        <f>HYPERLINK("https://www.boe.es/gazeta/dias/1808/10/14/pdfs/GMS-1808-40.pdf#page=8","Abrir facsímil")</f>
        <v>Abrir facsímil</v>
      </c>
      <c r="K1019" s="15" t="s">
        <v>23</v>
      </c>
    </row>
    <row r="1020" spans="1:11" ht="42" customHeight="1">
      <c r="A1020" s="4" t="s">
        <v>2827</v>
      </c>
      <c r="B1020" s="5" t="s">
        <v>2828</v>
      </c>
      <c r="C1020" s="5" t="s">
        <v>33</v>
      </c>
      <c r="D1020" s="5" t="s">
        <v>34</v>
      </c>
      <c r="E1020" s="5" t="s">
        <v>35</v>
      </c>
      <c r="F1020" s="9" t="s">
        <v>36</v>
      </c>
      <c r="G1020" s="9" t="s">
        <v>199</v>
      </c>
      <c r="H1020" s="5" t="s">
        <v>21</v>
      </c>
      <c r="I1020" s="5" t="s">
        <v>2829</v>
      </c>
      <c r="J1020" s="12" t="str">
        <f>HYPERLINK("https://www.boe.es/gazeta/dias/1808/04/22/pdfs/GMD-C-1808-38.pdf#page=2","Abrir facsímil")</f>
        <v>Abrir facsímil</v>
      </c>
      <c r="K1020" s="15" t="s">
        <v>23</v>
      </c>
    </row>
    <row r="1021" spans="1:11" ht="42" customHeight="1">
      <c r="A1021" s="4" t="s">
        <v>2830</v>
      </c>
      <c r="B1021" s="5" t="s">
        <v>2831</v>
      </c>
      <c r="C1021" s="5" t="s">
        <v>17</v>
      </c>
      <c r="D1021" s="5" t="s">
        <v>18</v>
      </c>
      <c r="E1021" s="5" t="s">
        <v>804</v>
      </c>
      <c r="F1021" s="9" t="s">
        <v>805</v>
      </c>
      <c r="G1021" s="9">
        <v>972</v>
      </c>
      <c r="H1021" s="5" t="s">
        <v>21</v>
      </c>
      <c r="I1021" s="5" t="s">
        <v>2832</v>
      </c>
      <c r="J1021" s="12" t="str">
        <f>HYPERLINK("https://www.boe.es/gazeta/dias/1808/08/05/pdfs/GMD-1808-108.pdf#page=2","Abrir facsímil")</f>
        <v>Abrir facsímil</v>
      </c>
      <c r="K1021" s="15" t="s">
        <v>23</v>
      </c>
    </row>
    <row r="1022" spans="1:11" ht="42" customHeight="1">
      <c r="A1022" s="4" t="s">
        <v>2833</v>
      </c>
      <c r="B1022" s="5" t="s">
        <v>2834</v>
      </c>
      <c r="C1022" s="5" t="s">
        <v>33</v>
      </c>
      <c r="D1022" s="5" t="s">
        <v>34</v>
      </c>
      <c r="E1022" s="5" t="s">
        <v>558</v>
      </c>
      <c r="F1022" s="9" t="s">
        <v>758</v>
      </c>
      <c r="G1022" s="9" t="s">
        <v>106</v>
      </c>
      <c r="H1022" s="5" t="s">
        <v>21</v>
      </c>
      <c r="I1022" s="5" t="s">
        <v>2835</v>
      </c>
      <c r="J1022" s="12" t="str">
        <f>HYPERLINK("https://www.boe.es/gazeta/dias/1808/11/25/pdfs/GMD-E-1808-147.pdf#page=3","Abrir facsímil")</f>
        <v>Abrir facsímil</v>
      </c>
      <c r="K1022" s="15" t="s">
        <v>23</v>
      </c>
    </row>
    <row r="1023" spans="1:11" ht="42" customHeight="1">
      <c r="A1023" s="4" t="s">
        <v>2836</v>
      </c>
      <c r="B1023" s="5" t="s">
        <v>2837</v>
      </c>
      <c r="C1023" s="5" t="s">
        <v>17</v>
      </c>
      <c r="D1023" s="5" t="s">
        <v>18</v>
      </c>
      <c r="E1023" s="5" t="s">
        <v>19</v>
      </c>
      <c r="F1023" s="9" t="s">
        <v>59</v>
      </c>
      <c r="G1023" s="9">
        <v>1230</v>
      </c>
      <c r="H1023" s="5" t="s">
        <v>21</v>
      </c>
      <c r="I1023" s="5" t="s">
        <v>2838</v>
      </c>
      <c r="J1023" s="12" t="str">
        <f>HYPERLINK("https://www.boe.es/gazeta/dias/1808/09/30/pdfs/GMD-1808-130.pdf#page=10","Abrir facsímil")</f>
        <v>Abrir facsímil</v>
      </c>
      <c r="K1023" s="15" t="s">
        <v>23</v>
      </c>
    </row>
    <row r="1024" spans="1:11" ht="42" customHeight="1">
      <c r="A1024" s="4" t="s">
        <v>2836</v>
      </c>
      <c r="B1024" s="5" t="s">
        <v>2837</v>
      </c>
      <c r="C1024" s="5" t="s">
        <v>17</v>
      </c>
      <c r="D1024" s="5" t="s">
        <v>18</v>
      </c>
      <c r="E1024" s="5" t="s">
        <v>68</v>
      </c>
      <c r="F1024" s="9" t="s">
        <v>69</v>
      </c>
      <c r="G1024" s="9">
        <v>1337</v>
      </c>
      <c r="H1024" s="5" t="s">
        <v>21</v>
      </c>
      <c r="I1024" s="5" t="s">
        <v>2839</v>
      </c>
      <c r="J1024" s="12" t="str">
        <f>HYPERLINK("https://www.boe.es/gazeta/dias/1808/10/21/pdfs/GMD-1808-136.pdf#page=9","Abrir facsímil")</f>
        <v>Abrir facsímil</v>
      </c>
      <c r="K1024" s="15" t="s">
        <v>23</v>
      </c>
    </row>
    <row r="1025" spans="1:11" ht="42" customHeight="1">
      <c r="A1025" s="4" t="s">
        <v>2840</v>
      </c>
      <c r="B1025" s="5" t="s">
        <v>2841</v>
      </c>
      <c r="C1025" s="5" t="s">
        <v>94</v>
      </c>
      <c r="D1025" s="5" t="s">
        <v>95</v>
      </c>
      <c r="E1025" s="5" t="s">
        <v>269</v>
      </c>
      <c r="F1025" s="9" t="s">
        <v>270</v>
      </c>
      <c r="G1025" s="9">
        <v>69</v>
      </c>
      <c r="H1025" s="5" t="s">
        <v>21</v>
      </c>
      <c r="I1025" s="5" t="s">
        <v>2842</v>
      </c>
      <c r="J1025" s="12" t="str">
        <f>HYPERLINK("https://www.boe.es/gazeta/dias/1808/01/19/pdfs/GMD-1808-6.pdf#page=9","Abrir facsímil")</f>
        <v>Abrir facsímil</v>
      </c>
      <c r="K1025" s="15" t="s">
        <v>23</v>
      </c>
    </row>
    <row r="1026" spans="1:11" ht="42" customHeight="1">
      <c r="A1026" s="4" t="s">
        <v>2843</v>
      </c>
      <c r="B1026" s="5" t="s">
        <v>2844</v>
      </c>
      <c r="C1026" s="5" t="s">
        <v>94</v>
      </c>
      <c r="D1026" s="5" t="s">
        <v>95</v>
      </c>
      <c r="E1026" s="5" t="s">
        <v>35</v>
      </c>
      <c r="F1026" s="9" t="s">
        <v>36</v>
      </c>
      <c r="G1026" s="9" t="s">
        <v>117</v>
      </c>
      <c r="H1026" s="5" t="s">
        <v>21</v>
      </c>
      <c r="I1026" s="5" t="s">
        <v>2845</v>
      </c>
      <c r="J1026" s="12" t="str">
        <f>HYPERLINK("https://www.boe.es/gazeta/dias/1808/04/22/pdfs/GMD-C-1808-38.pdf#page=1","Abrir facsímil")</f>
        <v>Abrir facsímil</v>
      </c>
      <c r="K1026" s="15" t="s">
        <v>23</v>
      </c>
    </row>
    <row r="1027" spans="1:11" ht="42" customHeight="1">
      <c r="A1027" s="4" t="s">
        <v>2843</v>
      </c>
      <c r="B1027" s="5" t="s">
        <v>2844</v>
      </c>
      <c r="C1027" s="5" t="s">
        <v>33</v>
      </c>
      <c r="D1027" s="5" t="s">
        <v>34</v>
      </c>
      <c r="E1027" s="5" t="s">
        <v>35</v>
      </c>
      <c r="F1027" s="9" t="s">
        <v>36</v>
      </c>
      <c r="G1027" s="9" t="s">
        <v>1075</v>
      </c>
      <c r="H1027" s="5" t="s">
        <v>21</v>
      </c>
      <c r="I1027" s="5" t="s">
        <v>2846</v>
      </c>
      <c r="J1027" s="12" t="str">
        <f>HYPERLINK("https://www.boe.es/gazeta/dias/1808/04/22/pdfs/GMD-C-1808-38.pdf#page=32","Abrir facsímil")</f>
        <v>Abrir facsímil</v>
      </c>
      <c r="K1027" s="15" t="s">
        <v>23</v>
      </c>
    </row>
    <row r="1028" spans="1:11" ht="42" customHeight="1">
      <c r="A1028" s="4" t="s">
        <v>2843</v>
      </c>
      <c r="B1028" s="5" t="s">
        <v>2844</v>
      </c>
      <c r="C1028" s="5" t="s">
        <v>33</v>
      </c>
      <c r="D1028" s="5" t="s">
        <v>34</v>
      </c>
      <c r="E1028" s="5" t="s">
        <v>35</v>
      </c>
      <c r="F1028" s="9" t="s">
        <v>36</v>
      </c>
      <c r="G1028" s="9" t="s">
        <v>985</v>
      </c>
      <c r="H1028" s="5" t="s">
        <v>21</v>
      </c>
      <c r="I1028" s="5" t="s">
        <v>2847</v>
      </c>
      <c r="J1028" s="12" t="str">
        <f>HYPERLINK("https://www.boe.es/gazeta/dias/1808/04/22/pdfs/GMD-C-1808-38.pdf#page=39","Abrir facsímil")</f>
        <v>Abrir facsímil</v>
      </c>
      <c r="K1028" s="15" t="s">
        <v>23</v>
      </c>
    </row>
    <row r="1029" spans="1:11" ht="42" customHeight="1">
      <c r="A1029" s="4" t="s">
        <v>2843</v>
      </c>
      <c r="B1029" s="5" t="s">
        <v>2844</v>
      </c>
      <c r="C1029" s="5" t="s">
        <v>33</v>
      </c>
      <c r="D1029" s="5" t="s">
        <v>34</v>
      </c>
      <c r="E1029" s="5" t="s">
        <v>35</v>
      </c>
      <c r="F1029" s="9" t="s">
        <v>36</v>
      </c>
      <c r="G1029" s="9" t="s">
        <v>75</v>
      </c>
      <c r="H1029" s="5" t="s">
        <v>21</v>
      </c>
      <c r="I1029" s="5" t="s">
        <v>2848</v>
      </c>
      <c r="J1029" s="12" t="str">
        <f>HYPERLINK("https://www.boe.es/gazeta/dias/1808/04/22/pdfs/GMD-C-1808-38.pdf#page=4","Abrir facsímil")</f>
        <v>Abrir facsímil</v>
      </c>
      <c r="K1029" s="15" t="s">
        <v>23</v>
      </c>
    </row>
    <row r="1030" spans="1:11" ht="42" customHeight="1">
      <c r="A1030" s="4" t="s">
        <v>2843</v>
      </c>
      <c r="B1030" s="5" t="s">
        <v>2844</v>
      </c>
      <c r="C1030" s="5" t="s">
        <v>17</v>
      </c>
      <c r="D1030" s="5" t="s">
        <v>18</v>
      </c>
      <c r="E1030" s="5" t="s">
        <v>2849</v>
      </c>
      <c r="F1030" s="9" t="s">
        <v>2850</v>
      </c>
      <c r="G1030" s="9">
        <v>11</v>
      </c>
      <c r="H1030" s="5" t="s">
        <v>21</v>
      </c>
      <c r="I1030" s="5" t="s">
        <v>2851</v>
      </c>
      <c r="J1030" s="12" t="str">
        <f>HYPERLINK("https://www.boe.es/gazeta/dias/1808/06/04/pdfs/GMS-1808-2.pdf#page=3","Abrir facsímil")</f>
        <v>Abrir facsímil</v>
      </c>
      <c r="K1030" s="15" t="s">
        <v>23</v>
      </c>
    </row>
    <row r="1031" spans="1:11" ht="42" customHeight="1">
      <c r="A1031" s="4" t="s">
        <v>2843</v>
      </c>
      <c r="B1031" s="5" t="s">
        <v>2844</v>
      </c>
      <c r="C1031" s="5" t="s">
        <v>17</v>
      </c>
      <c r="D1031" s="5" t="s">
        <v>18</v>
      </c>
      <c r="E1031" s="5" t="s">
        <v>351</v>
      </c>
      <c r="F1031" s="9" t="s">
        <v>352</v>
      </c>
      <c r="G1031" s="9">
        <v>28</v>
      </c>
      <c r="H1031" s="5" t="s">
        <v>21</v>
      </c>
      <c r="I1031" s="5" t="s">
        <v>2852</v>
      </c>
      <c r="J1031" s="12" t="str">
        <f>HYPERLINK("https://www.boe.es/gazeta/dias/1808/06/11/pdfs/GMS-1808-4.pdf#page=4","Abrir facsímil")</f>
        <v>Abrir facsímil</v>
      </c>
      <c r="K1031" s="15" t="s">
        <v>23</v>
      </c>
    </row>
    <row r="1032" spans="1:11" ht="42" customHeight="1">
      <c r="A1032" s="4" t="s">
        <v>2843</v>
      </c>
      <c r="B1032" s="5" t="s">
        <v>2844</v>
      </c>
      <c r="C1032" s="5" t="s">
        <v>41</v>
      </c>
      <c r="D1032" s="5" t="s">
        <v>42</v>
      </c>
      <c r="E1032" s="5" t="s">
        <v>1345</v>
      </c>
      <c r="F1032" s="9" t="s">
        <v>1346</v>
      </c>
      <c r="G1032" s="9">
        <v>84</v>
      </c>
      <c r="H1032" s="5" t="s">
        <v>21</v>
      </c>
      <c r="I1032" s="5" t="s">
        <v>2853</v>
      </c>
      <c r="J1032" s="12" t="str">
        <f>HYPERLINK("https://www.boe.es/gazeta/dias/1808/07/06/pdfs/GMS-1808-11.pdf#page=4","Abrir facsímil")</f>
        <v>Abrir facsímil</v>
      </c>
      <c r="K1032" s="15" t="s">
        <v>23</v>
      </c>
    </row>
    <row r="1033" spans="1:11" ht="42" customHeight="1">
      <c r="A1033" s="4" t="s">
        <v>2843</v>
      </c>
      <c r="B1033" s="5" t="s">
        <v>2844</v>
      </c>
      <c r="C1033" s="5" t="s">
        <v>17</v>
      </c>
      <c r="D1033" s="5" t="s">
        <v>18</v>
      </c>
      <c r="E1033" s="5" t="s">
        <v>1345</v>
      </c>
      <c r="F1033" s="9" t="s">
        <v>1346</v>
      </c>
      <c r="G1033" s="9">
        <v>87</v>
      </c>
      <c r="H1033" s="5" t="s">
        <v>21</v>
      </c>
      <c r="I1033" s="5" t="s">
        <v>2854</v>
      </c>
      <c r="J1033" s="12" t="str">
        <f>HYPERLINK("https://www.boe.es/gazeta/dias/1808/07/06/pdfs/GMS-1808-11.pdf#page=7","Abrir facsímil")</f>
        <v>Abrir facsímil</v>
      </c>
      <c r="K1033" s="15" t="s">
        <v>23</v>
      </c>
    </row>
    <row r="1034" spans="1:11" ht="42" customHeight="1">
      <c r="A1034" s="4" t="s">
        <v>2843</v>
      </c>
      <c r="B1034" s="5" t="s">
        <v>2844</v>
      </c>
      <c r="C1034" s="5" t="s">
        <v>17</v>
      </c>
      <c r="D1034" s="5" t="s">
        <v>18</v>
      </c>
      <c r="E1034" s="5" t="s">
        <v>1791</v>
      </c>
      <c r="F1034" s="9" t="s">
        <v>1792</v>
      </c>
      <c r="G1034" s="9">
        <v>143</v>
      </c>
      <c r="H1034" s="5" t="s">
        <v>21</v>
      </c>
      <c r="I1034" s="5" t="s">
        <v>2855</v>
      </c>
      <c r="J1034" s="12" t="str">
        <f>HYPERLINK("https://www.boe.es/gazeta/dias/1808/07/30/pdfs/GMS-1808-18.pdf#page=7","Abrir facsímil")</f>
        <v>Abrir facsímil</v>
      </c>
      <c r="K1034" s="15" t="s">
        <v>23</v>
      </c>
    </row>
    <row r="1035" spans="1:11" ht="42" customHeight="1">
      <c r="A1035" s="4" t="s">
        <v>2843</v>
      </c>
      <c r="B1035" s="5" t="s">
        <v>2844</v>
      </c>
      <c r="C1035" s="5" t="s">
        <v>17</v>
      </c>
      <c r="D1035" s="5" t="s">
        <v>18</v>
      </c>
      <c r="E1035" s="5" t="s">
        <v>2856</v>
      </c>
      <c r="F1035" s="9" t="s">
        <v>2857</v>
      </c>
      <c r="G1035" s="9">
        <v>148</v>
      </c>
      <c r="H1035" s="5" t="s">
        <v>21</v>
      </c>
      <c r="I1035" s="5" t="s">
        <v>2858</v>
      </c>
      <c r="J1035" s="12" t="str">
        <f>HYPERLINK("https://www.boe.es/gazeta/dias/1808/08/03/pdfs/GMS-1808-19.pdf#page=4","Abrir facsímil")</f>
        <v>Abrir facsímil</v>
      </c>
      <c r="K1035" s="15" t="s">
        <v>23</v>
      </c>
    </row>
    <row r="1036" spans="1:11" ht="42" customHeight="1">
      <c r="A1036" s="4" t="s">
        <v>2843</v>
      </c>
      <c r="B1036" s="5" t="s">
        <v>2844</v>
      </c>
      <c r="C1036" s="5" t="s">
        <v>94</v>
      </c>
      <c r="D1036" s="5" t="s">
        <v>95</v>
      </c>
      <c r="E1036" s="5" t="s">
        <v>51</v>
      </c>
      <c r="F1036" s="9" t="s">
        <v>52</v>
      </c>
      <c r="G1036" s="9">
        <v>988</v>
      </c>
      <c r="H1036" s="5" t="s">
        <v>21</v>
      </c>
      <c r="I1036" s="5" t="s">
        <v>2859</v>
      </c>
      <c r="J1036" s="12" t="str">
        <f>HYPERLINK("https://www.boe.es/gazeta/dias/1808/08/09/pdfs/GMD-1808-111.pdf#page=4","Abrir facsímil")</f>
        <v>Abrir facsímil</v>
      </c>
      <c r="K1036" s="15" t="s">
        <v>23</v>
      </c>
    </row>
    <row r="1037" spans="1:11" ht="42" customHeight="1">
      <c r="A1037" s="4" t="s">
        <v>2843</v>
      </c>
      <c r="B1037" s="5" t="s">
        <v>2844</v>
      </c>
      <c r="C1037" s="5" t="s">
        <v>17</v>
      </c>
      <c r="D1037" s="5" t="s">
        <v>18</v>
      </c>
      <c r="E1037" s="5" t="s">
        <v>51</v>
      </c>
      <c r="F1037" s="9" t="s">
        <v>52</v>
      </c>
      <c r="G1037" s="9">
        <v>994</v>
      </c>
      <c r="H1037" s="5" t="s">
        <v>21</v>
      </c>
      <c r="I1037" s="5" t="s">
        <v>2860</v>
      </c>
      <c r="J1037" s="12" t="str">
        <f>HYPERLINK("https://www.boe.es/gazeta/dias/1808/08/09/pdfs/GMD-1808-111.pdf#page=10","Abrir facsímil")</f>
        <v>Abrir facsímil</v>
      </c>
      <c r="K1037" s="15" t="s">
        <v>23</v>
      </c>
    </row>
    <row r="1038" spans="1:11" ht="42" customHeight="1">
      <c r="A1038" s="4" t="s">
        <v>2843</v>
      </c>
      <c r="B1038" s="5" t="s">
        <v>2844</v>
      </c>
      <c r="C1038" s="5" t="s">
        <v>17</v>
      </c>
      <c r="D1038" s="5" t="s">
        <v>18</v>
      </c>
      <c r="E1038" s="5" t="s">
        <v>51</v>
      </c>
      <c r="F1038" s="9" t="s">
        <v>1366</v>
      </c>
      <c r="G1038" s="9">
        <v>165</v>
      </c>
      <c r="H1038" s="5" t="s">
        <v>21</v>
      </c>
      <c r="I1038" s="5" t="s">
        <v>2861</v>
      </c>
      <c r="J1038" s="12" t="str">
        <f>HYPERLINK("https://www.boe.es/gazeta/dias/1808/08/09/pdfs/GMS-1808-21.pdf#page=5","Abrir facsímil")</f>
        <v>Abrir facsímil</v>
      </c>
      <c r="K1038" s="15" t="s">
        <v>23</v>
      </c>
    </row>
    <row r="1039" spans="1:11" ht="42" customHeight="1">
      <c r="A1039" s="4" t="s">
        <v>2843</v>
      </c>
      <c r="B1039" s="5" t="s">
        <v>2844</v>
      </c>
      <c r="C1039" s="5" t="s">
        <v>17</v>
      </c>
      <c r="D1039" s="5" t="s">
        <v>18</v>
      </c>
      <c r="E1039" s="5" t="s">
        <v>51</v>
      </c>
      <c r="F1039" s="9" t="s">
        <v>1366</v>
      </c>
      <c r="G1039" s="9">
        <v>166</v>
      </c>
      <c r="H1039" s="5" t="s">
        <v>21</v>
      </c>
      <c r="I1039" s="5" t="s">
        <v>2862</v>
      </c>
      <c r="J1039" s="12" t="str">
        <f>HYPERLINK("https://www.boe.es/gazeta/dias/1808/08/09/pdfs/GMS-1808-21.pdf#page=6","Abrir facsímil")</f>
        <v>Abrir facsímil</v>
      </c>
      <c r="K1039" s="15" t="s">
        <v>23</v>
      </c>
    </row>
    <row r="1040" spans="1:11" ht="42" customHeight="1">
      <c r="A1040" s="4" t="s">
        <v>2843</v>
      </c>
      <c r="B1040" s="5" t="s">
        <v>2844</v>
      </c>
      <c r="C1040" s="5" t="s">
        <v>26</v>
      </c>
      <c r="D1040" s="5" t="s">
        <v>27</v>
      </c>
      <c r="E1040" s="5" t="s">
        <v>508</v>
      </c>
      <c r="F1040" s="9" t="s">
        <v>509</v>
      </c>
      <c r="G1040" s="9">
        <v>1015</v>
      </c>
      <c r="H1040" s="5" t="s">
        <v>21</v>
      </c>
      <c r="I1040" s="5" t="s">
        <v>2863</v>
      </c>
      <c r="J1040" s="12" t="str">
        <f>HYPERLINK("https://www.boe.es/gazeta/dias/1808/08/16/pdfs/GMD-1808-113.pdf#page=7","Abrir facsímil")</f>
        <v>Abrir facsímil</v>
      </c>
      <c r="K1040" s="15" t="s">
        <v>23</v>
      </c>
    </row>
    <row r="1041" spans="1:11" ht="42" customHeight="1">
      <c r="A1041" s="4" t="s">
        <v>2843</v>
      </c>
      <c r="B1041" s="5" t="s">
        <v>2844</v>
      </c>
      <c r="C1041" s="5" t="s">
        <v>17</v>
      </c>
      <c r="D1041" s="5" t="s">
        <v>18</v>
      </c>
      <c r="E1041" s="5" t="s">
        <v>616</v>
      </c>
      <c r="F1041" s="9" t="s">
        <v>617</v>
      </c>
      <c r="G1041" s="9">
        <v>1039</v>
      </c>
      <c r="H1041" s="5" t="s">
        <v>21</v>
      </c>
      <c r="I1041" s="5" t="s">
        <v>2864</v>
      </c>
      <c r="J1041" s="12" t="str">
        <f>HYPERLINK("https://www.boe.es/gazeta/dias/1808/08/19/pdfs/GMD-1808-115.pdf#page=5","Abrir facsímil")</f>
        <v>Abrir facsímil</v>
      </c>
      <c r="K1041" s="15" t="s">
        <v>23</v>
      </c>
    </row>
    <row r="1042" spans="1:11" ht="42" customHeight="1">
      <c r="A1042" s="4" t="s">
        <v>2843</v>
      </c>
      <c r="B1042" s="5" t="s">
        <v>2844</v>
      </c>
      <c r="C1042" s="5" t="s">
        <v>17</v>
      </c>
      <c r="D1042" s="5" t="s">
        <v>18</v>
      </c>
      <c r="E1042" s="5" t="s">
        <v>54</v>
      </c>
      <c r="F1042" s="9" t="s">
        <v>55</v>
      </c>
      <c r="G1042" s="9">
        <v>1079</v>
      </c>
      <c r="H1042" s="5" t="s">
        <v>21</v>
      </c>
      <c r="I1042" s="5" t="s">
        <v>2865</v>
      </c>
      <c r="J1042" s="12" t="str">
        <f>HYPERLINK("https://www.boe.es/gazeta/dias/1808/08/26/pdfs/GMD-1808-117.pdf#page=1","Abrir facsímil")</f>
        <v>Abrir facsímil</v>
      </c>
      <c r="K1042" s="15" t="s">
        <v>23</v>
      </c>
    </row>
    <row r="1043" spans="1:11" ht="42" customHeight="1">
      <c r="A1043" s="4" t="s">
        <v>2843</v>
      </c>
      <c r="B1043" s="5" t="s">
        <v>2844</v>
      </c>
      <c r="C1043" s="5" t="s">
        <v>41</v>
      </c>
      <c r="D1043" s="5" t="s">
        <v>42</v>
      </c>
      <c r="E1043" s="5" t="s">
        <v>539</v>
      </c>
      <c r="F1043" s="9" t="s">
        <v>908</v>
      </c>
      <c r="G1043" s="9">
        <v>222</v>
      </c>
      <c r="H1043" s="5" t="s">
        <v>21</v>
      </c>
      <c r="I1043" s="5" t="s">
        <v>2866</v>
      </c>
      <c r="J1043" s="12" t="str">
        <f>HYPERLINK("https://www.boe.es/gazeta/dias/1808/09/02/pdfs/GMS-1808-28.pdf#page=6","Abrir facsímil")</f>
        <v>Abrir facsímil</v>
      </c>
      <c r="K1043" s="15" t="s">
        <v>23</v>
      </c>
    </row>
    <row r="1044" spans="1:11" ht="42" customHeight="1">
      <c r="A1044" s="4" t="s">
        <v>2843</v>
      </c>
      <c r="B1044" s="5" t="s">
        <v>2844</v>
      </c>
      <c r="C1044" s="5" t="s">
        <v>642</v>
      </c>
      <c r="D1044" s="5" t="s">
        <v>643</v>
      </c>
      <c r="E1044" s="5" t="s">
        <v>2867</v>
      </c>
      <c r="F1044" s="9" t="s">
        <v>2868</v>
      </c>
      <c r="G1044" s="9">
        <v>1151</v>
      </c>
      <c r="H1044" s="5" t="s">
        <v>21</v>
      </c>
      <c r="I1044" s="5" t="s">
        <v>2869</v>
      </c>
      <c r="J1044" s="12" t="str">
        <f>HYPERLINK("https://www.boe.es/gazeta/dias/1808/09/10/pdfs/GMD-1808-122E.pdf#page=1","Abrir facsímil")</f>
        <v>Abrir facsímil</v>
      </c>
      <c r="K1044" s="15" t="s">
        <v>23</v>
      </c>
    </row>
    <row r="1045" spans="1:11" ht="42" customHeight="1">
      <c r="A1045" s="4" t="s">
        <v>2843</v>
      </c>
      <c r="B1045" s="5" t="s">
        <v>2844</v>
      </c>
      <c r="C1045" s="5" t="s">
        <v>41</v>
      </c>
      <c r="D1045" s="5" t="s">
        <v>42</v>
      </c>
      <c r="E1045" s="5" t="s">
        <v>293</v>
      </c>
      <c r="F1045" s="9" t="s">
        <v>294</v>
      </c>
      <c r="G1045" s="9">
        <v>1167</v>
      </c>
      <c r="H1045" s="5" t="s">
        <v>21</v>
      </c>
      <c r="I1045" s="5" t="s">
        <v>2870</v>
      </c>
      <c r="J1045" s="12" t="str">
        <f>HYPERLINK("https://www.boe.es/gazeta/dias/1808/09/14/pdfs/GMD-1808-124E.pdf#page=3","Abrir facsímil")</f>
        <v>Abrir facsímil</v>
      </c>
      <c r="K1045" s="15" t="s">
        <v>23</v>
      </c>
    </row>
    <row r="1046" spans="1:11" ht="42" customHeight="1">
      <c r="A1046" s="4" t="s">
        <v>2843</v>
      </c>
      <c r="B1046" s="5" t="s">
        <v>2844</v>
      </c>
      <c r="C1046" s="5" t="s">
        <v>642</v>
      </c>
      <c r="D1046" s="5" t="s">
        <v>643</v>
      </c>
      <c r="E1046" s="5" t="s">
        <v>293</v>
      </c>
      <c r="F1046" s="9" t="s">
        <v>294</v>
      </c>
      <c r="G1046" s="9">
        <v>1168</v>
      </c>
      <c r="H1046" s="5" t="s">
        <v>21</v>
      </c>
      <c r="I1046" s="5" t="s">
        <v>2871</v>
      </c>
      <c r="J1046" s="12" t="str">
        <f>HYPERLINK("https://www.boe.es/gazeta/dias/1808/09/14/pdfs/GMD-1808-124E.pdf#page=4","Abrir facsímil")</f>
        <v>Abrir facsímil</v>
      </c>
      <c r="K1046" s="15" t="s">
        <v>23</v>
      </c>
    </row>
    <row r="1047" spans="1:11" ht="42" customHeight="1">
      <c r="A1047" s="4" t="s">
        <v>2843</v>
      </c>
      <c r="B1047" s="5" t="s">
        <v>2844</v>
      </c>
      <c r="C1047" s="5" t="s">
        <v>389</v>
      </c>
      <c r="D1047" s="5" t="s">
        <v>390</v>
      </c>
      <c r="E1047" s="5" t="s">
        <v>115</v>
      </c>
      <c r="F1047" s="9" t="s">
        <v>1650</v>
      </c>
      <c r="G1047" s="9">
        <v>1180</v>
      </c>
      <c r="H1047" s="5" t="s">
        <v>21</v>
      </c>
      <c r="I1047" s="5" t="s">
        <v>2872</v>
      </c>
      <c r="J1047" s="12" t="str">
        <f>HYPERLINK("https://www.boe.es/gazeta/dias/1808/09/16/pdfs/GMD-1808-125.pdf#page=12","Abrir facsímil")</f>
        <v>Abrir facsímil</v>
      </c>
      <c r="K1047" s="15" t="s">
        <v>23</v>
      </c>
    </row>
    <row r="1048" spans="1:11" ht="42" customHeight="1">
      <c r="A1048" s="4" t="s">
        <v>2843</v>
      </c>
      <c r="B1048" s="5" t="s">
        <v>2844</v>
      </c>
      <c r="C1048" s="5" t="s">
        <v>41</v>
      </c>
      <c r="D1048" s="5" t="s">
        <v>42</v>
      </c>
      <c r="E1048" s="5" t="s">
        <v>363</v>
      </c>
      <c r="F1048" s="9" t="s">
        <v>1224</v>
      </c>
      <c r="G1048" s="9">
        <v>1190</v>
      </c>
      <c r="H1048" s="5" t="s">
        <v>21</v>
      </c>
      <c r="I1048" s="5" t="s">
        <v>2873</v>
      </c>
      <c r="J1048" s="12" t="str">
        <f>HYPERLINK("https://www.boe.es/gazeta/dias/1808/09/20/pdfs/GMD-1808-126.pdf#page=10","Abrir facsímil")</f>
        <v>Abrir facsímil</v>
      </c>
      <c r="K1048" s="15" t="s">
        <v>23</v>
      </c>
    </row>
    <row r="1049" spans="1:11" ht="42" customHeight="1">
      <c r="A1049" s="4" t="s">
        <v>2843</v>
      </c>
      <c r="B1049" s="5" t="s">
        <v>2844</v>
      </c>
      <c r="C1049" s="5" t="s">
        <v>17</v>
      </c>
      <c r="D1049" s="5" t="s">
        <v>18</v>
      </c>
      <c r="E1049" s="5" t="s">
        <v>363</v>
      </c>
      <c r="F1049" s="9" t="s">
        <v>1224</v>
      </c>
      <c r="G1049" s="9">
        <v>1191</v>
      </c>
      <c r="H1049" s="5" t="s">
        <v>21</v>
      </c>
      <c r="I1049" s="5" t="s">
        <v>2874</v>
      </c>
      <c r="J1049" s="12" t="str">
        <f>HYPERLINK("https://www.boe.es/gazeta/dias/1808/09/20/pdfs/GMD-1808-126.pdf#page=11","Abrir facsímil")</f>
        <v>Abrir facsímil</v>
      </c>
      <c r="K1049" s="15" t="s">
        <v>23</v>
      </c>
    </row>
    <row r="1050" spans="1:11" ht="42" customHeight="1">
      <c r="A1050" s="4" t="s">
        <v>2843</v>
      </c>
      <c r="B1050" s="5" t="s">
        <v>2844</v>
      </c>
      <c r="C1050" s="5" t="s">
        <v>389</v>
      </c>
      <c r="D1050" s="5" t="s">
        <v>390</v>
      </c>
      <c r="E1050" s="5" t="s">
        <v>125</v>
      </c>
      <c r="F1050" s="9" t="s">
        <v>397</v>
      </c>
      <c r="G1050" s="9">
        <v>1272</v>
      </c>
      <c r="H1050" s="5" t="s">
        <v>21</v>
      </c>
      <c r="I1050" s="5" t="s">
        <v>2875</v>
      </c>
      <c r="J1050" s="12" t="str">
        <f>HYPERLINK("https://www.boe.es/gazeta/dias/1808/10/07/pdfs/GMD-1808-132.pdf#page=12","Abrir facsímil")</f>
        <v>Abrir facsímil</v>
      </c>
      <c r="K1050" s="15" t="s">
        <v>23</v>
      </c>
    </row>
    <row r="1051" spans="1:11" ht="42" customHeight="1">
      <c r="A1051" s="4" t="s">
        <v>2843</v>
      </c>
      <c r="B1051" s="5" t="s">
        <v>2844</v>
      </c>
      <c r="C1051" s="5" t="s">
        <v>17</v>
      </c>
      <c r="D1051" s="5" t="s">
        <v>18</v>
      </c>
      <c r="E1051" s="5" t="s">
        <v>61</v>
      </c>
      <c r="F1051" s="9" t="s">
        <v>2876</v>
      </c>
      <c r="G1051" s="9">
        <v>312</v>
      </c>
      <c r="H1051" s="5" t="s">
        <v>21</v>
      </c>
      <c r="I1051" s="5" t="s">
        <v>2877</v>
      </c>
      <c r="J1051" s="12" t="str">
        <f>HYPERLINK("https://www.boe.es/gazeta/dias/1808/10/11/pdfs/GMS-1808-39.pdf#page=8","Abrir facsímil")</f>
        <v>Abrir facsímil</v>
      </c>
      <c r="K1051" s="15" t="s">
        <v>23</v>
      </c>
    </row>
    <row r="1052" spans="1:11" ht="42" customHeight="1">
      <c r="A1052" s="4" t="s">
        <v>2843</v>
      </c>
      <c r="B1052" s="5" t="s">
        <v>2844</v>
      </c>
      <c r="C1052" s="5" t="s">
        <v>94</v>
      </c>
      <c r="D1052" s="5" t="s">
        <v>95</v>
      </c>
      <c r="E1052" s="5" t="s">
        <v>456</v>
      </c>
      <c r="F1052" s="9" t="s">
        <v>457</v>
      </c>
      <c r="G1052" s="9">
        <v>1299</v>
      </c>
      <c r="H1052" s="5" t="s">
        <v>21</v>
      </c>
      <c r="I1052" s="5" t="s">
        <v>2878</v>
      </c>
      <c r="J1052" s="12" t="str">
        <f>HYPERLINK("https://www.boe.es/gazeta/dias/1808/10/14/pdfs/GMD-1808-134.pdf#page=11","Abrir facsímil")</f>
        <v>Abrir facsímil</v>
      </c>
      <c r="K1052" s="15" t="s">
        <v>23</v>
      </c>
    </row>
    <row r="1053" spans="1:11" ht="42" customHeight="1">
      <c r="A1053" s="4" t="s">
        <v>2843</v>
      </c>
      <c r="B1053" s="5" t="s">
        <v>2844</v>
      </c>
      <c r="C1053" s="5" t="s">
        <v>17</v>
      </c>
      <c r="D1053" s="5" t="s">
        <v>18</v>
      </c>
      <c r="E1053" s="5" t="s">
        <v>456</v>
      </c>
      <c r="F1053" s="9" t="s">
        <v>2825</v>
      </c>
      <c r="G1053" s="9">
        <v>318</v>
      </c>
      <c r="H1053" s="5" t="s">
        <v>21</v>
      </c>
      <c r="I1053" s="5" t="s">
        <v>2879</v>
      </c>
      <c r="J1053" s="12" t="str">
        <f>HYPERLINK("https://www.boe.es/gazeta/dias/1808/10/14/pdfs/GMS-1808-40.pdf#page=6","Abrir facsímil")</f>
        <v>Abrir facsímil</v>
      </c>
      <c r="K1053" s="15" t="s">
        <v>23</v>
      </c>
    </row>
    <row r="1054" spans="1:11" ht="42" customHeight="1">
      <c r="A1054" s="4" t="s">
        <v>2843</v>
      </c>
      <c r="B1054" s="5" t="s">
        <v>2844</v>
      </c>
      <c r="C1054" s="5" t="s">
        <v>33</v>
      </c>
      <c r="D1054" s="5" t="s">
        <v>34</v>
      </c>
      <c r="E1054" s="5" t="s">
        <v>68</v>
      </c>
      <c r="F1054" s="9" t="s">
        <v>849</v>
      </c>
      <c r="G1054" s="9">
        <v>1343</v>
      </c>
      <c r="H1054" s="5" t="s">
        <v>21</v>
      </c>
      <c r="I1054" s="5" t="s">
        <v>2880</v>
      </c>
      <c r="J1054" s="12" t="str">
        <f>HYPERLINK("https://www.boe.es/gazeta/dias/1808/10/21/pdfs/GMD-C-1808-136.pdf#page=3","Abrir facsímil")</f>
        <v>Abrir facsímil</v>
      </c>
      <c r="K1054" s="15" t="s">
        <v>23</v>
      </c>
    </row>
    <row r="1055" spans="1:11" ht="42" customHeight="1">
      <c r="A1055" s="4" t="s">
        <v>2843</v>
      </c>
      <c r="B1055" s="5" t="s">
        <v>2844</v>
      </c>
      <c r="C1055" s="5" t="s">
        <v>17</v>
      </c>
      <c r="D1055" s="5" t="s">
        <v>18</v>
      </c>
      <c r="E1055" s="5" t="s">
        <v>89</v>
      </c>
      <c r="F1055" s="9" t="s">
        <v>90</v>
      </c>
      <c r="G1055" s="9">
        <v>1358</v>
      </c>
      <c r="H1055" s="5" t="s">
        <v>21</v>
      </c>
      <c r="I1055" s="5" t="s">
        <v>2881</v>
      </c>
      <c r="J1055" s="12" t="str">
        <f>HYPERLINK("https://www.boe.es/gazeta/dias/1808/10/25/pdfs/GMD-1808-137.pdf#page=6","Abrir facsímil")</f>
        <v>Abrir facsímil</v>
      </c>
      <c r="K1055" s="15" t="s">
        <v>23</v>
      </c>
    </row>
    <row r="1056" spans="1:11" ht="42" customHeight="1">
      <c r="A1056" s="4" t="s">
        <v>2843</v>
      </c>
      <c r="B1056" s="5" t="s">
        <v>2844</v>
      </c>
      <c r="C1056" s="5" t="s">
        <v>33</v>
      </c>
      <c r="D1056" s="5" t="s">
        <v>34</v>
      </c>
      <c r="E1056" s="5" t="s">
        <v>73</v>
      </c>
      <c r="F1056" s="9" t="s">
        <v>1570</v>
      </c>
      <c r="G1056" s="9">
        <v>1482</v>
      </c>
      <c r="H1056" s="5" t="s">
        <v>21</v>
      </c>
      <c r="I1056" s="5" t="s">
        <v>2882</v>
      </c>
      <c r="J1056" s="12" t="str">
        <f>HYPERLINK("https://www.boe.es/gazeta/dias/1808/11/11/pdfs/GMD-C-1808-143.pdf#page=12","Abrir facsímil")</f>
        <v>Abrir facsímil</v>
      </c>
      <c r="K1056" s="15" t="s">
        <v>23</v>
      </c>
    </row>
    <row r="1057" spans="1:11" ht="42" customHeight="1">
      <c r="A1057" s="4" t="s">
        <v>2843</v>
      </c>
      <c r="B1057" s="5" t="s">
        <v>2844</v>
      </c>
      <c r="C1057" s="5" t="s">
        <v>17</v>
      </c>
      <c r="D1057" s="5" t="s">
        <v>18</v>
      </c>
      <c r="E1057" s="5" t="s">
        <v>73</v>
      </c>
      <c r="F1057" s="9" t="s">
        <v>2883</v>
      </c>
      <c r="G1057" s="9">
        <v>381</v>
      </c>
      <c r="H1057" s="5" t="s">
        <v>21</v>
      </c>
      <c r="I1057" s="5" t="s">
        <v>2884</v>
      </c>
      <c r="J1057" s="12" t="str">
        <f>HYPERLINK("https://www.boe.es/gazeta/dias/1808/11/11/pdfs/GMS-1808-48.pdf#page=5","Abrir facsímil")</f>
        <v>Abrir facsímil</v>
      </c>
      <c r="K1057" s="15" t="s">
        <v>23</v>
      </c>
    </row>
    <row r="1058" spans="1:11" ht="42" customHeight="1">
      <c r="A1058" s="4" t="s">
        <v>2885</v>
      </c>
      <c r="B1058" s="5" t="s">
        <v>2886</v>
      </c>
      <c r="C1058" s="5" t="s">
        <v>642</v>
      </c>
      <c r="D1058" s="5" t="s">
        <v>643</v>
      </c>
      <c r="E1058" s="5" t="s">
        <v>2887</v>
      </c>
      <c r="F1058" s="9" t="s">
        <v>2888</v>
      </c>
      <c r="G1058" s="9">
        <v>1570</v>
      </c>
      <c r="H1058" s="5" t="s">
        <v>21</v>
      </c>
      <c r="I1058" s="5" t="s">
        <v>2889</v>
      </c>
      <c r="J1058" s="12" t="str">
        <f>HYPERLINK("https://www.boe.es/gazeta/dias/1808/12/11/pdfs/GMD-1808-151E.pdf#page=6","Abrir facsímil")</f>
        <v>Abrir facsímil</v>
      </c>
      <c r="K1058" s="15" t="s">
        <v>23</v>
      </c>
    </row>
    <row r="1059" spans="1:11" ht="42" customHeight="1">
      <c r="A1059" s="4" t="s">
        <v>2885</v>
      </c>
      <c r="B1059" s="5" t="s">
        <v>2886</v>
      </c>
      <c r="C1059" s="5" t="s">
        <v>41</v>
      </c>
      <c r="D1059" s="5" t="s">
        <v>42</v>
      </c>
      <c r="E1059" s="5" t="s">
        <v>2887</v>
      </c>
      <c r="F1059" s="9" t="s">
        <v>2888</v>
      </c>
      <c r="G1059" s="9">
        <v>1571</v>
      </c>
      <c r="H1059" s="5" t="s">
        <v>21</v>
      </c>
      <c r="I1059" s="5" t="s">
        <v>2890</v>
      </c>
      <c r="J1059" s="12" t="str">
        <f>HYPERLINK("https://www.boe.es/gazeta/dias/1808/12/11/pdfs/GMD-1808-151E.pdf#page=7","Abrir facsímil")</f>
        <v>Abrir facsímil</v>
      </c>
      <c r="K1059" s="15" t="s">
        <v>23</v>
      </c>
    </row>
    <row r="1060" spans="1:11" ht="42" customHeight="1">
      <c r="A1060" s="4" t="s">
        <v>2891</v>
      </c>
      <c r="B1060" s="5" t="s">
        <v>2892</v>
      </c>
      <c r="C1060" s="5" t="s">
        <v>94</v>
      </c>
      <c r="D1060" s="5" t="s">
        <v>95</v>
      </c>
      <c r="E1060" s="5" t="s">
        <v>469</v>
      </c>
      <c r="F1060" s="9" t="s">
        <v>470</v>
      </c>
      <c r="G1060" s="9">
        <v>152</v>
      </c>
      <c r="H1060" s="5" t="s">
        <v>21</v>
      </c>
      <c r="I1060" s="5" t="s">
        <v>2893</v>
      </c>
      <c r="J1060" s="12" t="str">
        <f>HYPERLINK("https://www.boe.es/gazeta/dias/1808/02/12/pdfs/GMD-1808-13.pdf#page=8","Abrir facsímil")</f>
        <v>Abrir facsímil</v>
      </c>
      <c r="K1060" s="15" t="s">
        <v>23</v>
      </c>
    </row>
    <row r="1061" spans="1:11" ht="42" customHeight="1">
      <c r="A1061" s="4" t="s">
        <v>2894</v>
      </c>
      <c r="B1061" s="5" t="s">
        <v>2895</v>
      </c>
      <c r="C1061" s="5" t="s">
        <v>101</v>
      </c>
      <c r="D1061" s="5" t="s">
        <v>102</v>
      </c>
      <c r="E1061" s="5" t="s">
        <v>157</v>
      </c>
      <c r="F1061" s="9" t="s">
        <v>2896</v>
      </c>
      <c r="G1061" s="9">
        <v>589</v>
      </c>
      <c r="H1061" s="5" t="s">
        <v>21</v>
      </c>
      <c r="I1061" s="5" t="s">
        <v>2897</v>
      </c>
      <c r="J1061" s="12" t="str">
        <f>HYPERLINK("https://www.boe.es/gazeta/dias/1808/06/18/pdfs/GMD-1808-60.pdf#page=3","Abrir facsímil")</f>
        <v>Abrir facsímil</v>
      </c>
      <c r="K1061" s="15" t="s">
        <v>23</v>
      </c>
    </row>
    <row r="1062" spans="1:11" ht="42" customHeight="1">
      <c r="A1062" s="4" t="s">
        <v>2898</v>
      </c>
      <c r="B1062" s="5" t="s">
        <v>2899</v>
      </c>
      <c r="C1062" s="5" t="s">
        <v>33</v>
      </c>
      <c r="D1062" s="5" t="s">
        <v>34</v>
      </c>
      <c r="E1062" s="5" t="s">
        <v>153</v>
      </c>
      <c r="F1062" s="9" t="s">
        <v>154</v>
      </c>
      <c r="G1062" s="9" t="s">
        <v>199</v>
      </c>
      <c r="H1062" s="5" t="s">
        <v>21</v>
      </c>
      <c r="I1062" s="5" t="s">
        <v>2900</v>
      </c>
      <c r="J1062" s="12" t="str">
        <f>HYPERLINK("https://www.boe.es/gazeta/dias/1808/09/09/pdfs/GMD-C-1808-121.pdf#page=2","Abrir facsímil")</f>
        <v>Abrir facsímil</v>
      </c>
      <c r="K1062" s="15" t="s">
        <v>23</v>
      </c>
    </row>
    <row r="1063" spans="1:11" ht="42" customHeight="1">
      <c r="A1063" s="4" t="s">
        <v>2901</v>
      </c>
      <c r="B1063" s="5" t="s">
        <v>2902</v>
      </c>
      <c r="C1063" s="5" t="s">
        <v>94</v>
      </c>
      <c r="D1063" s="5" t="s">
        <v>95</v>
      </c>
      <c r="E1063" s="5" t="s">
        <v>1676</v>
      </c>
      <c r="F1063" s="9" t="s">
        <v>1677</v>
      </c>
      <c r="G1063" s="9">
        <v>553</v>
      </c>
      <c r="H1063" s="5" t="s">
        <v>21</v>
      </c>
      <c r="I1063" s="5" t="s">
        <v>2903</v>
      </c>
      <c r="J1063" s="12" t="str">
        <f>HYPERLINK("https://www.boe.es/gazeta/dias/1808/06/10/pdfs/GMD-1808-55.pdf#page=7","Abrir facsímil")</f>
        <v>Abrir facsímil</v>
      </c>
      <c r="K1063" s="15" t="s">
        <v>23</v>
      </c>
    </row>
    <row r="1064" spans="1:11" ht="42" customHeight="1">
      <c r="A1064" s="4" t="s">
        <v>2904</v>
      </c>
      <c r="B1064" s="5" t="s">
        <v>2905</v>
      </c>
      <c r="C1064" s="5" t="s">
        <v>17</v>
      </c>
      <c r="D1064" s="5" t="s">
        <v>18</v>
      </c>
      <c r="E1064" s="5" t="s">
        <v>1472</v>
      </c>
      <c r="F1064" s="9" t="s">
        <v>1473</v>
      </c>
      <c r="G1064" s="9">
        <v>95</v>
      </c>
      <c r="H1064" s="5" t="s">
        <v>21</v>
      </c>
      <c r="I1064" s="5" t="s">
        <v>2906</v>
      </c>
      <c r="J1064" s="12" t="str">
        <f>HYPERLINK("https://www.boe.es/gazeta/dias/1808/01/26/pdfs/GMD-1808-8.pdf#page=11","Abrir facsímil")</f>
        <v>Abrir facsímil</v>
      </c>
      <c r="K1064" s="15" t="s">
        <v>23</v>
      </c>
    </row>
    <row r="1065" spans="1:11" ht="42" customHeight="1">
      <c r="A1065" s="4" t="s">
        <v>2907</v>
      </c>
      <c r="B1065" s="5" t="s">
        <v>2908</v>
      </c>
      <c r="C1065" s="5" t="s">
        <v>33</v>
      </c>
      <c r="D1065" s="5" t="s">
        <v>34</v>
      </c>
      <c r="E1065" s="5" t="s">
        <v>35</v>
      </c>
      <c r="F1065" s="9" t="s">
        <v>36</v>
      </c>
      <c r="G1065" s="9" t="s">
        <v>814</v>
      </c>
      <c r="H1065" s="5" t="s">
        <v>21</v>
      </c>
      <c r="I1065" s="5" t="s">
        <v>2909</v>
      </c>
      <c r="J1065" s="12" t="str">
        <f>HYPERLINK("https://www.boe.es/gazeta/dias/1808/04/22/pdfs/GMD-C-1808-38.pdf#page=25","Abrir facsímil")</f>
        <v>Abrir facsímil</v>
      </c>
      <c r="K1065" s="15" t="s">
        <v>23</v>
      </c>
    </row>
    <row r="1066" spans="1:11" ht="42" customHeight="1">
      <c r="A1066" s="4" t="s">
        <v>2910</v>
      </c>
      <c r="B1066" s="5" t="s">
        <v>2911</v>
      </c>
      <c r="C1066" s="5" t="s">
        <v>33</v>
      </c>
      <c r="D1066" s="5" t="s">
        <v>34</v>
      </c>
      <c r="E1066" s="5" t="s">
        <v>35</v>
      </c>
      <c r="F1066" s="9" t="s">
        <v>36</v>
      </c>
      <c r="G1066" s="9" t="s">
        <v>162</v>
      </c>
      <c r="H1066" s="5" t="s">
        <v>21</v>
      </c>
      <c r="I1066" s="5" t="s">
        <v>2912</v>
      </c>
      <c r="J1066" s="12" t="str">
        <f>HYPERLINK("https://www.boe.es/gazeta/dias/1808/04/22/pdfs/GMD-C-1808-38.pdf#page=31","Abrir facsímil")</f>
        <v>Abrir facsímil</v>
      </c>
      <c r="K1066" s="15" t="s">
        <v>23</v>
      </c>
    </row>
    <row r="1067" spans="1:11" ht="42" customHeight="1">
      <c r="A1067" s="4" t="s">
        <v>2913</v>
      </c>
      <c r="B1067" s="5" t="s">
        <v>2914</v>
      </c>
      <c r="C1067" s="5" t="s">
        <v>33</v>
      </c>
      <c r="D1067" s="5" t="s">
        <v>34</v>
      </c>
      <c r="E1067" s="5" t="s">
        <v>35</v>
      </c>
      <c r="F1067" s="9" t="s">
        <v>36</v>
      </c>
      <c r="G1067" s="9" t="s">
        <v>867</v>
      </c>
      <c r="H1067" s="5" t="s">
        <v>21</v>
      </c>
      <c r="I1067" s="5" t="s">
        <v>2915</v>
      </c>
      <c r="J1067" s="12" t="str">
        <f>HYPERLINK("https://www.boe.es/gazeta/dias/1808/04/22/pdfs/GMD-C-1808-38.pdf#page=19","Abrir facsímil")</f>
        <v>Abrir facsímil</v>
      </c>
      <c r="K1067" s="15" t="s">
        <v>23</v>
      </c>
    </row>
    <row r="1068" spans="1:11" ht="42" customHeight="1">
      <c r="A1068" s="4" t="s">
        <v>2916</v>
      </c>
      <c r="B1068" s="5" t="s">
        <v>2916</v>
      </c>
      <c r="C1068" s="5" t="s">
        <v>41</v>
      </c>
      <c r="D1068" s="5" t="s">
        <v>42</v>
      </c>
      <c r="E1068" s="5" t="s">
        <v>35</v>
      </c>
      <c r="F1068" s="9" t="s">
        <v>36</v>
      </c>
      <c r="G1068" s="9" t="s">
        <v>837</v>
      </c>
      <c r="H1068" s="5" t="s">
        <v>21</v>
      </c>
      <c r="I1068" s="5" t="s">
        <v>2917</v>
      </c>
      <c r="J1068" s="12" t="str">
        <f>HYPERLINK("https://www.boe.es/gazeta/dias/1808/04/22/pdfs/GMD-C-1808-38.pdf#page=10","Abrir facsímil")</f>
        <v>Abrir facsímil</v>
      </c>
      <c r="K1068" s="15" t="s">
        <v>23</v>
      </c>
    </row>
    <row r="1069" spans="1:11" ht="42" customHeight="1">
      <c r="A1069" s="4" t="s">
        <v>2916</v>
      </c>
      <c r="B1069" s="5" t="s">
        <v>2916</v>
      </c>
      <c r="C1069" s="5" t="s">
        <v>94</v>
      </c>
      <c r="D1069" s="5" t="s">
        <v>95</v>
      </c>
      <c r="E1069" s="5" t="s">
        <v>35</v>
      </c>
      <c r="F1069" s="9" t="s">
        <v>36</v>
      </c>
      <c r="G1069" s="9" t="s">
        <v>43</v>
      </c>
      <c r="H1069" s="5" t="s">
        <v>21</v>
      </c>
      <c r="I1069" s="5" t="s">
        <v>2918</v>
      </c>
      <c r="J1069" s="12" t="str">
        <f>HYPERLINK("https://www.boe.es/gazeta/dias/1808/04/22/pdfs/GMD-C-1808-38.pdf#page=30","Abrir facsímil")</f>
        <v>Abrir facsímil</v>
      </c>
      <c r="K1069" s="15" t="s">
        <v>23</v>
      </c>
    </row>
    <row r="1070" spans="1:11" ht="42" customHeight="1">
      <c r="A1070" s="4" t="s">
        <v>2919</v>
      </c>
      <c r="B1070" s="5" t="s">
        <v>2919</v>
      </c>
      <c r="C1070" s="5" t="s">
        <v>17</v>
      </c>
      <c r="D1070" s="5" t="s">
        <v>18</v>
      </c>
      <c r="E1070" s="5" t="s">
        <v>218</v>
      </c>
      <c r="F1070" s="9" t="s">
        <v>219</v>
      </c>
      <c r="G1070" s="9">
        <v>331</v>
      </c>
      <c r="H1070" s="5" t="s">
        <v>21</v>
      </c>
      <c r="I1070" s="5" t="s">
        <v>2920</v>
      </c>
      <c r="J1070" s="12" t="str">
        <f>HYPERLINK("https://www.boe.es/gazeta/dias/1808/04/01/pdfs/GMD-1808-29.pdf#page=7","Abrir facsímil")</f>
        <v>Abrir facsímil</v>
      </c>
      <c r="K1070" s="15" t="s">
        <v>23</v>
      </c>
    </row>
    <row r="1071" spans="1:11" ht="42" customHeight="1">
      <c r="A1071" s="4" t="s">
        <v>2919</v>
      </c>
      <c r="B1071" s="5" t="s">
        <v>2919</v>
      </c>
      <c r="C1071" s="5" t="s">
        <v>17</v>
      </c>
      <c r="D1071" s="5" t="s">
        <v>18</v>
      </c>
      <c r="E1071" s="5" t="s">
        <v>1791</v>
      </c>
      <c r="F1071" s="9" t="s">
        <v>2814</v>
      </c>
      <c r="G1071" s="9">
        <v>930</v>
      </c>
      <c r="H1071" s="5" t="s">
        <v>21</v>
      </c>
      <c r="I1071" s="5" t="s">
        <v>2921</v>
      </c>
      <c r="J1071" s="12" t="str">
        <f>HYPERLINK("https://www.boe.es/gazeta/dias/1808/07/30/pdfs/GMD-1808-102.pdf#page=4","Abrir facsímil")</f>
        <v>Abrir facsímil</v>
      </c>
      <c r="K1071" s="15" t="s">
        <v>23</v>
      </c>
    </row>
    <row r="1072" spans="1:11" ht="42" customHeight="1">
      <c r="A1072" s="4" t="s">
        <v>2919</v>
      </c>
      <c r="B1072" s="5" t="s">
        <v>2919</v>
      </c>
      <c r="C1072" s="5" t="s">
        <v>17</v>
      </c>
      <c r="D1072" s="5" t="s">
        <v>18</v>
      </c>
      <c r="E1072" s="5" t="s">
        <v>427</v>
      </c>
      <c r="F1072" s="9" t="s">
        <v>1802</v>
      </c>
      <c r="G1072" s="9">
        <v>1526</v>
      </c>
      <c r="H1072" s="5" t="s">
        <v>21</v>
      </c>
      <c r="I1072" s="5" t="s">
        <v>2922</v>
      </c>
      <c r="J1072" s="12" t="str">
        <f>HYPERLINK("https://www.boe.es/gazeta/dias/1808/11/22/pdfs/GMD-1808-146.pdf#page=12","Abrir facsímil")</f>
        <v>Abrir facsímil</v>
      </c>
      <c r="K1072" s="15" t="s">
        <v>23</v>
      </c>
    </row>
    <row r="1073" spans="1:11" ht="42" customHeight="1">
      <c r="A1073" s="4" t="s">
        <v>2923</v>
      </c>
      <c r="B1073" s="5" t="s">
        <v>2924</v>
      </c>
      <c r="C1073" s="5" t="s">
        <v>33</v>
      </c>
      <c r="D1073" s="5" t="s">
        <v>34</v>
      </c>
      <c r="E1073" s="5" t="s">
        <v>35</v>
      </c>
      <c r="F1073" s="9" t="s">
        <v>36</v>
      </c>
      <c r="G1073" s="9" t="s">
        <v>1860</v>
      </c>
      <c r="H1073" s="5" t="s">
        <v>21</v>
      </c>
      <c r="I1073" s="5" t="s">
        <v>2925</v>
      </c>
      <c r="J1073" s="12" t="str">
        <f>HYPERLINK("https://www.boe.es/gazeta/dias/1808/04/22/pdfs/GMD-C-1808-38.pdf#page=37","Abrir facsímil")</f>
        <v>Abrir facsímil</v>
      </c>
      <c r="K1073" s="15" t="s">
        <v>23</v>
      </c>
    </row>
    <row r="1074" spans="1:11" ht="42" customHeight="1">
      <c r="A1074" s="4" t="s">
        <v>2926</v>
      </c>
      <c r="B1074" s="5" t="s">
        <v>2926</v>
      </c>
      <c r="C1074" s="5" t="s">
        <v>94</v>
      </c>
      <c r="D1074" s="5" t="s">
        <v>95</v>
      </c>
      <c r="E1074" s="5" t="s">
        <v>110</v>
      </c>
      <c r="F1074" s="9" t="s">
        <v>111</v>
      </c>
      <c r="G1074" s="9">
        <v>1383</v>
      </c>
      <c r="H1074" s="5" t="s">
        <v>21</v>
      </c>
      <c r="I1074" s="5" t="s">
        <v>2927</v>
      </c>
      <c r="J1074" s="12" t="str">
        <f>HYPERLINK("https://www.boe.es/gazeta/dias/1808/10/28/pdfs/GMD-1808-138.pdf#page=9","Abrir facsímil")</f>
        <v>Abrir facsímil</v>
      </c>
      <c r="K1074" s="15" t="s">
        <v>23</v>
      </c>
    </row>
    <row r="1075" spans="1:11" ht="42" customHeight="1">
      <c r="A1075" s="4" t="s">
        <v>2928</v>
      </c>
      <c r="B1075" s="5" t="s">
        <v>2928</v>
      </c>
      <c r="C1075" s="5" t="s">
        <v>17</v>
      </c>
      <c r="D1075" s="5" t="s">
        <v>18</v>
      </c>
      <c r="E1075" s="5" t="s">
        <v>139</v>
      </c>
      <c r="F1075" s="9" t="s">
        <v>140</v>
      </c>
      <c r="G1075" s="9">
        <v>1203</v>
      </c>
      <c r="H1075" s="5" t="s">
        <v>21</v>
      </c>
      <c r="I1075" s="5" t="s">
        <v>2929</v>
      </c>
      <c r="J1075" s="12" t="str">
        <f>HYPERLINK("https://www.boe.es/gazeta/dias/1808/09/23/pdfs/GMD-1808-127.pdf#page=11","Abrir facsímil")</f>
        <v>Abrir facsímil</v>
      </c>
      <c r="K1075" s="15" t="s">
        <v>23</v>
      </c>
    </row>
    <row r="1076" spans="1:11" ht="42" customHeight="1">
      <c r="A1076" s="4" t="s">
        <v>2930</v>
      </c>
      <c r="B1076" s="5" t="s">
        <v>2930</v>
      </c>
      <c r="C1076" s="5" t="s">
        <v>94</v>
      </c>
      <c r="D1076" s="5" t="s">
        <v>95</v>
      </c>
      <c r="E1076" s="5" t="s">
        <v>391</v>
      </c>
      <c r="F1076" s="9" t="s">
        <v>392</v>
      </c>
      <c r="G1076" s="9">
        <v>1211</v>
      </c>
      <c r="H1076" s="5" t="s">
        <v>21</v>
      </c>
      <c r="I1076" s="5" t="s">
        <v>2931</v>
      </c>
      <c r="J1076" s="12" t="str">
        <f>HYPERLINK("https://www.boe.es/gazeta/dias/1808/09/27/pdfs/GMD-1808-128.pdf#page=7","Abrir facsímil")</f>
        <v>Abrir facsímil</v>
      </c>
      <c r="K1076" s="15" t="s">
        <v>23</v>
      </c>
    </row>
    <row r="1077" spans="1:11" ht="42" customHeight="1">
      <c r="A1077" s="4" t="s">
        <v>2932</v>
      </c>
      <c r="B1077" s="5" t="s">
        <v>2932</v>
      </c>
      <c r="C1077" s="5" t="s">
        <v>101</v>
      </c>
      <c r="D1077" s="5" t="s">
        <v>102</v>
      </c>
      <c r="E1077" s="5" t="s">
        <v>1385</v>
      </c>
      <c r="F1077" s="9" t="s">
        <v>1386</v>
      </c>
      <c r="G1077" s="9">
        <v>224</v>
      </c>
      <c r="H1077" s="5" t="s">
        <v>21</v>
      </c>
      <c r="I1077" s="5" t="s">
        <v>2933</v>
      </c>
      <c r="J1077" s="12" t="str">
        <f>HYPERLINK("https://www.boe.es/gazeta/dias/1808/03/04/pdfs/GMD-1808-19.pdf#page=2","Abrir facsímil")</f>
        <v>Abrir facsímil</v>
      </c>
      <c r="K1077" s="15" t="s">
        <v>23</v>
      </c>
    </row>
    <row r="1078" spans="1:11" ht="42" customHeight="1">
      <c r="A1078" s="4" t="s">
        <v>2934</v>
      </c>
      <c r="B1078" s="5" t="s">
        <v>2934</v>
      </c>
      <c r="C1078" s="5" t="s">
        <v>17</v>
      </c>
      <c r="D1078" s="5" t="s">
        <v>18</v>
      </c>
      <c r="E1078" s="5" t="s">
        <v>2935</v>
      </c>
      <c r="F1078" s="9" t="s">
        <v>2936</v>
      </c>
      <c r="G1078" s="9">
        <v>425</v>
      </c>
      <c r="H1078" s="5" t="s">
        <v>21</v>
      </c>
      <c r="I1078" s="5" t="s">
        <v>2937</v>
      </c>
      <c r="J1078" s="12" t="str">
        <f>HYPERLINK("https://www.boe.es/gazeta/dias/1808/12/02/pdfs/GMS-1808-54.pdf#page=1","Abrir facsímil")</f>
        <v>Abrir facsímil</v>
      </c>
      <c r="K1078" s="15" t="s">
        <v>23</v>
      </c>
    </row>
    <row r="1079" spans="1:11" ht="42" customHeight="1">
      <c r="A1079" s="4" t="s">
        <v>2938</v>
      </c>
      <c r="B1079" s="5" t="s">
        <v>2939</v>
      </c>
      <c r="C1079" s="5" t="s">
        <v>33</v>
      </c>
      <c r="D1079" s="5" t="s">
        <v>34</v>
      </c>
      <c r="E1079" s="5" t="s">
        <v>68</v>
      </c>
      <c r="F1079" s="9" t="s">
        <v>309</v>
      </c>
      <c r="G1079" s="9" t="s">
        <v>117</v>
      </c>
      <c r="H1079" s="5" t="s">
        <v>21</v>
      </c>
      <c r="I1079" s="5" t="s">
        <v>2940</v>
      </c>
      <c r="J1079" s="12" t="str">
        <f>HYPERLINK("https://www.boe.es/gazeta/dias/1808/10/21/pdfs/GMD-D-1808-136.pdf#page=1","Abrir facsímil")</f>
        <v>Abrir facsímil</v>
      </c>
      <c r="K1079" s="15" t="s">
        <v>23</v>
      </c>
    </row>
    <row r="1080" spans="1:11" ht="42" customHeight="1">
      <c r="A1080" s="4" t="s">
        <v>2941</v>
      </c>
      <c r="B1080" s="5" t="s">
        <v>2942</v>
      </c>
      <c r="C1080" s="5" t="s">
        <v>41</v>
      </c>
      <c r="D1080" s="5" t="s">
        <v>42</v>
      </c>
      <c r="E1080" s="5" t="s">
        <v>2794</v>
      </c>
      <c r="F1080" s="9" t="s">
        <v>2795</v>
      </c>
      <c r="G1080" s="9">
        <v>976</v>
      </c>
      <c r="H1080" s="5" t="s">
        <v>21</v>
      </c>
      <c r="I1080" s="5" t="s">
        <v>2943</v>
      </c>
      <c r="J1080" s="12" t="str">
        <f>HYPERLINK("https://www.boe.es/gazeta/dias/1808/08/06/pdfs/GMD-1808-109.pdf#page=2","Abrir facsímil")</f>
        <v>Abrir facsímil</v>
      </c>
      <c r="K1080" s="15" t="s">
        <v>23</v>
      </c>
    </row>
    <row r="1081" spans="1:11" ht="42" customHeight="1">
      <c r="A1081" s="4" t="s">
        <v>2944</v>
      </c>
      <c r="B1081" s="5" t="s">
        <v>2945</v>
      </c>
      <c r="C1081" s="5" t="s">
        <v>33</v>
      </c>
      <c r="D1081" s="5" t="s">
        <v>34</v>
      </c>
      <c r="E1081" s="5" t="s">
        <v>35</v>
      </c>
      <c r="F1081" s="9" t="s">
        <v>36</v>
      </c>
      <c r="G1081" s="9" t="s">
        <v>1128</v>
      </c>
      <c r="H1081" s="5" t="s">
        <v>21</v>
      </c>
      <c r="I1081" s="5" t="s">
        <v>2946</v>
      </c>
      <c r="J1081" s="12" t="str">
        <f>HYPERLINK("https://www.boe.es/gazeta/dias/1808/04/22/pdfs/GMD-C-1808-38.pdf#page=11","Abrir facsímil")</f>
        <v>Abrir facsímil</v>
      </c>
      <c r="K1081" s="15" t="s">
        <v>23</v>
      </c>
    </row>
    <row r="1082" spans="1:11" ht="42" customHeight="1">
      <c r="A1082" s="4" t="s">
        <v>2947</v>
      </c>
      <c r="B1082" s="5" t="s">
        <v>2948</v>
      </c>
      <c r="C1082" s="5" t="s">
        <v>33</v>
      </c>
      <c r="D1082" s="5" t="s">
        <v>34</v>
      </c>
      <c r="E1082" s="5" t="s">
        <v>35</v>
      </c>
      <c r="F1082" s="9" t="s">
        <v>36</v>
      </c>
      <c r="G1082" s="9" t="s">
        <v>47</v>
      </c>
      <c r="H1082" s="5" t="s">
        <v>21</v>
      </c>
      <c r="I1082" s="5" t="s">
        <v>2949</v>
      </c>
      <c r="J1082" s="12" t="str">
        <f>HYPERLINK("https://www.boe.es/gazeta/dias/1808/04/22/pdfs/GMD-C-1808-38.pdf#page=13","Abrir facsímil")</f>
        <v>Abrir facsímil</v>
      </c>
      <c r="K1082" s="15" t="s">
        <v>23</v>
      </c>
    </row>
    <row r="1083" spans="1:11" ht="42" customHeight="1">
      <c r="A1083" s="4" t="s">
        <v>2950</v>
      </c>
      <c r="B1083" s="5" t="s">
        <v>2950</v>
      </c>
      <c r="C1083" s="5" t="s">
        <v>41</v>
      </c>
      <c r="D1083" s="5" t="s">
        <v>42</v>
      </c>
      <c r="E1083" s="5" t="s">
        <v>110</v>
      </c>
      <c r="F1083" s="9" t="s">
        <v>828</v>
      </c>
      <c r="G1083" s="9" t="s">
        <v>75</v>
      </c>
      <c r="H1083" s="5" t="s">
        <v>21</v>
      </c>
      <c r="I1083" s="5" t="s">
        <v>2951</v>
      </c>
      <c r="J1083" s="12" t="str">
        <f>HYPERLINK("https://www.boe.es/gazeta/dias/1808/10/28/pdfs/GMD-D-1808-138.pdf#page=4","Abrir facsímil")</f>
        <v>Abrir facsímil</v>
      </c>
      <c r="K1083" s="15" t="s">
        <v>23</v>
      </c>
    </row>
    <row r="1084" spans="1:11" ht="42" customHeight="1">
      <c r="A1084" s="4" t="s">
        <v>2952</v>
      </c>
      <c r="B1084" s="5" t="s">
        <v>2953</v>
      </c>
      <c r="C1084" s="5" t="s">
        <v>33</v>
      </c>
      <c r="D1084" s="5" t="s">
        <v>34</v>
      </c>
      <c r="E1084" s="5" t="s">
        <v>73</v>
      </c>
      <c r="F1084" s="9" t="s">
        <v>74</v>
      </c>
      <c r="G1084" s="9" t="s">
        <v>199</v>
      </c>
      <c r="H1084" s="5" t="s">
        <v>21</v>
      </c>
      <c r="I1084" s="5" t="s">
        <v>2954</v>
      </c>
      <c r="J1084" s="12" t="str">
        <f>HYPERLINK("https://www.boe.es/gazeta/dias/1808/11/11/pdfs/GMD-D-1808-143.pdf#page=2","Abrir facsímil")</f>
        <v>Abrir facsímil</v>
      </c>
      <c r="K1084" s="15" t="s">
        <v>23</v>
      </c>
    </row>
    <row r="1085" spans="1:11" ht="42" customHeight="1">
      <c r="A1085" s="4" t="s">
        <v>2955</v>
      </c>
      <c r="B1085" s="5" t="s">
        <v>2956</v>
      </c>
      <c r="C1085" s="5" t="s">
        <v>33</v>
      </c>
      <c r="D1085" s="5" t="s">
        <v>34</v>
      </c>
      <c r="E1085" s="5" t="s">
        <v>456</v>
      </c>
      <c r="F1085" s="9" t="s">
        <v>748</v>
      </c>
      <c r="G1085" s="9" t="s">
        <v>199</v>
      </c>
      <c r="H1085" s="5" t="s">
        <v>21</v>
      </c>
      <c r="I1085" s="5" t="s">
        <v>2957</v>
      </c>
      <c r="J1085" s="12" t="str">
        <f>HYPERLINK("https://www.boe.es/gazeta/dias/1808/10/14/pdfs/GMD-C-1808-134.pdf#page=2","Abrir facsímil")</f>
        <v>Abrir facsímil</v>
      </c>
      <c r="K1085" s="15" t="s">
        <v>23</v>
      </c>
    </row>
    <row r="1086" spans="1:11" ht="42" customHeight="1">
      <c r="A1086" s="4" t="s">
        <v>2958</v>
      </c>
      <c r="B1086" s="5" t="s">
        <v>2959</v>
      </c>
      <c r="C1086" s="5" t="s">
        <v>33</v>
      </c>
      <c r="D1086" s="5" t="s">
        <v>34</v>
      </c>
      <c r="E1086" s="5" t="s">
        <v>35</v>
      </c>
      <c r="F1086" s="9" t="s">
        <v>36</v>
      </c>
      <c r="G1086" s="9" t="s">
        <v>655</v>
      </c>
      <c r="H1086" s="5" t="s">
        <v>21</v>
      </c>
      <c r="I1086" s="5" t="s">
        <v>2960</v>
      </c>
      <c r="J1086" s="12" t="str">
        <f>HYPERLINK("https://www.boe.es/gazeta/dias/1808/04/22/pdfs/GMD-C-1808-38.pdf#page=43","Abrir facsímil")</f>
        <v>Abrir facsímil</v>
      </c>
      <c r="K1086" s="15" t="s">
        <v>23</v>
      </c>
    </row>
    <row r="1087" spans="1:11" ht="42" customHeight="1">
      <c r="A1087" s="4" t="s">
        <v>2961</v>
      </c>
      <c r="B1087" s="5" t="s">
        <v>2962</v>
      </c>
      <c r="C1087" s="5" t="s">
        <v>260</v>
      </c>
      <c r="D1087" s="5" t="s">
        <v>42</v>
      </c>
      <c r="E1087" s="5" t="s">
        <v>287</v>
      </c>
      <c r="F1087" s="9" t="s">
        <v>489</v>
      </c>
      <c r="G1087" s="9">
        <v>1008</v>
      </c>
      <c r="H1087" s="5" t="s">
        <v>21</v>
      </c>
      <c r="I1087" s="5" t="s">
        <v>2963</v>
      </c>
      <c r="J1087" s="12" t="str">
        <f>HYPERLINK("https://www.boe.es/gazeta/dias/1808/08/12/pdfs/GMD-1808-112.pdf#page=12","Abrir facsímil")</f>
        <v>Abrir facsímil</v>
      </c>
      <c r="K1087" s="15" t="s">
        <v>23</v>
      </c>
    </row>
    <row r="1088" spans="1:11" ht="42" customHeight="1">
      <c r="A1088" s="4" t="s">
        <v>2961</v>
      </c>
      <c r="B1088" s="5" t="s">
        <v>2962</v>
      </c>
      <c r="C1088" s="5" t="s">
        <v>94</v>
      </c>
      <c r="D1088" s="5" t="s">
        <v>95</v>
      </c>
      <c r="E1088" s="5" t="s">
        <v>61</v>
      </c>
      <c r="F1088" s="9" t="s">
        <v>62</v>
      </c>
      <c r="G1088" s="9">
        <v>1283</v>
      </c>
      <c r="H1088" s="5" t="s">
        <v>21</v>
      </c>
      <c r="I1088" s="5" t="s">
        <v>2964</v>
      </c>
      <c r="J1088" s="12" t="str">
        <f>HYPERLINK("https://www.boe.es/gazeta/dias/1808/10/11/pdfs/GMD-1808-133.pdf#page=11","Abrir facsímil")</f>
        <v>Abrir facsímil</v>
      </c>
      <c r="K1088" s="15" t="s">
        <v>23</v>
      </c>
    </row>
    <row r="1089" spans="1:11" ht="42" customHeight="1">
      <c r="A1089" s="4" t="s">
        <v>2965</v>
      </c>
      <c r="B1089" s="5" t="s">
        <v>2966</v>
      </c>
      <c r="C1089" s="5" t="s">
        <v>94</v>
      </c>
      <c r="D1089" s="5" t="s">
        <v>95</v>
      </c>
      <c r="E1089" s="5" t="s">
        <v>1466</v>
      </c>
      <c r="F1089" s="9" t="s">
        <v>1467</v>
      </c>
      <c r="G1089" s="9">
        <v>55</v>
      </c>
      <c r="H1089" s="5" t="s">
        <v>21</v>
      </c>
      <c r="I1089" s="5" t="s">
        <v>2967</v>
      </c>
      <c r="J1089" s="12" t="str">
        <f>HYPERLINK("https://www.boe.es/gazeta/dias/1808/01/15/pdfs/GMD-1808-5.pdf#page=7","Abrir facsímil")</f>
        <v>Abrir facsímil</v>
      </c>
      <c r="K1089" s="15" t="s">
        <v>23</v>
      </c>
    </row>
    <row r="1090" spans="1:11" ht="42" customHeight="1">
      <c r="A1090" s="4" t="s">
        <v>2968</v>
      </c>
      <c r="B1090" s="5" t="s">
        <v>2968</v>
      </c>
      <c r="C1090" s="5" t="s">
        <v>17</v>
      </c>
      <c r="D1090" s="5" t="s">
        <v>18</v>
      </c>
      <c r="E1090" s="5" t="s">
        <v>28</v>
      </c>
      <c r="F1090" s="9" t="s">
        <v>29</v>
      </c>
      <c r="G1090" s="9">
        <v>1429</v>
      </c>
      <c r="H1090" s="5" t="s">
        <v>21</v>
      </c>
      <c r="I1090" s="5" t="s">
        <v>2969</v>
      </c>
      <c r="J1090" s="12" t="str">
        <f>HYPERLINK("https://www.boe.es/gazeta/dias/1808/11/04/pdfs/GMD-1808-141.pdf#page=11","Abrir facsímil")</f>
        <v>Abrir facsímil</v>
      </c>
      <c r="K1090" s="15" t="s">
        <v>23</v>
      </c>
    </row>
    <row r="1091" spans="1:11" ht="42" customHeight="1">
      <c r="A1091" s="4" t="s">
        <v>2970</v>
      </c>
      <c r="B1091" s="5" t="s">
        <v>2970</v>
      </c>
      <c r="C1091" s="5" t="s">
        <v>33</v>
      </c>
      <c r="D1091" s="5" t="s">
        <v>34</v>
      </c>
      <c r="E1091" s="5" t="s">
        <v>180</v>
      </c>
      <c r="F1091" s="9" t="s">
        <v>768</v>
      </c>
      <c r="G1091" s="9" t="s">
        <v>106</v>
      </c>
      <c r="H1091" s="5" t="s">
        <v>21</v>
      </c>
      <c r="I1091" s="5" t="s">
        <v>2971</v>
      </c>
      <c r="J1091" s="12" t="str">
        <f>HYPERLINK("https://www.boe.es/gazeta/dias/1808/11/15/pdfs/GMD-D-1808-144.pdf#page=3","Abrir facsímil")</f>
        <v>Abrir facsímil</v>
      </c>
      <c r="K1091" s="15" t="s">
        <v>23</v>
      </c>
    </row>
    <row r="1092" spans="1:11" ht="42" customHeight="1">
      <c r="A1092" s="4" t="s">
        <v>2972</v>
      </c>
      <c r="B1092" s="5" t="s">
        <v>2972</v>
      </c>
      <c r="C1092" s="5" t="s">
        <v>17</v>
      </c>
      <c r="D1092" s="5" t="s">
        <v>18</v>
      </c>
      <c r="E1092" s="5" t="s">
        <v>461</v>
      </c>
      <c r="F1092" s="9" t="s">
        <v>733</v>
      </c>
      <c r="G1092" s="9">
        <v>1448</v>
      </c>
      <c r="H1092" s="5" t="s">
        <v>21</v>
      </c>
      <c r="I1092" s="5" t="s">
        <v>2973</v>
      </c>
      <c r="J1092" s="12" t="str">
        <f>HYPERLINK("https://www.boe.es/gazeta/dias/1808/11/08/pdfs/GMD-1808-142.pdf#page=10","Abrir facsímil")</f>
        <v>Abrir facsímil</v>
      </c>
      <c r="K1092" s="15" t="s">
        <v>23</v>
      </c>
    </row>
    <row r="1093" spans="1:11" ht="42" customHeight="1">
      <c r="A1093" s="4" t="s">
        <v>2974</v>
      </c>
      <c r="B1093" s="5" t="s">
        <v>2975</v>
      </c>
      <c r="C1093" s="5" t="s">
        <v>94</v>
      </c>
      <c r="D1093" s="5" t="s">
        <v>95</v>
      </c>
      <c r="E1093" s="5" t="s">
        <v>139</v>
      </c>
      <c r="F1093" s="9" t="s">
        <v>140</v>
      </c>
      <c r="G1093" s="9">
        <v>1202</v>
      </c>
      <c r="H1093" s="5" t="s">
        <v>21</v>
      </c>
      <c r="I1093" s="5" t="s">
        <v>2976</v>
      </c>
      <c r="J1093" s="12" t="str">
        <f>HYPERLINK("https://www.boe.es/gazeta/dias/1808/09/23/pdfs/GMD-1808-127.pdf#page=10","Abrir facsímil")</f>
        <v>Abrir facsímil</v>
      </c>
      <c r="K1093" s="15" t="s">
        <v>23</v>
      </c>
    </row>
    <row r="1094" spans="1:11" ht="42" customHeight="1">
      <c r="A1094" s="4" t="s">
        <v>2977</v>
      </c>
      <c r="B1094" s="5" t="s">
        <v>2977</v>
      </c>
      <c r="C1094" s="5" t="s">
        <v>17</v>
      </c>
      <c r="D1094" s="5" t="s">
        <v>18</v>
      </c>
      <c r="E1094" s="5" t="s">
        <v>65</v>
      </c>
      <c r="F1094" s="9" t="s">
        <v>66</v>
      </c>
      <c r="G1094" s="9">
        <v>1307</v>
      </c>
      <c r="H1094" s="5" t="s">
        <v>21</v>
      </c>
      <c r="I1094" s="5" t="s">
        <v>2978</v>
      </c>
      <c r="J1094" s="12" t="str">
        <f>HYPERLINK("https://www.boe.es/gazeta/dias/1808/10/18/pdfs/GMD-1808-135.pdf#page=7","Abrir facsímil")</f>
        <v>Abrir facsímil</v>
      </c>
      <c r="K1094" s="15" t="s">
        <v>23</v>
      </c>
    </row>
    <row r="1095" spans="1:11" ht="42" customHeight="1">
      <c r="A1095" s="4" t="s">
        <v>2979</v>
      </c>
      <c r="B1095" s="5" t="s">
        <v>2979</v>
      </c>
      <c r="C1095" s="5" t="s">
        <v>33</v>
      </c>
      <c r="D1095" s="5" t="s">
        <v>34</v>
      </c>
      <c r="E1095" s="5" t="s">
        <v>35</v>
      </c>
      <c r="F1095" s="9" t="s">
        <v>36</v>
      </c>
      <c r="G1095" s="9" t="s">
        <v>956</v>
      </c>
      <c r="H1095" s="5" t="s">
        <v>21</v>
      </c>
      <c r="I1095" s="5" t="s">
        <v>2980</v>
      </c>
      <c r="J1095" s="12" t="str">
        <f>HYPERLINK("https://www.boe.es/gazeta/dias/1808/04/22/pdfs/GMD-C-1808-38.pdf#page=41","Abrir facsímil")</f>
        <v>Abrir facsímil</v>
      </c>
      <c r="K1095" s="15" t="s">
        <v>23</v>
      </c>
    </row>
    <row r="1096" spans="1:11" ht="42" customHeight="1">
      <c r="A1096" s="4" t="s">
        <v>2981</v>
      </c>
      <c r="B1096" s="5" t="s">
        <v>2981</v>
      </c>
      <c r="C1096" s="5" t="s">
        <v>33</v>
      </c>
      <c r="D1096" s="5" t="s">
        <v>34</v>
      </c>
      <c r="E1096" s="5" t="s">
        <v>28</v>
      </c>
      <c r="F1096" s="9" t="s">
        <v>446</v>
      </c>
      <c r="G1096" s="9" t="s">
        <v>75</v>
      </c>
      <c r="H1096" s="5" t="s">
        <v>21</v>
      </c>
      <c r="I1096" s="5" t="s">
        <v>2982</v>
      </c>
      <c r="J1096" s="12" t="str">
        <f>HYPERLINK("https://www.boe.es/gazeta/dias/1808/11/04/pdfs/GMD-D-1808-141.pdf#page=4","Abrir facsímil")</f>
        <v>Abrir facsímil</v>
      </c>
      <c r="K1096" s="15" t="s">
        <v>23</v>
      </c>
    </row>
    <row r="1097" spans="1:11" ht="42" customHeight="1">
      <c r="A1097" s="4" t="s">
        <v>2983</v>
      </c>
      <c r="B1097" s="5" t="s">
        <v>2983</v>
      </c>
      <c r="C1097" s="5" t="s">
        <v>41</v>
      </c>
      <c r="D1097" s="5" t="s">
        <v>42</v>
      </c>
      <c r="E1097" s="5" t="s">
        <v>461</v>
      </c>
      <c r="F1097" s="9" t="s">
        <v>733</v>
      </c>
      <c r="G1097" s="9">
        <v>1447</v>
      </c>
      <c r="H1097" s="5" t="s">
        <v>21</v>
      </c>
      <c r="I1097" s="5" t="s">
        <v>2984</v>
      </c>
      <c r="J1097" s="12" t="str">
        <f>HYPERLINK("https://www.boe.es/gazeta/dias/1808/11/08/pdfs/GMD-1808-142.pdf#page=9","Abrir facsímil")</f>
        <v>Abrir facsímil</v>
      </c>
      <c r="K1097" s="15" t="s">
        <v>23</v>
      </c>
    </row>
    <row r="1098" spans="1:11" ht="42" customHeight="1">
      <c r="A1098" s="4" t="s">
        <v>2985</v>
      </c>
      <c r="B1098" s="5" t="s">
        <v>2986</v>
      </c>
      <c r="C1098" s="5" t="s">
        <v>41</v>
      </c>
      <c r="D1098" s="5" t="s">
        <v>42</v>
      </c>
      <c r="E1098" s="5" t="s">
        <v>35</v>
      </c>
      <c r="F1098" s="9" t="s">
        <v>36</v>
      </c>
      <c r="G1098" s="9" t="s">
        <v>956</v>
      </c>
      <c r="H1098" s="5" t="s">
        <v>21</v>
      </c>
      <c r="I1098" s="5" t="s">
        <v>2987</v>
      </c>
      <c r="J1098" s="12" t="str">
        <f>HYPERLINK("https://www.boe.es/gazeta/dias/1808/04/22/pdfs/GMD-C-1808-38.pdf#page=41","Abrir facsímil")</f>
        <v>Abrir facsímil</v>
      </c>
      <c r="K1098" s="15" t="s">
        <v>23</v>
      </c>
    </row>
    <row r="1099" spans="1:11" ht="42" customHeight="1">
      <c r="A1099" s="4" t="s">
        <v>2988</v>
      </c>
      <c r="B1099" s="5" t="s">
        <v>2989</v>
      </c>
      <c r="C1099" s="5" t="s">
        <v>94</v>
      </c>
      <c r="D1099" s="5" t="s">
        <v>95</v>
      </c>
      <c r="E1099" s="5" t="s">
        <v>203</v>
      </c>
      <c r="F1099" s="9" t="s">
        <v>204</v>
      </c>
      <c r="G1099" s="9">
        <v>141</v>
      </c>
      <c r="H1099" s="5" t="s">
        <v>21</v>
      </c>
      <c r="I1099" s="5" t="s">
        <v>2990</v>
      </c>
      <c r="J1099" s="12" t="str">
        <f>HYPERLINK("https://www.boe.es/gazeta/dias/1808/02/09/pdfs/GMD-1808-12.pdf#page=9","Abrir facsímil")</f>
        <v>Abrir facsímil</v>
      </c>
      <c r="K1099" s="15" t="s">
        <v>23</v>
      </c>
    </row>
    <row r="1100" spans="1:11" ht="42" customHeight="1">
      <c r="A1100" s="4" t="s">
        <v>2991</v>
      </c>
      <c r="B1100" s="5" t="s">
        <v>2991</v>
      </c>
      <c r="C1100" s="5" t="s">
        <v>33</v>
      </c>
      <c r="D1100" s="5" t="s">
        <v>34</v>
      </c>
      <c r="E1100" s="5" t="s">
        <v>35</v>
      </c>
      <c r="F1100" s="9" t="s">
        <v>36</v>
      </c>
      <c r="G1100" s="9" t="s">
        <v>322</v>
      </c>
      <c r="H1100" s="5" t="s">
        <v>21</v>
      </c>
      <c r="I1100" s="5" t="s">
        <v>2992</v>
      </c>
      <c r="J1100" s="12" t="str">
        <f>HYPERLINK("https://www.boe.es/gazeta/dias/1808/04/22/pdfs/GMD-C-1808-38.pdf#page=15","Abrir facsímil")</f>
        <v>Abrir facsímil</v>
      </c>
      <c r="K1100" s="15" t="s">
        <v>23</v>
      </c>
    </row>
    <row r="1101" spans="1:11" ht="42" customHeight="1">
      <c r="A1101" s="4" t="s">
        <v>2991</v>
      </c>
      <c r="B1101" s="5" t="s">
        <v>2991</v>
      </c>
      <c r="C1101" s="5" t="s">
        <v>33</v>
      </c>
      <c r="D1101" s="5" t="s">
        <v>34</v>
      </c>
      <c r="E1101" s="5" t="s">
        <v>35</v>
      </c>
      <c r="F1101" s="9" t="s">
        <v>36</v>
      </c>
      <c r="G1101" s="9" t="s">
        <v>43</v>
      </c>
      <c r="H1101" s="5" t="s">
        <v>21</v>
      </c>
      <c r="I1101" s="5" t="s">
        <v>2993</v>
      </c>
      <c r="J1101" s="12" t="str">
        <f>HYPERLINK("https://www.boe.es/gazeta/dias/1808/04/22/pdfs/GMD-C-1808-38.pdf#page=30","Abrir facsímil")</f>
        <v>Abrir facsímil</v>
      </c>
      <c r="K1101" s="15" t="s">
        <v>23</v>
      </c>
    </row>
    <row r="1102" spans="1:11" ht="42" customHeight="1">
      <c r="A1102" s="4" t="s">
        <v>2994</v>
      </c>
      <c r="B1102" s="5" t="s">
        <v>2994</v>
      </c>
      <c r="C1102" s="5" t="s">
        <v>17</v>
      </c>
      <c r="D1102" s="5" t="s">
        <v>18</v>
      </c>
      <c r="E1102" s="5" t="s">
        <v>28</v>
      </c>
      <c r="F1102" s="9" t="s">
        <v>29</v>
      </c>
      <c r="G1102" s="9">
        <v>1428</v>
      </c>
      <c r="H1102" s="5" t="s">
        <v>21</v>
      </c>
      <c r="I1102" s="5" t="s">
        <v>2995</v>
      </c>
      <c r="J1102" s="12" t="str">
        <f>HYPERLINK("https://www.boe.es/gazeta/dias/1808/11/04/pdfs/GMD-1808-141.pdf#page=10","Abrir facsímil")</f>
        <v>Abrir facsímil</v>
      </c>
      <c r="K1102" s="15" t="s">
        <v>23</v>
      </c>
    </row>
    <row r="1103" spans="1:11" ht="42" customHeight="1">
      <c r="A1103" s="4" t="s">
        <v>2996</v>
      </c>
      <c r="B1103" s="5" t="s">
        <v>2996</v>
      </c>
      <c r="C1103" s="5" t="s">
        <v>94</v>
      </c>
      <c r="D1103" s="5" t="s">
        <v>95</v>
      </c>
      <c r="E1103" s="5" t="s">
        <v>663</v>
      </c>
      <c r="F1103" s="9" t="s">
        <v>664</v>
      </c>
      <c r="G1103" s="9">
        <v>209</v>
      </c>
      <c r="H1103" s="5" t="s">
        <v>21</v>
      </c>
      <c r="I1103" s="5" t="s">
        <v>2997</v>
      </c>
      <c r="J1103" s="12" t="str">
        <f>HYPERLINK("https://www.boe.es/gazeta/dias/1808/02/26/pdfs/GMD-1808-17.pdf#page=11","Abrir facsímil")</f>
        <v>Abrir facsímil</v>
      </c>
      <c r="K1103" s="15" t="s">
        <v>23</v>
      </c>
    </row>
    <row r="1104" spans="1:11" ht="42" customHeight="1">
      <c r="A1104" s="4" t="s">
        <v>2998</v>
      </c>
      <c r="B1104" s="5" t="s">
        <v>2998</v>
      </c>
      <c r="C1104" s="5" t="s">
        <v>33</v>
      </c>
      <c r="D1104" s="5" t="s">
        <v>34</v>
      </c>
      <c r="E1104" s="5" t="s">
        <v>264</v>
      </c>
      <c r="F1104" s="9" t="s">
        <v>318</v>
      </c>
      <c r="G1104" s="9" t="s">
        <v>75</v>
      </c>
      <c r="H1104" s="5" t="s">
        <v>21</v>
      </c>
      <c r="I1104" s="5" t="s">
        <v>2999</v>
      </c>
      <c r="J1104" s="12" t="str">
        <f>HYPERLINK("https://www.boe.es/gazeta/dias/1808/11/29/pdfs/GMD-C-1808-148.pdf#page=4","Abrir facsímil")</f>
        <v>Abrir facsímil</v>
      </c>
      <c r="K1104" s="15" t="s">
        <v>23</v>
      </c>
    </row>
    <row r="1105" spans="1:11" ht="42" customHeight="1">
      <c r="A1105" s="4" t="s">
        <v>3000</v>
      </c>
      <c r="B1105" s="5" t="s">
        <v>3000</v>
      </c>
      <c r="C1105" s="5" t="s">
        <v>17</v>
      </c>
      <c r="D1105" s="5" t="s">
        <v>18</v>
      </c>
      <c r="E1105" s="5" t="s">
        <v>3001</v>
      </c>
      <c r="F1105" s="9" t="s">
        <v>3002</v>
      </c>
      <c r="G1105" s="9">
        <v>1653</v>
      </c>
      <c r="H1105" s="5" t="s">
        <v>21</v>
      </c>
      <c r="I1105" s="5" t="s">
        <v>3003</v>
      </c>
      <c r="J1105" s="12" t="str">
        <f>HYPERLINK("https://www.boe.es/gazeta/dias/1808/12/21/pdfs/GMD-1808-161.pdf#page=3","Abrir facsímil")</f>
        <v>Abrir facsímil</v>
      </c>
      <c r="K1105" s="15" t="s">
        <v>23</v>
      </c>
    </row>
    <row r="1106" spans="1:11" ht="42" customHeight="1">
      <c r="A1106" s="4" t="s">
        <v>3004</v>
      </c>
      <c r="B1106" s="5" t="s">
        <v>3004</v>
      </c>
      <c r="C1106" s="5" t="s">
        <v>33</v>
      </c>
      <c r="D1106" s="5" t="s">
        <v>34</v>
      </c>
      <c r="E1106" s="5" t="s">
        <v>35</v>
      </c>
      <c r="F1106" s="9" t="s">
        <v>36</v>
      </c>
      <c r="G1106" s="9" t="s">
        <v>279</v>
      </c>
      <c r="H1106" s="5" t="s">
        <v>21</v>
      </c>
      <c r="I1106" s="5" t="s">
        <v>3005</v>
      </c>
      <c r="J1106" s="12" t="str">
        <f>HYPERLINK("https://www.boe.es/gazeta/dias/1808/04/22/pdfs/GMD-C-1808-38.pdf#page=44","Abrir facsímil")</f>
        <v>Abrir facsímil</v>
      </c>
      <c r="K1106" s="15" t="s">
        <v>23</v>
      </c>
    </row>
    <row r="1107" spans="1:11" ht="42" customHeight="1">
      <c r="A1107" s="4" t="s">
        <v>3004</v>
      </c>
      <c r="B1107" s="5" t="s">
        <v>3004</v>
      </c>
      <c r="C1107" s="5" t="s">
        <v>33</v>
      </c>
      <c r="D1107" s="5" t="s">
        <v>34</v>
      </c>
      <c r="E1107" s="5" t="s">
        <v>363</v>
      </c>
      <c r="F1107" s="9" t="s">
        <v>364</v>
      </c>
      <c r="G1107" s="9" t="s">
        <v>75</v>
      </c>
      <c r="H1107" s="5" t="s">
        <v>21</v>
      </c>
      <c r="I1107" s="5" t="s">
        <v>3006</v>
      </c>
      <c r="J1107" s="12" t="str">
        <f>HYPERLINK("https://www.boe.es/gazeta/dias/1808/09/20/pdfs/GMD-C-1808-126.pdf#page=4","Abrir facsímil")</f>
        <v>Abrir facsímil</v>
      </c>
      <c r="K1107" s="15" t="s">
        <v>23</v>
      </c>
    </row>
    <row r="1108" spans="1:11" ht="42" customHeight="1">
      <c r="A1108" s="4" t="s">
        <v>3007</v>
      </c>
      <c r="B1108" s="5" t="s">
        <v>3008</v>
      </c>
      <c r="C1108" s="5" t="s">
        <v>33</v>
      </c>
      <c r="D1108" s="5" t="s">
        <v>34</v>
      </c>
      <c r="E1108" s="5" t="s">
        <v>456</v>
      </c>
      <c r="F1108" s="9" t="s">
        <v>748</v>
      </c>
      <c r="G1108" s="9" t="s">
        <v>199</v>
      </c>
      <c r="H1108" s="5" t="s">
        <v>21</v>
      </c>
      <c r="I1108" s="5" t="s">
        <v>3009</v>
      </c>
      <c r="J1108" s="12" t="str">
        <f>HYPERLINK("https://www.boe.es/gazeta/dias/1808/10/14/pdfs/GMD-C-1808-134.pdf#page=2","Abrir facsímil")</f>
        <v>Abrir facsímil</v>
      </c>
      <c r="K1108" s="15" t="s">
        <v>23</v>
      </c>
    </row>
    <row r="1109" spans="1:11" ht="42" customHeight="1">
      <c r="A1109" s="4" t="s">
        <v>3010</v>
      </c>
      <c r="B1109" s="5" t="s">
        <v>3010</v>
      </c>
      <c r="C1109" s="5" t="s">
        <v>17</v>
      </c>
      <c r="D1109" s="5" t="s">
        <v>18</v>
      </c>
      <c r="E1109" s="5" t="s">
        <v>3011</v>
      </c>
      <c r="F1109" s="9" t="s">
        <v>3012</v>
      </c>
      <c r="G1109" s="9">
        <v>1677</v>
      </c>
      <c r="H1109" s="5" t="s">
        <v>21</v>
      </c>
      <c r="I1109" s="5" t="s">
        <v>3013</v>
      </c>
      <c r="J1109" s="12" t="str">
        <f>HYPERLINK("https://www.boe.es/gazeta/dias/1808/12/25/pdfs/GMD-1808-165.pdf#page=3","Abrir facsímil")</f>
        <v>Abrir facsímil</v>
      </c>
      <c r="K1109" s="15" t="s">
        <v>23</v>
      </c>
    </row>
    <row r="1110" spans="1:11" ht="42" customHeight="1">
      <c r="A1110" s="4" t="s">
        <v>3014</v>
      </c>
      <c r="B1110" s="5" t="s">
        <v>3015</v>
      </c>
      <c r="C1110" s="5" t="s">
        <v>260</v>
      </c>
      <c r="D1110" s="5" t="s">
        <v>42</v>
      </c>
      <c r="E1110" s="5" t="s">
        <v>222</v>
      </c>
      <c r="F1110" s="9" t="s">
        <v>223</v>
      </c>
      <c r="G1110" s="9">
        <v>355</v>
      </c>
      <c r="H1110" s="5" t="s">
        <v>21</v>
      </c>
      <c r="I1110" s="5" t="s">
        <v>3016</v>
      </c>
      <c r="J1110" s="12" t="str">
        <f>HYPERLINK("https://www.boe.es/gazeta/dias/1808/04/08/pdfs/GMD-1808-32.pdf#page=9","Abrir facsímil")</f>
        <v>Abrir facsímil</v>
      </c>
      <c r="K1110" s="15" t="s">
        <v>23</v>
      </c>
    </row>
    <row r="1111" spans="1:11" ht="42" customHeight="1">
      <c r="A1111" s="4" t="s">
        <v>3017</v>
      </c>
      <c r="B1111" s="5" t="s">
        <v>3017</v>
      </c>
      <c r="C1111" s="5" t="s">
        <v>17</v>
      </c>
      <c r="D1111" s="5" t="s">
        <v>18</v>
      </c>
      <c r="E1111" s="5" t="s">
        <v>513</v>
      </c>
      <c r="F1111" s="9" t="s">
        <v>514</v>
      </c>
      <c r="G1111" s="9">
        <v>286</v>
      </c>
      <c r="H1111" s="5" t="s">
        <v>21</v>
      </c>
      <c r="I1111" s="5" t="s">
        <v>3018</v>
      </c>
      <c r="J1111" s="12" t="str">
        <f>HYPERLINK("https://www.boe.es/gazeta/dias/1808/03/22/pdfs/GMD-1808-24.pdf#page=8","Abrir facsímil")</f>
        <v>Abrir facsímil</v>
      </c>
      <c r="K1111" s="15" t="s">
        <v>23</v>
      </c>
    </row>
    <row r="1112" spans="1:11" ht="42" customHeight="1">
      <c r="A1112" s="4" t="s">
        <v>3019</v>
      </c>
      <c r="B1112" s="5" t="s">
        <v>3020</v>
      </c>
      <c r="C1112" s="5" t="s">
        <v>33</v>
      </c>
      <c r="D1112" s="5" t="s">
        <v>34</v>
      </c>
      <c r="E1112" s="5" t="s">
        <v>456</v>
      </c>
      <c r="F1112" s="9" t="s">
        <v>748</v>
      </c>
      <c r="G1112" s="9" t="s">
        <v>199</v>
      </c>
      <c r="H1112" s="5" t="s">
        <v>21</v>
      </c>
      <c r="I1112" s="5" t="s">
        <v>3021</v>
      </c>
      <c r="J1112" s="12" t="str">
        <f>HYPERLINK("https://www.boe.es/gazeta/dias/1808/10/14/pdfs/GMD-C-1808-134.pdf#page=2","Abrir facsímil")</f>
        <v>Abrir facsímil</v>
      </c>
      <c r="K1112" s="15" t="s">
        <v>23</v>
      </c>
    </row>
    <row r="1113" spans="1:11" ht="42" customHeight="1">
      <c r="A1113" s="4" t="s">
        <v>3022</v>
      </c>
      <c r="B1113" s="5" t="s">
        <v>3023</v>
      </c>
      <c r="C1113" s="5" t="s">
        <v>17</v>
      </c>
      <c r="D1113" s="5" t="s">
        <v>18</v>
      </c>
      <c r="E1113" s="5" t="s">
        <v>1258</v>
      </c>
      <c r="F1113" s="9" t="s">
        <v>1259</v>
      </c>
      <c r="G1113" s="9">
        <v>890</v>
      </c>
      <c r="H1113" s="5" t="s">
        <v>21</v>
      </c>
      <c r="I1113" s="5" t="s">
        <v>3024</v>
      </c>
      <c r="J1113" s="12" t="str">
        <f>HYPERLINK("https://www.boe.es/gazeta/dias/1808/07/25/pdfs/GMD-1808-97.pdf#page=4","Abrir facsímil")</f>
        <v>Abrir facsímil</v>
      </c>
      <c r="K1113" s="15" t="s">
        <v>23</v>
      </c>
    </row>
    <row r="1114" spans="1:11" ht="42" customHeight="1">
      <c r="A1114" s="4" t="s">
        <v>3025</v>
      </c>
      <c r="B1114" s="5" t="s">
        <v>3025</v>
      </c>
      <c r="C1114" s="5" t="s">
        <v>33</v>
      </c>
      <c r="D1114" s="5" t="s">
        <v>34</v>
      </c>
      <c r="E1114" s="5" t="s">
        <v>197</v>
      </c>
      <c r="F1114" s="9" t="s">
        <v>198</v>
      </c>
      <c r="G1114" s="9" t="s">
        <v>106</v>
      </c>
      <c r="H1114" s="5" t="s">
        <v>21</v>
      </c>
      <c r="I1114" s="5" t="s">
        <v>3026</v>
      </c>
      <c r="J1114" s="12" t="str">
        <f>HYPERLINK("https://www.boe.es/gazeta/dias/1808/11/01/pdfs/GMD-D-1808-140.pdf#page=3","Abrir facsímil")</f>
        <v>Abrir facsímil</v>
      </c>
      <c r="K1114" s="15" t="s">
        <v>23</v>
      </c>
    </row>
    <row r="1115" spans="1:11" ht="42" customHeight="1">
      <c r="A1115" s="4" t="s">
        <v>3027</v>
      </c>
      <c r="B1115" s="5" t="s">
        <v>3028</v>
      </c>
      <c r="C1115" s="5" t="s">
        <v>33</v>
      </c>
      <c r="D1115" s="5" t="s">
        <v>34</v>
      </c>
      <c r="E1115" s="5" t="s">
        <v>35</v>
      </c>
      <c r="F1115" s="9" t="s">
        <v>36</v>
      </c>
      <c r="G1115" s="9" t="s">
        <v>199</v>
      </c>
      <c r="H1115" s="5" t="s">
        <v>21</v>
      </c>
      <c r="I1115" s="5" t="s">
        <v>3029</v>
      </c>
      <c r="J1115" s="12" t="str">
        <f>HYPERLINK("https://www.boe.es/gazeta/dias/1808/04/22/pdfs/GMD-C-1808-38.pdf#page=2","Abrir facsímil")</f>
        <v>Abrir facsímil</v>
      </c>
      <c r="K1115" s="15" t="s">
        <v>23</v>
      </c>
    </row>
    <row r="1116" spans="1:11" ht="42" customHeight="1">
      <c r="A1116" s="4" t="s">
        <v>3027</v>
      </c>
      <c r="B1116" s="5" t="s">
        <v>3028</v>
      </c>
      <c r="C1116" s="5" t="s">
        <v>33</v>
      </c>
      <c r="D1116" s="5" t="s">
        <v>34</v>
      </c>
      <c r="E1116" s="5" t="s">
        <v>35</v>
      </c>
      <c r="F1116" s="9" t="s">
        <v>36</v>
      </c>
      <c r="G1116" s="9" t="s">
        <v>1860</v>
      </c>
      <c r="H1116" s="5" t="s">
        <v>21</v>
      </c>
      <c r="I1116" s="5" t="s">
        <v>3030</v>
      </c>
      <c r="J1116" s="12" t="str">
        <f>HYPERLINK("https://www.boe.es/gazeta/dias/1808/04/22/pdfs/GMD-C-1808-38.pdf#page=37","Abrir facsímil")</f>
        <v>Abrir facsímil</v>
      </c>
      <c r="K1116" s="15" t="s">
        <v>23</v>
      </c>
    </row>
    <row r="1117" spans="1:11" ht="42" customHeight="1">
      <c r="A1117" s="4" t="s">
        <v>3027</v>
      </c>
      <c r="B1117" s="5" t="s">
        <v>3028</v>
      </c>
      <c r="C1117" s="5" t="s">
        <v>33</v>
      </c>
      <c r="D1117" s="5" t="s">
        <v>34</v>
      </c>
      <c r="E1117" s="5" t="s">
        <v>35</v>
      </c>
      <c r="F1117" s="9" t="s">
        <v>36</v>
      </c>
      <c r="G1117" s="9" t="s">
        <v>148</v>
      </c>
      <c r="H1117" s="5" t="s">
        <v>21</v>
      </c>
      <c r="I1117" s="5" t="s">
        <v>3031</v>
      </c>
      <c r="J1117" s="12" t="str">
        <f>HYPERLINK("https://www.boe.es/gazeta/dias/1808/04/22/pdfs/GMD-C-1808-38.pdf#page=38","Abrir facsímil")</f>
        <v>Abrir facsímil</v>
      </c>
      <c r="K1117" s="15" t="s">
        <v>23</v>
      </c>
    </row>
    <row r="1118" spans="1:11" ht="42" customHeight="1">
      <c r="A1118" s="4" t="s">
        <v>3027</v>
      </c>
      <c r="B1118" s="5" t="s">
        <v>3028</v>
      </c>
      <c r="C1118" s="5" t="s">
        <v>26</v>
      </c>
      <c r="D1118" s="5" t="s">
        <v>27</v>
      </c>
      <c r="E1118" s="5" t="s">
        <v>197</v>
      </c>
      <c r="F1118" s="9" t="s">
        <v>198</v>
      </c>
      <c r="G1118" s="9" t="s">
        <v>106</v>
      </c>
      <c r="H1118" s="5" t="s">
        <v>21</v>
      </c>
      <c r="I1118" s="5" t="s">
        <v>3032</v>
      </c>
      <c r="J1118" s="12" t="str">
        <f>HYPERLINK("https://www.boe.es/gazeta/dias/1808/11/01/pdfs/GMD-D-1808-140.pdf#page=3","Abrir facsímil")</f>
        <v>Abrir facsímil</v>
      </c>
      <c r="K1118" s="15" t="s">
        <v>23</v>
      </c>
    </row>
    <row r="1119" spans="1:11" ht="42" customHeight="1">
      <c r="A1119" s="4" t="s">
        <v>3033</v>
      </c>
      <c r="B1119" s="5" t="s">
        <v>3034</v>
      </c>
      <c r="C1119" s="5" t="s">
        <v>17</v>
      </c>
      <c r="D1119" s="5" t="s">
        <v>18</v>
      </c>
      <c r="E1119" s="5" t="s">
        <v>461</v>
      </c>
      <c r="F1119" s="9" t="s">
        <v>733</v>
      </c>
      <c r="G1119" s="9">
        <v>1445</v>
      </c>
      <c r="H1119" s="5" t="s">
        <v>21</v>
      </c>
      <c r="I1119" s="5" t="s">
        <v>3035</v>
      </c>
      <c r="J1119" s="12" t="str">
        <f>HYPERLINK("https://www.boe.es/gazeta/dias/1808/11/08/pdfs/GMD-1808-142.pdf#page=7","Abrir facsímil")</f>
        <v>Abrir facsímil</v>
      </c>
      <c r="K1119" s="15" t="s">
        <v>23</v>
      </c>
    </row>
    <row r="1120" spans="1:11" ht="42" customHeight="1">
      <c r="A1120" s="4" t="s">
        <v>3036</v>
      </c>
      <c r="B1120" s="5" t="s">
        <v>3037</v>
      </c>
      <c r="C1120" s="5" t="s">
        <v>33</v>
      </c>
      <c r="D1120" s="5" t="s">
        <v>34</v>
      </c>
      <c r="E1120" s="5" t="s">
        <v>153</v>
      </c>
      <c r="F1120" s="9" t="s">
        <v>154</v>
      </c>
      <c r="G1120" s="9" t="s">
        <v>199</v>
      </c>
      <c r="H1120" s="5" t="s">
        <v>21</v>
      </c>
      <c r="I1120" s="5" t="s">
        <v>3038</v>
      </c>
      <c r="J1120" s="12" t="str">
        <f>HYPERLINK("https://www.boe.es/gazeta/dias/1808/09/09/pdfs/GMD-C-1808-121.pdf#page=2","Abrir facsímil")</f>
        <v>Abrir facsímil</v>
      </c>
      <c r="K1120" s="15" t="s">
        <v>23</v>
      </c>
    </row>
    <row r="1121" spans="1:11" ht="42" customHeight="1">
      <c r="A1121" s="4" t="s">
        <v>3039</v>
      </c>
      <c r="B1121" s="5" t="s">
        <v>3040</v>
      </c>
      <c r="C1121" s="5" t="s">
        <v>17</v>
      </c>
      <c r="D1121" s="5" t="s">
        <v>18</v>
      </c>
      <c r="E1121" s="5" t="s">
        <v>203</v>
      </c>
      <c r="F1121" s="9" t="s">
        <v>204</v>
      </c>
      <c r="G1121" s="9">
        <v>140</v>
      </c>
      <c r="H1121" s="5" t="s">
        <v>21</v>
      </c>
      <c r="I1121" s="5" t="s">
        <v>3041</v>
      </c>
      <c r="J1121" s="12" t="str">
        <f>HYPERLINK("https://www.boe.es/gazeta/dias/1808/02/09/pdfs/GMD-1808-12.pdf#page=8","Abrir facsímil")</f>
        <v>Abrir facsímil</v>
      </c>
      <c r="K1121" s="15" t="s">
        <v>23</v>
      </c>
    </row>
    <row r="1122" spans="1:11" ht="42" customHeight="1">
      <c r="A1122" s="4" t="s">
        <v>3042</v>
      </c>
      <c r="B1122" s="5" t="s">
        <v>3043</v>
      </c>
      <c r="C1122" s="5" t="s">
        <v>17</v>
      </c>
      <c r="D1122" s="5" t="s">
        <v>18</v>
      </c>
      <c r="E1122" s="5" t="s">
        <v>493</v>
      </c>
      <c r="F1122" s="9" t="s">
        <v>494</v>
      </c>
      <c r="G1122" s="9">
        <v>43</v>
      </c>
      <c r="H1122" s="5" t="s">
        <v>21</v>
      </c>
      <c r="I1122" s="5" t="s">
        <v>3044</v>
      </c>
      <c r="J1122" s="12" t="str">
        <f>HYPERLINK("https://www.boe.es/gazeta/dias/1808/01/12/pdfs/GMD-1808-4.pdf#page=7","Abrir facsímil")</f>
        <v>Abrir facsímil</v>
      </c>
      <c r="K1122" s="15" t="s">
        <v>23</v>
      </c>
    </row>
    <row r="1123" spans="1:11" ht="42" customHeight="1">
      <c r="A1123" s="4" t="s">
        <v>3045</v>
      </c>
      <c r="B1123" s="5" t="s">
        <v>3046</v>
      </c>
      <c r="C1123" s="5" t="s">
        <v>33</v>
      </c>
      <c r="D1123" s="5" t="s">
        <v>34</v>
      </c>
      <c r="E1123" s="5" t="s">
        <v>35</v>
      </c>
      <c r="F1123" s="9" t="s">
        <v>36</v>
      </c>
      <c r="G1123" s="9" t="s">
        <v>818</v>
      </c>
      <c r="H1123" s="5" t="s">
        <v>21</v>
      </c>
      <c r="I1123" s="5" t="s">
        <v>3047</v>
      </c>
      <c r="J1123" s="12" t="str">
        <f>HYPERLINK("https://www.boe.es/gazeta/dias/1808/04/22/pdfs/GMD-C-1808-38.pdf#page=7","Abrir facsímil")</f>
        <v>Abrir facsímil</v>
      </c>
      <c r="K1123" s="15" t="s">
        <v>23</v>
      </c>
    </row>
    <row r="1124" spans="1:11" ht="42" customHeight="1">
      <c r="A1124" s="4" t="s">
        <v>3048</v>
      </c>
      <c r="B1124" s="5" t="s">
        <v>3049</v>
      </c>
      <c r="C1124" s="5" t="s">
        <v>94</v>
      </c>
      <c r="D1124" s="5" t="s">
        <v>95</v>
      </c>
      <c r="E1124" s="5" t="s">
        <v>919</v>
      </c>
      <c r="F1124" s="9" t="s">
        <v>920</v>
      </c>
      <c r="G1124" s="9">
        <v>493</v>
      </c>
      <c r="H1124" s="5" t="s">
        <v>21</v>
      </c>
      <c r="I1124" s="5" t="s">
        <v>3050</v>
      </c>
      <c r="J1124" s="12" t="str">
        <f>HYPERLINK("https://www.boe.es/gazeta/dias/1808/05/24/pdfs/GMD-1808-49.pdf#page=9","Abrir facsímil")</f>
        <v>Abrir facsímil</v>
      </c>
      <c r="K1124" s="15" t="s">
        <v>23</v>
      </c>
    </row>
    <row r="1125" spans="1:11" ht="42" customHeight="1">
      <c r="A1125" s="4" t="s">
        <v>3051</v>
      </c>
      <c r="B1125" s="5" t="s">
        <v>3052</v>
      </c>
      <c r="C1125" s="5" t="s">
        <v>17</v>
      </c>
      <c r="D1125" s="5" t="s">
        <v>18</v>
      </c>
      <c r="E1125" s="5" t="s">
        <v>84</v>
      </c>
      <c r="F1125" s="9" t="s">
        <v>85</v>
      </c>
      <c r="G1125" s="9">
        <v>1161</v>
      </c>
      <c r="H1125" s="5" t="s">
        <v>21</v>
      </c>
      <c r="I1125" s="5" t="s">
        <v>3053</v>
      </c>
      <c r="J1125" s="12" t="str">
        <f>HYPERLINK("https://www.boe.es/gazeta/dias/1808/09/13/pdfs/GMD-1808-123.pdf#page=9","Abrir facsímil")</f>
        <v>Abrir facsímil</v>
      </c>
      <c r="K1125" s="15" t="s">
        <v>23</v>
      </c>
    </row>
    <row r="1126" spans="1:11" ht="42" customHeight="1">
      <c r="A1126" s="4" t="s">
        <v>3054</v>
      </c>
      <c r="B1126" s="5" t="s">
        <v>3054</v>
      </c>
      <c r="C1126" s="5" t="s">
        <v>33</v>
      </c>
      <c r="D1126" s="5" t="s">
        <v>34</v>
      </c>
      <c r="E1126" s="5" t="s">
        <v>89</v>
      </c>
      <c r="F1126" s="9" t="s">
        <v>563</v>
      </c>
      <c r="G1126" s="9" t="s">
        <v>106</v>
      </c>
      <c r="H1126" s="5" t="s">
        <v>21</v>
      </c>
      <c r="I1126" s="5" t="s">
        <v>3055</v>
      </c>
      <c r="J1126" s="12" t="str">
        <f>HYPERLINK("https://www.boe.es/gazeta/dias/1808/10/25/pdfs/GMD-D-1808-137.pdf#page=3","Abrir facsímil")</f>
        <v>Abrir facsímil</v>
      </c>
      <c r="K1126" s="15" t="s">
        <v>23</v>
      </c>
    </row>
    <row r="1127" spans="1:11" ht="42" customHeight="1">
      <c r="A1127" s="4" t="s">
        <v>3056</v>
      </c>
      <c r="B1127" s="5" t="s">
        <v>3056</v>
      </c>
      <c r="C1127" s="5" t="s">
        <v>17</v>
      </c>
      <c r="D1127" s="5" t="s">
        <v>18</v>
      </c>
      <c r="E1127" s="5" t="s">
        <v>73</v>
      </c>
      <c r="F1127" s="9" t="s">
        <v>581</v>
      </c>
      <c r="G1127" s="9">
        <v>1468</v>
      </c>
      <c r="H1127" s="5" t="s">
        <v>21</v>
      </c>
      <c r="I1127" s="5" t="s">
        <v>3057</v>
      </c>
      <c r="J1127" s="12" t="str">
        <f>HYPERLINK("https://www.boe.es/gazeta/dias/1808/11/11/pdfs/GMD-1808-143.pdf#page=10","Abrir facsímil")</f>
        <v>Abrir facsímil</v>
      </c>
      <c r="K1127" s="15" t="s">
        <v>23</v>
      </c>
    </row>
    <row r="1128" spans="1:11" ht="42" customHeight="1">
      <c r="A1128" s="4" t="s">
        <v>3058</v>
      </c>
      <c r="B1128" s="5" t="s">
        <v>3059</v>
      </c>
      <c r="C1128" s="5" t="s">
        <v>94</v>
      </c>
      <c r="D1128" s="5" t="s">
        <v>95</v>
      </c>
      <c r="E1128" s="5" t="s">
        <v>203</v>
      </c>
      <c r="F1128" s="9" t="s">
        <v>204</v>
      </c>
      <c r="G1128" s="9">
        <v>140</v>
      </c>
      <c r="H1128" s="5" t="s">
        <v>21</v>
      </c>
      <c r="I1128" s="5" t="s">
        <v>3060</v>
      </c>
      <c r="J1128" s="12" t="str">
        <f>HYPERLINK("https://www.boe.es/gazeta/dias/1808/02/09/pdfs/GMD-1808-12.pdf#page=8","Abrir facsímil")</f>
        <v>Abrir facsímil</v>
      </c>
      <c r="K1128" s="15" t="s">
        <v>23</v>
      </c>
    </row>
    <row r="1129" spans="1:11" ht="42" customHeight="1">
      <c r="A1129" s="4" t="s">
        <v>3061</v>
      </c>
      <c r="B1129" s="5" t="s">
        <v>3062</v>
      </c>
      <c r="C1129" s="5" t="s">
        <v>17</v>
      </c>
      <c r="D1129" s="5" t="s">
        <v>18</v>
      </c>
      <c r="E1129" s="5" t="s">
        <v>197</v>
      </c>
      <c r="F1129" s="9" t="s">
        <v>790</v>
      </c>
      <c r="G1129" s="9">
        <v>1408</v>
      </c>
      <c r="H1129" s="5" t="s">
        <v>21</v>
      </c>
      <c r="I1129" s="5" t="s">
        <v>3063</v>
      </c>
      <c r="J1129" s="12" t="str">
        <f>HYPERLINK("https://www.boe.es/gazeta/dias/1808/11/01/pdfs/GMD-1808-140.pdf#page=10","Abrir facsímil")</f>
        <v>Abrir facsímil</v>
      </c>
      <c r="K1129" s="15" t="s">
        <v>23</v>
      </c>
    </row>
    <row r="1130" spans="1:11" ht="42" customHeight="1">
      <c r="A1130" s="4" t="s">
        <v>3064</v>
      </c>
      <c r="B1130" s="5" t="s">
        <v>3065</v>
      </c>
      <c r="C1130" s="5" t="s">
        <v>94</v>
      </c>
      <c r="D1130" s="5" t="s">
        <v>95</v>
      </c>
      <c r="E1130" s="5" t="s">
        <v>548</v>
      </c>
      <c r="F1130" s="9" t="s">
        <v>549</v>
      </c>
      <c r="G1130" s="9">
        <v>276</v>
      </c>
      <c r="H1130" s="5" t="s">
        <v>21</v>
      </c>
      <c r="I1130" s="5" t="s">
        <v>3066</v>
      </c>
      <c r="J1130" s="12" t="str">
        <f>HYPERLINK("https://www.boe.es/gazeta/dias/1808/03/18/pdfs/GMD-1808-23.pdf#page=6","Abrir facsímil")</f>
        <v>Abrir facsímil</v>
      </c>
      <c r="K1130" s="15" t="s">
        <v>23</v>
      </c>
    </row>
    <row r="1131" spans="1:11" ht="42" customHeight="1">
      <c r="A1131" s="4" t="s">
        <v>3067</v>
      </c>
      <c r="B1131" s="5" t="s">
        <v>3068</v>
      </c>
      <c r="C1131" s="5" t="s">
        <v>41</v>
      </c>
      <c r="D1131" s="5" t="s">
        <v>42</v>
      </c>
      <c r="E1131" s="5" t="s">
        <v>363</v>
      </c>
      <c r="F1131" s="9" t="s">
        <v>1224</v>
      </c>
      <c r="G1131" s="9">
        <v>1189</v>
      </c>
      <c r="H1131" s="5" t="s">
        <v>21</v>
      </c>
      <c r="I1131" s="5" t="s">
        <v>3069</v>
      </c>
      <c r="J1131" s="12" t="str">
        <f>HYPERLINK("https://www.boe.es/gazeta/dias/1808/09/20/pdfs/GMD-1808-126.pdf#page=9","Abrir facsímil")</f>
        <v>Abrir facsímil</v>
      </c>
      <c r="K1131" s="15" t="s">
        <v>23</v>
      </c>
    </row>
    <row r="1132" spans="1:11" ht="42" customHeight="1">
      <c r="A1132" s="4" t="s">
        <v>3067</v>
      </c>
      <c r="B1132" s="5" t="s">
        <v>3068</v>
      </c>
      <c r="C1132" s="5" t="s">
        <v>389</v>
      </c>
      <c r="D1132" s="5" t="s">
        <v>390</v>
      </c>
      <c r="E1132" s="5" t="s">
        <v>363</v>
      </c>
      <c r="F1132" s="9" t="s">
        <v>1224</v>
      </c>
      <c r="G1132" s="9">
        <v>1192</v>
      </c>
      <c r="H1132" s="5" t="s">
        <v>21</v>
      </c>
      <c r="I1132" s="5" t="s">
        <v>3070</v>
      </c>
      <c r="J1132" s="12" t="str">
        <f>HYPERLINK("https://www.boe.es/gazeta/dias/1808/09/20/pdfs/GMD-1808-126.pdf#page=12","Abrir facsímil")</f>
        <v>Abrir facsímil</v>
      </c>
      <c r="K1132" s="15" t="s">
        <v>23</v>
      </c>
    </row>
    <row r="1133" spans="1:11" ht="42" customHeight="1">
      <c r="A1133" s="4" t="s">
        <v>3071</v>
      </c>
      <c r="B1133" s="5" t="s">
        <v>3072</v>
      </c>
      <c r="C1133" s="5" t="s">
        <v>94</v>
      </c>
      <c r="D1133" s="5" t="s">
        <v>95</v>
      </c>
      <c r="E1133" s="5" t="s">
        <v>238</v>
      </c>
      <c r="F1133" s="9" t="s">
        <v>239</v>
      </c>
      <c r="G1133" s="9">
        <v>34</v>
      </c>
      <c r="H1133" s="5" t="s">
        <v>21</v>
      </c>
      <c r="I1133" s="5" t="s">
        <v>3073</v>
      </c>
      <c r="J1133" s="12" t="str">
        <f>HYPERLINK("https://www.boe.es/gazeta/dias/1808/01/08/pdfs/GMD-1808-3.pdf#page=10","Abrir facsímil")</f>
        <v>Abrir facsímil</v>
      </c>
      <c r="K1133" s="15" t="s">
        <v>23</v>
      </c>
    </row>
    <row r="1134" spans="1:11" ht="42" customHeight="1">
      <c r="A1134" s="4" t="s">
        <v>3071</v>
      </c>
      <c r="B1134" s="5" t="s">
        <v>3072</v>
      </c>
      <c r="C1134" s="5" t="s">
        <v>33</v>
      </c>
      <c r="D1134" s="5" t="s">
        <v>34</v>
      </c>
      <c r="E1134" s="5" t="s">
        <v>513</v>
      </c>
      <c r="F1134" s="9" t="s">
        <v>3074</v>
      </c>
      <c r="G1134" s="9" t="s">
        <v>117</v>
      </c>
      <c r="H1134" s="5" t="s">
        <v>21</v>
      </c>
      <c r="I1134" s="5" t="s">
        <v>3075</v>
      </c>
      <c r="J1134" s="12" t="str">
        <f>HYPERLINK("https://www.boe.es/gazeta/dias/1808/03/22/pdfs/GMD-C-1808-24.pdf#page=1","Abrir facsímil")</f>
        <v>Abrir facsímil</v>
      </c>
      <c r="K1134" s="15" t="s">
        <v>23</v>
      </c>
    </row>
    <row r="1135" spans="1:11" ht="42" customHeight="1">
      <c r="A1135" s="4" t="s">
        <v>3071</v>
      </c>
      <c r="B1135" s="5" t="s">
        <v>3072</v>
      </c>
      <c r="C1135" s="5" t="s">
        <v>17</v>
      </c>
      <c r="D1135" s="5" t="s">
        <v>18</v>
      </c>
      <c r="E1135" s="5" t="s">
        <v>215</v>
      </c>
      <c r="F1135" s="9" t="s">
        <v>216</v>
      </c>
      <c r="G1135" s="9">
        <v>298</v>
      </c>
      <c r="H1135" s="5" t="s">
        <v>21</v>
      </c>
      <c r="I1135" s="5" t="s">
        <v>3076</v>
      </c>
      <c r="J1135" s="12" t="str">
        <f>HYPERLINK("https://www.boe.es/gazeta/dias/1808/03/25/pdfs/GMD-1808-25.pdf#page=8","Abrir facsímil")</f>
        <v>Abrir facsímil</v>
      </c>
      <c r="K1135" s="15" t="s">
        <v>23</v>
      </c>
    </row>
    <row r="1136" spans="1:11" ht="42" customHeight="1">
      <c r="A1136" s="4" t="s">
        <v>3071</v>
      </c>
      <c r="B1136" s="5" t="s">
        <v>3072</v>
      </c>
      <c r="C1136" s="5" t="s">
        <v>94</v>
      </c>
      <c r="D1136" s="5" t="s">
        <v>95</v>
      </c>
      <c r="E1136" s="5" t="s">
        <v>215</v>
      </c>
      <c r="F1136" s="9" t="s">
        <v>216</v>
      </c>
      <c r="G1136" s="9">
        <v>299</v>
      </c>
      <c r="H1136" s="5" t="s">
        <v>21</v>
      </c>
      <c r="I1136" s="5" t="s">
        <v>3077</v>
      </c>
      <c r="J1136" s="12" t="str">
        <f>HYPERLINK("https://www.boe.es/gazeta/dias/1808/03/25/pdfs/GMD-1808-25.pdf#page=9","Abrir facsímil")</f>
        <v>Abrir facsímil</v>
      </c>
      <c r="K1136" s="15" t="s">
        <v>23</v>
      </c>
    </row>
    <row r="1137" spans="1:11" ht="42" customHeight="1">
      <c r="A1137" s="4" t="s">
        <v>3071</v>
      </c>
      <c r="B1137" s="5" t="s">
        <v>3072</v>
      </c>
      <c r="C1137" s="5" t="s">
        <v>33</v>
      </c>
      <c r="D1137" s="5" t="s">
        <v>34</v>
      </c>
      <c r="E1137" s="5" t="s">
        <v>35</v>
      </c>
      <c r="F1137" s="9" t="s">
        <v>36</v>
      </c>
      <c r="G1137" s="9" t="s">
        <v>1075</v>
      </c>
      <c r="H1137" s="5" t="s">
        <v>21</v>
      </c>
      <c r="I1137" s="5" t="s">
        <v>3078</v>
      </c>
      <c r="J1137" s="12" t="str">
        <f>HYPERLINK("https://www.boe.es/gazeta/dias/1808/04/22/pdfs/GMD-C-1808-38.pdf#page=32","Abrir facsímil")</f>
        <v>Abrir facsímil</v>
      </c>
      <c r="K1137" s="15" t="s">
        <v>23</v>
      </c>
    </row>
    <row r="1138" spans="1:11" ht="42" customHeight="1">
      <c r="A1138" s="4" t="s">
        <v>3071</v>
      </c>
      <c r="B1138" s="5" t="s">
        <v>3072</v>
      </c>
      <c r="C1138" s="5" t="s">
        <v>94</v>
      </c>
      <c r="D1138" s="5" t="s">
        <v>95</v>
      </c>
      <c r="E1138" s="5" t="s">
        <v>1702</v>
      </c>
      <c r="F1138" s="9" t="s">
        <v>3079</v>
      </c>
      <c r="G1138" s="9">
        <v>797</v>
      </c>
      <c r="H1138" s="5" t="s">
        <v>21</v>
      </c>
      <c r="I1138" s="5" t="s">
        <v>3080</v>
      </c>
      <c r="J1138" s="12" t="str">
        <f>HYPERLINK("https://www.boe.es/gazeta/dias/1808/07/13/pdfs/GMD-1808-85.pdf#page=7","Abrir facsímil")</f>
        <v>Abrir facsímil</v>
      </c>
      <c r="K1138" s="15" t="s">
        <v>23</v>
      </c>
    </row>
    <row r="1139" spans="1:11" ht="42" customHeight="1">
      <c r="A1139" s="4" t="s">
        <v>3071</v>
      </c>
      <c r="B1139" s="5" t="s">
        <v>3072</v>
      </c>
      <c r="C1139" s="5" t="s">
        <v>33</v>
      </c>
      <c r="D1139" s="5" t="s">
        <v>34</v>
      </c>
      <c r="E1139" s="5" t="s">
        <v>418</v>
      </c>
      <c r="F1139" s="9" t="s">
        <v>419</v>
      </c>
      <c r="G1139" s="9">
        <v>1131</v>
      </c>
      <c r="H1139" s="5" t="s">
        <v>21</v>
      </c>
      <c r="I1139" s="5" t="s">
        <v>3081</v>
      </c>
      <c r="J1139" s="12" t="str">
        <f>HYPERLINK("https://www.boe.es/gazeta/dias/1808/09/06/pdfs/GMD-C-1808-120.pdf#page=5","Abrir facsímil")</f>
        <v>Abrir facsímil</v>
      </c>
      <c r="K1139" s="15" t="s">
        <v>23</v>
      </c>
    </row>
    <row r="1140" spans="1:11" ht="42" customHeight="1">
      <c r="A1140" s="4" t="s">
        <v>3082</v>
      </c>
      <c r="B1140" s="5" t="s">
        <v>3083</v>
      </c>
      <c r="C1140" s="5" t="s">
        <v>17</v>
      </c>
      <c r="D1140" s="5" t="s">
        <v>18</v>
      </c>
      <c r="E1140" s="5" t="s">
        <v>84</v>
      </c>
      <c r="F1140" s="9" t="s">
        <v>85</v>
      </c>
      <c r="G1140" s="9">
        <v>1161</v>
      </c>
      <c r="H1140" s="5" t="s">
        <v>21</v>
      </c>
      <c r="I1140" s="5" t="s">
        <v>3084</v>
      </c>
      <c r="J1140" s="12" t="str">
        <f>HYPERLINK("https://www.boe.es/gazeta/dias/1808/09/13/pdfs/GMD-1808-123.pdf#page=9","Abrir facsímil")</f>
        <v>Abrir facsímil</v>
      </c>
      <c r="K1140" s="15" t="s">
        <v>23</v>
      </c>
    </row>
    <row r="1141" spans="1:11" ht="42" customHeight="1">
      <c r="A1141" s="4" t="s">
        <v>3071</v>
      </c>
      <c r="B1141" s="5" t="s">
        <v>3072</v>
      </c>
      <c r="C1141" s="5" t="s">
        <v>33</v>
      </c>
      <c r="D1141" s="5" t="s">
        <v>34</v>
      </c>
      <c r="E1141" s="5" t="s">
        <v>334</v>
      </c>
      <c r="F1141" s="9" t="s">
        <v>335</v>
      </c>
      <c r="G1141" s="9">
        <v>1256</v>
      </c>
      <c r="H1141" s="5" t="s">
        <v>21</v>
      </c>
      <c r="I1141" s="5" t="s">
        <v>3085</v>
      </c>
      <c r="J1141" s="12" t="str">
        <f>HYPERLINK("https://www.boe.es/gazeta/dias/1808/10/04/pdfs/GMD-C-1808-131.pdf#page=8","Abrir facsímil")</f>
        <v>Abrir facsímil</v>
      </c>
      <c r="K1141" s="15" t="s">
        <v>23</v>
      </c>
    </row>
    <row r="1142" spans="1:11" ht="42" customHeight="1">
      <c r="A1142" s="4" t="s">
        <v>3071</v>
      </c>
      <c r="B1142" s="5" t="s">
        <v>3072</v>
      </c>
      <c r="C1142" s="5" t="s">
        <v>26</v>
      </c>
      <c r="D1142" s="5" t="s">
        <v>27</v>
      </c>
      <c r="E1142" s="5" t="s">
        <v>125</v>
      </c>
      <c r="F1142" s="9" t="s">
        <v>397</v>
      </c>
      <c r="G1142" s="9">
        <v>1269</v>
      </c>
      <c r="H1142" s="5" t="s">
        <v>21</v>
      </c>
      <c r="I1142" s="5" t="s">
        <v>3086</v>
      </c>
      <c r="J1142" s="12" t="str">
        <f>HYPERLINK("https://www.boe.es/gazeta/dias/1808/10/07/pdfs/GMD-1808-132.pdf#page=9","Abrir facsímil")</f>
        <v>Abrir facsímil</v>
      </c>
      <c r="K1142" s="15" t="s">
        <v>23</v>
      </c>
    </row>
    <row r="1143" spans="1:11" ht="42" customHeight="1">
      <c r="A1143" s="4" t="s">
        <v>3087</v>
      </c>
      <c r="B1143" s="5" t="s">
        <v>3088</v>
      </c>
      <c r="C1143" s="5" t="s">
        <v>94</v>
      </c>
      <c r="D1143" s="5" t="s">
        <v>95</v>
      </c>
      <c r="E1143" s="5" t="s">
        <v>68</v>
      </c>
      <c r="F1143" s="9" t="s">
        <v>69</v>
      </c>
      <c r="G1143" s="9">
        <v>1336</v>
      </c>
      <c r="H1143" s="5" t="s">
        <v>21</v>
      </c>
      <c r="I1143" s="5" t="s">
        <v>3089</v>
      </c>
      <c r="J1143" s="12" t="str">
        <f>HYPERLINK("https://www.boe.es/gazeta/dias/1808/10/21/pdfs/GMD-1808-136.pdf#page=8","Abrir facsímil")</f>
        <v>Abrir facsímil</v>
      </c>
      <c r="K1143" s="15" t="s">
        <v>23</v>
      </c>
    </row>
    <row r="1144" spans="1:11" ht="42" customHeight="1">
      <c r="A1144" s="4" t="s">
        <v>3071</v>
      </c>
      <c r="B1144" s="5" t="s">
        <v>3072</v>
      </c>
      <c r="C1144" s="5" t="s">
        <v>389</v>
      </c>
      <c r="D1144" s="5" t="s">
        <v>390</v>
      </c>
      <c r="E1144" s="5" t="s">
        <v>73</v>
      </c>
      <c r="F1144" s="9" t="s">
        <v>581</v>
      </c>
      <c r="G1144" s="9">
        <v>1461</v>
      </c>
      <c r="H1144" s="5" t="s">
        <v>21</v>
      </c>
      <c r="I1144" s="5" t="s">
        <v>3090</v>
      </c>
      <c r="J1144" s="12" t="str">
        <f>HYPERLINK("https://www.boe.es/gazeta/dias/1808/11/11/pdfs/GMD-1808-143.pdf#page=3","Abrir facsímil")</f>
        <v>Abrir facsímil</v>
      </c>
      <c r="K1144" s="15" t="s">
        <v>23</v>
      </c>
    </row>
    <row r="1145" spans="1:11" ht="42" customHeight="1">
      <c r="A1145" s="4" t="s">
        <v>3071</v>
      </c>
      <c r="B1145" s="5" t="s">
        <v>3072</v>
      </c>
      <c r="C1145" s="5" t="s">
        <v>17</v>
      </c>
      <c r="D1145" s="5" t="s">
        <v>18</v>
      </c>
      <c r="E1145" s="5" t="s">
        <v>427</v>
      </c>
      <c r="F1145" s="9" t="s">
        <v>1802</v>
      </c>
      <c r="G1145" s="9">
        <v>1521</v>
      </c>
      <c r="H1145" s="5" t="s">
        <v>21</v>
      </c>
      <c r="I1145" s="5" t="s">
        <v>3091</v>
      </c>
      <c r="J1145" s="12" t="str">
        <f>HYPERLINK("https://www.boe.es/gazeta/dias/1808/11/22/pdfs/GMD-1808-146.pdf#page=7","Abrir facsímil")</f>
        <v>Abrir facsímil</v>
      </c>
      <c r="K1145" s="15" t="s">
        <v>23</v>
      </c>
    </row>
    <row r="1146" spans="1:11" ht="42" customHeight="1">
      <c r="A1146" s="4" t="s">
        <v>3092</v>
      </c>
      <c r="B1146" s="5" t="s">
        <v>3093</v>
      </c>
      <c r="C1146" s="5" t="s">
        <v>17</v>
      </c>
      <c r="D1146" s="5" t="s">
        <v>18</v>
      </c>
      <c r="E1146" s="5" t="s">
        <v>469</v>
      </c>
      <c r="F1146" s="9" t="s">
        <v>470</v>
      </c>
      <c r="G1146" s="9">
        <v>150</v>
      </c>
      <c r="H1146" s="5" t="s">
        <v>21</v>
      </c>
      <c r="I1146" s="5" t="s">
        <v>3094</v>
      </c>
      <c r="J1146" s="12" t="str">
        <f>HYPERLINK("https://www.boe.es/gazeta/dias/1808/02/12/pdfs/GMD-1808-13.pdf#page=6","Abrir facsímil")</f>
        <v>Abrir facsímil</v>
      </c>
      <c r="K1146" s="15" t="s">
        <v>23</v>
      </c>
    </row>
    <row r="1147" spans="1:11" ht="42" customHeight="1">
      <c r="A1147" s="4" t="s">
        <v>3095</v>
      </c>
      <c r="B1147" s="5" t="s">
        <v>3096</v>
      </c>
      <c r="C1147" s="5" t="s">
        <v>17</v>
      </c>
      <c r="D1147" s="5" t="s">
        <v>18</v>
      </c>
      <c r="E1147" s="5" t="s">
        <v>3097</v>
      </c>
      <c r="F1147" s="9" t="s">
        <v>3098</v>
      </c>
      <c r="G1147" s="9">
        <v>830</v>
      </c>
      <c r="H1147" s="5" t="s">
        <v>21</v>
      </c>
      <c r="I1147" s="5" t="s">
        <v>3099</v>
      </c>
      <c r="J1147" s="12" t="str">
        <f>HYPERLINK("https://www.boe.es/gazeta/dias/1808/07/17/pdfs/GMD-1808-89.pdf#page=8","Abrir facsímil")</f>
        <v>Abrir facsímil</v>
      </c>
      <c r="K1147" s="15" t="s">
        <v>23</v>
      </c>
    </row>
    <row r="1148" spans="1:11" ht="42" customHeight="1">
      <c r="A1148" s="4" t="s">
        <v>3100</v>
      </c>
      <c r="B1148" s="5" t="s">
        <v>3101</v>
      </c>
      <c r="C1148" s="5" t="s">
        <v>33</v>
      </c>
      <c r="D1148" s="5" t="s">
        <v>34</v>
      </c>
      <c r="E1148" s="5" t="s">
        <v>35</v>
      </c>
      <c r="F1148" s="9" t="s">
        <v>36</v>
      </c>
      <c r="G1148" s="9" t="s">
        <v>43</v>
      </c>
      <c r="H1148" s="5" t="s">
        <v>21</v>
      </c>
      <c r="I1148" s="5" t="s">
        <v>3102</v>
      </c>
      <c r="J1148" s="12" t="str">
        <f>HYPERLINK("https://www.boe.es/gazeta/dias/1808/04/22/pdfs/GMD-C-1808-38.pdf#page=30","Abrir facsímil")</f>
        <v>Abrir facsímil</v>
      </c>
      <c r="K1148" s="15" t="s">
        <v>23</v>
      </c>
    </row>
    <row r="1149" spans="1:11" ht="42" customHeight="1">
      <c r="A1149" s="4" t="s">
        <v>3103</v>
      </c>
      <c r="B1149" s="5" t="s">
        <v>3104</v>
      </c>
      <c r="C1149" s="5" t="s">
        <v>260</v>
      </c>
      <c r="D1149" s="5" t="s">
        <v>42</v>
      </c>
      <c r="E1149" s="5" t="s">
        <v>493</v>
      </c>
      <c r="F1149" s="9" t="s">
        <v>494</v>
      </c>
      <c r="G1149" s="9">
        <v>45</v>
      </c>
      <c r="H1149" s="5" t="s">
        <v>21</v>
      </c>
      <c r="I1149" s="5" t="s">
        <v>3105</v>
      </c>
      <c r="J1149" s="12" t="str">
        <f>HYPERLINK("https://www.boe.es/gazeta/dias/1808/01/12/pdfs/GMD-1808-4.pdf#page=9","Abrir facsímil")</f>
        <v>Abrir facsímil</v>
      </c>
      <c r="K1149" s="15" t="s">
        <v>23</v>
      </c>
    </row>
    <row r="1150" spans="1:11" ht="42" customHeight="1">
      <c r="A1150" s="4" t="s">
        <v>3106</v>
      </c>
      <c r="B1150" s="5" t="s">
        <v>3107</v>
      </c>
      <c r="C1150" s="5" t="s">
        <v>33</v>
      </c>
      <c r="D1150" s="5" t="s">
        <v>34</v>
      </c>
      <c r="E1150" s="5" t="s">
        <v>558</v>
      </c>
      <c r="F1150" s="9" t="s">
        <v>758</v>
      </c>
      <c r="G1150" s="9" t="s">
        <v>117</v>
      </c>
      <c r="H1150" s="5" t="s">
        <v>21</v>
      </c>
      <c r="I1150" s="5" t="s">
        <v>3108</v>
      </c>
      <c r="J1150" s="12" t="str">
        <f>HYPERLINK("https://www.boe.es/gazeta/dias/1808/11/25/pdfs/GMD-E-1808-147.pdf#page=1","Abrir facsímil")</f>
        <v>Abrir facsímil</v>
      </c>
      <c r="K1150" s="15" t="s">
        <v>23</v>
      </c>
    </row>
    <row r="1151" spans="1:11" ht="42" customHeight="1">
      <c r="A1151" s="4" t="s">
        <v>3109</v>
      </c>
      <c r="B1151" s="5" t="s">
        <v>3109</v>
      </c>
      <c r="C1151" s="5" t="s">
        <v>17</v>
      </c>
      <c r="D1151" s="5" t="s">
        <v>18</v>
      </c>
      <c r="E1151" s="5" t="s">
        <v>974</v>
      </c>
      <c r="F1151" s="9" t="s">
        <v>975</v>
      </c>
      <c r="G1151" s="9">
        <v>389</v>
      </c>
      <c r="H1151" s="5" t="s">
        <v>21</v>
      </c>
      <c r="I1151" s="5" t="s">
        <v>3110</v>
      </c>
      <c r="J1151" s="12" t="str">
        <f>HYPERLINK("https://www.boe.es/gazeta/dias/1808/04/19/pdfs/GMD-1808-37.pdf#page=5","Abrir facsímil")</f>
        <v>Abrir facsímil</v>
      </c>
      <c r="K1151" s="15" t="s">
        <v>23</v>
      </c>
    </row>
    <row r="1152" spans="1:11" ht="42" customHeight="1">
      <c r="A1152" s="4" t="s">
        <v>3111</v>
      </c>
      <c r="B1152" s="5" t="s">
        <v>3111</v>
      </c>
      <c r="C1152" s="5" t="s">
        <v>17</v>
      </c>
      <c r="D1152" s="5" t="s">
        <v>18</v>
      </c>
      <c r="E1152" s="5" t="s">
        <v>61</v>
      </c>
      <c r="F1152" s="9" t="s">
        <v>62</v>
      </c>
      <c r="G1152" s="9">
        <v>1273</v>
      </c>
      <c r="H1152" s="5" t="s">
        <v>21</v>
      </c>
      <c r="I1152" s="5" t="s">
        <v>3112</v>
      </c>
      <c r="J1152" s="12" t="str">
        <f>HYPERLINK("https://www.boe.es/gazeta/dias/1808/10/11/pdfs/GMD-1808-133.pdf#page=1","Abrir facsímil")</f>
        <v>Abrir facsímil</v>
      </c>
      <c r="K1152" s="15" t="s">
        <v>23</v>
      </c>
    </row>
    <row r="1153" spans="1:11" ht="42" customHeight="1">
      <c r="A1153" s="4" t="s">
        <v>3111</v>
      </c>
      <c r="B1153" s="5" t="s">
        <v>3111</v>
      </c>
      <c r="C1153" s="5" t="s">
        <v>17</v>
      </c>
      <c r="D1153" s="5" t="s">
        <v>18</v>
      </c>
      <c r="E1153" s="5" t="s">
        <v>180</v>
      </c>
      <c r="F1153" s="9" t="s">
        <v>2568</v>
      </c>
      <c r="G1153" s="9">
        <v>1493</v>
      </c>
      <c r="H1153" s="5" t="s">
        <v>21</v>
      </c>
      <c r="I1153" s="5" t="s">
        <v>3113</v>
      </c>
      <c r="J1153" s="12" t="str">
        <f>HYPERLINK("https://www.boe.es/gazeta/dias/1808/11/15/pdfs/GMD-1808-144.pdf#page=7","Abrir facsímil")</f>
        <v>Abrir facsímil</v>
      </c>
      <c r="K1153" s="15" t="s">
        <v>23</v>
      </c>
    </row>
    <row r="1154" spans="1:11" ht="42" customHeight="1">
      <c r="A1154" s="4" t="s">
        <v>3111</v>
      </c>
      <c r="B1154" s="5" t="s">
        <v>3111</v>
      </c>
      <c r="C1154" s="5" t="s">
        <v>17</v>
      </c>
      <c r="D1154" s="5" t="s">
        <v>18</v>
      </c>
      <c r="E1154" s="5" t="s">
        <v>1286</v>
      </c>
      <c r="F1154" s="9" t="s">
        <v>1287</v>
      </c>
      <c r="G1154" s="9">
        <v>1626</v>
      </c>
      <c r="H1154" s="5" t="s">
        <v>21</v>
      </c>
      <c r="I1154" s="5" t="s">
        <v>3114</v>
      </c>
      <c r="J1154" s="12" t="str">
        <f>HYPERLINK("https://www.boe.es/gazeta/dias/1808/12/17/pdfs/GMD-1808-157.pdf#page=6","Abrir facsímil")</f>
        <v>Abrir facsímil</v>
      </c>
      <c r="K1154" s="15" t="s">
        <v>23</v>
      </c>
    </row>
    <row r="1155" spans="1:11" ht="42" customHeight="1">
      <c r="A1155" s="4" t="s">
        <v>3115</v>
      </c>
      <c r="B1155" s="5" t="s">
        <v>3115</v>
      </c>
      <c r="C1155" s="5" t="s">
        <v>17</v>
      </c>
      <c r="D1155" s="5" t="s">
        <v>18</v>
      </c>
      <c r="E1155" s="5" t="s">
        <v>804</v>
      </c>
      <c r="F1155" s="9" t="s">
        <v>3116</v>
      </c>
      <c r="G1155" s="9">
        <v>155</v>
      </c>
      <c r="H1155" s="5" t="s">
        <v>21</v>
      </c>
      <c r="I1155" s="5" t="s">
        <v>3117</v>
      </c>
      <c r="J1155" s="12" t="str">
        <f>HYPERLINK("https://www.boe.es/gazeta/dias/1808/08/05/pdfs/GMS-1808-20.pdf#page=3","Abrir facsímil")</f>
        <v>Abrir facsímil</v>
      </c>
      <c r="K1155" s="15" t="s">
        <v>23</v>
      </c>
    </row>
    <row r="1156" spans="1:11" ht="42" customHeight="1">
      <c r="A1156" s="4" t="s">
        <v>3118</v>
      </c>
      <c r="B1156" s="5" t="s">
        <v>3118</v>
      </c>
      <c r="C1156" s="5" t="s">
        <v>101</v>
      </c>
      <c r="D1156" s="5" t="s">
        <v>102</v>
      </c>
      <c r="E1156" s="5" t="s">
        <v>1085</v>
      </c>
      <c r="F1156" s="9" t="s">
        <v>1086</v>
      </c>
      <c r="G1156" s="9">
        <v>102</v>
      </c>
      <c r="H1156" s="5" t="s">
        <v>21</v>
      </c>
      <c r="I1156" s="5" t="s">
        <v>3119</v>
      </c>
      <c r="J1156" s="12" t="str">
        <f>HYPERLINK("https://www.boe.es/gazeta/dias/1808/01/29/pdfs/GMD-1808-9.pdf#page=6","Abrir facsímil")</f>
        <v>Abrir facsímil</v>
      </c>
      <c r="K1156" s="15" t="s">
        <v>23</v>
      </c>
    </row>
    <row r="1157" spans="1:11" ht="42" customHeight="1">
      <c r="A1157" s="4" t="s">
        <v>3120</v>
      </c>
      <c r="B1157" s="5" t="s">
        <v>3120</v>
      </c>
      <c r="C1157" s="5" t="s">
        <v>17</v>
      </c>
      <c r="D1157" s="5" t="s">
        <v>18</v>
      </c>
      <c r="E1157" s="5" t="s">
        <v>714</v>
      </c>
      <c r="F1157" s="9" t="s">
        <v>2736</v>
      </c>
      <c r="G1157" s="9">
        <v>817</v>
      </c>
      <c r="H1157" s="5" t="s">
        <v>21</v>
      </c>
      <c r="I1157" s="5" t="s">
        <v>3121</v>
      </c>
      <c r="J1157" s="12" t="str">
        <f>HYPERLINK("https://www.boe.es/gazeta/dias/1808/07/16/pdfs/GMD-1808-88.pdf#page=3","Abrir facsímil")</f>
        <v>Abrir facsímil</v>
      </c>
      <c r="K1157" s="15" t="s">
        <v>23</v>
      </c>
    </row>
    <row r="1158" spans="1:11" ht="42" customHeight="1">
      <c r="A1158" s="4" t="s">
        <v>3122</v>
      </c>
      <c r="B1158" s="5" t="s">
        <v>3123</v>
      </c>
      <c r="C1158" s="5" t="s">
        <v>17</v>
      </c>
      <c r="D1158" s="5" t="s">
        <v>18</v>
      </c>
      <c r="E1158" s="5" t="s">
        <v>130</v>
      </c>
      <c r="F1158" s="9" t="s">
        <v>131</v>
      </c>
      <c r="G1158" s="9">
        <v>1603</v>
      </c>
      <c r="H1158" s="5" t="s">
        <v>21</v>
      </c>
      <c r="I1158" s="5" t="s">
        <v>3124</v>
      </c>
      <c r="J1158" s="12" t="str">
        <f>HYPERLINK("https://www.boe.es/gazeta/dias/1808/12/15/pdfs/GMD-1808-155.pdf#page=7","Abrir facsímil")</f>
        <v>Abrir facsímil</v>
      </c>
      <c r="K1158" s="15" t="s">
        <v>23</v>
      </c>
    </row>
    <row r="1159" spans="1:11" ht="42" customHeight="1">
      <c r="A1159" s="4" t="s">
        <v>3125</v>
      </c>
      <c r="B1159" s="5" t="s">
        <v>3126</v>
      </c>
      <c r="C1159" s="5" t="s">
        <v>17</v>
      </c>
      <c r="D1159" s="5" t="s">
        <v>18</v>
      </c>
      <c r="E1159" s="5" t="s">
        <v>51</v>
      </c>
      <c r="F1159" s="9" t="s">
        <v>1366</v>
      </c>
      <c r="G1159" s="9">
        <v>164</v>
      </c>
      <c r="H1159" s="5" t="s">
        <v>21</v>
      </c>
      <c r="I1159" s="5" t="s">
        <v>3127</v>
      </c>
      <c r="J1159" s="12" t="str">
        <f>HYPERLINK("https://www.boe.es/gazeta/dias/1808/08/09/pdfs/GMS-1808-21.pdf#page=4","Abrir facsímil")</f>
        <v>Abrir facsímil</v>
      </c>
      <c r="K1159" s="15" t="s">
        <v>23</v>
      </c>
    </row>
    <row r="1160" spans="1:11" ht="42" customHeight="1">
      <c r="A1160" s="4" t="s">
        <v>3128</v>
      </c>
      <c r="B1160" s="5" t="s">
        <v>3129</v>
      </c>
      <c r="C1160" s="5" t="s">
        <v>33</v>
      </c>
      <c r="D1160" s="5" t="s">
        <v>34</v>
      </c>
      <c r="E1160" s="5" t="s">
        <v>35</v>
      </c>
      <c r="F1160" s="9" t="s">
        <v>36</v>
      </c>
      <c r="G1160" s="9" t="s">
        <v>313</v>
      </c>
      <c r="H1160" s="5" t="s">
        <v>21</v>
      </c>
      <c r="I1160" s="5" t="s">
        <v>3130</v>
      </c>
      <c r="J1160" s="12" t="str">
        <f>HYPERLINK("https://www.boe.es/gazeta/dias/1808/04/22/pdfs/GMD-C-1808-38.pdf#page=29","Abrir facsímil")</f>
        <v>Abrir facsímil</v>
      </c>
      <c r="K1160" s="15" t="s">
        <v>23</v>
      </c>
    </row>
    <row r="1161" spans="1:11" ht="42" customHeight="1">
      <c r="A1161" s="4" t="s">
        <v>3131</v>
      </c>
      <c r="B1161" s="5" t="s">
        <v>3132</v>
      </c>
      <c r="C1161" s="5" t="s">
        <v>33</v>
      </c>
      <c r="D1161" s="5" t="s">
        <v>34</v>
      </c>
      <c r="E1161" s="5" t="s">
        <v>19</v>
      </c>
      <c r="F1161" s="9" t="s">
        <v>949</v>
      </c>
      <c r="G1161" s="9" t="s">
        <v>75</v>
      </c>
      <c r="H1161" s="5" t="s">
        <v>21</v>
      </c>
      <c r="I1161" s="5" t="s">
        <v>3133</v>
      </c>
      <c r="J1161" s="12" t="str">
        <f>HYPERLINK("https://www.boe.es/gazeta/dias/1808/09/30/pdfs/GMD-C-1808-130.pdf#page=4","Abrir facsímil")</f>
        <v>Abrir facsímil</v>
      </c>
      <c r="K1161" s="15" t="s">
        <v>23</v>
      </c>
    </row>
    <row r="1162" spans="1:11" ht="42" customHeight="1">
      <c r="A1162" s="4" t="s">
        <v>3134</v>
      </c>
      <c r="B1162" s="5" t="s">
        <v>3135</v>
      </c>
      <c r="C1162" s="5" t="s">
        <v>17</v>
      </c>
      <c r="D1162" s="5" t="s">
        <v>18</v>
      </c>
      <c r="E1162" s="5" t="s">
        <v>558</v>
      </c>
      <c r="F1162" s="9" t="s">
        <v>559</v>
      </c>
      <c r="G1162" s="9">
        <v>1544</v>
      </c>
      <c r="H1162" s="5" t="s">
        <v>21</v>
      </c>
      <c r="I1162" s="5" t="s">
        <v>3136</v>
      </c>
      <c r="J1162" s="12" t="str">
        <f>HYPERLINK("https://www.boe.es/gazeta/dias/1808/11/25/pdfs/GMD-1808-147.pdf#page=10","Abrir facsímil")</f>
        <v>Abrir facsímil</v>
      </c>
      <c r="K1162" s="15" t="s">
        <v>23</v>
      </c>
    </row>
    <row r="1163" spans="1:11" ht="42" customHeight="1">
      <c r="A1163" s="4" t="s">
        <v>3137</v>
      </c>
      <c r="B1163" s="5" t="s">
        <v>3138</v>
      </c>
      <c r="C1163" s="5" t="s">
        <v>33</v>
      </c>
      <c r="D1163" s="5" t="s">
        <v>34</v>
      </c>
      <c r="E1163" s="5" t="s">
        <v>391</v>
      </c>
      <c r="F1163" s="9" t="s">
        <v>588</v>
      </c>
      <c r="G1163" s="9" t="s">
        <v>117</v>
      </c>
      <c r="H1163" s="5" t="s">
        <v>21</v>
      </c>
      <c r="I1163" s="5" t="s">
        <v>3139</v>
      </c>
      <c r="J1163" s="12" t="str">
        <f>HYPERLINK("https://www.boe.es/gazeta/dias/1808/09/27/pdfs/GMD-C-1808-128.pdf#page=1","Abrir facsímil")</f>
        <v>Abrir facsímil</v>
      </c>
      <c r="K1163" s="15" t="s">
        <v>23</v>
      </c>
    </row>
    <row r="1164" spans="1:11" ht="42" customHeight="1">
      <c r="A1164" s="4" t="s">
        <v>3140</v>
      </c>
      <c r="B1164" s="5" t="s">
        <v>3141</v>
      </c>
      <c r="C1164" s="5" t="s">
        <v>94</v>
      </c>
      <c r="D1164" s="5" t="s">
        <v>95</v>
      </c>
      <c r="E1164" s="5" t="s">
        <v>203</v>
      </c>
      <c r="F1164" s="9" t="s">
        <v>204</v>
      </c>
      <c r="G1164" s="9">
        <v>141</v>
      </c>
      <c r="H1164" s="5" t="s">
        <v>21</v>
      </c>
      <c r="I1164" s="5" t="s">
        <v>3142</v>
      </c>
      <c r="J1164" s="12" t="str">
        <f>HYPERLINK("https://www.boe.es/gazeta/dias/1808/02/09/pdfs/GMD-1808-12.pdf#page=9","Abrir facsímil")</f>
        <v>Abrir facsímil</v>
      </c>
      <c r="K1164" s="15" t="s">
        <v>23</v>
      </c>
    </row>
    <row r="1165" spans="1:11" ht="42" customHeight="1">
      <c r="A1165" s="4" t="s">
        <v>3143</v>
      </c>
      <c r="B1165" s="5" t="s">
        <v>3143</v>
      </c>
      <c r="C1165" s="5" t="s">
        <v>101</v>
      </c>
      <c r="D1165" s="5" t="s">
        <v>102</v>
      </c>
      <c r="E1165" s="5" t="s">
        <v>96</v>
      </c>
      <c r="F1165" s="9" t="s">
        <v>97</v>
      </c>
      <c r="G1165" s="9">
        <v>264</v>
      </c>
      <c r="H1165" s="5" t="s">
        <v>21</v>
      </c>
      <c r="I1165" s="5" t="s">
        <v>3144</v>
      </c>
      <c r="J1165" s="12" t="str">
        <f>HYPERLINK("https://www.boe.es/gazeta/dias/1808/03/15/pdfs/GMD-1808-22.pdf#page=6","Abrir facsímil")</f>
        <v>Abrir facsímil</v>
      </c>
      <c r="K1165" s="15" t="s">
        <v>23</v>
      </c>
    </row>
    <row r="1166" spans="1:11" ht="42" customHeight="1">
      <c r="A1166" s="4" t="s">
        <v>3145</v>
      </c>
      <c r="B1166" s="5" t="s">
        <v>3145</v>
      </c>
      <c r="C1166" s="5" t="s">
        <v>17</v>
      </c>
      <c r="D1166" s="5" t="s">
        <v>18</v>
      </c>
      <c r="E1166" s="5" t="s">
        <v>1702</v>
      </c>
      <c r="F1166" s="9" t="s">
        <v>3079</v>
      </c>
      <c r="G1166" s="9">
        <v>795</v>
      </c>
      <c r="H1166" s="5" t="s">
        <v>21</v>
      </c>
      <c r="I1166" s="5" t="s">
        <v>3146</v>
      </c>
      <c r="J1166" s="12" t="str">
        <f>HYPERLINK("https://www.boe.es/gazeta/dias/1808/07/13/pdfs/GMD-1808-85.pdf#page=5","Abrir facsímil")</f>
        <v>Abrir facsímil</v>
      </c>
      <c r="K1166" s="15" t="s">
        <v>23</v>
      </c>
    </row>
    <row r="1167" spans="1:11" ht="42" customHeight="1">
      <c r="A1167" s="4" t="s">
        <v>3147</v>
      </c>
      <c r="B1167" s="5" t="s">
        <v>3148</v>
      </c>
      <c r="C1167" s="5" t="s">
        <v>17</v>
      </c>
      <c r="D1167" s="5" t="s">
        <v>18</v>
      </c>
      <c r="E1167" s="5" t="s">
        <v>51</v>
      </c>
      <c r="F1167" s="9" t="s">
        <v>52</v>
      </c>
      <c r="G1167" s="9">
        <v>991</v>
      </c>
      <c r="H1167" s="5" t="s">
        <v>21</v>
      </c>
      <c r="I1167" s="5" t="s">
        <v>3149</v>
      </c>
      <c r="J1167" s="12" t="str">
        <f>HYPERLINK("https://www.boe.es/gazeta/dias/1808/08/09/pdfs/GMD-1808-111.pdf#page=7","Abrir facsímil")</f>
        <v>Abrir facsímil</v>
      </c>
      <c r="K1167" s="15" t="s">
        <v>23</v>
      </c>
    </row>
    <row r="1168" spans="1:11" ht="42" customHeight="1">
      <c r="A1168" s="4" t="s">
        <v>3147</v>
      </c>
      <c r="B1168" s="5" t="s">
        <v>3148</v>
      </c>
      <c r="C1168" s="5" t="s">
        <v>94</v>
      </c>
      <c r="D1168" s="5" t="s">
        <v>95</v>
      </c>
      <c r="E1168" s="5" t="s">
        <v>290</v>
      </c>
      <c r="F1168" s="9" t="s">
        <v>3150</v>
      </c>
      <c r="G1168" s="9">
        <v>198</v>
      </c>
      <c r="H1168" s="5" t="s">
        <v>21</v>
      </c>
      <c r="I1168" s="5" t="s">
        <v>3151</v>
      </c>
      <c r="J1168" s="12" t="str">
        <f>HYPERLINK("https://www.boe.es/gazeta/dias/1808/08/23/pdfs/GMS-1808-25.pdf#page=6","Abrir facsímil")</f>
        <v>Abrir facsímil</v>
      </c>
      <c r="K1168" s="15" t="s">
        <v>23</v>
      </c>
    </row>
    <row r="1169" spans="1:11" ht="42" customHeight="1">
      <c r="A1169" s="4" t="s">
        <v>3147</v>
      </c>
      <c r="B1169" s="5" t="s">
        <v>3148</v>
      </c>
      <c r="C1169" s="5" t="s">
        <v>17</v>
      </c>
      <c r="D1169" s="5" t="s">
        <v>18</v>
      </c>
      <c r="E1169" s="5" t="s">
        <v>54</v>
      </c>
      <c r="F1169" s="9" t="s">
        <v>55</v>
      </c>
      <c r="G1169" s="9">
        <v>1083</v>
      </c>
      <c r="H1169" s="5" t="s">
        <v>21</v>
      </c>
      <c r="I1169" s="5" t="s">
        <v>3152</v>
      </c>
      <c r="J1169" s="12" t="str">
        <f>HYPERLINK("https://www.boe.es/gazeta/dias/1808/08/26/pdfs/GMD-1808-117.pdf#page=5","Abrir facsímil")</f>
        <v>Abrir facsímil</v>
      </c>
      <c r="K1169" s="15" t="s">
        <v>23</v>
      </c>
    </row>
    <row r="1170" spans="1:11" ht="42" customHeight="1">
      <c r="A1170" s="4" t="s">
        <v>3153</v>
      </c>
      <c r="B1170" s="5" t="s">
        <v>3154</v>
      </c>
      <c r="C1170" s="5" t="s">
        <v>17</v>
      </c>
      <c r="D1170" s="5" t="s">
        <v>18</v>
      </c>
      <c r="E1170" s="5" t="s">
        <v>115</v>
      </c>
      <c r="F1170" s="9" t="s">
        <v>1650</v>
      </c>
      <c r="G1170" s="9">
        <v>1177</v>
      </c>
      <c r="H1170" s="5" t="s">
        <v>21</v>
      </c>
      <c r="I1170" s="5" t="s">
        <v>3155</v>
      </c>
      <c r="J1170" s="12" t="str">
        <f>HYPERLINK("https://www.boe.es/gazeta/dias/1808/09/16/pdfs/GMD-1808-125.pdf#page=9","Abrir facsímil")</f>
        <v>Abrir facsímil</v>
      </c>
      <c r="K1170" s="15" t="s">
        <v>23</v>
      </c>
    </row>
    <row r="1171" spans="1:11" ht="42" customHeight="1">
      <c r="A1171" s="4" t="s">
        <v>3156</v>
      </c>
      <c r="B1171" s="5" t="s">
        <v>3157</v>
      </c>
      <c r="C1171" s="5" t="s">
        <v>33</v>
      </c>
      <c r="D1171" s="5" t="s">
        <v>34</v>
      </c>
      <c r="E1171" s="5" t="s">
        <v>35</v>
      </c>
      <c r="F1171" s="9" t="s">
        <v>36</v>
      </c>
      <c r="G1171" s="9" t="s">
        <v>162</v>
      </c>
      <c r="H1171" s="5" t="s">
        <v>21</v>
      </c>
      <c r="I1171" s="5" t="s">
        <v>3158</v>
      </c>
      <c r="J1171" s="12" t="str">
        <f>HYPERLINK("https://www.boe.es/gazeta/dias/1808/04/22/pdfs/GMD-C-1808-38.pdf#page=31","Abrir facsímil")</f>
        <v>Abrir facsímil</v>
      </c>
      <c r="K1171" s="15" t="s">
        <v>23</v>
      </c>
    </row>
    <row r="1172" spans="1:11" ht="42" customHeight="1">
      <c r="A1172" s="4" t="s">
        <v>3159</v>
      </c>
      <c r="B1172" s="5" t="s">
        <v>3159</v>
      </c>
      <c r="C1172" s="5" t="s">
        <v>389</v>
      </c>
      <c r="D1172" s="5" t="s">
        <v>390</v>
      </c>
      <c r="E1172" s="5" t="s">
        <v>3160</v>
      </c>
      <c r="F1172" s="9" t="s">
        <v>3161</v>
      </c>
      <c r="G1172" s="9">
        <v>567</v>
      </c>
      <c r="H1172" s="5" t="s">
        <v>21</v>
      </c>
      <c r="I1172" s="5" t="s">
        <v>3162</v>
      </c>
      <c r="J1172" s="12" t="str">
        <f>HYPERLINK("https://www.boe.es/gazeta/dias/1808/06/14/pdfs/GMD-1808-57.pdf#page=5","Abrir facsímil")</f>
        <v>Abrir facsímil</v>
      </c>
      <c r="K1172" s="15" t="s">
        <v>23</v>
      </c>
    </row>
    <row r="1173" spans="1:11" ht="42" customHeight="1">
      <c r="A1173" s="4" t="s">
        <v>3163</v>
      </c>
      <c r="B1173" s="5" t="s">
        <v>3164</v>
      </c>
      <c r="C1173" s="5" t="s">
        <v>41</v>
      </c>
      <c r="D1173" s="5" t="s">
        <v>42</v>
      </c>
      <c r="E1173" s="5" t="s">
        <v>130</v>
      </c>
      <c r="F1173" s="9" t="s">
        <v>131</v>
      </c>
      <c r="G1173" s="9">
        <v>1603</v>
      </c>
      <c r="H1173" s="5" t="s">
        <v>21</v>
      </c>
      <c r="I1173" s="5" t="s">
        <v>3165</v>
      </c>
      <c r="J1173" s="12" t="str">
        <f>HYPERLINK("https://www.boe.es/gazeta/dias/1808/12/15/pdfs/GMD-1808-155.pdf#page=7","Abrir facsímil")</f>
        <v>Abrir facsímil</v>
      </c>
      <c r="K1173" s="15" t="s">
        <v>23</v>
      </c>
    </row>
    <row r="1174" spans="1:11" ht="42" customHeight="1">
      <c r="A1174" s="4" t="s">
        <v>3166</v>
      </c>
      <c r="B1174" s="5" t="s">
        <v>3167</v>
      </c>
      <c r="C1174" s="5" t="s">
        <v>260</v>
      </c>
      <c r="D1174" s="5" t="s">
        <v>42</v>
      </c>
      <c r="E1174" s="5" t="s">
        <v>1085</v>
      </c>
      <c r="F1174" s="9" t="s">
        <v>1086</v>
      </c>
      <c r="G1174" s="9">
        <v>104</v>
      </c>
      <c r="H1174" s="5" t="s">
        <v>21</v>
      </c>
      <c r="I1174" s="5" t="s">
        <v>3168</v>
      </c>
      <c r="J1174" s="12" t="str">
        <f>HYPERLINK("https://www.boe.es/gazeta/dias/1808/01/29/pdfs/GMD-1808-9.pdf#page=8","Abrir facsímil")</f>
        <v>Abrir facsímil</v>
      </c>
      <c r="K1174" s="15" t="s">
        <v>23</v>
      </c>
    </row>
    <row r="1175" spans="1:11" ht="42" customHeight="1">
      <c r="A1175" s="4" t="s">
        <v>3169</v>
      </c>
      <c r="B1175" s="5" t="s">
        <v>3170</v>
      </c>
      <c r="C1175" s="5" t="s">
        <v>17</v>
      </c>
      <c r="D1175" s="5" t="s">
        <v>18</v>
      </c>
      <c r="E1175" s="5" t="s">
        <v>558</v>
      </c>
      <c r="F1175" s="9" t="s">
        <v>559</v>
      </c>
      <c r="G1175" s="9">
        <v>1545</v>
      </c>
      <c r="H1175" s="5" t="s">
        <v>21</v>
      </c>
      <c r="I1175" s="5" t="s">
        <v>3171</v>
      </c>
      <c r="J1175" s="12" t="str">
        <f>HYPERLINK("https://www.boe.es/gazeta/dias/1808/11/25/pdfs/GMD-1808-147.pdf#page=11","Abrir facsímil")</f>
        <v>Abrir facsímil</v>
      </c>
      <c r="K1175" s="15" t="s">
        <v>23</v>
      </c>
    </row>
    <row r="1176" spans="1:11" ht="42" customHeight="1">
      <c r="A1176" s="4" t="s">
        <v>3172</v>
      </c>
      <c r="B1176" s="5" t="s">
        <v>3173</v>
      </c>
      <c r="C1176" s="5" t="s">
        <v>17</v>
      </c>
      <c r="D1176" s="5" t="s">
        <v>18</v>
      </c>
      <c r="E1176" s="5" t="s">
        <v>110</v>
      </c>
      <c r="F1176" s="9" t="s">
        <v>111</v>
      </c>
      <c r="G1176" s="9">
        <v>1384</v>
      </c>
      <c r="H1176" s="5" t="s">
        <v>21</v>
      </c>
      <c r="I1176" s="5" t="s">
        <v>3174</v>
      </c>
      <c r="J1176" s="12" t="str">
        <f>HYPERLINK("https://www.boe.es/gazeta/dias/1808/10/28/pdfs/GMD-1808-138.pdf#page=10","Abrir facsímil")</f>
        <v>Abrir facsímil</v>
      </c>
      <c r="K1176" s="15" t="s">
        <v>23</v>
      </c>
    </row>
    <row r="1177" spans="1:11" ht="42" customHeight="1">
      <c r="A1177" s="4" t="s">
        <v>3175</v>
      </c>
      <c r="B1177" s="5" t="s">
        <v>3176</v>
      </c>
      <c r="C1177" s="5" t="s">
        <v>17</v>
      </c>
      <c r="D1177" s="5" t="s">
        <v>18</v>
      </c>
      <c r="E1177" s="5" t="s">
        <v>539</v>
      </c>
      <c r="F1177" s="9" t="s">
        <v>540</v>
      </c>
      <c r="G1177" s="9">
        <v>1111</v>
      </c>
      <c r="H1177" s="5" t="s">
        <v>21</v>
      </c>
      <c r="I1177" s="5" t="s">
        <v>3177</v>
      </c>
      <c r="J1177" s="12" t="str">
        <f>HYPERLINK("https://www.boe.es/gazeta/dias/1808/09/02/pdfs/GMD-1808-119.pdf#page=5","Abrir facsímil")</f>
        <v>Abrir facsímil</v>
      </c>
      <c r="K1177" s="15" t="s">
        <v>23</v>
      </c>
    </row>
    <row r="1178" spans="1:11" ht="42" customHeight="1">
      <c r="A1178" s="4" t="s">
        <v>3178</v>
      </c>
      <c r="B1178" s="5" t="s">
        <v>3179</v>
      </c>
      <c r="C1178" s="5" t="s">
        <v>33</v>
      </c>
      <c r="D1178" s="5" t="s">
        <v>34</v>
      </c>
      <c r="E1178" s="5" t="s">
        <v>68</v>
      </c>
      <c r="F1178" s="9" t="s">
        <v>849</v>
      </c>
      <c r="G1178" s="9">
        <v>1348</v>
      </c>
      <c r="H1178" s="5" t="s">
        <v>21</v>
      </c>
      <c r="I1178" s="5" t="s">
        <v>3180</v>
      </c>
      <c r="J1178" s="12" t="str">
        <f>HYPERLINK("https://www.boe.es/gazeta/dias/1808/10/21/pdfs/GMD-C-1808-136.pdf#page=8","Abrir facsímil")</f>
        <v>Abrir facsímil</v>
      </c>
      <c r="K1178" s="15" t="s">
        <v>23</v>
      </c>
    </row>
    <row r="1179" spans="1:11" ht="42" customHeight="1">
      <c r="A1179" s="4" t="s">
        <v>3181</v>
      </c>
      <c r="B1179" s="5" t="s">
        <v>3182</v>
      </c>
      <c r="C1179" s="5" t="s">
        <v>17</v>
      </c>
      <c r="D1179" s="5" t="s">
        <v>18</v>
      </c>
      <c r="E1179" s="5" t="s">
        <v>51</v>
      </c>
      <c r="F1179" s="9" t="s">
        <v>1366</v>
      </c>
      <c r="G1179" s="9">
        <v>166</v>
      </c>
      <c r="H1179" s="5" t="s">
        <v>21</v>
      </c>
      <c r="I1179" s="5" t="s">
        <v>3183</v>
      </c>
      <c r="J1179" s="12" t="str">
        <f>HYPERLINK("https://www.boe.es/gazeta/dias/1808/08/09/pdfs/GMS-1808-21.pdf#page=6","Abrir facsímil")</f>
        <v>Abrir facsímil</v>
      </c>
      <c r="K1179" s="15" t="s">
        <v>23</v>
      </c>
    </row>
    <row r="1180" spans="1:11" ht="42" customHeight="1">
      <c r="A1180" s="4" t="s">
        <v>3184</v>
      </c>
      <c r="B1180" s="5" t="s">
        <v>3185</v>
      </c>
      <c r="C1180" s="5" t="s">
        <v>17</v>
      </c>
      <c r="D1180" s="5" t="s">
        <v>18</v>
      </c>
      <c r="E1180" s="5" t="s">
        <v>351</v>
      </c>
      <c r="F1180" s="9" t="s">
        <v>352</v>
      </c>
      <c r="G1180" s="9">
        <v>32</v>
      </c>
      <c r="H1180" s="5" t="s">
        <v>21</v>
      </c>
      <c r="I1180" s="5" t="s">
        <v>3186</v>
      </c>
      <c r="J1180" s="12" t="str">
        <f>HYPERLINK("https://www.boe.es/gazeta/dias/1808/06/11/pdfs/GMS-1808-4.pdf#page=8","Abrir facsímil")</f>
        <v>Abrir facsímil</v>
      </c>
      <c r="K1180" s="15" t="s">
        <v>23</v>
      </c>
    </row>
    <row r="1181" spans="1:11" ht="42" customHeight="1">
      <c r="A1181" s="4" t="s">
        <v>3184</v>
      </c>
      <c r="B1181" s="5" t="s">
        <v>3185</v>
      </c>
      <c r="C1181" s="5" t="s">
        <v>17</v>
      </c>
      <c r="D1181" s="5" t="s">
        <v>18</v>
      </c>
      <c r="E1181" s="5" t="s">
        <v>719</v>
      </c>
      <c r="F1181" s="9" t="s">
        <v>1377</v>
      </c>
      <c r="G1181" s="9">
        <v>463</v>
      </c>
      <c r="H1181" s="5" t="s">
        <v>21</v>
      </c>
      <c r="I1181" s="5" t="s">
        <v>3187</v>
      </c>
      <c r="J1181" s="12" t="str">
        <f>HYPERLINK("https://www.boe.es/gazeta/dias/1808/12/16/pdfs/GMS-1808-58.pdf#page=7","Abrir facsímil")</f>
        <v>Abrir facsímil</v>
      </c>
      <c r="K1181" s="15" t="s">
        <v>23</v>
      </c>
    </row>
    <row r="1182" spans="1:11" ht="42" customHeight="1">
      <c r="A1182" s="4" t="s">
        <v>3188</v>
      </c>
      <c r="B1182" s="5" t="s">
        <v>3189</v>
      </c>
      <c r="C1182" s="5" t="s">
        <v>17</v>
      </c>
      <c r="D1182" s="5" t="s">
        <v>18</v>
      </c>
      <c r="E1182" s="5" t="s">
        <v>513</v>
      </c>
      <c r="F1182" s="9" t="s">
        <v>514</v>
      </c>
      <c r="G1182" s="9">
        <v>288</v>
      </c>
      <c r="H1182" s="5" t="s">
        <v>21</v>
      </c>
      <c r="I1182" s="5" t="s">
        <v>3190</v>
      </c>
      <c r="J1182" s="12" t="str">
        <f>HYPERLINK("https://www.boe.es/gazeta/dias/1808/03/22/pdfs/GMD-1808-24.pdf#page=10","Abrir facsímil")</f>
        <v>Abrir facsímil</v>
      </c>
      <c r="K1182" s="15" t="s">
        <v>23</v>
      </c>
    </row>
    <row r="1183" spans="1:11" ht="42" customHeight="1">
      <c r="A1183" s="4" t="s">
        <v>3191</v>
      </c>
      <c r="B1183" s="5" t="s">
        <v>3191</v>
      </c>
      <c r="C1183" s="5" t="s">
        <v>33</v>
      </c>
      <c r="D1183" s="5" t="s">
        <v>34</v>
      </c>
      <c r="E1183" s="5" t="s">
        <v>197</v>
      </c>
      <c r="F1183" s="9" t="s">
        <v>198</v>
      </c>
      <c r="G1183" s="9" t="s">
        <v>199</v>
      </c>
      <c r="H1183" s="5" t="s">
        <v>21</v>
      </c>
      <c r="I1183" s="5" t="s">
        <v>3192</v>
      </c>
      <c r="J1183" s="12" t="str">
        <f>HYPERLINK("https://www.boe.es/gazeta/dias/1808/11/01/pdfs/GMD-D-1808-140.pdf#page=2","Abrir facsímil")</f>
        <v>Abrir facsímil</v>
      </c>
      <c r="K1183" s="15" t="s">
        <v>23</v>
      </c>
    </row>
    <row r="1184" spans="1:11" ht="42" customHeight="1">
      <c r="A1184" s="4" t="s">
        <v>3193</v>
      </c>
      <c r="B1184" s="5" t="s">
        <v>3193</v>
      </c>
      <c r="C1184" s="5" t="s">
        <v>33</v>
      </c>
      <c r="D1184" s="5" t="s">
        <v>34</v>
      </c>
      <c r="E1184" s="5" t="s">
        <v>89</v>
      </c>
      <c r="F1184" s="9" t="s">
        <v>563</v>
      </c>
      <c r="G1184" s="9" t="s">
        <v>75</v>
      </c>
      <c r="H1184" s="5" t="s">
        <v>21</v>
      </c>
      <c r="I1184" s="5" t="s">
        <v>3194</v>
      </c>
      <c r="J1184" s="12" t="str">
        <f>HYPERLINK("https://www.boe.es/gazeta/dias/1808/10/25/pdfs/GMD-D-1808-137.pdf#page=4","Abrir facsímil")</f>
        <v>Abrir facsímil</v>
      </c>
      <c r="K1184" s="15" t="s">
        <v>23</v>
      </c>
    </row>
    <row r="1185" spans="1:11" ht="42" customHeight="1">
      <c r="A1185" s="4" t="s">
        <v>3195</v>
      </c>
      <c r="B1185" s="5" t="s">
        <v>3195</v>
      </c>
      <c r="C1185" s="5" t="s">
        <v>33</v>
      </c>
      <c r="D1185" s="5" t="s">
        <v>34</v>
      </c>
      <c r="E1185" s="5" t="s">
        <v>35</v>
      </c>
      <c r="F1185" s="9" t="s">
        <v>36</v>
      </c>
      <c r="G1185" s="9" t="s">
        <v>43</v>
      </c>
      <c r="H1185" s="5" t="s">
        <v>21</v>
      </c>
      <c r="I1185" s="5" t="s">
        <v>3196</v>
      </c>
      <c r="J1185" s="12" t="str">
        <f>HYPERLINK("https://www.boe.es/gazeta/dias/1808/04/22/pdfs/GMD-C-1808-38.pdf#page=30","Abrir facsímil")</f>
        <v>Abrir facsímil</v>
      </c>
      <c r="K1185" s="15" t="s">
        <v>23</v>
      </c>
    </row>
    <row r="1186" spans="1:11" ht="42" customHeight="1">
      <c r="A1186" s="4" t="s">
        <v>3197</v>
      </c>
      <c r="B1186" s="5" t="s">
        <v>3197</v>
      </c>
      <c r="C1186" s="5" t="s">
        <v>94</v>
      </c>
      <c r="D1186" s="5" t="s">
        <v>95</v>
      </c>
      <c r="E1186" s="5" t="s">
        <v>714</v>
      </c>
      <c r="F1186" s="9" t="s">
        <v>715</v>
      </c>
      <c r="G1186" s="9">
        <v>106</v>
      </c>
      <c r="H1186" s="5" t="s">
        <v>21</v>
      </c>
      <c r="I1186" s="5" t="s">
        <v>3198</v>
      </c>
      <c r="J1186" s="12" t="str">
        <f>HYPERLINK("https://www.boe.es/gazeta/dias/1808/07/16/pdfs/GMS-1808-14.pdf#page=2","Abrir facsímil")</f>
        <v>Abrir facsímil</v>
      </c>
      <c r="K1186" s="15" t="s">
        <v>23</v>
      </c>
    </row>
    <row r="1187" spans="1:11" ht="42" customHeight="1">
      <c r="A1187" s="4" t="s">
        <v>3199</v>
      </c>
      <c r="B1187" s="5" t="s">
        <v>3199</v>
      </c>
      <c r="C1187" s="5" t="s">
        <v>94</v>
      </c>
      <c r="D1187" s="5" t="s">
        <v>95</v>
      </c>
      <c r="E1187" s="5" t="s">
        <v>1896</v>
      </c>
      <c r="F1187" s="9" t="s">
        <v>1897</v>
      </c>
      <c r="G1187" s="9">
        <v>780</v>
      </c>
      <c r="H1187" s="5" t="s">
        <v>21</v>
      </c>
      <c r="I1187" s="5" t="s">
        <v>3200</v>
      </c>
      <c r="J1187" s="12" t="str">
        <f>HYPERLINK("https://www.boe.es/gazeta/dias/1808/07/11/pdfs/GMD-1808-83.pdf#page=6","Abrir facsímil")</f>
        <v>Abrir facsímil</v>
      </c>
      <c r="K1187" s="15" t="s">
        <v>23</v>
      </c>
    </row>
    <row r="1188" spans="1:11" ht="42" customHeight="1">
      <c r="A1188" s="4" t="s">
        <v>3201</v>
      </c>
      <c r="B1188" s="5" t="s">
        <v>3201</v>
      </c>
      <c r="C1188" s="5" t="s">
        <v>41</v>
      </c>
      <c r="D1188" s="5" t="s">
        <v>42</v>
      </c>
      <c r="E1188" s="5" t="s">
        <v>339</v>
      </c>
      <c r="F1188" s="9" t="s">
        <v>340</v>
      </c>
      <c r="G1188" s="9">
        <v>82</v>
      </c>
      <c r="H1188" s="5" t="s">
        <v>21</v>
      </c>
      <c r="I1188" s="5" t="s">
        <v>3202</v>
      </c>
      <c r="J1188" s="12" t="str">
        <f>HYPERLINK("https://www.boe.es/gazeta/dias/1808/01/22/pdfs/GMD-1808-7.pdf#page=10","Abrir facsímil")</f>
        <v>Abrir facsímil</v>
      </c>
      <c r="K1188" s="15" t="s">
        <v>23</v>
      </c>
    </row>
    <row r="1189" spans="1:11" ht="42" customHeight="1">
      <c r="A1189" s="4" t="s">
        <v>3203</v>
      </c>
      <c r="B1189" s="5" t="s">
        <v>3203</v>
      </c>
      <c r="C1189" s="5" t="s">
        <v>17</v>
      </c>
      <c r="D1189" s="5" t="s">
        <v>18</v>
      </c>
      <c r="E1189" s="5" t="s">
        <v>877</v>
      </c>
      <c r="F1189" s="9" t="s">
        <v>878</v>
      </c>
      <c r="G1189" s="9">
        <v>118</v>
      </c>
      <c r="H1189" s="5" t="s">
        <v>21</v>
      </c>
      <c r="I1189" s="5" t="s">
        <v>3204</v>
      </c>
      <c r="J1189" s="12" t="str">
        <f>HYPERLINK("https://www.boe.es/gazeta/dias/1808/02/02/pdfs/GMD-1808-10.pdf#page=10","Abrir facsímil")</f>
        <v>Abrir facsímil</v>
      </c>
      <c r="K1189" s="15" t="s">
        <v>23</v>
      </c>
    </row>
    <row r="1190" spans="1:11" ht="42" customHeight="1">
      <c r="A1190" s="4" t="s">
        <v>3205</v>
      </c>
      <c r="B1190" s="5" t="s">
        <v>3206</v>
      </c>
      <c r="C1190" s="5" t="s">
        <v>101</v>
      </c>
      <c r="D1190" s="5" t="s">
        <v>102</v>
      </c>
      <c r="E1190" s="5" t="s">
        <v>1466</v>
      </c>
      <c r="F1190" s="9" t="s">
        <v>1467</v>
      </c>
      <c r="G1190" s="9">
        <v>53</v>
      </c>
      <c r="H1190" s="5" t="s">
        <v>21</v>
      </c>
      <c r="I1190" s="5" t="s">
        <v>3207</v>
      </c>
      <c r="J1190" s="12" t="str">
        <f>HYPERLINK("https://www.boe.es/gazeta/dias/1808/01/15/pdfs/GMD-1808-5.pdf#page=5","Abrir facsímil")</f>
        <v>Abrir facsímil</v>
      </c>
      <c r="K1190" s="15" t="s">
        <v>23</v>
      </c>
    </row>
    <row r="1191" spans="1:11" ht="42" customHeight="1">
      <c r="A1191" s="4" t="s">
        <v>3208</v>
      </c>
      <c r="B1191" s="5" t="s">
        <v>3209</v>
      </c>
      <c r="C1191" s="5" t="s">
        <v>33</v>
      </c>
      <c r="D1191" s="5" t="s">
        <v>34</v>
      </c>
      <c r="E1191" s="5" t="s">
        <v>19</v>
      </c>
      <c r="F1191" s="9" t="s">
        <v>949</v>
      </c>
      <c r="G1191" s="9" t="s">
        <v>199</v>
      </c>
      <c r="H1191" s="5" t="s">
        <v>21</v>
      </c>
      <c r="I1191" s="5" t="s">
        <v>3210</v>
      </c>
      <c r="J1191" s="12" t="str">
        <f>HYPERLINK("https://www.boe.es/gazeta/dias/1808/09/30/pdfs/GMD-C-1808-130.pdf#page=2","Abrir facsímil")</f>
        <v>Abrir facsímil</v>
      </c>
      <c r="K1191" s="15" t="s">
        <v>23</v>
      </c>
    </row>
    <row r="1192" spans="1:11" ht="42" customHeight="1">
      <c r="A1192" s="4" t="s">
        <v>3211</v>
      </c>
      <c r="B1192" s="5" t="s">
        <v>3212</v>
      </c>
      <c r="C1192" s="5" t="s">
        <v>17</v>
      </c>
      <c r="D1192" s="5" t="s">
        <v>18</v>
      </c>
      <c r="E1192" s="5" t="s">
        <v>61</v>
      </c>
      <c r="F1192" s="9" t="s">
        <v>62</v>
      </c>
      <c r="G1192" s="9">
        <v>1286</v>
      </c>
      <c r="H1192" s="5" t="s">
        <v>21</v>
      </c>
      <c r="I1192" s="5" t="s">
        <v>3213</v>
      </c>
      <c r="J1192" s="12" t="str">
        <f>HYPERLINK("https://www.boe.es/gazeta/dias/1808/10/11/pdfs/GMD-1808-133.pdf#page=14","Abrir facsímil")</f>
        <v>Abrir facsímil</v>
      </c>
      <c r="K1192" s="15" t="s">
        <v>23</v>
      </c>
    </row>
    <row r="1193" spans="1:11" ht="42" customHeight="1">
      <c r="A1193" s="4" t="s">
        <v>3214</v>
      </c>
      <c r="B1193" s="5" t="s">
        <v>3215</v>
      </c>
      <c r="C1193" s="5" t="s">
        <v>17</v>
      </c>
      <c r="D1193" s="5" t="s">
        <v>18</v>
      </c>
      <c r="E1193" s="5" t="s">
        <v>3216</v>
      </c>
      <c r="F1193" s="9" t="s">
        <v>3217</v>
      </c>
      <c r="G1193" s="9">
        <v>6</v>
      </c>
      <c r="H1193" s="5" t="s">
        <v>21</v>
      </c>
      <c r="I1193" s="5" t="s">
        <v>3218</v>
      </c>
      <c r="J1193" s="12" t="str">
        <f>HYPERLINK("https://www.boe.es/gazeta/dias/1808/06/01/pdfs/GMS-1808-1.pdf#page=6","Abrir facsímil")</f>
        <v>Abrir facsímil</v>
      </c>
      <c r="K1193" s="15" t="s">
        <v>23</v>
      </c>
    </row>
    <row r="1194" spans="1:11" ht="42" customHeight="1">
      <c r="A1194" s="4" t="s">
        <v>3219</v>
      </c>
      <c r="B1194" s="5" t="s">
        <v>3220</v>
      </c>
      <c r="C1194" s="5" t="s">
        <v>17</v>
      </c>
      <c r="D1194" s="5" t="s">
        <v>18</v>
      </c>
      <c r="E1194" s="5" t="s">
        <v>139</v>
      </c>
      <c r="F1194" s="9" t="s">
        <v>140</v>
      </c>
      <c r="G1194" s="9">
        <v>1204</v>
      </c>
      <c r="H1194" s="5" t="s">
        <v>21</v>
      </c>
      <c r="I1194" s="5" t="s">
        <v>3221</v>
      </c>
      <c r="J1194" s="12" t="str">
        <f>HYPERLINK("https://www.boe.es/gazeta/dias/1808/09/23/pdfs/GMD-1808-127.pdf#page=12","Abrir facsímil")</f>
        <v>Abrir facsímil</v>
      </c>
      <c r="K1194" s="15" t="s">
        <v>23</v>
      </c>
    </row>
    <row r="1195" spans="1:11" ht="42" customHeight="1">
      <c r="A1195" s="4" t="s">
        <v>3222</v>
      </c>
      <c r="B1195" s="5" t="s">
        <v>3223</v>
      </c>
      <c r="C1195" s="5" t="s">
        <v>94</v>
      </c>
      <c r="D1195" s="5" t="s">
        <v>95</v>
      </c>
      <c r="E1195" s="5" t="s">
        <v>3216</v>
      </c>
      <c r="F1195" s="9" t="s">
        <v>3217</v>
      </c>
      <c r="G1195" s="9">
        <v>6</v>
      </c>
      <c r="H1195" s="5" t="s">
        <v>21</v>
      </c>
      <c r="I1195" s="5" t="s">
        <v>3224</v>
      </c>
      <c r="J1195" s="12" t="str">
        <f>HYPERLINK("https://www.boe.es/gazeta/dias/1808/06/01/pdfs/GMS-1808-1.pdf#page=6","Abrir facsímil")</f>
        <v>Abrir facsímil</v>
      </c>
      <c r="K1195" s="15" t="s">
        <v>23</v>
      </c>
    </row>
    <row r="1196" spans="1:11" ht="42" customHeight="1">
      <c r="A1196" s="4" t="s">
        <v>3225</v>
      </c>
      <c r="B1196" s="5" t="s">
        <v>3226</v>
      </c>
      <c r="C1196" s="5" t="s">
        <v>94</v>
      </c>
      <c r="D1196" s="5" t="s">
        <v>95</v>
      </c>
      <c r="E1196" s="5" t="s">
        <v>185</v>
      </c>
      <c r="F1196" s="9" t="s">
        <v>186</v>
      </c>
      <c r="G1196" s="9">
        <v>1097</v>
      </c>
      <c r="H1196" s="5" t="s">
        <v>21</v>
      </c>
      <c r="I1196" s="5" t="s">
        <v>3227</v>
      </c>
      <c r="J1196" s="12" t="str">
        <f>HYPERLINK("https://www.boe.es/gazeta/dias/1808/08/30/pdfs/GMD-1808-118.pdf#page=3","Abrir facsímil")</f>
        <v>Abrir facsímil</v>
      </c>
      <c r="K1196" s="15" t="s">
        <v>23</v>
      </c>
    </row>
    <row r="1197" spans="1:11" ht="42" customHeight="1">
      <c r="A1197" s="4" t="s">
        <v>3228</v>
      </c>
      <c r="B1197" s="5" t="s">
        <v>3228</v>
      </c>
      <c r="C1197" s="5" t="s">
        <v>94</v>
      </c>
      <c r="D1197" s="5" t="s">
        <v>95</v>
      </c>
      <c r="E1197" s="5" t="s">
        <v>1893</v>
      </c>
      <c r="F1197" s="9" t="s">
        <v>1894</v>
      </c>
      <c r="G1197" s="9">
        <v>744</v>
      </c>
      <c r="H1197" s="5" t="s">
        <v>21</v>
      </c>
      <c r="I1197" s="5" t="s">
        <v>3229</v>
      </c>
      <c r="J1197" s="12" t="str">
        <f>HYPERLINK("https://www.boe.es/gazeta/dias/1808/07/07/pdfs/GMD-1808-79.pdf#page=2","Abrir facsímil")</f>
        <v>Abrir facsímil</v>
      </c>
      <c r="K1197" s="15" t="s">
        <v>23</v>
      </c>
    </row>
    <row r="1198" spans="1:11" ht="42" customHeight="1">
      <c r="A1198" s="4" t="s">
        <v>3230</v>
      </c>
      <c r="B1198" s="5" t="s">
        <v>3231</v>
      </c>
      <c r="C1198" s="5" t="s">
        <v>33</v>
      </c>
      <c r="D1198" s="5" t="s">
        <v>34</v>
      </c>
      <c r="E1198" s="5" t="s">
        <v>73</v>
      </c>
      <c r="F1198" s="9" t="s">
        <v>1570</v>
      </c>
      <c r="G1198" s="9">
        <v>1486</v>
      </c>
      <c r="H1198" s="5" t="s">
        <v>21</v>
      </c>
      <c r="I1198" s="5" t="s">
        <v>3232</v>
      </c>
      <c r="J1198" s="12" t="str">
        <f>HYPERLINK("https://www.boe.es/gazeta/dias/1808/11/11/pdfs/GMD-C-1808-143.pdf#page=16","Abrir facsímil")</f>
        <v>Abrir facsímil</v>
      </c>
      <c r="K1198" s="15" t="s">
        <v>23</v>
      </c>
    </row>
    <row r="1199" spans="1:11" ht="42" customHeight="1">
      <c r="A1199" s="4" t="s">
        <v>3233</v>
      </c>
      <c r="B1199" s="5" t="s">
        <v>3234</v>
      </c>
      <c r="C1199" s="5" t="s">
        <v>41</v>
      </c>
      <c r="D1199" s="5" t="s">
        <v>42</v>
      </c>
      <c r="E1199" s="5" t="s">
        <v>3235</v>
      </c>
      <c r="F1199" s="9" t="s">
        <v>3236</v>
      </c>
      <c r="G1199" s="9">
        <v>22</v>
      </c>
      <c r="H1199" s="5" t="s">
        <v>21</v>
      </c>
      <c r="I1199" s="5" t="s">
        <v>3237</v>
      </c>
      <c r="J1199" s="12" t="str">
        <f>HYPERLINK("https://www.boe.es/gazeta/dias/1808/06/08/pdfs/GMS-1808-3.pdf#page=6","Abrir facsímil")</f>
        <v>Abrir facsímil</v>
      </c>
      <c r="K1199" s="15" t="s">
        <v>23</v>
      </c>
    </row>
    <row r="1200" spans="1:11" ht="42" customHeight="1">
      <c r="A1200" s="4" t="s">
        <v>3238</v>
      </c>
      <c r="B1200" s="5" t="s">
        <v>3238</v>
      </c>
      <c r="C1200" s="5" t="s">
        <v>17</v>
      </c>
      <c r="D1200" s="5" t="s">
        <v>18</v>
      </c>
      <c r="E1200" s="5" t="s">
        <v>125</v>
      </c>
      <c r="F1200" s="9" t="s">
        <v>397</v>
      </c>
      <c r="G1200" s="9">
        <v>1269</v>
      </c>
      <c r="H1200" s="5" t="s">
        <v>21</v>
      </c>
      <c r="I1200" s="5" t="s">
        <v>3239</v>
      </c>
      <c r="J1200" s="12" t="str">
        <f>HYPERLINK("https://www.boe.es/gazeta/dias/1808/10/07/pdfs/GMD-1808-132.pdf#page=9","Abrir facsímil")</f>
        <v>Abrir facsímil</v>
      </c>
      <c r="K1200" s="15" t="s">
        <v>23</v>
      </c>
    </row>
    <row r="1201" spans="1:11" ht="42" customHeight="1">
      <c r="A1201" s="4" t="s">
        <v>3240</v>
      </c>
      <c r="B1201" s="5" t="s">
        <v>3241</v>
      </c>
      <c r="C1201" s="5" t="s">
        <v>94</v>
      </c>
      <c r="D1201" s="5" t="s">
        <v>95</v>
      </c>
      <c r="E1201" s="5" t="s">
        <v>1385</v>
      </c>
      <c r="F1201" s="9" t="s">
        <v>1386</v>
      </c>
      <c r="G1201" s="9">
        <v>231</v>
      </c>
      <c r="H1201" s="5" t="s">
        <v>21</v>
      </c>
      <c r="I1201" s="5" t="s">
        <v>3242</v>
      </c>
      <c r="J1201" s="12" t="str">
        <f>HYPERLINK("https://www.boe.es/gazeta/dias/1808/03/04/pdfs/GMD-1808-19.pdf#page=9","Abrir facsímil")</f>
        <v>Abrir facsímil</v>
      </c>
      <c r="K1201" s="15" t="s">
        <v>23</v>
      </c>
    </row>
    <row r="1202" spans="1:11" ht="42" customHeight="1">
      <c r="A1202" s="4" t="s">
        <v>3243</v>
      </c>
      <c r="B1202" s="5" t="s">
        <v>3244</v>
      </c>
      <c r="C1202" s="5" t="s">
        <v>94</v>
      </c>
      <c r="D1202" s="5" t="s">
        <v>95</v>
      </c>
      <c r="E1202" s="5" t="s">
        <v>2935</v>
      </c>
      <c r="F1202" s="9" t="s">
        <v>2936</v>
      </c>
      <c r="G1202" s="9">
        <v>429</v>
      </c>
      <c r="H1202" s="5" t="s">
        <v>21</v>
      </c>
      <c r="I1202" s="5" t="s">
        <v>3245</v>
      </c>
      <c r="J1202" s="12" t="str">
        <f>HYPERLINK("https://www.boe.es/gazeta/dias/1808/12/02/pdfs/GMS-1808-54.pdf#page=5","Abrir facsímil")</f>
        <v>Abrir facsímil</v>
      </c>
      <c r="K1202" s="15" t="s">
        <v>23</v>
      </c>
    </row>
    <row r="1203" spans="1:11" ht="42" customHeight="1">
      <c r="A1203" s="4" t="s">
        <v>3246</v>
      </c>
      <c r="B1203" s="5" t="s">
        <v>3247</v>
      </c>
      <c r="C1203" s="5" t="s">
        <v>33</v>
      </c>
      <c r="D1203" s="5" t="s">
        <v>34</v>
      </c>
      <c r="E1203" s="5" t="s">
        <v>558</v>
      </c>
      <c r="F1203" s="9" t="s">
        <v>1495</v>
      </c>
      <c r="G1203" s="9">
        <v>1553</v>
      </c>
      <c r="H1203" s="5" t="s">
        <v>21</v>
      </c>
      <c r="I1203" s="5" t="s">
        <v>3248</v>
      </c>
      <c r="J1203" s="12" t="str">
        <f>HYPERLINK("https://www.boe.es/gazeta/dias/1808/11/25/pdfs/GMD-D-1808-147.pdf#page=3","Abrir facsímil")</f>
        <v>Abrir facsímil</v>
      </c>
      <c r="K1203" s="15" t="s">
        <v>23</v>
      </c>
    </row>
    <row r="1204" spans="1:11" ht="42" customHeight="1">
      <c r="A1204" s="4" t="s">
        <v>3249</v>
      </c>
      <c r="B1204" s="5" t="s">
        <v>3250</v>
      </c>
      <c r="C1204" s="5" t="s">
        <v>17</v>
      </c>
      <c r="D1204" s="5" t="s">
        <v>18</v>
      </c>
      <c r="E1204" s="5" t="s">
        <v>539</v>
      </c>
      <c r="F1204" s="9" t="s">
        <v>540</v>
      </c>
      <c r="G1204" s="9">
        <v>1112</v>
      </c>
      <c r="H1204" s="5" t="s">
        <v>21</v>
      </c>
      <c r="I1204" s="5" t="s">
        <v>3251</v>
      </c>
      <c r="J1204" s="12" t="str">
        <f>HYPERLINK("https://www.boe.es/gazeta/dias/1808/09/02/pdfs/GMD-1808-119.pdf#page=6","Abrir facsímil")</f>
        <v>Abrir facsímil</v>
      </c>
      <c r="K1204" s="15" t="s">
        <v>23</v>
      </c>
    </row>
    <row r="1205" spans="1:11" ht="42" customHeight="1">
      <c r="A1205" s="4" t="s">
        <v>3249</v>
      </c>
      <c r="B1205" s="5" t="s">
        <v>3250</v>
      </c>
      <c r="C1205" s="5" t="s">
        <v>17</v>
      </c>
      <c r="D1205" s="5" t="s">
        <v>18</v>
      </c>
      <c r="E1205" s="5" t="s">
        <v>539</v>
      </c>
      <c r="F1205" s="9" t="s">
        <v>540</v>
      </c>
      <c r="G1205" s="9">
        <v>1113</v>
      </c>
      <c r="H1205" s="5" t="s">
        <v>21</v>
      </c>
      <c r="I1205" s="5" t="s">
        <v>3252</v>
      </c>
      <c r="J1205" s="12" t="str">
        <f>HYPERLINK("https://www.boe.es/gazeta/dias/1808/09/02/pdfs/GMD-1808-119.pdf#page=7","Abrir facsímil")</f>
        <v>Abrir facsímil</v>
      </c>
      <c r="K1205" s="15" t="s">
        <v>23</v>
      </c>
    </row>
    <row r="1206" spans="1:11" ht="42" customHeight="1">
      <c r="A1206" s="4" t="s">
        <v>3249</v>
      </c>
      <c r="B1206" s="5" t="s">
        <v>3250</v>
      </c>
      <c r="C1206" s="5" t="s">
        <v>33</v>
      </c>
      <c r="D1206" s="5" t="s">
        <v>34</v>
      </c>
      <c r="E1206" s="5" t="s">
        <v>418</v>
      </c>
      <c r="F1206" s="9" t="s">
        <v>419</v>
      </c>
      <c r="G1206" s="9">
        <v>1131</v>
      </c>
      <c r="H1206" s="5" t="s">
        <v>21</v>
      </c>
      <c r="I1206" s="5" t="s">
        <v>3253</v>
      </c>
      <c r="J1206" s="12" t="str">
        <f>HYPERLINK("https://www.boe.es/gazeta/dias/1808/09/06/pdfs/GMD-C-1808-120.pdf#page=5","Abrir facsímil")</f>
        <v>Abrir facsímil</v>
      </c>
      <c r="K1206" s="15" t="s">
        <v>23</v>
      </c>
    </row>
    <row r="1207" spans="1:11" ht="42" customHeight="1">
      <c r="A1207" s="4" t="s">
        <v>3254</v>
      </c>
      <c r="B1207" s="5" t="s">
        <v>3255</v>
      </c>
      <c r="C1207" s="5" t="s">
        <v>17</v>
      </c>
      <c r="D1207" s="5" t="s">
        <v>18</v>
      </c>
      <c r="E1207" s="5" t="s">
        <v>456</v>
      </c>
      <c r="F1207" s="9" t="s">
        <v>2825</v>
      </c>
      <c r="G1207" s="9">
        <v>315</v>
      </c>
      <c r="H1207" s="5" t="s">
        <v>21</v>
      </c>
      <c r="I1207" s="5" t="s">
        <v>3256</v>
      </c>
      <c r="J1207" s="12" t="str">
        <f>HYPERLINK("https://www.boe.es/gazeta/dias/1808/10/14/pdfs/GMS-1808-40.pdf#page=3","Abrir facsímil")</f>
        <v>Abrir facsímil</v>
      </c>
      <c r="K1207" s="15" t="s">
        <v>23</v>
      </c>
    </row>
    <row r="1208" spans="1:11" ht="42" customHeight="1">
      <c r="A1208" s="4" t="s">
        <v>3249</v>
      </c>
      <c r="B1208" s="5" t="s">
        <v>3250</v>
      </c>
      <c r="C1208" s="5" t="s">
        <v>94</v>
      </c>
      <c r="D1208" s="5" t="s">
        <v>95</v>
      </c>
      <c r="E1208" s="5" t="s">
        <v>558</v>
      </c>
      <c r="F1208" s="9" t="s">
        <v>1495</v>
      </c>
      <c r="G1208" s="9">
        <v>1551</v>
      </c>
      <c r="H1208" s="5" t="s">
        <v>21</v>
      </c>
      <c r="I1208" s="5" t="s">
        <v>3257</v>
      </c>
      <c r="J1208" s="12" t="str">
        <f>HYPERLINK("https://www.boe.es/gazeta/dias/1808/11/25/pdfs/GMD-D-1808-147.pdf#page=1","Abrir facsímil")</f>
        <v>Abrir facsímil</v>
      </c>
      <c r="K1208" s="15" t="s">
        <v>23</v>
      </c>
    </row>
    <row r="1209" spans="1:11" ht="42" customHeight="1">
      <c r="A1209" s="4" t="s">
        <v>3249</v>
      </c>
      <c r="B1209" s="5" t="s">
        <v>3250</v>
      </c>
      <c r="C1209" s="5" t="s">
        <v>17</v>
      </c>
      <c r="D1209" s="5" t="s">
        <v>18</v>
      </c>
      <c r="E1209" s="5" t="s">
        <v>2935</v>
      </c>
      <c r="F1209" s="9" t="s">
        <v>2936</v>
      </c>
      <c r="G1209" s="9">
        <v>430</v>
      </c>
      <c r="H1209" s="5" t="s">
        <v>21</v>
      </c>
      <c r="I1209" s="5" t="s">
        <v>3258</v>
      </c>
      <c r="J1209" s="12" t="str">
        <f>HYPERLINK("https://www.boe.es/gazeta/dias/1808/12/02/pdfs/GMS-1808-54.pdf#page=6","Abrir facsímil")</f>
        <v>Abrir facsímil</v>
      </c>
      <c r="K1209" s="15" t="s">
        <v>23</v>
      </c>
    </row>
    <row r="1210" spans="1:11" ht="42" customHeight="1">
      <c r="A1210" s="4" t="s">
        <v>3254</v>
      </c>
      <c r="B1210" s="5" t="s">
        <v>3255</v>
      </c>
      <c r="C1210" s="5" t="s">
        <v>17</v>
      </c>
      <c r="D1210" s="5" t="s">
        <v>18</v>
      </c>
      <c r="E1210" s="5" t="s">
        <v>234</v>
      </c>
      <c r="F1210" s="9" t="s">
        <v>1871</v>
      </c>
      <c r="G1210" s="9">
        <v>496</v>
      </c>
      <c r="H1210" s="5" t="s">
        <v>21</v>
      </c>
      <c r="I1210" s="5" t="s">
        <v>3259</v>
      </c>
      <c r="J1210" s="12" t="str">
        <f>HYPERLINK("https://www.boe.es/gazeta/dias/1808/12/30/pdfs/GMS-1808-62.pdf#page=4","Abrir facsímil")</f>
        <v>Abrir facsímil</v>
      </c>
      <c r="K1210" s="15" t="s">
        <v>23</v>
      </c>
    </row>
    <row r="1211" spans="1:11" ht="42" customHeight="1">
      <c r="A1211" s="4" t="s">
        <v>3260</v>
      </c>
      <c r="B1211" s="5" t="s">
        <v>3261</v>
      </c>
      <c r="C1211" s="5" t="s">
        <v>33</v>
      </c>
      <c r="D1211" s="5" t="s">
        <v>34</v>
      </c>
      <c r="E1211" s="5" t="s">
        <v>418</v>
      </c>
      <c r="F1211" s="9" t="s">
        <v>419</v>
      </c>
      <c r="G1211" s="9">
        <v>1139</v>
      </c>
      <c r="H1211" s="5" t="s">
        <v>21</v>
      </c>
      <c r="I1211" s="5" t="s">
        <v>3262</v>
      </c>
      <c r="J1211" s="12" t="str">
        <f>HYPERLINK("https://www.boe.es/gazeta/dias/1808/09/06/pdfs/GMD-C-1808-120.pdf#page=13","Abrir facsímil")</f>
        <v>Abrir facsímil</v>
      </c>
      <c r="K1211" s="15" t="s">
        <v>23</v>
      </c>
    </row>
    <row r="1212" spans="1:11" ht="42" customHeight="1">
      <c r="A1212" s="4" t="s">
        <v>3263</v>
      </c>
      <c r="B1212" s="5" t="s">
        <v>3264</v>
      </c>
      <c r="C1212" s="5" t="s">
        <v>389</v>
      </c>
      <c r="D1212" s="5" t="s">
        <v>390</v>
      </c>
      <c r="E1212" s="5" t="s">
        <v>391</v>
      </c>
      <c r="F1212" s="9" t="s">
        <v>392</v>
      </c>
      <c r="G1212" s="9">
        <v>1215</v>
      </c>
      <c r="H1212" s="5" t="s">
        <v>21</v>
      </c>
      <c r="I1212" s="5" t="s">
        <v>3265</v>
      </c>
      <c r="J1212" s="12" t="str">
        <f>HYPERLINK("https://www.boe.es/gazeta/dias/1808/09/27/pdfs/GMD-1808-128.pdf#page=11","Abrir facsímil")</f>
        <v>Abrir facsímil</v>
      </c>
      <c r="K1212" s="15" t="s">
        <v>23</v>
      </c>
    </row>
    <row r="1213" spans="1:11" ht="42" customHeight="1">
      <c r="A1213" s="4" t="s">
        <v>3266</v>
      </c>
      <c r="B1213" s="5" t="s">
        <v>3266</v>
      </c>
      <c r="C1213" s="5" t="s">
        <v>33</v>
      </c>
      <c r="D1213" s="5" t="s">
        <v>34</v>
      </c>
      <c r="E1213" s="5" t="s">
        <v>461</v>
      </c>
      <c r="F1213" s="9" t="s">
        <v>462</v>
      </c>
      <c r="G1213" s="9" t="s">
        <v>199</v>
      </c>
      <c r="H1213" s="5" t="s">
        <v>21</v>
      </c>
      <c r="I1213" s="5" t="s">
        <v>3267</v>
      </c>
      <c r="J1213" s="12" t="str">
        <f>HYPERLINK("https://www.boe.es/gazeta/dias/1808/11/08/pdfs/GMD-D-1808-142.pdf#page=2","Abrir facsímil")</f>
        <v>Abrir facsímil</v>
      </c>
      <c r="K1213" s="15" t="s">
        <v>23</v>
      </c>
    </row>
    <row r="1214" spans="1:11" ht="42" customHeight="1">
      <c r="A1214" s="4" t="s">
        <v>3268</v>
      </c>
      <c r="B1214" s="5" t="s">
        <v>3268</v>
      </c>
      <c r="C1214" s="5" t="s">
        <v>17</v>
      </c>
      <c r="D1214" s="5" t="s">
        <v>18</v>
      </c>
      <c r="E1214" s="5" t="s">
        <v>61</v>
      </c>
      <c r="F1214" s="9" t="s">
        <v>62</v>
      </c>
      <c r="G1214" s="9">
        <v>1285</v>
      </c>
      <c r="H1214" s="5" t="s">
        <v>21</v>
      </c>
      <c r="I1214" s="5" t="s">
        <v>3269</v>
      </c>
      <c r="J1214" s="12" t="str">
        <f>HYPERLINK("https://www.boe.es/gazeta/dias/1808/10/11/pdfs/GMD-1808-133.pdf#page=13","Abrir facsímil")</f>
        <v>Abrir facsímil</v>
      </c>
      <c r="K1214" s="15" t="s">
        <v>23</v>
      </c>
    </row>
    <row r="1215" spans="1:11" ht="42" customHeight="1">
      <c r="A1215" s="4" t="s">
        <v>3270</v>
      </c>
      <c r="B1215" s="5" t="s">
        <v>3270</v>
      </c>
      <c r="C1215" s="5" t="s">
        <v>17</v>
      </c>
      <c r="D1215" s="5" t="s">
        <v>18</v>
      </c>
      <c r="E1215" s="5" t="s">
        <v>719</v>
      </c>
      <c r="F1215" s="9" t="s">
        <v>720</v>
      </c>
      <c r="G1215" s="9">
        <v>1610</v>
      </c>
      <c r="H1215" s="5" t="s">
        <v>21</v>
      </c>
      <c r="I1215" s="5" t="s">
        <v>3271</v>
      </c>
      <c r="J1215" s="12" t="str">
        <f>HYPERLINK("https://www.boe.es/gazeta/dias/1808/12/16/pdfs/GMD-1808-156.pdf#page=2","Abrir facsímil")</f>
        <v>Abrir facsímil</v>
      </c>
      <c r="K1215" s="15" t="s">
        <v>23</v>
      </c>
    </row>
    <row r="1216" spans="1:11" ht="42" customHeight="1">
      <c r="A1216" s="4" t="s">
        <v>3272</v>
      </c>
      <c r="B1216" s="5" t="s">
        <v>3273</v>
      </c>
      <c r="C1216" s="5" t="s">
        <v>33</v>
      </c>
      <c r="D1216" s="5" t="s">
        <v>34</v>
      </c>
      <c r="E1216" s="5" t="s">
        <v>19</v>
      </c>
      <c r="F1216" s="9" t="s">
        <v>949</v>
      </c>
      <c r="G1216" s="9" t="s">
        <v>106</v>
      </c>
      <c r="H1216" s="5" t="s">
        <v>21</v>
      </c>
      <c r="I1216" s="5" t="s">
        <v>3274</v>
      </c>
      <c r="J1216" s="12" t="str">
        <f>HYPERLINK("https://www.boe.es/gazeta/dias/1808/09/30/pdfs/GMD-C-1808-130.pdf#page=3","Abrir facsímil")</f>
        <v>Abrir facsímil</v>
      </c>
      <c r="K1216" s="15" t="s">
        <v>23</v>
      </c>
    </row>
    <row r="1217" spans="1:11" ht="42" customHeight="1">
      <c r="A1217" s="4" t="s">
        <v>3275</v>
      </c>
      <c r="B1217" s="5" t="s">
        <v>3275</v>
      </c>
      <c r="C1217" s="5" t="s">
        <v>101</v>
      </c>
      <c r="D1217" s="5" t="s">
        <v>102</v>
      </c>
      <c r="E1217" s="5" t="s">
        <v>684</v>
      </c>
      <c r="F1217" s="9" t="s">
        <v>685</v>
      </c>
      <c r="G1217" s="9">
        <v>375</v>
      </c>
      <c r="H1217" s="5" t="s">
        <v>21</v>
      </c>
      <c r="I1217" s="5" t="s">
        <v>3276</v>
      </c>
      <c r="J1217" s="12" t="str">
        <f>HYPERLINK("https://www.boe.es/gazeta/dias/1808/04/15/pdfs/GMD-1808-35.pdf#page=1","Abrir facsímil")</f>
        <v>Abrir facsímil</v>
      </c>
      <c r="K1217" s="15" t="s">
        <v>23</v>
      </c>
    </row>
    <row r="1218" spans="1:11" ht="42" customHeight="1">
      <c r="A1218" s="4" t="s">
        <v>3277</v>
      </c>
      <c r="B1218" s="5" t="s">
        <v>3278</v>
      </c>
      <c r="C1218" s="5" t="s">
        <v>101</v>
      </c>
      <c r="D1218" s="5" t="s">
        <v>102</v>
      </c>
      <c r="E1218" s="5" t="s">
        <v>256</v>
      </c>
      <c r="F1218" s="9" t="s">
        <v>257</v>
      </c>
      <c r="G1218" s="9">
        <v>523</v>
      </c>
      <c r="H1218" s="5" t="s">
        <v>21</v>
      </c>
      <c r="I1218" s="5" t="s">
        <v>3279</v>
      </c>
      <c r="J1218" s="12" t="str">
        <f>HYPERLINK("https://www.boe.es/gazeta/dias/1808/06/03/pdfs/GMD-1808-53.pdf#page=1","Abrir facsímil")</f>
        <v>Abrir facsímil</v>
      </c>
      <c r="K1218" s="15" t="s">
        <v>23</v>
      </c>
    </row>
    <row r="1219" spans="1:11" ht="42" customHeight="1">
      <c r="A1219" s="4" t="s">
        <v>3280</v>
      </c>
      <c r="B1219" s="5" t="s">
        <v>3281</v>
      </c>
      <c r="C1219" s="5" t="s">
        <v>17</v>
      </c>
      <c r="D1219" s="5" t="s">
        <v>18</v>
      </c>
      <c r="E1219" s="5" t="s">
        <v>553</v>
      </c>
      <c r="F1219" s="9" t="s">
        <v>3282</v>
      </c>
      <c r="G1219" s="9">
        <v>129</v>
      </c>
      <c r="H1219" s="5" t="s">
        <v>21</v>
      </c>
      <c r="I1219" s="5" t="s">
        <v>3283</v>
      </c>
      <c r="J1219" s="12" t="str">
        <f>HYPERLINK("https://www.boe.es/gazeta/dias/1808/07/27/pdfs/GMS-1808-17.pdf#page=1","Abrir facsímil")</f>
        <v>Abrir facsímil</v>
      </c>
      <c r="K1219" s="15" t="s">
        <v>23</v>
      </c>
    </row>
    <row r="1220" spans="1:11" ht="42" customHeight="1">
      <c r="A1220" s="4" t="s">
        <v>3284</v>
      </c>
      <c r="B1220" s="5" t="s">
        <v>3284</v>
      </c>
      <c r="C1220" s="5" t="s">
        <v>101</v>
      </c>
      <c r="D1220" s="5" t="s">
        <v>102</v>
      </c>
      <c r="E1220" s="5" t="s">
        <v>1671</v>
      </c>
      <c r="F1220" s="9" t="s">
        <v>1672</v>
      </c>
      <c r="G1220" s="9">
        <v>479</v>
      </c>
      <c r="H1220" s="5" t="s">
        <v>21</v>
      </c>
      <c r="I1220" s="5" t="s">
        <v>3285</v>
      </c>
      <c r="J1220" s="12" t="str">
        <f>HYPERLINK("https://www.boe.es/gazeta/dias/1808/05/20/pdfs/GMD-1808-48.pdf#page=7","Abrir facsímil")</f>
        <v>Abrir facsímil</v>
      </c>
      <c r="K1220" s="15" t="s">
        <v>23</v>
      </c>
    </row>
    <row r="1221" spans="1:11" ht="42" customHeight="1">
      <c r="A1221" s="4" t="s">
        <v>3286</v>
      </c>
      <c r="B1221" s="5" t="s">
        <v>3286</v>
      </c>
      <c r="C1221" s="5" t="s">
        <v>389</v>
      </c>
      <c r="D1221" s="5" t="s">
        <v>390</v>
      </c>
      <c r="E1221" s="5" t="s">
        <v>1821</v>
      </c>
      <c r="F1221" s="9" t="s">
        <v>1874</v>
      </c>
      <c r="G1221" s="9">
        <v>625</v>
      </c>
      <c r="H1221" s="5" t="s">
        <v>21</v>
      </c>
      <c r="I1221" s="5" t="s">
        <v>3287</v>
      </c>
      <c r="J1221" s="12" t="str">
        <f>HYPERLINK("https://www.boe.es/gazeta/dias/1808/06/22/pdfs/GMD-1808-64.pdf#page=3","Abrir facsímil")</f>
        <v>Abrir facsímil</v>
      </c>
      <c r="K1221" s="15" t="s">
        <v>23</v>
      </c>
    </row>
    <row r="1222" spans="1:11" ht="42" customHeight="1">
      <c r="A1222" s="4" t="s">
        <v>3288</v>
      </c>
      <c r="B1222" s="5" t="s">
        <v>3289</v>
      </c>
      <c r="C1222" s="5" t="s">
        <v>33</v>
      </c>
      <c r="D1222" s="5" t="s">
        <v>34</v>
      </c>
      <c r="E1222" s="5" t="s">
        <v>35</v>
      </c>
      <c r="F1222" s="9" t="s">
        <v>36</v>
      </c>
      <c r="G1222" s="9" t="s">
        <v>1075</v>
      </c>
      <c r="H1222" s="5" t="s">
        <v>21</v>
      </c>
      <c r="I1222" s="5" t="s">
        <v>3290</v>
      </c>
      <c r="J1222" s="12" t="str">
        <f>HYPERLINK("https://www.boe.es/gazeta/dias/1808/04/22/pdfs/GMD-C-1808-38.pdf#page=32","Abrir facsímil")</f>
        <v>Abrir facsímil</v>
      </c>
      <c r="K1222" s="15" t="s">
        <v>23</v>
      </c>
    </row>
    <row r="1223" spans="1:11" ht="42" customHeight="1">
      <c r="A1223" s="4" t="s">
        <v>3291</v>
      </c>
      <c r="B1223" s="5" t="s">
        <v>3292</v>
      </c>
      <c r="C1223" s="5" t="s">
        <v>17</v>
      </c>
      <c r="D1223" s="5" t="s">
        <v>18</v>
      </c>
      <c r="E1223" s="5" t="s">
        <v>139</v>
      </c>
      <c r="F1223" s="9" t="s">
        <v>140</v>
      </c>
      <c r="G1223" s="9">
        <v>1203</v>
      </c>
      <c r="H1223" s="5" t="s">
        <v>21</v>
      </c>
      <c r="I1223" s="5" t="s">
        <v>3293</v>
      </c>
      <c r="J1223" s="12" t="str">
        <f>HYPERLINK("https://www.boe.es/gazeta/dias/1808/09/23/pdfs/GMD-1808-127.pdf#page=11","Abrir facsímil")</f>
        <v>Abrir facsímil</v>
      </c>
      <c r="K1223" s="15" t="s">
        <v>23</v>
      </c>
    </row>
    <row r="1224" spans="1:11" ht="42" customHeight="1">
      <c r="A1224" s="4" t="s">
        <v>3294</v>
      </c>
      <c r="B1224" s="5" t="s">
        <v>3295</v>
      </c>
      <c r="C1224" s="5" t="s">
        <v>33</v>
      </c>
      <c r="D1224" s="5" t="s">
        <v>34</v>
      </c>
      <c r="E1224" s="5" t="s">
        <v>35</v>
      </c>
      <c r="F1224" s="9" t="s">
        <v>36</v>
      </c>
      <c r="G1224" s="9" t="s">
        <v>1178</v>
      </c>
      <c r="H1224" s="5" t="s">
        <v>21</v>
      </c>
      <c r="I1224" s="5" t="s">
        <v>3296</v>
      </c>
      <c r="J1224" s="12" t="str">
        <f>HYPERLINK("https://www.boe.es/gazeta/dias/1808/04/22/pdfs/GMD-C-1808-38.pdf#page=9","Abrir facsímil")</f>
        <v>Abrir facsímil</v>
      </c>
      <c r="K1224" s="15" t="s">
        <v>23</v>
      </c>
    </row>
    <row r="1225" spans="1:11" ht="42" customHeight="1">
      <c r="A1225" s="4" t="s">
        <v>3297</v>
      </c>
      <c r="B1225" s="5" t="s">
        <v>3298</v>
      </c>
      <c r="C1225" s="5" t="s">
        <v>94</v>
      </c>
      <c r="D1225" s="5" t="s">
        <v>95</v>
      </c>
      <c r="E1225" s="5" t="s">
        <v>287</v>
      </c>
      <c r="F1225" s="9" t="s">
        <v>288</v>
      </c>
      <c r="G1225" s="9">
        <v>170</v>
      </c>
      <c r="H1225" s="5" t="s">
        <v>21</v>
      </c>
      <c r="I1225" s="5" t="s">
        <v>3299</v>
      </c>
      <c r="J1225" s="12" t="str">
        <f>HYPERLINK("https://www.boe.es/gazeta/dias/1808/08/12/pdfs/GMS-1808-22.pdf#page=2","Abrir facsímil")</f>
        <v>Abrir facsímil</v>
      </c>
      <c r="K1225" s="15" t="s">
        <v>23</v>
      </c>
    </row>
    <row r="1226" spans="1:11" ht="42" customHeight="1">
      <c r="A1226" s="4" t="s">
        <v>3300</v>
      </c>
      <c r="B1226" s="5" t="s">
        <v>3301</v>
      </c>
      <c r="C1226" s="5" t="s">
        <v>17</v>
      </c>
      <c r="D1226" s="5" t="s">
        <v>18</v>
      </c>
      <c r="E1226" s="5" t="s">
        <v>1791</v>
      </c>
      <c r="F1226" s="9" t="s">
        <v>1792</v>
      </c>
      <c r="G1226" s="9">
        <v>141</v>
      </c>
      <c r="H1226" s="5" t="s">
        <v>21</v>
      </c>
      <c r="I1226" s="5" t="s">
        <v>3302</v>
      </c>
      <c r="J1226" s="12" t="str">
        <f>HYPERLINK("https://www.boe.es/gazeta/dias/1808/07/30/pdfs/GMS-1808-18.pdf#page=5","Abrir facsímil")</f>
        <v>Abrir facsímil</v>
      </c>
      <c r="K1226" s="15" t="s">
        <v>23</v>
      </c>
    </row>
    <row r="1227" spans="1:11" ht="42" customHeight="1">
      <c r="A1227" s="4" t="s">
        <v>3303</v>
      </c>
      <c r="B1227" s="5" t="s">
        <v>3304</v>
      </c>
      <c r="C1227" s="5" t="s">
        <v>389</v>
      </c>
      <c r="D1227" s="5" t="s">
        <v>390</v>
      </c>
      <c r="E1227" s="5" t="s">
        <v>157</v>
      </c>
      <c r="F1227" s="9" t="s">
        <v>2896</v>
      </c>
      <c r="G1227" s="9">
        <v>594</v>
      </c>
      <c r="H1227" s="5" t="s">
        <v>21</v>
      </c>
      <c r="I1227" s="5" t="s">
        <v>3305</v>
      </c>
      <c r="J1227" s="12" t="str">
        <f>HYPERLINK("https://www.boe.es/gazeta/dias/1808/06/18/pdfs/GMD-1808-60.pdf#page=8","Abrir facsímil")</f>
        <v>Abrir facsímil</v>
      </c>
      <c r="K1227" s="15" t="s">
        <v>23</v>
      </c>
    </row>
    <row r="1228" spans="1:11" ht="42" customHeight="1">
      <c r="A1228" s="4" t="s">
        <v>3306</v>
      </c>
      <c r="B1228" s="5" t="s">
        <v>3307</v>
      </c>
      <c r="C1228" s="5" t="s">
        <v>389</v>
      </c>
      <c r="D1228" s="5" t="s">
        <v>390</v>
      </c>
      <c r="E1228" s="5" t="s">
        <v>19</v>
      </c>
      <c r="F1228" s="9" t="s">
        <v>59</v>
      </c>
      <c r="G1228" s="9">
        <v>1231</v>
      </c>
      <c r="H1228" s="5" t="s">
        <v>21</v>
      </c>
      <c r="I1228" s="5" t="s">
        <v>3308</v>
      </c>
      <c r="J1228" s="12" t="str">
        <f>HYPERLINK("https://www.boe.es/gazeta/dias/1808/09/30/pdfs/GMD-1808-130.pdf#page=11","Abrir facsímil")</f>
        <v>Abrir facsímil</v>
      </c>
      <c r="K1228" s="15" t="s">
        <v>23</v>
      </c>
    </row>
    <row r="1229" spans="1:11" ht="42" customHeight="1">
      <c r="A1229" s="4" t="s">
        <v>3309</v>
      </c>
      <c r="B1229" s="5" t="s">
        <v>3310</v>
      </c>
      <c r="C1229" s="5" t="s">
        <v>17</v>
      </c>
      <c r="D1229" s="5" t="s">
        <v>18</v>
      </c>
      <c r="E1229" s="5" t="s">
        <v>28</v>
      </c>
      <c r="F1229" s="9" t="s">
        <v>29</v>
      </c>
      <c r="G1229" s="9">
        <v>1429</v>
      </c>
      <c r="H1229" s="5" t="s">
        <v>21</v>
      </c>
      <c r="I1229" s="5" t="s">
        <v>3311</v>
      </c>
      <c r="J1229" s="12" t="str">
        <f>HYPERLINK("https://www.boe.es/gazeta/dias/1808/11/04/pdfs/GMD-1808-141.pdf#page=11","Abrir facsímil")</f>
        <v>Abrir facsímil</v>
      </c>
      <c r="K1229" s="15" t="s">
        <v>23</v>
      </c>
    </row>
    <row r="1230" spans="1:11" ht="42" customHeight="1">
      <c r="A1230" s="4" t="s">
        <v>3312</v>
      </c>
      <c r="B1230" s="5" t="s">
        <v>3312</v>
      </c>
      <c r="C1230" s="5" t="s">
        <v>101</v>
      </c>
      <c r="D1230" s="5" t="s">
        <v>102</v>
      </c>
      <c r="E1230" s="5" t="s">
        <v>3313</v>
      </c>
      <c r="F1230" s="9" t="s">
        <v>3314</v>
      </c>
      <c r="G1230" s="9">
        <v>809</v>
      </c>
      <c r="H1230" s="5" t="s">
        <v>21</v>
      </c>
      <c r="I1230" s="5" t="s">
        <v>3315</v>
      </c>
      <c r="J1230" s="12" t="str">
        <f>HYPERLINK("https://www.boe.es/gazeta/dias/1808/07/15/pdfs/GMD-1808-87.pdf#page=3","Abrir facsímil")</f>
        <v>Abrir facsímil</v>
      </c>
      <c r="K1230" s="15" t="s">
        <v>23</v>
      </c>
    </row>
    <row r="1231" spans="1:11" ht="42" customHeight="1">
      <c r="A1231" s="4" t="s">
        <v>3316</v>
      </c>
      <c r="B1231" s="5" t="s">
        <v>3317</v>
      </c>
      <c r="C1231" s="5" t="s">
        <v>41</v>
      </c>
      <c r="D1231" s="5" t="s">
        <v>42</v>
      </c>
      <c r="E1231" s="5" t="s">
        <v>1345</v>
      </c>
      <c r="F1231" s="9" t="s">
        <v>1346</v>
      </c>
      <c r="G1231" s="9">
        <v>86</v>
      </c>
      <c r="H1231" s="5" t="s">
        <v>21</v>
      </c>
      <c r="I1231" s="5" t="s">
        <v>3318</v>
      </c>
      <c r="J1231" s="12" t="str">
        <f>HYPERLINK("https://www.boe.es/gazeta/dias/1808/07/06/pdfs/GMS-1808-11.pdf#page=6","Abrir facsímil")</f>
        <v>Abrir facsímil</v>
      </c>
      <c r="K1231" s="15" t="s">
        <v>23</v>
      </c>
    </row>
    <row r="1232" spans="1:11" ht="42" customHeight="1">
      <c r="A1232" s="4" t="s">
        <v>3316</v>
      </c>
      <c r="B1232" s="5" t="s">
        <v>3317</v>
      </c>
      <c r="C1232" s="5" t="s">
        <v>17</v>
      </c>
      <c r="D1232" s="5" t="s">
        <v>18</v>
      </c>
      <c r="E1232" s="5" t="s">
        <v>2639</v>
      </c>
      <c r="F1232" s="9" t="s">
        <v>2640</v>
      </c>
      <c r="G1232" s="9">
        <v>119</v>
      </c>
      <c r="H1232" s="5" t="s">
        <v>21</v>
      </c>
      <c r="I1232" s="5" t="s">
        <v>3319</v>
      </c>
      <c r="J1232" s="12" t="str">
        <f>HYPERLINK("https://www.boe.es/gazeta/dias/1808/07/20/pdfs/GMS-1808-15.pdf#page=7","Abrir facsímil")</f>
        <v>Abrir facsímil</v>
      </c>
      <c r="K1232" s="15" t="s">
        <v>23</v>
      </c>
    </row>
    <row r="1233" spans="1:11" ht="42" customHeight="1">
      <c r="A1233" s="4" t="s">
        <v>3320</v>
      </c>
      <c r="B1233" s="5" t="s">
        <v>3320</v>
      </c>
      <c r="C1233" s="5" t="s">
        <v>17</v>
      </c>
      <c r="D1233" s="5" t="s">
        <v>18</v>
      </c>
      <c r="E1233" s="5" t="s">
        <v>1345</v>
      </c>
      <c r="F1233" s="9" t="s">
        <v>3321</v>
      </c>
      <c r="G1233" s="9">
        <v>741</v>
      </c>
      <c r="H1233" s="5" t="s">
        <v>21</v>
      </c>
      <c r="I1233" s="5" t="s">
        <v>3322</v>
      </c>
      <c r="J1233" s="12" t="str">
        <f>HYPERLINK("https://www.boe.es/gazeta/dias/1808/07/06/pdfs/GMD-1808-78.pdf#page=7","Abrir facsímil")</f>
        <v>Abrir facsímil</v>
      </c>
      <c r="K1233" s="15" t="s">
        <v>23</v>
      </c>
    </row>
    <row r="1234" spans="1:11" ht="42" customHeight="1">
      <c r="A1234" s="4" t="s">
        <v>3323</v>
      </c>
      <c r="B1234" s="5" t="s">
        <v>3324</v>
      </c>
      <c r="C1234" s="5" t="s">
        <v>17</v>
      </c>
      <c r="D1234" s="5" t="s">
        <v>18</v>
      </c>
      <c r="E1234" s="5" t="s">
        <v>245</v>
      </c>
      <c r="F1234" s="9" t="s">
        <v>246</v>
      </c>
      <c r="G1234" s="9">
        <v>546</v>
      </c>
      <c r="H1234" s="5" t="s">
        <v>21</v>
      </c>
      <c r="I1234" s="5" t="s">
        <v>3325</v>
      </c>
      <c r="J1234" s="12" t="str">
        <f>HYPERLINK("https://www.boe.es/gazeta/dias/1808/06/07/pdfs/GMD-1808-54.pdf#page=12","Abrir facsímil")</f>
        <v>Abrir facsímil</v>
      </c>
      <c r="K1234" s="15" t="s">
        <v>23</v>
      </c>
    </row>
    <row r="1235" spans="1:11" ht="42" customHeight="1">
      <c r="A1235" s="4" t="s">
        <v>3326</v>
      </c>
      <c r="B1235" s="5" t="s">
        <v>3327</v>
      </c>
      <c r="C1235" s="5" t="s">
        <v>17</v>
      </c>
      <c r="D1235" s="5" t="s">
        <v>18</v>
      </c>
      <c r="E1235" s="5" t="s">
        <v>461</v>
      </c>
      <c r="F1235" s="9" t="s">
        <v>733</v>
      </c>
      <c r="G1235" s="9">
        <v>1448</v>
      </c>
      <c r="H1235" s="5" t="s">
        <v>21</v>
      </c>
      <c r="I1235" s="5" t="s">
        <v>3328</v>
      </c>
      <c r="J1235" s="12" t="str">
        <f>HYPERLINK("https://www.boe.es/gazeta/dias/1808/11/08/pdfs/GMD-1808-142.pdf#page=10","Abrir facsímil")</f>
        <v>Abrir facsímil</v>
      </c>
      <c r="K1235" s="15" t="s">
        <v>23</v>
      </c>
    </row>
    <row r="1236" spans="1:11" ht="42" customHeight="1">
      <c r="A1236" s="4" t="s">
        <v>3329</v>
      </c>
      <c r="B1236" s="5" t="s">
        <v>3330</v>
      </c>
      <c r="C1236" s="5" t="s">
        <v>33</v>
      </c>
      <c r="D1236" s="5" t="s">
        <v>34</v>
      </c>
      <c r="E1236" s="5" t="s">
        <v>68</v>
      </c>
      <c r="F1236" s="9" t="s">
        <v>309</v>
      </c>
      <c r="G1236" s="9" t="s">
        <v>106</v>
      </c>
      <c r="H1236" s="5" t="s">
        <v>21</v>
      </c>
      <c r="I1236" s="5" t="s">
        <v>3331</v>
      </c>
      <c r="J1236" s="12" t="str">
        <f>HYPERLINK("https://www.boe.es/gazeta/dias/1808/10/21/pdfs/GMD-D-1808-136.pdf#page=3","Abrir facsímil")</f>
        <v>Abrir facsímil</v>
      </c>
      <c r="K1236" s="15" t="s">
        <v>23</v>
      </c>
    </row>
    <row r="1237" spans="1:11" ht="42" customHeight="1">
      <c r="A1237" s="4" t="s">
        <v>3332</v>
      </c>
      <c r="B1237" s="5" t="s">
        <v>3333</v>
      </c>
      <c r="C1237" s="5" t="s">
        <v>94</v>
      </c>
      <c r="D1237" s="5" t="s">
        <v>95</v>
      </c>
      <c r="E1237" s="5" t="s">
        <v>1484</v>
      </c>
      <c r="F1237" s="9" t="s">
        <v>1485</v>
      </c>
      <c r="G1237" s="9">
        <v>678</v>
      </c>
      <c r="H1237" s="5" t="s">
        <v>21</v>
      </c>
      <c r="I1237" s="5" t="s">
        <v>3334</v>
      </c>
      <c r="J1237" s="12" t="str">
        <f>HYPERLINK("https://www.boe.es/gazeta/dias/1808/06/28/pdfs/GMD-1808-70.pdf#page=8","Abrir facsímil")</f>
        <v>Abrir facsímil</v>
      </c>
      <c r="K1237" s="15" t="s">
        <v>23</v>
      </c>
    </row>
    <row r="1238" spans="1:11" ht="42" customHeight="1">
      <c r="A1238" s="4" t="s">
        <v>3335</v>
      </c>
      <c r="B1238" s="5" t="s">
        <v>3336</v>
      </c>
      <c r="C1238" s="5" t="s">
        <v>94</v>
      </c>
      <c r="D1238" s="5" t="s">
        <v>95</v>
      </c>
      <c r="E1238" s="5" t="s">
        <v>663</v>
      </c>
      <c r="F1238" s="9" t="s">
        <v>664</v>
      </c>
      <c r="G1238" s="9">
        <v>209</v>
      </c>
      <c r="H1238" s="5" t="s">
        <v>21</v>
      </c>
      <c r="I1238" s="5" t="s">
        <v>3337</v>
      </c>
      <c r="J1238" s="12" t="str">
        <f>HYPERLINK("https://www.boe.es/gazeta/dias/1808/02/26/pdfs/GMD-1808-17.pdf#page=11","Abrir facsímil")</f>
        <v>Abrir facsímil</v>
      </c>
      <c r="K1238" s="15" t="s">
        <v>23</v>
      </c>
    </row>
    <row r="1239" spans="1:11" ht="42" customHeight="1">
      <c r="A1239" s="4" t="s">
        <v>3338</v>
      </c>
      <c r="B1239" s="5" t="s">
        <v>3339</v>
      </c>
      <c r="C1239" s="5" t="s">
        <v>17</v>
      </c>
      <c r="D1239" s="5" t="s">
        <v>18</v>
      </c>
      <c r="E1239" s="5" t="s">
        <v>139</v>
      </c>
      <c r="F1239" s="9" t="s">
        <v>140</v>
      </c>
      <c r="G1239" s="9">
        <v>1203</v>
      </c>
      <c r="H1239" s="5" t="s">
        <v>21</v>
      </c>
      <c r="I1239" s="5" t="s">
        <v>3340</v>
      </c>
      <c r="J1239" s="12" t="str">
        <f>HYPERLINK("https://www.boe.es/gazeta/dias/1808/09/23/pdfs/GMD-1808-127.pdf#page=11","Abrir facsímil")</f>
        <v>Abrir facsímil</v>
      </c>
      <c r="K1239" s="15" t="s">
        <v>23</v>
      </c>
    </row>
    <row r="1240" spans="1:11" ht="42" customHeight="1">
      <c r="A1240" s="4" t="s">
        <v>3341</v>
      </c>
      <c r="B1240" s="5" t="s">
        <v>3342</v>
      </c>
      <c r="C1240" s="5" t="s">
        <v>17</v>
      </c>
      <c r="D1240" s="5" t="s">
        <v>18</v>
      </c>
      <c r="E1240" s="5" t="s">
        <v>65</v>
      </c>
      <c r="F1240" s="9" t="s">
        <v>66</v>
      </c>
      <c r="G1240" s="9">
        <v>1302</v>
      </c>
      <c r="H1240" s="5" t="s">
        <v>21</v>
      </c>
      <c r="I1240" s="5" t="s">
        <v>3343</v>
      </c>
      <c r="J1240" s="12" t="str">
        <f>HYPERLINK("https://www.boe.es/gazeta/dias/1808/10/18/pdfs/GMD-1808-135.pdf#page=2","Abrir facsímil")</f>
        <v>Abrir facsímil</v>
      </c>
      <c r="K1240" s="15" t="s">
        <v>23</v>
      </c>
    </row>
    <row r="1241" spans="1:11" ht="42" customHeight="1">
      <c r="A1241" s="4" t="s">
        <v>3344</v>
      </c>
      <c r="B1241" s="5" t="s">
        <v>3345</v>
      </c>
      <c r="C1241" s="5" t="s">
        <v>17</v>
      </c>
      <c r="D1241" s="5" t="s">
        <v>18</v>
      </c>
      <c r="E1241" s="5" t="s">
        <v>1415</v>
      </c>
      <c r="F1241" s="9" t="s">
        <v>1416</v>
      </c>
      <c r="G1241" s="9">
        <v>416</v>
      </c>
      <c r="H1241" s="5" t="s">
        <v>21</v>
      </c>
      <c r="I1241" s="5" t="s">
        <v>3346</v>
      </c>
      <c r="J1241" s="12" t="str">
        <f>HYPERLINK("https://www.boe.es/gazeta/dias/1808/04/26/pdfs/GMD-1808-41.pdf#page=8","Abrir facsímil")</f>
        <v>Abrir facsímil</v>
      </c>
      <c r="K1241" s="15" t="s">
        <v>23</v>
      </c>
    </row>
    <row r="1242" spans="1:11" ht="42" customHeight="1">
      <c r="A1242" s="4" t="s">
        <v>3347</v>
      </c>
      <c r="B1242" s="5" t="s">
        <v>3348</v>
      </c>
      <c r="C1242" s="5" t="s">
        <v>33</v>
      </c>
      <c r="D1242" s="5" t="s">
        <v>34</v>
      </c>
      <c r="E1242" s="5" t="s">
        <v>65</v>
      </c>
      <c r="F1242" s="9" t="s">
        <v>691</v>
      </c>
      <c r="G1242" s="9">
        <v>1327</v>
      </c>
      <c r="H1242" s="5" t="s">
        <v>21</v>
      </c>
      <c r="I1242" s="5" t="s">
        <v>3349</v>
      </c>
      <c r="J1242" s="12" t="str">
        <f>HYPERLINK("https://www.boe.es/gazeta/dias/1808/10/18/pdfs/GMD-C-1808-135.pdf#page=11","Abrir facsímil")</f>
        <v>Abrir facsímil</v>
      </c>
      <c r="K1242" s="15" t="s">
        <v>23</v>
      </c>
    </row>
    <row r="1243" spans="1:11" ht="42" customHeight="1">
      <c r="A1243" s="4" t="s">
        <v>3350</v>
      </c>
      <c r="B1243" s="5" t="s">
        <v>3350</v>
      </c>
      <c r="C1243" s="5" t="s">
        <v>17</v>
      </c>
      <c r="D1243" s="5" t="s">
        <v>18</v>
      </c>
      <c r="E1243" s="5" t="s">
        <v>130</v>
      </c>
      <c r="F1243" s="9" t="s">
        <v>131</v>
      </c>
      <c r="G1243" s="9">
        <v>1602</v>
      </c>
      <c r="H1243" s="5" t="s">
        <v>21</v>
      </c>
      <c r="I1243" s="5" t="s">
        <v>3351</v>
      </c>
      <c r="J1243" s="12" t="str">
        <f>HYPERLINK("https://www.boe.es/gazeta/dias/1808/12/15/pdfs/GMD-1808-155.pdf#page=6","Abrir facsímil")</f>
        <v>Abrir facsímil</v>
      </c>
      <c r="K1243" s="15" t="s">
        <v>23</v>
      </c>
    </row>
    <row r="1244" spans="1:11" ht="42" customHeight="1">
      <c r="A1244" s="4" t="s">
        <v>3352</v>
      </c>
      <c r="B1244" s="5" t="s">
        <v>3352</v>
      </c>
      <c r="C1244" s="5" t="s">
        <v>17</v>
      </c>
      <c r="D1244" s="5" t="s">
        <v>18</v>
      </c>
      <c r="E1244" s="5" t="s">
        <v>28</v>
      </c>
      <c r="F1244" s="9" t="s">
        <v>29</v>
      </c>
      <c r="G1244" s="9">
        <v>1428</v>
      </c>
      <c r="H1244" s="5" t="s">
        <v>21</v>
      </c>
      <c r="I1244" s="5" t="s">
        <v>3353</v>
      </c>
      <c r="J1244" s="12" t="str">
        <f>HYPERLINK("https://www.boe.es/gazeta/dias/1808/11/04/pdfs/GMD-1808-141.pdf#page=10","Abrir facsímil")</f>
        <v>Abrir facsímil</v>
      </c>
      <c r="K1244" s="15" t="s">
        <v>23</v>
      </c>
    </row>
    <row r="1245" spans="1:11" ht="42" customHeight="1">
      <c r="A1245" s="4" t="s">
        <v>3354</v>
      </c>
      <c r="B1245" s="5" t="s">
        <v>3355</v>
      </c>
      <c r="C1245" s="5" t="s">
        <v>94</v>
      </c>
      <c r="D1245" s="5" t="s">
        <v>95</v>
      </c>
      <c r="E1245" s="5" t="s">
        <v>991</v>
      </c>
      <c r="F1245" s="9" t="s">
        <v>992</v>
      </c>
      <c r="G1245" s="9">
        <v>219</v>
      </c>
      <c r="H1245" s="5" t="s">
        <v>21</v>
      </c>
      <c r="I1245" s="5" t="s">
        <v>3356</v>
      </c>
      <c r="J1245" s="12" t="str">
        <f>HYPERLINK("https://www.boe.es/gazeta/dias/1808/03/01/pdfs/GMD-1808-18.pdf#page=9","Abrir facsímil")</f>
        <v>Abrir facsímil</v>
      </c>
      <c r="K1245" s="15" t="s">
        <v>23</v>
      </c>
    </row>
    <row r="1246" spans="1:11" ht="42" customHeight="1">
      <c r="A1246" s="4" t="s">
        <v>3357</v>
      </c>
      <c r="B1246" s="5" t="s">
        <v>3358</v>
      </c>
      <c r="C1246" s="5" t="s">
        <v>389</v>
      </c>
      <c r="D1246" s="5" t="s">
        <v>390</v>
      </c>
      <c r="E1246" s="5" t="s">
        <v>391</v>
      </c>
      <c r="F1246" s="9" t="s">
        <v>588</v>
      </c>
      <c r="G1246" s="9" t="s">
        <v>117</v>
      </c>
      <c r="H1246" s="5" t="s">
        <v>21</v>
      </c>
      <c r="I1246" s="5" t="s">
        <v>3359</v>
      </c>
      <c r="J1246" s="12" t="str">
        <f>HYPERLINK("https://www.boe.es/gazeta/dias/1808/09/27/pdfs/GMD-C-1808-128.pdf#page=1","Abrir facsímil")</f>
        <v>Abrir facsímil</v>
      </c>
      <c r="K1246" s="15" t="s">
        <v>23</v>
      </c>
    </row>
    <row r="1247" spans="1:11" ht="42" customHeight="1">
      <c r="A1247" s="4" t="s">
        <v>3360</v>
      </c>
      <c r="B1247" s="5" t="s">
        <v>3360</v>
      </c>
      <c r="C1247" s="5" t="s">
        <v>101</v>
      </c>
      <c r="D1247" s="5" t="s">
        <v>102</v>
      </c>
      <c r="E1247" s="5" t="s">
        <v>3361</v>
      </c>
      <c r="F1247" s="9" t="s">
        <v>3362</v>
      </c>
      <c r="G1247" s="9">
        <v>1640</v>
      </c>
      <c r="H1247" s="5" t="s">
        <v>21</v>
      </c>
      <c r="I1247" s="5" t="s">
        <v>3363</v>
      </c>
      <c r="J1247" s="12" t="str">
        <f>HYPERLINK("https://www.boe.es/gazeta/dias/1808/12/19/pdfs/GMD-1808-159.pdf#page=2","Abrir facsímil")</f>
        <v>Abrir facsímil</v>
      </c>
      <c r="K1247" s="15" t="s">
        <v>23</v>
      </c>
    </row>
    <row r="1248" spans="1:11" ht="42" customHeight="1">
      <c r="A1248" s="4" t="s">
        <v>3364</v>
      </c>
      <c r="B1248" s="5" t="s">
        <v>3364</v>
      </c>
      <c r="C1248" s="5" t="s">
        <v>17</v>
      </c>
      <c r="D1248" s="5" t="s">
        <v>18</v>
      </c>
      <c r="E1248" s="5" t="s">
        <v>3365</v>
      </c>
      <c r="F1248" s="9" t="s">
        <v>3366</v>
      </c>
      <c r="G1248" s="9">
        <v>128</v>
      </c>
      <c r="H1248" s="5" t="s">
        <v>21</v>
      </c>
      <c r="I1248" s="5" t="s">
        <v>3367</v>
      </c>
      <c r="J1248" s="12" t="str">
        <f>HYPERLINK("https://www.boe.es/gazeta/dias/1808/07/23/pdfs/GMS-1808-16.pdf#page=8","Abrir facsímil")</f>
        <v>Abrir facsímil</v>
      </c>
      <c r="K1248" s="15" t="s">
        <v>23</v>
      </c>
    </row>
    <row r="1249" spans="1:11" ht="42" customHeight="1">
      <c r="A1249" s="4" t="s">
        <v>3368</v>
      </c>
      <c r="B1249" s="5" t="s">
        <v>3368</v>
      </c>
      <c r="C1249" s="5" t="s">
        <v>17</v>
      </c>
      <c r="D1249" s="5" t="s">
        <v>18</v>
      </c>
      <c r="E1249" s="5" t="s">
        <v>1866</v>
      </c>
      <c r="F1249" s="9" t="s">
        <v>1867</v>
      </c>
      <c r="G1249" s="9">
        <v>1591</v>
      </c>
      <c r="H1249" s="5" t="s">
        <v>21</v>
      </c>
      <c r="I1249" s="5" t="s">
        <v>3369</v>
      </c>
      <c r="J1249" s="12" t="str">
        <f>HYPERLINK("https://www.boe.es/gazeta/dias/1808/12/14/pdfs/GMD-1808-154.pdf#page=3","Abrir facsímil")</f>
        <v>Abrir facsímil</v>
      </c>
      <c r="K1249" s="15" t="s">
        <v>23</v>
      </c>
    </row>
    <row r="1250" spans="1:11" ht="42" customHeight="1">
      <c r="A1250" s="4" t="s">
        <v>3370</v>
      </c>
      <c r="B1250" s="5" t="s">
        <v>3370</v>
      </c>
      <c r="C1250" s="5" t="s">
        <v>94</v>
      </c>
      <c r="D1250" s="5" t="s">
        <v>95</v>
      </c>
      <c r="E1250" s="5" t="s">
        <v>84</v>
      </c>
      <c r="F1250" s="9" t="s">
        <v>85</v>
      </c>
      <c r="G1250" s="9">
        <v>1153</v>
      </c>
      <c r="H1250" s="5" t="s">
        <v>21</v>
      </c>
      <c r="I1250" s="5" t="s">
        <v>3371</v>
      </c>
      <c r="J1250" s="12" t="str">
        <f>HYPERLINK("https://www.boe.es/gazeta/dias/1808/09/13/pdfs/GMD-1808-123.pdf#page=1","Abrir facsímil")</f>
        <v>Abrir facsímil</v>
      </c>
      <c r="K1250" s="15" t="s">
        <v>23</v>
      </c>
    </row>
    <row r="1251" spans="1:11" ht="42" customHeight="1">
      <c r="A1251" s="4" t="s">
        <v>3372</v>
      </c>
      <c r="B1251" s="5" t="s">
        <v>3372</v>
      </c>
      <c r="C1251" s="5" t="s">
        <v>17</v>
      </c>
      <c r="D1251" s="5" t="s">
        <v>18</v>
      </c>
      <c r="E1251" s="5" t="s">
        <v>2849</v>
      </c>
      <c r="F1251" s="9" t="s">
        <v>2850</v>
      </c>
      <c r="G1251" s="9">
        <v>10</v>
      </c>
      <c r="H1251" s="5" t="s">
        <v>21</v>
      </c>
      <c r="I1251" s="5" t="s">
        <v>3373</v>
      </c>
      <c r="J1251" s="12" t="str">
        <f>HYPERLINK("https://www.boe.es/gazeta/dias/1808/06/04/pdfs/GMS-1808-2.pdf#page=2","Abrir facsímil")</f>
        <v>Abrir facsímil</v>
      </c>
      <c r="K1251" s="15" t="s">
        <v>23</v>
      </c>
    </row>
    <row r="1252" spans="1:11" ht="42" customHeight="1">
      <c r="A1252" s="4" t="s">
        <v>3374</v>
      </c>
      <c r="B1252" s="5" t="s">
        <v>3374</v>
      </c>
      <c r="C1252" s="5" t="s">
        <v>41</v>
      </c>
      <c r="D1252" s="5" t="s">
        <v>42</v>
      </c>
      <c r="E1252" s="5" t="s">
        <v>1345</v>
      </c>
      <c r="F1252" s="9" t="s">
        <v>1346</v>
      </c>
      <c r="G1252" s="9">
        <v>84</v>
      </c>
      <c r="H1252" s="5" t="s">
        <v>21</v>
      </c>
      <c r="I1252" s="5" t="s">
        <v>3375</v>
      </c>
      <c r="J1252" s="12" t="str">
        <f>HYPERLINK("https://www.boe.es/gazeta/dias/1808/07/06/pdfs/GMS-1808-11.pdf#page=4","Abrir facsímil")</f>
        <v>Abrir facsímil</v>
      </c>
      <c r="K1252" s="15" t="s">
        <v>23</v>
      </c>
    </row>
    <row r="1253" spans="1:11" ht="42" customHeight="1">
      <c r="A1253" s="4" t="s">
        <v>3376</v>
      </c>
      <c r="B1253" s="5" t="s">
        <v>3376</v>
      </c>
      <c r="C1253" s="5" t="s">
        <v>94</v>
      </c>
      <c r="D1253" s="5" t="s">
        <v>95</v>
      </c>
      <c r="E1253" s="5" t="s">
        <v>68</v>
      </c>
      <c r="F1253" s="9" t="s">
        <v>69</v>
      </c>
      <c r="G1253" s="9">
        <v>1335</v>
      </c>
      <c r="H1253" s="5" t="s">
        <v>21</v>
      </c>
      <c r="I1253" s="5" t="s">
        <v>3377</v>
      </c>
      <c r="J1253" s="12" t="str">
        <f>HYPERLINK("https://www.boe.es/gazeta/dias/1808/10/21/pdfs/GMD-1808-136.pdf#page=7","Abrir facsímil")</f>
        <v>Abrir facsímil</v>
      </c>
      <c r="K1253" s="15" t="s">
        <v>23</v>
      </c>
    </row>
    <row r="1254" spans="1:11" ht="42" customHeight="1">
      <c r="A1254" s="4" t="s">
        <v>3378</v>
      </c>
      <c r="B1254" s="5" t="s">
        <v>3378</v>
      </c>
      <c r="C1254" s="5" t="s">
        <v>17</v>
      </c>
      <c r="D1254" s="5" t="s">
        <v>18</v>
      </c>
      <c r="E1254" s="5" t="s">
        <v>1182</v>
      </c>
      <c r="F1254" s="9" t="s">
        <v>1183</v>
      </c>
      <c r="G1254" s="9">
        <v>63</v>
      </c>
      <c r="H1254" s="5" t="s">
        <v>21</v>
      </c>
      <c r="I1254" s="5" t="s">
        <v>3379</v>
      </c>
      <c r="J1254" s="12" t="str">
        <f>HYPERLINK("https://www.boe.es/gazeta/dias/1808/06/26/pdfs/GMS-1808-8.pdf#page=7","Abrir facsímil")</f>
        <v>Abrir facsímil</v>
      </c>
      <c r="K1254" s="15" t="s">
        <v>23</v>
      </c>
    </row>
    <row r="1255" spans="1:11" ht="42" customHeight="1">
      <c r="A1255" s="4" t="s">
        <v>3380</v>
      </c>
      <c r="B1255" s="5" t="s">
        <v>3380</v>
      </c>
      <c r="C1255" s="5" t="s">
        <v>101</v>
      </c>
      <c r="D1255" s="5" t="s">
        <v>102</v>
      </c>
      <c r="E1255" s="5" t="s">
        <v>3381</v>
      </c>
      <c r="F1255" s="9" t="s">
        <v>3382</v>
      </c>
      <c r="G1255" s="9">
        <v>366</v>
      </c>
      <c r="H1255" s="5" t="s">
        <v>21</v>
      </c>
      <c r="I1255" s="5" t="s">
        <v>3383</v>
      </c>
      <c r="J1255" s="12" t="str">
        <f>HYPERLINK("https://www.boe.es/gazeta/dias/1808/04/12/pdfs/GMD-1808-34.pdf#page=4","Abrir facsímil")</f>
        <v>Abrir facsímil</v>
      </c>
      <c r="K1255" s="15" t="s">
        <v>23</v>
      </c>
    </row>
    <row r="1256" spans="1:11" ht="42" customHeight="1">
      <c r="A1256" s="4" t="s">
        <v>3384</v>
      </c>
      <c r="B1256" s="5" t="s">
        <v>3384</v>
      </c>
      <c r="C1256" s="5" t="s">
        <v>101</v>
      </c>
      <c r="D1256" s="5" t="s">
        <v>102</v>
      </c>
      <c r="E1256" s="5" t="s">
        <v>3313</v>
      </c>
      <c r="F1256" s="9" t="s">
        <v>3314</v>
      </c>
      <c r="G1256" s="9">
        <v>811</v>
      </c>
      <c r="H1256" s="5" t="s">
        <v>21</v>
      </c>
      <c r="I1256" s="5" t="s">
        <v>3385</v>
      </c>
      <c r="J1256" s="12" t="str">
        <f>HYPERLINK("https://www.boe.es/gazeta/dias/1808/07/15/pdfs/GMD-1808-87.pdf#page=5","Abrir facsímil")</f>
        <v>Abrir facsímil</v>
      </c>
      <c r="K1256" s="15" t="s">
        <v>23</v>
      </c>
    </row>
    <row r="1257" spans="1:11" ht="42" customHeight="1">
      <c r="A1257" s="4" t="s">
        <v>3384</v>
      </c>
      <c r="B1257" s="5" t="s">
        <v>3384</v>
      </c>
      <c r="C1257" s="5" t="s">
        <v>101</v>
      </c>
      <c r="D1257" s="5" t="s">
        <v>102</v>
      </c>
      <c r="E1257" s="5" t="s">
        <v>2598</v>
      </c>
      <c r="F1257" s="9" t="s">
        <v>2599</v>
      </c>
      <c r="G1257" s="9">
        <v>945</v>
      </c>
      <c r="H1257" s="5" t="s">
        <v>21</v>
      </c>
      <c r="I1257" s="5" t="s">
        <v>3386</v>
      </c>
      <c r="J1257" s="12" t="str">
        <f>HYPERLINK("https://www.boe.es/gazeta/dias/1808/08/01/pdfs/GMD-1808-104.pdf#page=3","Abrir facsímil")</f>
        <v>Abrir facsímil</v>
      </c>
      <c r="K1257" s="15" t="s">
        <v>23</v>
      </c>
    </row>
    <row r="1258" spans="1:11" ht="42" customHeight="1">
      <c r="A1258" s="4" t="s">
        <v>3387</v>
      </c>
      <c r="B1258" s="5" t="s">
        <v>3387</v>
      </c>
      <c r="C1258" s="5" t="s">
        <v>94</v>
      </c>
      <c r="D1258" s="5" t="s">
        <v>95</v>
      </c>
      <c r="E1258" s="5" t="s">
        <v>68</v>
      </c>
      <c r="F1258" s="9" t="s">
        <v>69</v>
      </c>
      <c r="G1258" s="9">
        <v>1335</v>
      </c>
      <c r="H1258" s="5" t="s">
        <v>21</v>
      </c>
      <c r="I1258" s="5" t="s">
        <v>3377</v>
      </c>
      <c r="J1258" s="12" t="str">
        <f>HYPERLINK("https://www.boe.es/gazeta/dias/1808/10/21/pdfs/GMD-1808-136.pdf#page=7","Abrir facsímil")</f>
        <v>Abrir facsímil</v>
      </c>
      <c r="K1258" s="15" t="s">
        <v>23</v>
      </c>
    </row>
    <row r="1259" spans="1:11" ht="42" customHeight="1">
      <c r="A1259" s="4" t="s">
        <v>3388</v>
      </c>
      <c r="B1259" s="5" t="s">
        <v>3388</v>
      </c>
      <c r="C1259" s="5" t="s">
        <v>101</v>
      </c>
      <c r="D1259" s="5" t="s">
        <v>102</v>
      </c>
      <c r="E1259" s="5" t="s">
        <v>3361</v>
      </c>
      <c r="F1259" s="9" t="s">
        <v>3362</v>
      </c>
      <c r="G1259" s="9">
        <v>1640</v>
      </c>
      <c r="H1259" s="5" t="s">
        <v>21</v>
      </c>
      <c r="I1259" s="5" t="s">
        <v>3389</v>
      </c>
      <c r="J1259" s="12" t="str">
        <f>HYPERLINK("https://www.boe.es/gazeta/dias/1808/12/19/pdfs/GMD-1808-159.pdf#page=2","Abrir facsímil")</f>
        <v>Abrir facsímil</v>
      </c>
      <c r="K1259" s="15" t="s">
        <v>23</v>
      </c>
    </row>
    <row r="1260" spans="1:11" ht="42" customHeight="1">
      <c r="A1260" s="4" t="s">
        <v>3390</v>
      </c>
      <c r="B1260" s="5" t="s">
        <v>3390</v>
      </c>
      <c r="C1260" s="5" t="s">
        <v>33</v>
      </c>
      <c r="D1260" s="5" t="s">
        <v>34</v>
      </c>
      <c r="E1260" s="5" t="s">
        <v>89</v>
      </c>
      <c r="F1260" s="9" t="s">
        <v>1247</v>
      </c>
      <c r="G1260" s="9">
        <v>1366</v>
      </c>
      <c r="H1260" s="5" t="s">
        <v>21</v>
      </c>
      <c r="I1260" s="5" t="s">
        <v>3391</v>
      </c>
      <c r="J1260" s="12" t="str">
        <f>HYPERLINK("https://www.boe.es/gazeta/dias/1808/10/25/pdfs/GMD-C-1808-137.pdf#page=2","Abrir facsímil")</f>
        <v>Abrir facsímil</v>
      </c>
      <c r="K1260" s="15" t="s">
        <v>23</v>
      </c>
    </row>
    <row r="1261" spans="1:11" ht="42" customHeight="1">
      <c r="A1261" s="4" t="s">
        <v>3392</v>
      </c>
      <c r="B1261" s="5" t="s">
        <v>3393</v>
      </c>
      <c r="C1261" s="5" t="s">
        <v>94</v>
      </c>
      <c r="D1261" s="5" t="s">
        <v>95</v>
      </c>
      <c r="E1261" s="5" t="s">
        <v>2555</v>
      </c>
      <c r="F1261" s="9" t="s">
        <v>2556</v>
      </c>
      <c r="G1261" s="9">
        <v>130</v>
      </c>
      <c r="H1261" s="5" t="s">
        <v>21</v>
      </c>
      <c r="I1261" s="5" t="s">
        <v>3394</v>
      </c>
      <c r="J1261" s="12" t="str">
        <f>HYPERLINK("https://www.boe.es/gazeta/dias/1808/02/05/pdfs/GMD-1808-11.pdf#page=10","Abrir facsímil")</f>
        <v>Abrir facsímil</v>
      </c>
      <c r="K1261" s="15" t="s">
        <v>23</v>
      </c>
    </row>
    <row r="1262" spans="1:11" ht="42" customHeight="1">
      <c r="A1262" s="4" t="s">
        <v>3395</v>
      </c>
      <c r="B1262" s="5" t="s">
        <v>3396</v>
      </c>
      <c r="C1262" s="5" t="s">
        <v>33</v>
      </c>
      <c r="D1262" s="5" t="s">
        <v>34</v>
      </c>
      <c r="E1262" s="5" t="s">
        <v>139</v>
      </c>
      <c r="F1262" s="9" t="s">
        <v>1089</v>
      </c>
      <c r="G1262" s="9" t="s">
        <v>117</v>
      </c>
      <c r="H1262" s="5" t="s">
        <v>21</v>
      </c>
      <c r="I1262" s="5" t="s">
        <v>3397</v>
      </c>
      <c r="J1262" s="12" t="str">
        <f>HYPERLINK("https://www.boe.es/gazeta/dias/1808/09/23/pdfs/GMD-C-1808-127.pdf#page=1","Abrir facsímil")</f>
        <v>Abrir facsímil</v>
      </c>
      <c r="K1262" s="15" t="s">
        <v>23</v>
      </c>
    </row>
    <row r="1263" spans="1:11" ht="42" customHeight="1">
      <c r="A1263" s="4" t="s">
        <v>3398</v>
      </c>
      <c r="B1263" s="5" t="s">
        <v>3399</v>
      </c>
      <c r="C1263" s="5" t="s">
        <v>33</v>
      </c>
      <c r="D1263" s="5" t="s">
        <v>34</v>
      </c>
      <c r="E1263" s="5" t="s">
        <v>35</v>
      </c>
      <c r="F1263" s="9" t="s">
        <v>36</v>
      </c>
      <c r="G1263" s="9" t="s">
        <v>867</v>
      </c>
      <c r="H1263" s="5" t="s">
        <v>21</v>
      </c>
      <c r="I1263" s="5" t="s">
        <v>3400</v>
      </c>
      <c r="J1263" s="12" t="str">
        <f>HYPERLINK("https://www.boe.es/gazeta/dias/1808/04/22/pdfs/GMD-C-1808-38.pdf#page=19","Abrir facsímil")</f>
        <v>Abrir facsímil</v>
      </c>
      <c r="K1263" s="15" t="s">
        <v>23</v>
      </c>
    </row>
    <row r="1264" spans="1:11" ht="42" customHeight="1">
      <c r="A1264" s="4" t="s">
        <v>3401</v>
      </c>
      <c r="B1264" s="5" t="s">
        <v>3402</v>
      </c>
      <c r="C1264" s="5" t="s">
        <v>33</v>
      </c>
      <c r="D1264" s="5" t="s">
        <v>34</v>
      </c>
      <c r="E1264" s="5" t="s">
        <v>35</v>
      </c>
      <c r="F1264" s="9" t="s">
        <v>36</v>
      </c>
      <c r="G1264" s="9" t="s">
        <v>501</v>
      </c>
      <c r="H1264" s="5" t="s">
        <v>21</v>
      </c>
      <c r="I1264" s="5" t="s">
        <v>3403</v>
      </c>
      <c r="J1264" s="12" t="str">
        <f>HYPERLINK("https://www.boe.es/gazeta/dias/1808/04/22/pdfs/GMD-C-1808-38.pdf#page=5","Abrir facsímil")</f>
        <v>Abrir facsímil</v>
      </c>
      <c r="K1264" s="15" t="s">
        <v>23</v>
      </c>
    </row>
    <row r="1265" spans="1:11" ht="42" customHeight="1">
      <c r="A1265" s="4" t="s">
        <v>3404</v>
      </c>
      <c r="B1265" s="5" t="s">
        <v>3405</v>
      </c>
      <c r="C1265" s="5" t="s">
        <v>33</v>
      </c>
      <c r="D1265" s="5" t="s">
        <v>34</v>
      </c>
      <c r="E1265" s="5" t="s">
        <v>264</v>
      </c>
      <c r="F1265" s="9" t="s">
        <v>318</v>
      </c>
      <c r="G1265" s="9" t="s">
        <v>117</v>
      </c>
      <c r="H1265" s="5" t="s">
        <v>21</v>
      </c>
      <c r="I1265" s="5" t="s">
        <v>3406</v>
      </c>
      <c r="J1265" s="12" t="str">
        <f>HYPERLINK("https://www.boe.es/gazeta/dias/1808/11/29/pdfs/GMD-C-1808-148.pdf#page=1","Abrir facsímil")</f>
        <v>Abrir facsímil</v>
      </c>
      <c r="K1265" s="15" t="s">
        <v>23</v>
      </c>
    </row>
    <row r="1266" spans="1:11" ht="42" customHeight="1">
      <c r="A1266" s="4" t="s">
        <v>3407</v>
      </c>
      <c r="B1266" s="5" t="s">
        <v>3408</v>
      </c>
      <c r="C1266" s="5" t="s">
        <v>41</v>
      </c>
      <c r="D1266" s="5" t="s">
        <v>42</v>
      </c>
      <c r="E1266" s="5" t="s">
        <v>35</v>
      </c>
      <c r="F1266" s="9" t="s">
        <v>36</v>
      </c>
      <c r="G1266" s="9" t="s">
        <v>924</v>
      </c>
      <c r="H1266" s="5" t="s">
        <v>21</v>
      </c>
      <c r="I1266" s="5" t="s">
        <v>3409</v>
      </c>
      <c r="J1266" s="12" t="str">
        <f>HYPERLINK("https://www.boe.es/gazeta/dias/1808/04/22/pdfs/GMD-C-1808-38.pdf#page=27","Abrir facsímil")</f>
        <v>Abrir facsímil</v>
      </c>
      <c r="K1266" s="15" t="s">
        <v>23</v>
      </c>
    </row>
    <row r="1267" spans="1:11" ht="42" customHeight="1">
      <c r="A1267" s="4" t="s">
        <v>3410</v>
      </c>
      <c r="B1267" s="5" t="s">
        <v>3411</v>
      </c>
      <c r="C1267" s="5" t="s">
        <v>17</v>
      </c>
      <c r="D1267" s="5" t="s">
        <v>18</v>
      </c>
      <c r="E1267" s="5" t="s">
        <v>130</v>
      </c>
      <c r="F1267" s="9" t="s">
        <v>131</v>
      </c>
      <c r="G1267" s="9">
        <v>1603</v>
      </c>
      <c r="H1267" s="5" t="s">
        <v>21</v>
      </c>
      <c r="I1267" s="5" t="s">
        <v>3412</v>
      </c>
      <c r="J1267" s="12" t="str">
        <f>HYPERLINK("https://www.boe.es/gazeta/dias/1808/12/15/pdfs/GMD-1808-155.pdf#page=7","Abrir facsímil")</f>
        <v>Abrir facsímil</v>
      </c>
      <c r="K1267" s="15" t="s">
        <v>23</v>
      </c>
    </row>
    <row r="1268" spans="1:11" ht="42" customHeight="1">
      <c r="A1268" s="4" t="s">
        <v>3413</v>
      </c>
      <c r="B1268" s="5" t="s">
        <v>3414</v>
      </c>
      <c r="C1268" s="5" t="s">
        <v>17</v>
      </c>
      <c r="D1268" s="5" t="s">
        <v>18</v>
      </c>
      <c r="E1268" s="5" t="s">
        <v>19</v>
      </c>
      <c r="F1268" s="9" t="s">
        <v>20</v>
      </c>
      <c r="G1268" s="9">
        <v>286</v>
      </c>
      <c r="H1268" s="5" t="s">
        <v>21</v>
      </c>
      <c r="I1268" s="5" t="s">
        <v>3415</v>
      </c>
      <c r="J1268" s="12" t="str">
        <f>HYPERLINK("https://www.boe.es/gazeta/dias/1808/09/30/pdfs/GMS-1808-36.pdf#page=6","Abrir facsímil")</f>
        <v>Abrir facsímil</v>
      </c>
      <c r="K1268" s="15" t="s">
        <v>23</v>
      </c>
    </row>
    <row r="1269" spans="1:11" ht="42" customHeight="1">
      <c r="A1269" s="4" t="s">
        <v>3416</v>
      </c>
      <c r="B1269" s="5" t="s">
        <v>3416</v>
      </c>
      <c r="C1269" s="5" t="s">
        <v>17</v>
      </c>
      <c r="D1269" s="5" t="s">
        <v>18</v>
      </c>
      <c r="E1269" s="5" t="s">
        <v>269</v>
      </c>
      <c r="F1269" s="9" t="s">
        <v>270</v>
      </c>
      <c r="G1269" s="9">
        <v>66</v>
      </c>
      <c r="H1269" s="5" t="s">
        <v>21</v>
      </c>
      <c r="I1269" s="5" t="s">
        <v>3417</v>
      </c>
      <c r="J1269" s="12" t="str">
        <f>HYPERLINK("https://www.boe.es/gazeta/dias/1808/01/19/pdfs/GMD-1808-6.pdf#page=6","Abrir facsímil")</f>
        <v>Abrir facsímil</v>
      </c>
      <c r="K1269" s="15" t="s">
        <v>23</v>
      </c>
    </row>
    <row r="1270" spans="1:11" ht="42" customHeight="1">
      <c r="A1270" s="4" t="s">
        <v>3418</v>
      </c>
      <c r="B1270" s="5" t="s">
        <v>3418</v>
      </c>
      <c r="C1270" s="5" t="s">
        <v>101</v>
      </c>
      <c r="D1270" s="5" t="s">
        <v>102</v>
      </c>
      <c r="E1270" s="5" t="s">
        <v>1466</v>
      </c>
      <c r="F1270" s="9" t="s">
        <v>1467</v>
      </c>
      <c r="G1270" s="9">
        <v>53</v>
      </c>
      <c r="H1270" s="5" t="s">
        <v>21</v>
      </c>
      <c r="I1270" s="5" t="s">
        <v>3419</v>
      </c>
      <c r="J1270" s="12" t="str">
        <f>HYPERLINK("https://www.boe.es/gazeta/dias/1808/01/15/pdfs/GMD-1808-5.pdf#page=5","Abrir facsímil")</f>
        <v>Abrir facsímil</v>
      </c>
      <c r="K1270" s="15" t="s">
        <v>23</v>
      </c>
    </row>
    <row r="1271" spans="1:11" ht="42" customHeight="1">
      <c r="A1271" s="4" t="s">
        <v>3420</v>
      </c>
      <c r="B1271" s="5" t="s">
        <v>3420</v>
      </c>
      <c r="C1271" s="5" t="s">
        <v>17</v>
      </c>
      <c r="D1271" s="5" t="s">
        <v>18</v>
      </c>
      <c r="E1271" s="5" t="s">
        <v>51</v>
      </c>
      <c r="F1271" s="9" t="s">
        <v>52</v>
      </c>
      <c r="G1271" s="9">
        <v>996</v>
      </c>
      <c r="H1271" s="5" t="s">
        <v>21</v>
      </c>
      <c r="I1271" s="5" t="s">
        <v>3421</v>
      </c>
      <c r="J1271" s="12" t="str">
        <f>HYPERLINK("https://www.boe.es/gazeta/dias/1808/08/09/pdfs/GMD-1808-111.pdf#page=12","Abrir facsímil")</f>
        <v>Abrir facsímil</v>
      </c>
      <c r="K1271" s="15" t="s">
        <v>23</v>
      </c>
    </row>
    <row r="1272" spans="1:11" ht="42" customHeight="1">
      <c r="A1272" s="4" t="s">
        <v>3422</v>
      </c>
      <c r="B1272" s="5" t="s">
        <v>3423</v>
      </c>
      <c r="C1272" s="5" t="s">
        <v>41</v>
      </c>
      <c r="D1272" s="5" t="s">
        <v>42</v>
      </c>
      <c r="E1272" s="5" t="s">
        <v>3381</v>
      </c>
      <c r="F1272" s="9" t="s">
        <v>3382</v>
      </c>
      <c r="G1272" s="9">
        <v>370</v>
      </c>
      <c r="H1272" s="5" t="s">
        <v>21</v>
      </c>
      <c r="I1272" s="5" t="s">
        <v>3424</v>
      </c>
      <c r="J1272" s="12" t="str">
        <f>HYPERLINK("https://www.boe.es/gazeta/dias/1808/04/12/pdfs/GMD-1808-34.pdf#page=8","Abrir facsímil")</f>
        <v>Abrir facsímil</v>
      </c>
      <c r="K1272" s="15" t="s">
        <v>23</v>
      </c>
    </row>
    <row r="1273" spans="1:11" ht="42" customHeight="1">
      <c r="A1273" s="4" t="s">
        <v>3425</v>
      </c>
      <c r="B1273" s="5" t="s">
        <v>3426</v>
      </c>
      <c r="C1273" s="5" t="s">
        <v>94</v>
      </c>
      <c r="D1273" s="5" t="s">
        <v>95</v>
      </c>
      <c r="E1273" s="5" t="s">
        <v>269</v>
      </c>
      <c r="F1273" s="9" t="s">
        <v>270</v>
      </c>
      <c r="G1273" s="9">
        <v>70</v>
      </c>
      <c r="H1273" s="5" t="s">
        <v>21</v>
      </c>
      <c r="I1273" s="5" t="s">
        <v>3427</v>
      </c>
      <c r="J1273" s="12" t="str">
        <f>HYPERLINK("https://www.boe.es/gazeta/dias/1808/01/19/pdfs/GMD-1808-6.pdf#page=10","Abrir facsímil")</f>
        <v>Abrir facsímil</v>
      </c>
      <c r="K1273" s="15" t="s">
        <v>23</v>
      </c>
    </row>
    <row r="1274" spans="1:11" ht="42" customHeight="1">
      <c r="A1274" s="4" t="s">
        <v>3428</v>
      </c>
      <c r="B1274" s="5" t="s">
        <v>3429</v>
      </c>
      <c r="C1274" s="5" t="s">
        <v>260</v>
      </c>
      <c r="D1274" s="5" t="s">
        <v>42</v>
      </c>
      <c r="E1274" s="5" t="s">
        <v>1472</v>
      </c>
      <c r="F1274" s="9" t="s">
        <v>1473</v>
      </c>
      <c r="G1274" s="9">
        <v>85</v>
      </c>
      <c r="H1274" s="5" t="s">
        <v>21</v>
      </c>
      <c r="I1274" s="5" t="s">
        <v>3430</v>
      </c>
      <c r="J1274" s="12" t="str">
        <f>HYPERLINK("https://www.boe.es/gazeta/dias/1808/01/26/pdfs/GMD-1808-8.pdf#page=1","Abrir facsímil")</f>
        <v>Abrir facsímil</v>
      </c>
      <c r="K1274" s="15" t="s">
        <v>23</v>
      </c>
    </row>
    <row r="1275" spans="1:11" ht="42" customHeight="1">
      <c r="A1275" s="4" t="s">
        <v>3428</v>
      </c>
      <c r="B1275" s="5" t="s">
        <v>3429</v>
      </c>
      <c r="C1275" s="5" t="s">
        <v>94</v>
      </c>
      <c r="D1275" s="5" t="s">
        <v>95</v>
      </c>
      <c r="E1275" s="5" t="s">
        <v>1484</v>
      </c>
      <c r="F1275" s="9" t="s">
        <v>1485</v>
      </c>
      <c r="G1275" s="9">
        <v>675</v>
      </c>
      <c r="H1275" s="5" t="s">
        <v>21</v>
      </c>
      <c r="I1275" s="5" t="s">
        <v>3431</v>
      </c>
      <c r="J1275" s="12" t="str">
        <f>HYPERLINK("https://www.boe.es/gazeta/dias/1808/06/28/pdfs/GMD-1808-70.pdf#page=5","Abrir facsímil")</f>
        <v>Abrir facsímil</v>
      </c>
      <c r="K1275" s="15" t="s">
        <v>23</v>
      </c>
    </row>
    <row r="1276" spans="1:11" ht="42" customHeight="1">
      <c r="A1276" s="4" t="s">
        <v>3432</v>
      </c>
      <c r="B1276" s="5" t="s">
        <v>3433</v>
      </c>
      <c r="C1276" s="5" t="s">
        <v>41</v>
      </c>
      <c r="D1276" s="5" t="s">
        <v>42</v>
      </c>
      <c r="E1276" s="5" t="s">
        <v>339</v>
      </c>
      <c r="F1276" s="9" t="s">
        <v>340</v>
      </c>
      <c r="G1276" s="9">
        <v>82</v>
      </c>
      <c r="H1276" s="5" t="s">
        <v>21</v>
      </c>
      <c r="I1276" s="5" t="s">
        <v>3434</v>
      </c>
      <c r="J1276" s="12" t="str">
        <f>HYPERLINK("https://www.boe.es/gazeta/dias/1808/01/22/pdfs/GMD-1808-7.pdf#page=10","Abrir facsímil")</f>
        <v>Abrir facsímil</v>
      </c>
      <c r="K1276" s="15" t="s">
        <v>23</v>
      </c>
    </row>
    <row r="1277" spans="1:11" ht="42" customHeight="1">
      <c r="A1277" s="4" t="s">
        <v>3435</v>
      </c>
      <c r="B1277" s="5" t="s">
        <v>3436</v>
      </c>
      <c r="C1277" s="5" t="s">
        <v>41</v>
      </c>
      <c r="D1277" s="5" t="s">
        <v>42</v>
      </c>
      <c r="E1277" s="5" t="s">
        <v>368</v>
      </c>
      <c r="F1277" s="9" t="s">
        <v>369</v>
      </c>
      <c r="G1277" s="9">
        <v>169</v>
      </c>
      <c r="H1277" s="5" t="s">
        <v>21</v>
      </c>
      <c r="I1277" s="5" t="s">
        <v>3437</v>
      </c>
      <c r="J1277" s="12" t="str">
        <f>HYPERLINK("https://www.boe.es/gazeta/dias/1808/02/16/pdfs/GMD-1808-14.pdf#page=11","Abrir facsímil")</f>
        <v>Abrir facsímil</v>
      </c>
      <c r="K1277" s="15" t="s">
        <v>23</v>
      </c>
    </row>
    <row r="1278" spans="1:11" ht="42" customHeight="1">
      <c r="A1278" s="4" t="s">
        <v>3438</v>
      </c>
      <c r="B1278" s="5" t="s">
        <v>3438</v>
      </c>
      <c r="C1278" s="5" t="s">
        <v>17</v>
      </c>
      <c r="D1278" s="5" t="s">
        <v>18</v>
      </c>
      <c r="E1278" s="5" t="s">
        <v>3439</v>
      </c>
      <c r="F1278" s="9" t="s">
        <v>3440</v>
      </c>
      <c r="G1278" s="9">
        <v>940</v>
      </c>
      <c r="H1278" s="5" t="s">
        <v>21</v>
      </c>
      <c r="I1278" s="5" t="s">
        <v>3441</v>
      </c>
      <c r="J1278" s="12" t="str">
        <f>HYPERLINK("https://www.boe.es/gazeta/dias/1808/07/31/pdfs/GMD-1808-103.pdf#page=6","Abrir facsímil")</f>
        <v>Abrir facsímil</v>
      </c>
      <c r="K1278" s="15" t="s">
        <v>23</v>
      </c>
    </row>
    <row r="1279" spans="1:11" ht="42" customHeight="1">
      <c r="A1279" s="4" t="s">
        <v>3442</v>
      </c>
      <c r="B1279" s="5" t="s">
        <v>3443</v>
      </c>
      <c r="C1279" s="5" t="s">
        <v>94</v>
      </c>
      <c r="D1279" s="5" t="s">
        <v>95</v>
      </c>
      <c r="E1279" s="5" t="s">
        <v>96</v>
      </c>
      <c r="F1279" s="9" t="s">
        <v>97</v>
      </c>
      <c r="G1279" s="9">
        <v>266</v>
      </c>
      <c r="H1279" s="5" t="s">
        <v>21</v>
      </c>
      <c r="I1279" s="5" t="s">
        <v>3444</v>
      </c>
      <c r="J1279" s="12" t="str">
        <f>HYPERLINK("https://www.boe.es/gazeta/dias/1808/03/15/pdfs/GMD-1808-22.pdf#page=8","Abrir facsímil")</f>
        <v>Abrir facsímil</v>
      </c>
      <c r="K1279" s="15" t="s">
        <v>23</v>
      </c>
    </row>
    <row r="1280" spans="1:11" ht="42" customHeight="1">
      <c r="A1280" s="4" t="s">
        <v>3445</v>
      </c>
      <c r="B1280" s="5" t="s">
        <v>3445</v>
      </c>
      <c r="C1280" s="5" t="s">
        <v>94</v>
      </c>
      <c r="D1280" s="5" t="s">
        <v>95</v>
      </c>
      <c r="E1280" s="5" t="s">
        <v>1182</v>
      </c>
      <c r="F1280" s="9" t="s">
        <v>1197</v>
      </c>
      <c r="G1280" s="9">
        <v>657</v>
      </c>
      <c r="H1280" s="5" t="s">
        <v>21</v>
      </c>
      <c r="I1280" s="5" t="s">
        <v>3446</v>
      </c>
      <c r="J1280" s="12" t="str">
        <f>HYPERLINK("https://www.boe.es/gazeta/dias/1808/06/26/pdfs/GMD-1808-68.pdf#page=3","Abrir facsímil")</f>
        <v>Abrir facsímil</v>
      </c>
      <c r="K1280" s="15" t="s">
        <v>23</v>
      </c>
    </row>
    <row r="1281" spans="1:11" ht="42" customHeight="1">
      <c r="A1281" s="4" t="s">
        <v>3447</v>
      </c>
      <c r="B1281" s="5" t="s">
        <v>3448</v>
      </c>
      <c r="C1281" s="5" t="s">
        <v>17</v>
      </c>
      <c r="D1281" s="5" t="s">
        <v>18</v>
      </c>
      <c r="E1281" s="5" t="s">
        <v>54</v>
      </c>
      <c r="F1281" s="9" t="s">
        <v>55</v>
      </c>
      <c r="G1281" s="9">
        <v>1083</v>
      </c>
      <c r="H1281" s="5" t="s">
        <v>21</v>
      </c>
      <c r="I1281" s="5" t="s">
        <v>3449</v>
      </c>
      <c r="J1281" s="12" t="str">
        <f>HYPERLINK("https://www.boe.es/gazeta/dias/1808/08/26/pdfs/GMD-1808-117.pdf#page=5","Abrir facsímil")</f>
        <v>Abrir facsímil</v>
      </c>
      <c r="K1281" s="15" t="s">
        <v>23</v>
      </c>
    </row>
    <row r="1282" spans="1:11" ht="42" customHeight="1">
      <c r="A1282" s="4" t="s">
        <v>3447</v>
      </c>
      <c r="B1282" s="5" t="s">
        <v>3448</v>
      </c>
      <c r="C1282" s="5" t="s">
        <v>389</v>
      </c>
      <c r="D1282" s="5" t="s">
        <v>390</v>
      </c>
      <c r="E1282" s="5" t="s">
        <v>73</v>
      </c>
      <c r="F1282" s="9" t="s">
        <v>1570</v>
      </c>
      <c r="G1282" s="9">
        <v>1481</v>
      </c>
      <c r="H1282" s="5" t="s">
        <v>21</v>
      </c>
      <c r="I1282" s="5" t="s">
        <v>3450</v>
      </c>
      <c r="J1282" s="12" t="str">
        <f>HYPERLINK("https://www.boe.es/gazeta/dias/1808/11/11/pdfs/GMD-C-1808-143.pdf#page=11","Abrir facsímil")</f>
        <v>Abrir facsímil</v>
      </c>
      <c r="K1282" s="15" t="s">
        <v>23</v>
      </c>
    </row>
    <row r="1283" spans="1:11" ht="42" customHeight="1">
      <c r="A1283" s="4" t="s">
        <v>3451</v>
      </c>
      <c r="B1283" s="5" t="s">
        <v>3451</v>
      </c>
      <c r="C1283" s="5" t="s">
        <v>17</v>
      </c>
      <c r="D1283" s="5" t="s">
        <v>18</v>
      </c>
      <c r="E1283" s="5" t="s">
        <v>35</v>
      </c>
      <c r="F1283" s="9" t="s">
        <v>3452</v>
      </c>
      <c r="G1283" s="9">
        <v>401</v>
      </c>
      <c r="H1283" s="5" t="s">
        <v>21</v>
      </c>
      <c r="I1283" s="5" t="s">
        <v>3453</v>
      </c>
      <c r="J1283" s="12" t="str">
        <f>HYPERLINK("https://www.boe.es/gazeta/dias/1808/04/22/pdfs/GMD-1808-38.pdf#page=9","Abrir facsímil")</f>
        <v>Abrir facsímil</v>
      </c>
      <c r="K1283" s="15" t="s">
        <v>23</v>
      </c>
    </row>
    <row r="1284" spans="1:11" ht="42" customHeight="1">
      <c r="A1284" s="4" t="s">
        <v>3454</v>
      </c>
      <c r="B1284" s="5" t="s">
        <v>3455</v>
      </c>
      <c r="C1284" s="5" t="s">
        <v>94</v>
      </c>
      <c r="D1284" s="5" t="s">
        <v>95</v>
      </c>
      <c r="E1284" s="5" t="s">
        <v>493</v>
      </c>
      <c r="F1284" s="9" t="s">
        <v>494</v>
      </c>
      <c r="G1284" s="9">
        <v>44</v>
      </c>
      <c r="H1284" s="5" t="s">
        <v>21</v>
      </c>
      <c r="I1284" s="5" t="s">
        <v>3456</v>
      </c>
      <c r="J1284" s="12" t="str">
        <f>HYPERLINK("https://www.boe.es/gazeta/dias/1808/01/12/pdfs/GMD-1808-4.pdf#page=8","Abrir facsímil")</f>
        <v>Abrir facsímil</v>
      </c>
      <c r="K1284" s="15" t="s">
        <v>23</v>
      </c>
    </row>
    <row r="1285" spans="1:11" ht="42" customHeight="1">
      <c r="A1285" s="4" t="s">
        <v>3457</v>
      </c>
      <c r="B1285" s="5" t="s">
        <v>3458</v>
      </c>
      <c r="C1285" s="5" t="s">
        <v>94</v>
      </c>
      <c r="D1285" s="5" t="s">
        <v>95</v>
      </c>
      <c r="E1285" s="5" t="s">
        <v>203</v>
      </c>
      <c r="F1285" s="9" t="s">
        <v>204</v>
      </c>
      <c r="G1285" s="9">
        <v>141</v>
      </c>
      <c r="H1285" s="5" t="s">
        <v>21</v>
      </c>
      <c r="I1285" s="5" t="s">
        <v>3459</v>
      </c>
      <c r="J1285" s="12" t="str">
        <f>HYPERLINK("https://www.boe.es/gazeta/dias/1808/02/09/pdfs/GMD-1808-12.pdf#page=9","Abrir facsímil")</f>
        <v>Abrir facsímil</v>
      </c>
      <c r="K1285" s="15" t="s">
        <v>23</v>
      </c>
    </row>
    <row r="1286" spans="1:11" ht="42" customHeight="1">
      <c r="A1286" s="4" t="s">
        <v>3460</v>
      </c>
      <c r="B1286" s="5" t="s">
        <v>3461</v>
      </c>
      <c r="C1286" s="5" t="s">
        <v>33</v>
      </c>
      <c r="D1286" s="5" t="s">
        <v>34</v>
      </c>
      <c r="E1286" s="5" t="s">
        <v>558</v>
      </c>
      <c r="F1286" s="9" t="s">
        <v>758</v>
      </c>
      <c r="G1286" s="9" t="s">
        <v>117</v>
      </c>
      <c r="H1286" s="5" t="s">
        <v>21</v>
      </c>
      <c r="I1286" s="5" t="s">
        <v>3462</v>
      </c>
      <c r="J1286" s="12" t="str">
        <f>HYPERLINK("https://www.boe.es/gazeta/dias/1808/11/25/pdfs/GMD-E-1808-147.pdf#page=1","Abrir facsímil")</f>
        <v>Abrir facsímil</v>
      </c>
      <c r="K1286" s="15" t="s">
        <v>23</v>
      </c>
    </row>
    <row r="1287" spans="1:11" ht="42" customHeight="1">
      <c r="A1287" s="4" t="s">
        <v>3463</v>
      </c>
      <c r="B1287" s="5" t="s">
        <v>3464</v>
      </c>
      <c r="C1287" s="5" t="s">
        <v>17</v>
      </c>
      <c r="D1287" s="5" t="s">
        <v>18</v>
      </c>
      <c r="E1287" s="5" t="s">
        <v>130</v>
      </c>
      <c r="F1287" s="9" t="s">
        <v>131</v>
      </c>
      <c r="G1287" s="9">
        <v>1604</v>
      </c>
      <c r="H1287" s="5" t="s">
        <v>21</v>
      </c>
      <c r="I1287" s="5" t="s">
        <v>3465</v>
      </c>
      <c r="J1287" s="12" t="str">
        <f>HYPERLINK("https://www.boe.es/gazeta/dias/1808/12/15/pdfs/GMD-1808-155.pdf#page=8","Abrir facsímil")</f>
        <v>Abrir facsímil</v>
      </c>
      <c r="K1287" s="15" t="s">
        <v>23</v>
      </c>
    </row>
    <row r="1288" spans="1:11" ht="42" customHeight="1">
      <c r="A1288" s="4" t="s">
        <v>3466</v>
      </c>
      <c r="B1288" s="5" t="s">
        <v>3467</v>
      </c>
      <c r="C1288" s="5" t="s">
        <v>17</v>
      </c>
      <c r="D1288" s="5" t="s">
        <v>18</v>
      </c>
      <c r="E1288" s="5" t="s">
        <v>130</v>
      </c>
      <c r="F1288" s="9" t="s">
        <v>131</v>
      </c>
      <c r="G1288" s="9">
        <v>1604</v>
      </c>
      <c r="H1288" s="5" t="s">
        <v>21</v>
      </c>
      <c r="I1288" s="5" t="s">
        <v>3468</v>
      </c>
      <c r="J1288" s="12" t="str">
        <f>HYPERLINK("https://www.boe.es/gazeta/dias/1808/12/15/pdfs/GMD-1808-155.pdf#page=8","Abrir facsímil")</f>
        <v>Abrir facsímil</v>
      </c>
      <c r="K1288" s="15" t="s">
        <v>23</v>
      </c>
    </row>
    <row r="1289" spans="1:11" ht="42" customHeight="1">
      <c r="A1289" s="4" t="s">
        <v>3469</v>
      </c>
      <c r="B1289" s="5" t="s">
        <v>3470</v>
      </c>
      <c r="C1289" s="5" t="s">
        <v>17</v>
      </c>
      <c r="D1289" s="5" t="s">
        <v>18</v>
      </c>
      <c r="E1289" s="5" t="s">
        <v>197</v>
      </c>
      <c r="F1289" s="9" t="s">
        <v>857</v>
      </c>
      <c r="G1289" s="9">
        <v>356</v>
      </c>
      <c r="H1289" s="5" t="s">
        <v>21</v>
      </c>
      <c r="I1289" s="5" t="s">
        <v>3471</v>
      </c>
      <c r="J1289" s="12" t="str">
        <f>HYPERLINK("https://www.boe.es/gazeta/dias/1808/11/01/pdfs/GMS-1808-45.pdf#page=4","Abrir facsímil")</f>
        <v>Abrir facsímil</v>
      </c>
      <c r="K1289" s="15" t="s">
        <v>23</v>
      </c>
    </row>
    <row r="1290" spans="1:11" ht="42" customHeight="1">
      <c r="A1290" s="4" t="s">
        <v>3472</v>
      </c>
      <c r="B1290" s="5" t="s">
        <v>3473</v>
      </c>
      <c r="C1290" s="5" t="s">
        <v>17</v>
      </c>
      <c r="D1290" s="5" t="s">
        <v>18</v>
      </c>
      <c r="E1290" s="5" t="s">
        <v>68</v>
      </c>
      <c r="F1290" s="9" t="s">
        <v>69</v>
      </c>
      <c r="G1290" s="9">
        <v>1336</v>
      </c>
      <c r="H1290" s="5" t="s">
        <v>21</v>
      </c>
      <c r="I1290" s="5" t="s">
        <v>3474</v>
      </c>
      <c r="J1290" s="12" t="str">
        <f>HYPERLINK("https://www.boe.es/gazeta/dias/1808/10/21/pdfs/GMD-1808-136.pdf#page=8","Abrir facsímil")</f>
        <v>Abrir facsímil</v>
      </c>
      <c r="K1290" s="15" t="s">
        <v>23</v>
      </c>
    </row>
    <row r="1291" spans="1:11" ht="42" customHeight="1">
      <c r="A1291" s="4" t="s">
        <v>3475</v>
      </c>
      <c r="B1291" s="5" t="s">
        <v>3476</v>
      </c>
      <c r="C1291" s="5" t="s">
        <v>33</v>
      </c>
      <c r="D1291" s="5" t="s">
        <v>34</v>
      </c>
      <c r="E1291" s="5" t="s">
        <v>35</v>
      </c>
      <c r="F1291" s="9" t="s">
        <v>36</v>
      </c>
      <c r="G1291" s="9" t="s">
        <v>2643</v>
      </c>
      <c r="H1291" s="5" t="s">
        <v>21</v>
      </c>
      <c r="I1291" s="5" t="s">
        <v>3477</v>
      </c>
      <c r="J1291" s="12" t="str">
        <f>HYPERLINK("https://www.boe.es/gazeta/dias/1808/04/22/pdfs/GMD-C-1808-38.pdf#page=17","Abrir facsímil")</f>
        <v>Abrir facsímil</v>
      </c>
      <c r="K1291" s="15" t="s">
        <v>23</v>
      </c>
    </row>
    <row r="1292" spans="1:11" ht="42" customHeight="1">
      <c r="A1292" s="4" t="s">
        <v>3478</v>
      </c>
      <c r="B1292" s="5" t="s">
        <v>3479</v>
      </c>
      <c r="C1292" s="5" t="s">
        <v>33</v>
      </c>
      <c r="D1292" s="5" t="s">
        <v>34</v>
      </c>
      <c r="E1292" s="5" t="s">
        <v>125</v>
      </c>
      <c r="F1292" s="9" t="s">
        <v>126</v>
      </c>
      <c r="G1292" s="9" t="s">
        <v>117</v>
      </c>
      <c r="H1292" s="5" t="s">
        <v>21</v>
      </c>
      <c r="I1292" s="5" t="s">
        <v>3480</v>
      </c>
      <c r="J1292" s="12" t="str">
        <f>HYPERLINK("https://www.boe.es/gazeta/dias/1808/10/07/pdfs/GMD-C-1808-132.pdf#page=1","Abrir facsímil")</f>
        <v>Abrir facsímil</v>
      </c>
      <c r="K1292" s="15" t="s">
        <v>23</v>
      </c>
    </row>
    <row r="1293" spans="1:11" ht="42" customHeight="1">
      <c r="A1293" s="4" t="s">
        <v>3481</v>
      </c>
      <c r="B1293" s="5" t="s">
        <v>3482</v>
      </c>
      <c r="C1293" s="5" t="s">
        <v>94</v>
      </c>
      <c r="D1293" s="5" t="s">
        <v>95</v>
      </c>
      <c r="E1293" s="5" t="s">
        <v>215</v>
      </c>
      <c r="F1293" s="9" t="s">
        <v>216</v>
      </c>
      <c r="G1293" s="9">
        <v>300</v>
      </c>
      <c r="H1293" s="5" t="s">
        <v>21</v>
      </c>
      <c r="I1293" s="5" t="s">
        <v>3483</v>
      </c>
      <c r="J1293" s="12" t="str">
        <f>HYPERLINK("https://www.boe.es/gazeta/dias/1808/03/25/pdfs/GMD-1808-25.pdf#page=10","Abrir facsímil")</f>
        <v>Abrir facsímil</v>
      </c>
      <c r="K1293" s="15" t="s">
        <v>23</v>
      </c>
    </row>
    <row r="1294" spans="1:11" ht="42" customHeight="1">
      <c r="A1294" s="4" t="s">
        <v>3484</v>
      </c>
      <c r="B1294" s="5" t="s">
        <v>3484</v>
      </c>
      <c r="C1294" s="5" t="s">
        <v>17</v>
      </c>
      <c r="D1294" s="5" t="s">
        <v>18</v>
      </c>
      <c r="E1294" s="5" t="s">
        <v>3485</v>
      </c>
      <c r="F1294" s="9" t="s">
        <v>3486</v>
      </c>
      <c r="G1294" s="9">
        <v>697</v>
      </c>
      <c r="H1294" s="5" t="s">
        <v>21</v>
      </c>
      <c r="I1294" s="5" t="s">
        <v>3487</v>
      </c>
      <c r="J1294" s="12" t="str">
        <f>HYPERLINK("https://www.boe.es/gazeta/dias/1808/07/01/pdfs/GMD-1808-73.pdf#page=3","Abrir facsímil")</f>
        <v>Abrir facsímil</v>
      </c>
      <c r="K1294" s="15" t="s">
        <v>23</v>
      </c>
    </row>
    <row r="1295" spans="1:11" ht="42" customHeight="1">
      <c r="A1295" s="4" t="s">
        <v>3484</v>
      </c>
      <c r="B1295" s="5" t="s">
        <v>3484</v>
      </c>
      <c r="C1295" s="5" t="s">
        <v>101</v>
      </c>
      <c r="D1295" s="5" t="s">
        <v>102</v>
      </c>
      <c r="E1295" s="5" t="s">
        <v>3313</v>
      </c>
      <c r="F1295" s="9" t="s">
        <v>3314</v>
      </c>
      <c r="G1295" s="9">
        <v>811</v>
      </c>
      <c r="H1295" s="5" t="s">
        <v>21</v>
      </c>
      <c r="I1295" s="5" t="s">
        <v>3488</v>
      </c>
      <c r="J1295" s="12" t="str">
        <f>HYPERLINK("https://www.boe.es/gazeta/dias/1808/07/15/pdfs/GMD-1808-87.pdf#page=5","Abrir facsímil")</f>
        <v>Abrir facsímil</v>
      </c>
      <c r="K1295" s="15" t="s">
        <v>23</v>
      </c>
    </row>
    <row r="1296" spans="1:11" ht="42" customHeight="1">
      <c r="A1296" s="4" t="s">
        <v>3489</v>
      </c>
      <c r="B1296" s="5" t="s">
        <v>3490</v>
      </c>
      <c r="C1296" s="5" t="s">
        <v>17</v>
      </c>
      <c r="D1296" s="5" t="s">
        <v>18</v>
      </c>
      <c r="E1296" s="5" t="s">
        <v>461</v>
      </c>
      <c r="F1296" s="9" t="s">
        <v>733</v>
      </c>
      <c r="G1296" s="9">
        <v>1448</v>
      </c>
      <c r="H1296" s="5" t="s">
        <v>21</v>
      </c>
      <c r="I1296" s="5" t="s">
        <v>3491</v>
      </c>
      <c r="J1296" s="12" t="str">
        <f>HYPERLINK("https://www.boe.es/gazeta/dias/1808/11/08/pdfs/GMD-1808-142.pdf#page=10","Abrir facsímil")</f>
        <v>Abrir facsímil</v>
      </c>
      <c r="K1296" s="15" t="s">
        <v>23</v>
      </c>
    </row>
    <row r="1297" spans="1:11" ht="42" customHeight="1">
      <c r="A1297" s="4" t="s">
        <v>3492</v>
      </c>
      <c r="B1297" s="5" t="s">
        <v>3493</v>
      </c>
      <c r="C1297" s="5" t="s">
        <v>33</v>
      </c>
      <c r="D1297" s="5" t="s">
        <v>34</v>
      </c>
      <c r="E1297" s="5" t="s">
        <v>35</v>
      </c>
      <c r="F1297" s="9" t="s">
        <v>36</v>
      </c>
      <c r="G1297" s="9" t="s">
        <v>299</v>
      </c>
      <c r="H1297" s="5" t="s">
        <v>21</v>
      </c>
      <c r="I1297" s="5" t="s">
        <v>3494</v>
      </c>
      <c r="J1297" s="12" t="str">
        <f>HYPERLINK("https://www.boe.es/gazeta/dias/1808/04/22/pdfs/GMD-C-1808-38.pdf#page=14","Abrir facsímil")</f>
        <v>Abrir facsímil</v>
      </c>
      <c r="K1297" s="15" t="s">
        <v>23</v>
      </c>
    </row>
    <row r="1298" spans="1:11" ht="42" customHeight="1">
      <c r="A1298" s="4" t="s">
        <v>3492</v>
      </c>
      <c r="B1298" s="5" t="s">
        <v>3493</v>
      </c>
      <c r="C1298" s="5" t="s">
        <v>33</v>
      </c>
      <c r="D1298" s="5" t="s">
        <v>34</v>
      </c>
      <c r="E1298" s="5" t="s">
        <v>153</v>
      </c>
      <c r="F1298" s="9" t="s">
        <v>154</v>
      </c>
      <c r="G1298" s="9" t="s">
        <v>199</v>
      </c>
      <c r="H1298" s="5" t="s">
        <v>21</v>
      </c>
      <c r="I1298" s="5" t="s">
        <v>3495</v>
      </c>
      <c r="J1298" s="12" t="str">
        <f>HYPERLINK("https://www.boe.es/gazeta/dias/1808/09/09/pdfs/GMD-C-1808-121.pdf#page=2","Abrir facsímil")</f>
        <v>Abrir facsímil</v>
      </c>
      <c r="K1298" s="15" t="s">
        <v>23</v>
      </c>
    </row>
    <row r="1299" spans="1:11" ht="42" customHeight="1">
      <c r="A1299" s="4" t="s">
        <v>3496</v>
      </c>
      <c r="B1299" s="5" t="s">
        <v>3497</v>
      </c>
      <c r="C1299" s="5" t="s">
        <v>33</v>
      </c>
      <c r="D1299" s="5" t="s">
        <v>34</v>
      </c>
      <c r="E1299" s="5" t="s">
        <v>35</v>
      </c>
      <c r="F1299" s="9" t="s">
        <v>36</v>
      </c>
      <c r="G1299" s="9" t="s">
        <v>867</v>
      </c>
      <c r="H1299" s="5" t="s">
        <v>21</v>
      </c>
      <c r="I1299" s="5" t="s">
        <v>3498</v>
      </c>
      <c r="J1299" s="12" t="str">
        <f>HYPERLINK("https://www.boe.es/gazeta/dias/1808/04/22/pdfs/GMD-C-1808-38.pdf#page=19","Abrir facsímil")</f>
        <v>Abrir facsímil</v>
      </c>
      <c r="K1299" s="15" t="s">
        <v>23</v>
      </c>
    </row>
    <row r="1300" spans="1:11" ht="42" customHeight="1">
      <c r="A1300" s="4" t="s">
        <v>3499</v>
      </c>
      <c r="B1300" s="5" t="s">
        <v>3500</v>
      </c>
      <c r="C1300" s="5" t="s">
        <v>94</v>
      </c>
      <c r="D1300" s="5" t="s">
        <v>95</v>
      </c>
      <c r="E1300" s="5" t="s">
        <v>2159</v>
      </c>
      <c r="F1300" s="9" t="s">
        <v>2160</v>
      </c>
      <c r="G1300" s="9">
        <v>184</v>
      </c>
      <c r="H1300" s="5" t="s">
        <v>21</v>
      </c>
      <c r="I1300" s="5" t="s">
        <v>3501</v>
      </c>
      <c r="J1300" s="12" t="str">
        <f>HYPERLINK("https://www.boe.es/gazeta/dias/1808/02/19/pdfs/GMD-1808-15.pdf#page=14","Abrir facsímil")</f>
        <v>Abrir facsímil</v>
      </c>
      <c r="K1300" s="15" t="s">
        <v>23</v>
      </c>
    </row>
    <row r="1301" spans="1:11" ht="42" customHeight="1">
      <c r="A1301" s="4" t="s">
        <v>3502</v>
      </c>
      <c r="B1301" s="5" t="s">
        <v>3503</v>
      </c>
      <c r="C1301" s="5" t="s">
        <v>94</v>
      </c>
      <c r="D1301" s="5" t="s">
        <v>95</v>
      </c>
      <c r="E1301" s="5" t="s">
        <v>73</v>
      </c>
      <c r="F1301" s="9" t="s">
        <v>2883</v>
      </c>
      <c r="G1301" s="9">
        <v>379</v>
      </c>
      <c r="H1301" s="5" t="s">
        <v>21</v>
      </c>
      <c r="I1301" s="5" t="s">
        <v>3504</v>
      </c>
      <c r="J1301" s="12" t="str">
        <f>HYPERLINK("https://www.boe.es/gazeta/dias/1808/11/11/pdfs/GMS-1808-48.pdf#page=3","Abrir facsímil")</f>
        <v>Abrir facsímil</v>
      </c>
      <c r="K1301" s="15" t="s">
        <v>23</v>
      </c>
    </row>
    <row r="1302" spans="1:11" ht="42" customHeight="1">
      <c r="A1302" s="4" t="s">
        <v>3505</v>
      </c>
      <c r="B1302" s="5" t="s">
        <v>3506</v>
      </c>
      <c r="C1302" s="5" t="s">
        <v>260</v>
      </c>
      <c r="D1302" s="5" t="s">
        <v>42</v>
      </c>
      <c r="E1302" s="5" t="s">
        <v>96</v>
      </c>
      <c r="F1302" s="9" t="s">
        <v>97</v>
      </c>
      <c r="G1302" s="9">
        <v>265</v>
      </c>
      <c r="H1302" s="5" t="s">
        <v>21</v>
      </c>
      <c r="I1302" s="5" t="s">
        <v>3507</v>
      </c>
      <c r="J1302" s="12" t="str">
        <f>HYPERLINK("https://www.boe.es/gazeta/dias/1808/03/15/pdfs/GMD-1808-22.pdf#page=7","Abrir facsímil")</f>
        <v>Abrir facsímil</v>
      </c>
      <c r="K1302" s="15" t="s">
        <v>23</v>
      </c>
    </row>
    <row r="1303" spans="1:11" ht="42" customHeight="1">
      <c r="A1303" s="4" t="s">
        <v>3508</v>
      </c>
      <c r="B1303" s="5" t="s">
        <v>3509</v>
      </c>
      <c r="C1303" s="5" t="s">
        <v>41</v>
      </c>
      <c r="D1303" s="5" t="s">
        <v>42</v>
      </c>
      <c r="E1303" s="5" t="s">
        <v>28</v>
      </c>
      <c r="F1303" s="9" t="s">
        <v>446</v>
      </c>
      <c r="G1303" s="9" t="s">
        <v>75</v>
      </c>
      <c r="H1303" s="5" t="s">
        <v>21</v>
      </c>
      <c r="I1303" s="5" t="s">
        <v>3510</v>
      </c>
      <c r="J1303" s="12" t="str">
        <f>HYPERLINK("https://www.boe.es/gazeta/dias/1808/11/04/pdfs/GMD-D-1808-141.pdf#page=4","Abrir facsímil")</f>
        <v>Abrir facsímil</v>
      </c>
      <c r="K1303" s="15" t="s">
        <v>23</v>
      </c>
    </row>
    <row r="1304" spans="1:11" ht="42" customHeight="1">
      <c r="A1304" s="4" t="s">
        <v>3511</v>
      </c>
      <c r="B1304" s="5" t="s">
        <v>3512</v>
      </c>
      <c r="C1304" s="5" t="s">
        <v>17</v>
      </c>
      <c r="D1304" s="5" t="s">
        <v>18</v>
      </c>
      <c r="E1304" s="5" t="s">
        <v>968</v>
      </c>
      <c r="F1304" s="9" t="s">
        <v>969</v>
      </c>
      <c r="G1304" s="9">
        <v>902</v>
      </c>
      <c r="H1304" s="5" t="s">
        <v>21</v>
      </c>
      <c r="I1304" s="5" t="s">
        <v>3513</v>
      </c>
      <c r="J1304" s="12" t="str">
        <f>HYPERLINK("https://www.boe.es/gazeta/dias/1808/07/26/pdfs/GMD-1808-98.pdf#page=8","Abrir facsímil")</f>
        <v>Abrir facsímil</v>
      </c>
      <c r="K1304" s="15" t="s">
        <v>23</v>
      </c>
    </row>
    <row r="1305" spans="1:11" ht="42" customHeight="1">
      <c r="A1305" s="4" t="s">
        <v>3514</v>
      </c>
      <c r="B1305" s="5" t="s">
        <v>3514</v>
      </c>
      <c r="C1305" s="5" t="s">
        <v>94</v>
      </c>
      <c r="D1305" s="5" t="s">
        <v>95</v>
      </c>
      <c r="E1305" s="5" t="s">
        <v>269</v>
      </c>
      <c r="F1305" s="9" t="s">
        <v>270</v>
      </c>
      <c r="G1305" s="9">
        <v>69</v>
      </c>
      <c r="H1305" s="5" t="s">
        <v>21</v>
      </c>
      <c r="I1305" s="5" t="s">
        <v>3515</v>
      </c>
      <c r="J1305" s="12" t="str">
        <f>HYPERLINK("https://www.boe.es/gazeta/dias/1808/01/19/pdfs/GMD-1808-6.pdf#page=9","Abrir facsímil")</f>
        <v>Abrir facsímil</v>
      </c>
      <c r="K1305" s="15" t="s">
        <v>23</v>
      </c>
    </row>
    <row r="1306" spans="1:11" ht="42" customHeight="1">
      <c r="A1306" s="4" t="s">
        <v>3516</v>
      </c>
      <c r="B1306" s="5" t="s">
        <v>3516</v>
      </c>
      <c r="C1306" s="5" t="s">
        <v>17</v>
      </c>
      <c r="D1306" s="5" t="s">
        <v>18</v>
      </c>
      <c r="E1306" s="5" t="s">
        <v>461</v>
      </c>
      <c r="F1306" s="9" t="s">
        <v>733</v>
      </c>
      <c r="G1306" s="9">
        <v>1448</v>
      </c>
      <c r="H1306" s="5" t="s">
        <v>21</v>
      </c>
      <c r="I1306" s="5" t="s">
        <v>3517</v>
      </c>
      <c r="J1306" s="12" t="str">
        <f>HYPERLINK("https://www.boe.es/gazeta/dias/1808/11/08/pdfs/GMD-1808-142.pdf#page=10","Abrir facsímil")</f>
        <v>Abrir facsímil</v>
      </c>
      <c r="K1306" s="15" t="s">
        <v>23</v>
      </c>
    </row>
    <row r="1307" spans="1:11" ht="42" customHeight="1">
      <c r="A1307" s="4" t="s">
        <v>3518</v>
      </c>
      <c r="B1307" s="5" t="s">
        <v>3518</v>
      </c>
      <c r="C1307" s="5" t="s">
        <v>41</v>
      </c>
      <c r="D1307" s="5" t="s">
        <v>42</v>
      </c>
      <c r="E1307" s="5" t="s">
        <v>363</v>
      </c>
      <c r="F1307" s="9" t="s">
        <v>364</v>
      </c>
      <c r="G1307" s="9" t="s">
        <v>117</v>
      </c>
      <c r="H1307" s="5" t="s">
        <v>21</v>
      </c>
      <c r="I1307" s="5" t="s">
        <v>3519</v>
      </c>
      <c r="J1307" s="12" t="str">
        <f>HYPERLINK("https://www.boe.es/gazeta/dias/1808/09/20/pdfs/GMD-C-1808-126.pdf#page=1","Abrir facsímil")</f>
        <v>Abrir facsímil</v>
      </c>
      <c r="K1307" s="15" t="s">
        <v>23</v>
      </c>
    </row>
    <row r="1308" spans="1:11" ht="42" customHeight="1">
      <c r="A1308" s="4" t="s">
        <v>3520</v>
      </c>
      <c r="B1308" s="5" t="s">
        <v>3520</v>
      </c>
      <c r="C1308" s="5" t="s">
        <v>33</v>
      </c>
      <c r="D1308" s="5" t="s">
        <v>34</v>
      </c>
      <c r="E1308" s="5" t="s">
        <v>125</v>
      </c>
      <c r="F1308" s="9" t="s">
        <v>126</v>
      </c>
      <c r="G1308" s="9" t="s">
        <v>75</v>
      </c>
      <c r="H1308" s="5" t="s">
        <v>21</v>
      </c>
      <c r="I1308" s="5" t="s">
        <v>3521</v>
      </c>
      <c r="J1308" s="12" t="str">
        <f>HYPERLINK("https://www.boe.es/gazeta/dias/1808/10/07/pdfs/GMD-C-1808-132.pdf#page=4","Abrir facsímil")</f>
        <v>Abrir facsímil</v>
      </c>
      <c r="K1308" s="15" t="s">
        <v>23</v>
      </c>
    </row>
    <row r="1309" spans="1:11" ht="42" customHeight="1">
      <c r="A1309" s="4" t="s">
        <v>3522</v>
      </c>
      <c r="B1309" s="5" t="s">
        <v>3522</v>
      </c>
      <c r="C1309" s="5" t="s">
        <v>17</v>
      </c>
      <c r="D1309" s="5" t="s">
        <v>18</v>
      </c>
      <c r="E1309" s="5" t="s">
        <v>539</v>
      </c>
      <c r="F1309" s="9" t="s">
        <v>540</v>
      </c>
      <c r="G1309" s="9">
        <v>1113</v>
      </c>
      <c r="H1309" s="5" t="s">
        <v>21</v>
      </c>
      <c r="I1309" s="5" t="s">
        <v>3523</v>
      </c>
      <c r="J1309" s="12" t="str">
        <f>HYPERLINK("https://www.boe.es/gazeta/dias/1808/09/02/pdfs/GMD-1808-119.pdf#page=7","Abrir facsímil")</f>
        <v>Abrir facsímil</v>
      </c>
      <c r="K1309" s="15" t="s">
        <v>23</v>
      </c>
    </row>
    <row r="1310" spans="1:11" ht="42" customHeight="1">
      <c r="A1310" s="4" t="s">
        <v>3524</v>
      </c>
      <c r="B1310" s="5" t="s">
        <v>3524</v>
      </c>
      <c r="C1310" s="5" t="s">
        <v>260</v>
      </c>
      <c r="D1310" s="5" t="s">
        <v>42</v>
      </c>
      <c r="E1310" s="5" t="s">
        <v>180</v>
      </c>
      <c r="F1310" s="9" t="s">
        <v>2568</v>
      </c>
      <c r="G1310" s="9">
        <v>1498</v>
      </c>
      <c r="H1310" s="5" t="s">
        <v>21</v>
      </c>
      <c r="I1310" s="5" t="s">
        <v>3525</v>
      </c>
      <c r="J1310" s="12" t="str">
        <f>HYPERLINK("https://www.boe.es/gazeta/dias/1808/11/15/pdfs/GMD-1808-144.pdf#page=12","Abrir facsímil")</f>
        <v>Abrir facsímil</v>
      </c>
      <c r="K1310" s="15" t="s">
        <v>23</v>
      </c>
    </row>
    <row r="1311" spans="1:11" ht="42" customHeight="1">
      <c r="A1311" s="4" t="s">
        <v>3526</v>
      </c>
      <c r="B1311" s="5" t="s">
        <v>3526</v>
      </c>
      <c r="C1311" s="5" t="s">
        <v>33</v>
      </c>
      <c r="D1311" s="5" t="s">
        <v>34</v>
      </c>
      <c r="E1311" s="5" t="s">
        <v>418</v>
      </c>
      <c r="F1311" s="9" t="s">
        <v>419</v>
      </c>
      <c r="G1311" s="9">
        <v>1137</v>
      </c>
      <c r="H1311" s="5" t="s">
        <v>21</v>
      </c>
      <c r="I1311" s="5" t="s">
        <v>3527</v>
      </c>
      <c r="J1311" s="12" t="str">
        <f>HYPERLINK("https://www.boe.es/gazeta/dias/1808/09/06/pdfs/GMD-C-1808-120.pdf#page=11","Abrir facsímil")</f>
        <v>Abrir facsímil</v>
      </c>
      <c r="K1311" s="15" t="s">
        <v>23</v>
      </c>
    </row>
    <row r="1312" spans="1:11" ht="42" customHeight="1">
      <c r="A1312" s="4" t="s">
        <v>3528</v>
      </c>
      <c r="B1312" s="5" t="s">
        <v>3529</v>
      </c>
      <c r="C1312" s="5" t="s">
        <v>33</v>
      </c>
      <c r="D1312" s="5" t="s">
        <v>34</v>
      </c>
      <c r="E1312" s="5" t="s">
        <v>65</v>
      </c>
      <c r="F1312" s="9" t="s">
        <v>105</v>
      </c>
      <c r="G1312" s="9" t="s">
        <v>199</v>
      </c>
      <c r="H1312" s="5" t="s">
        <v>21</v>
      </c>
      <c r="I1312" s="5" t="s">
        <v>3530</v>
      </c>
      <c r="J1312" s="12" t="str">
        <f>HYPERLINK("https://www.boe.es/gazeta/dias/1808/10/18/pdfs/GMD-D-1808-135.pdf#page=2","Abrir facsímil")</f>
        <v>Abrir facsímil</v>
      </c>
      <c r="K1312" s="15" t="s">
        <v>23</v>
      </c>
    </row>
    <row r="1313" spans="1:11" ht="42" customHeight="1">
      <c r="A1313" s="4" t="s">
        <v>3531</v>
      </c>
      <c r="B1313" s="5" t="s">
        <v>3532</v>
      </c>
      <c r="C1313" s="5" t="s">
        <v>94</v>
      </c>
      <c r="D1313" s="5" t="s">
        <v>95</v>
      </c>
      <c r="E1313" s="5" t="s">
        <v>203</v>
      </c>
      <c r="F1313" s="9" t="s">
        <v>204</v>
      </c>
      <c r="G1313" s="9">
        <v>142</v>
      </c>
      <c r="H1313" s="5" t="s">
        <v>21</v>
      </c>
      <c r="I1313" s="5" t="s">
        <v>3533</v>
      </c>
      <c r="J1313" s="12" t="str">
        <f>HYPERLINK("https://www.boe.es/gazeta/dias/1808/02/09/pdfs/GMD-1808-12.pdf#page=10","Abrir facsímil")</f>
        <v>Abrir facsímil</v>
      </c>
      <c r="K1313" s="15" t="s">
        <v>23</v>
      </c>
    </row>
    <row r="1314" spans="1:11" ht="42" customHeight="1">
      <c r="A1314" s="4" t="s">
        <v>3534</v>
      </c>
      <c r="B1314" s="5" t="s">
        <v>3535</v>
      </c>
      <c r="C1314" s="5" t="s">
        <v>41</v>
      </c>
      <c r="D1314" s="5" t="s">
        <v>42</v>
      </c>
      <c r="E1314" s="5" t="s">
        <v>35</v>
      </c>
      <c r="F1314" s="9" t="s">
        <v>36</v>
      </c>
      <c r="G1314" s="9" t="s">
        <v>273</v>
      </c>
      <c r="H1314" s="5" t="s">
        <v>21</v>
      </c>
      <c r="I1314" s="5" t="s">
        <v>3536</v>
      </c>
      <c r="J1314" s="12" t="str">
        <f>HYPERLINK("https://www.boe.es/gazeta/dias/1808/04/22/pdfs/GMD-C-1808-38.pdf#page=12","Abrir facsímil")</f>
        <v>Abrir facsímil</v>
      </c>
      <c r="K1314" s="15" t="s">
        <v>23</v>
      </c>
    </row>
    <row r="1315" spans="1:11" ht="42" customHeight="1">
      <c r="A1315" s="4" t="s">
        <v>3537</v>
      </c>
      <c r="B1315" s="5" t="s">
        <v>3538</v>
      </c>
      <c r="C1315" s="5" t="s">
        <v>17</v>
      </c>
      <c r="D1315" s="5" t="s">
        <v>18</v>
      </c>
      <c r="E1315" s="5" t="s">
        <v>469</v>
      </c>
      <c r="F1315" s="9" t="s">
        <v>470</v>
      </c>
      <c r="G1315" s="9">
        <v>153</v>
      </c>
      <c r="H1315" s="5" t="s">
        <v>21</v>
      </c>
      <c r="I1315" s="5" t="s">
        <v>3539</v>
      </c>
      <c r="J1315" s="12" t="str">
        <f>HYPERLINK("https://www.boe.es/gazeta/dias/1808/02/12/pdfs/GMD-1808-13.pdf#page=9","Abrir facsímil")</f>
        <v>Abrir facsímil</v>
      </c>
      <c r="K1315" s="15" t="s">
        <v>23</v>
      </c>
    </row>
    <row r="1316" spans="1:11" ht="42" customHeight="1">
      <c r="A1316" s="4" t="s">
        <v>3540</v>
      </c>
      <c r="B1316" s="5" t="s">
        <v>3540</v>
      </c>
      <c r="C1316" s="5" t="s">
        <v>17</v>
      </c>
      <c r="D1316" s="5" t="s">
        <v>18</v>
      </c>
      <c r="E1316" s="5" t="s">
        <v>269</v>
      </c>
      <c r="F1316" s="9" t="s">
        <v>270</v>
      </c>
      <c r="G1316" s="9">
        <v>66</v>
      </c>
      <c r="H1316" s="5" t="s">
        <v>21</v>
      </c>
      <c r="I1316" s="5" t="s">
        <v>3541</v>
      </c>
      <c r="J1316" s="12" t="str">
        <f>HYPERLINK("https://www.boe.es/gazeta/dias/1808/01/19/pdfs/GMD-1808-6.pdf#page=6","Abrir facsímil")</f>
        <v>Abrir facsímil</v>
      </c>
      <c r="K1316" s="15" t="s">
        <v>23</v>
      </c>
    </row>
    <row r="1317" spans="1:11" ht="42" customHeight="1">
      <c r="A1317" s="4" t="s">
        <v>3542</v>
      </c>
      <c r="B1317" s="5" t="s">
        <v>3543</v>
      </c>
      <c r="C1317" s="5" t="s">
        <v>17</v>
      </c>
      <c r="D1317" s="5" t="s">
        <v>18</v>
      </c>
      <c r="E1317" s="5" t="s">
        <v>269</v>
      </c>
      <c r="F1317" s="9" t="s">
        <v>270</v>
      </c>
      <c r="G1317" s="9">
        <v>66</v>
      </c>
      <c r="H1317" s="5" t="s">
        <v>21</v>
      </c>
      <c r="I1317" s="5" t="s">
        <v>3544</v>
      </c>
      <c r="J1317" s="12" t="str">
        <f>HYPERLINK("https://www.boe.es/gazeta/dias/1808/01/19/pdfs/GMD-1808-6.pdf#page=6","Abrir facsímil")</f>
        <v>Abrir facsímil</v>
      </c>
      <c r="K1317" s="15" t="s">
        <v>23</v>
      </c>
    </row>
    <row r="1318" spans="1:11" ht="42" customHeight="1">
      <c r="A1318" s="4" t="s">
        <v>3542</v>
      </c>
      <c r="B1318" s="5" t="s">
        <v>3543</v>
      </c>
      <c r="C1318" s="5" t="s">
        <v>101</v>
      </c>
      <c r="D1318" s="5" t="s">
        <v>102</v>
      </c>
      <c r="E1318" s="5" t="s">
        <v>877</v>
      </c>
      <c r="F1318" s="9" t="s">
        <v>878</v>
      </c>
      <c r="G1318" s="9">
        <v>111</v>
      </c>
      <c r="H1318" s="5" t="s">
        <v>21</v>
      </c>
      <c r="I1318" s="5" t="s">
        <v>3545</v>
      </c>
      <c r="J1318" s="12" t="str">
        <f>HYPERLINK("https://www.boe.es/gazeta/dias/1808/02/02/pdfs/GMD-1808-10.pdf#page=3","Abrir facsímil")</f>
        <v>Abrir facsímil</v>
      </c>
      <c r="K1318" s="15" t="s">
        <v>23</v>
      </c>
    </row>
    <row r="1319" spans="1:11" ht="42" customHeight="1">
      <c r="A1319" s="4" t="s">
        <v>3542</v>
      </c>
      <c r="B1319" s="5" t="s">
        <v>3543</v>
      </c>
      <c r="C1319" s="5" t="s">
        <v>17</v>
      </c>
      <c r="D1319" s="5" t="s">
        <v>18</v>
      </c>
      <c r="E1319" s="5" t="s">
        <v>1148</v>
      </c>
      <c r="F1319" s="9" t="s">
        <v>1149</v>
      </c>
      <c r="G1319" s="9">
        <v>502</v>
      </c>
      <c r="H1319" s="5" t="s">
        <v>21</v>
      </c>
      <c r="I1319" s="5" t="s">
        <v>3546</v>
      </c>
      <c r="J1319" s="12" t="str">
        <f>HYPERLINK("https://www.boe.es/gazeta/dias/1808/05/27/pdfs/GMD-1808-50.pdf#page=6","Abrir facsímil")</f>
        <v>Abrir facsímil</v>
      </c>
      <c r="K1319" s="15" t="s">
        <v>23</v>
      </c>
    </row>
    <row r="1320" spans="1:11" ht="42" customHeight="1">
      <c r="A1320" s="4" t="s">
        <v>3542</v>
      </c>
      <c r="B1320" s="5" t="s">
        <v>3543</v>
      </c>
      <c r="C1320" s="5" t="s">
        <v>101</v>
      </c>
      <c r="D1320" s="5" t="s">
        <v>102</v>
      </c>
      <c r="E1320" s="5" t="s">
        <v>3439</v>
      </c>
      <c r="F1320" s="9" t="s">
        <v>3440</v>
      </c>
      <c r="G1320" s="9">
        <v>937</v>
      </c>
      <c r="H1320" s="5" t="s">
        <v>21</v>
      </c>
      <c r="I1320" s="5" t="s">
        <v>3547</v>
      </c>
      <c r="J1320" s="12" t="str">
        <f>HYPERLINK("https://www.boe.es/gazeta/dias/1808/07/31/pdfs/GMD-1808-103.pdf#page=3","Abrir facsímil")</f>
        <v>Abrir facsímil</v>
      </c>
      <c r="K1320" s="15" t="s">
        <v>23</v>
      </c>
    </row>
    <row r="1321" spans="1:11" ht="42" customHeight="1">
      <c r="A1321" s="4" t="s">
        <v>3548</v>
      </c>
      <c r="B1321" s="5" t="s">
        <v>3549</v>
      </c>
      <c r="C1321" s="5" t="s">
        <v>389</v>
      </c>
      <c r="D1321" s="5" t="s">
        <v>390</v>
      </c>
      <c r="E1321" s="5" t="s">
        <v>368</v>
      </c>
      <c r="F1321" s="9" t="s">
        <v>369</v>
      </c>
      <c r="G1321" s="9">
        <v>169</v>
      </c>
      <c r="H1321" s="5" t="s">
        <v>21</v>
      </c>
      <c r="I1321" s="5" t="s">
        <v>3550</v>
      </c>
      <c r="J1321" s="12" t="str">
        <f>HYPERLINK("https://www.boe.es/gazeta/dias/1808/02/16/pdfs/GMD-1808-14.pdf#page=11","Abrir facsímil")</f>
        <v>Abrir facsímil</v>
      </c>
      <c r="K1321" s="15" t="s">
        <v>23</v>
      </c>
    </row>
    <row r="1322" spans="1:11" ht="42" customHeight="1">
      <c r="A1322" s="4" t="s">
        <v>3551</v>
      </c>
      <c r="B1322" s="5" t="s">
        <v>3551</v>
      </c>
      <c r="C1322" s="5" t="s">
        <v>17</v>
      </c>
      <c r="D1322" s="5" t="s">
        <v>18</v>
      </c>
      <c r="E1322" s="5" t="s">
        <v>368</v>
      </c>
      <c r="F1322" s="9" t="s">
        <v>369</v>
      </c>
      <c r="G1322" s="9">
        <v>169</v>
      </c>
      <c r="H1322" s="5" t="s">
        <v>21</v>
      </c>
      <c r="I1322" s="5" t="s">
        <v>3552</v>
      </c>
      <c r="J1322" s="12" t="str">
        <f>HYPERLINK("https://www.boe.es/gazeta/dias/1808/02/16/pdfs/GMD-1808-14.pdf#page=11","Abrir facsímil")</f>
        <v>Abrir facsímil</v>
      </c>
      <c r="K1322" s="15" t="s">
        <v>23</v>
      </c>
    </row>
    <row r="1323" spans="1:11" ht="42" customHeight="1">
      <c r="A1323" s="4" t="s">
        <v>3553</v>
      </c>
      <c r="B1323" s="5" t="s">
        <v>3553</v>
      </c>
      <c r="C1323" s="5" t="s">
        <v>17</v>
      </c>
      <c r="D1323" s="5" t="s">
        <v>18</v>
      </c>
      <c r="E1323" s="5" t="s">
        <v>3485</v>
      </c>
      <c r="F1323" s="9" t="s">
        <v>3486</v>
      </c>
      <c r="G1323" s="9">
        <v>698</v>
      </c>
      <c r="H1323" s="5" t="s">
        <v>21</v>
      </c>
      <c r="I1323" s="5" t="s">
        <v>3554</v>
      </c>
      <c r="J1323" s="12" t="str">
        <f>HYPERLINK("https://www.boe.es/gazeta/dias/1808/07/01/pdfs/GMD-1808-73.pdf#page=4","Abrir facsímil")</f>
        <v>Abrir facsímil</v>
      </c>
      <c r="K1323" s="15" t="s">
        <v>23</v>
      </c>
    </row>
    <row r="1324" spans="1:11" ht="42" customHeight="1">
      <c r="A1324" s="4" t="s">
        <v>3555</v>
      </c>
      <c r="B1324" s="5" t="s">
        <v>3556</v>
      </c>
      <c r="C1324" s="5" t="s">
        <v>94</v>
      </c>
      <c r="D1324" s="5" t="s">
        <v>95</v>
      </c>
      <c r="E1324" s="5" t="s">
        <v>65</v>
      </c>
      <c r="F1324" s="9" t="s">
        <v>691</v>
      </c>
      <c r="G1324" s="9">
        <v>1326</v>
      </c>
      <c r="H1324" s="5" t="s">
        <v>21</v>
      </c>
      <c r="I1324" s="5" t="s">
        <v>3557</v>
      </c>
      <c r="J1324" s="12" t="str">
        <f>HYPERLINK("https://www.boe.es/gazeta/dias/1808/10/18/pdfs/GMD-C-1808-135.pdf#page=10","Abrir facsímil")</f>
        <v>Abrir facsímil</v>
      </c>
      <c r="K1324" s="15" t="s">
        <v>23</v>
      </c>
    </row>
    <row r="1325" spans="1:11" ht="42" customHeight="1">
      <c r="A1325" s="4" t="s">
        <v>3558</v>
      </c>
      <c r="B1325" s="5" t="s">
        <v>3559</v>
      </c>
      <c r="C1325" s="5" t="s">
        <v>41</v>
      </c>
      <c r="D1325" s="5" t="s">
        <v>42</v>
      </c>
      <c r="E1325" s="5" t="s">
        <v>35</v>
      </c>
      <c r="F1325" s="9" t="s">
        <v>36</v>
      </c>
      <c r="G1325" s="9" t="s">
        <v>43</v>
      </c>
      <c r="H1325" s="5" t="s">
        <v>21</v>
      </c>
      <c r="I1325" s="5" t="s">
        <v>3560</v>
      </c>
      <c r="J1325" s="12" t="str">
        <f>HYPERLINK("https://www.boe.es/gazeta/dias/1808/04/22/pdfs/GMD-C-1808-38.pdf#page=30","Abrir facsímil")</f>
        <v>Abrir facsímil</v>
      </c>
      <c r="K1325" s="15" t="s">
        <v>23</v>
      </c>
    </row>
    <row r="1326" spans="1:11" ht="42" customHeight="1">
      <c r="A1326" s="4" t="s">
        <v>3561</v>
      </c>
      <c r="B1326" s="5" t="s">
        <v>3562</v>
      </c>
      <c r="C1326" s="5" t="s">
        <v>33</v>
      </c>
      <c r="D1326" s="5" t="s">
        <v>34</v>
      </c>
      <c r="E1326" s="5" t="s">
        <v>35</v>
      </c>
      <c r="F1326" s="9" t="s">
        <v>36</v>
      </c>
      <c r="G1326" s="9" t="s">
        <v>443</v>
      </c>
      <c r="H1326" s="5" t="s">
        <v>21</v>
      </c>
      <c r="I1326" s="5" t="s">
        <v>3563</v>
      </c>
      <c r="J1326" s="12" t="str">
        <f>HYPERLINK("https://www.boe.es/gazeta/dias/1808/04/22/pdfs/GMD-C-1808-38.pdf#page=16","Abrir facsímil")</f>
        <v>Abrir facsímil</v>
      </c>
      <c r="K1326" s="15" t="s">
        <v>23</v>
      </c>
    </row>
    <row r="1327" spans="1:11" ht="42" customHeight="1">
      <c r="A1327" s="4" t="s">
        <v>3564</v>
      </c>
      <c r="B1327" s="5" t="s">
        <v>3565</v>
      </c>
      <c r="C1327" s="5" t="s">
        <v>33</v>
      </c>
      <c r="D1327" s="5" t="s">
        <v>34</v>
      </c>
      <c r="E1327" s="5" t="s">
        <v>68</v>
      </c>
      <c r="F1327" s="9" t="s">
        <v>309</v>
      </c>
      <c r="G1327" s="9" t="s">
        <v>117</v>
      </c>
      <c r="H1327" s="5" t="s">
        <v>21</v>
      </c>
      <c r="I1327" s="5" t="s">
        <v>3566</v>
      </c>
      <c r="J1327" s="12" t="str">
        <f>HYPERLINK("https://www.boe.es/gazeta/dias/1808/10/21/pdfs/GMD-D-1808-136.pdf#page=1","Abrir facsímil")</f>
        <v>Abrir facsímil</v>
      </c>
      <c r="K1327" s="15" t="s">
        <v>23</v>
      </c>
    </row>
    <row r="1328" spans="1:11" ht="42" customHeight="1">
      <c r="A1328" s="4" t="s">
        <v>3567</v>
      </c>
      <c r="B1328" s="5" t="s">
        <v>3568</v>
      </c>
      <c r="C1328" s="5" t="s">
        <v>94</v>
      </c>
      <c r="D1328" s="5" t="s">
        <v>95</v>
      </c>
      <c r="E1328" s="5" t="s">
        <v>210</v>
      </c>
      <c r="F1328" s="9" t="s">
        <v>211</v>
      </c>
      <c r="G1328" s="9">
        <v>254</v>
      </c>
      <c r="H1328" s="5" t="s">
        <v>21</v>
      </c>
      <c r="I1328" s="5" t="s">
        <v>3569</v>
      </c>
      <c r="J1328" s="12" t="str">
        <f>HYPERLINK("https://www.boe.es/gazeta/dias/1808/03/11/pdfs/GMD-1808-21.pdf#page=8","Abrir facsímil")</f>
        <v>Abrir facsímil</v>
      </c>
      <c r="K1328" s="15" t="s">
        <v>23</v>
      </c>
    </row>
    <row r="1329" spans="1:11" ht="42" customHeight="1">
      <c r="A1329" s="4" t="s">
        <v>3570</v>
      </c>
      <c r="B1329" s="5" t="s">
        <v>3571</v>
      </c>
      <c r="C1329" s="5" t="s">
        <v>17</v>
      </c>
      <c r="D1329" s="5" t="s">
        <v>18</v>
      </c>
      <c r="E1329" s="5" t="s">
        <v>130</v>
      </c>
      <c r="F1329" s="9" t="s">
        <v>131</v>
      </c>
      <c r="G1329" s="9">
        <v>1603</v>
      </c>
      <c r="H1329" s="5" t="s">
        <v>21</v>
      </c>
      <c r="I1329" s="5" t="s">
        <v>3572</v>
      </c>
      <c r="J1329" s="12" t="str">
        <f>HYPERLINK("https://www.boe.es/gazeta/dias/1808/12/15/pdfs/GMD-1808-155.pdf#page=7","Abrir facsímil")</f>
        <v>Abrir facsímil</v>
      </c>
      <c r="K1329" s="15" t="s">
        <v>23</v>
      </c>
    </row>
    <row r="1330" spans="1:11" ht="42" customHeight="1">
      <c r="A1330" s="4" t="s">
        <v>3573</v>
      </c>
      <c r="B1330" s="5" t="s">
        <v>3574</v>
      </c>
      <c r="C1330" s="5" t="s">
        <v>33</v>
      </c>
      <c r="D1330" s="5" t="s">
        <v>34</v>
      </c>
      <c r="E1330" s="5" t="s">
        <v>35</v>
      </c>
      <c r="F1330" s="9" t="s">
        <v>36</v>
      </c>
      <c r="G1330" s="9" t="s">
        <v>1006</v>
      </c>
      <c r="H1330" s="5" t="s">
        <v>21</v>
      </c>
      <c r="I1330" s="5" t="s">
        <v>3575</v>
      </c>
      <c r="J1330" s="12" t="str">
        <f>HYPERLINK("https://www.boe.es/gazeta/dias/1808/04/22/pdfs/GMD-C-1808-38.pdf#page=46","Abrir facsímil")</f>
        <v>Abrir facsímil</v>
      </c>
      <c r="K1330" s="15" t="s">
        <v>23</v>
      </c>
    </row>
    <row r="1331" spans="1:11" ht="42" customHeight="1">
      <c r="A1331" s="4" t="s">
        <v>3576</v>
      </c>
      <c r="B1331" s="5" t="s">
        <v>3576</v>
      </c>
      <c r="C1331" s="5" t="s">
        <v>17</v>
      </c>
      <c r="D1331" s="5" t="s">
        <v>18</v>
      </c>
      <c r="E1331" s="5" t="s">
        <v>218</v>
      </c>
      <c r="F1331" s="9" t="s">
        <v>219</v>
      </c>
      <c r="G1331" s="9">
        <v>328</v>
      </c>
      <c r="H1331" s="5" t="s">
        <v>21</v>
      </c>
      <c r="I1331" s="5" t="s">
        <v>3577</v>
      </c>
      <c r="J1331" s="12" t="str">
        <f>HYPERLINK("https://www.boe.es/gazeta/dias/1808/04/01/pdfs/GMD-1808-29.pdf#page=4","Abrir facsímil")</f>
        <v>Abrir facsímil</v>
      </c>
      <c r="K1331" s="15" t="s">
        <v>23</v>
      </c>
    </row>
    <row r="1332" spans="1:11" ht="42" customHeight="1">
      <c r="A1332" s="4" t="s">
        <v>3578</v>
      </c>
      <c r="B1332" s="5" t="s">
        <v>3579</v>
      </c>
      <c r="C1332" s="5" t="s">
        <v>94</v>
      </c>
      <c r="D1332" s="5" t="s">
        <v>95</v>
      </c>
      <c r="E1332" s="5" t="s">
        <v>2849</v>
      </c>
      <c r="F1332" s="9" t="s">
        <v>2850</v>
      </c>
      <c r="G1332" s="9">
        <v>11</v>
      </c>
      <c r="H1332" s="5" t="s">
        <v>21</v>
      </c>
      <c r="I1332" s="5" t="s">
        <v>3580</v>
      </c>
      <c r="J1332" s="12" t="str">
        <f>HYPERLINK("https://www.boe.es/gazeta/dias/1808/06/04/pdfs/GMS-1808-2.pdf#page=3","Abrir facsímil")</f>
        <v>Abrir facsímil</v>
      </c>
      <c r="K1332" s="15" t="s">
        <v>23</v>
      </c>
    </row>
    <row r="1333" spans="1:11" ht="42" customHeight="1">
      <c r="A1333" s="4" t="s">
        <v>3581</v>
      </c>
      <c r="B1333" s="5" t="s">
        <v>3582</v>
      </c>
      <c r="C1333" s="5" t="s">
        <v>17</v>
      </c>
      <c r="D1333" s="5" t="s">
        <v>18</v>
      </c>
      <c r="E1333" s="5" t="s">
        <v>19</v>
      </c>
      <c r="F1333" s="9" t="s">
        <v>59</v>
      </c>
      <c r="G1333" s="9">
        <v>1231</v>
      </c>
      <c r="H1333" s="5" t="s">
        <v>21</v>
      </c>
      <c r="I1333" s="5" t="s">
        <v>3583</v>
      </c>
      <c r="J1333" s="12" t="str">
        <f>HYPERLINK("https://www.boe.es/gazeta/dias/1808/09/30/pdfs/GMD-1808-130.pdf#page=11","Abrir facsímil")</f>
        <v>Abrir facsímil</v>
      </c>
      <c r="K1333" s="15" t="s">
        <v>23</v>
      </c>
    </row>
    <row r="1334" spans="1:11" ht="42" customHeight="1">
      <c r="A1334" s="4" t="s">
        <v>3581</v>
      </c>
      <c r="B1334" s="5" t="s">
        <v>3582</v>
      </c>
      <c r="C1334" s="5" t="s">
        <v>33</v>
      </c>
      <c r="D1334" s="5" t="s">
        <v>34</v>
      </c>
      <c r="E1334" s="5" t="s">
        <v>125</v>
      </c>
      <c r="F1334" s="9" t="s">
        <v>126</v>
      </c>
      <c r="G1334" s="9" t="s">
        <v>106</v>
      </c>
      <c r="H1334" s="5" t="s">
        <v>21</v>
      </c>
      <c r="I1334" s="5" t="s">
        <v>3584</v>
      </c>
      <c r="J1334" s="12" t="str">
        <f>HYPERLINK("https://www.boe.es/gazeta/dias/1808/10/07/pdfs/GMD-C-1808-132.pdf#page=3","Abrir facsímil")</f>
        <v>Abrir facsímil</v>
      </c>
      <c r="K1334" s="15" t="s">
        <v>23</v>
      </c>
    </row>
    <row r="1335" spans="1:11" ht="42" customHeight="1">
      <c r="A1335" s="4" t="s">
        <v>3581</v>
      </c>
      <c r="B1335" s="5" t="s">
        <v>3582</v>
      </c>
      <c r="C1335" s="5" t="s">
        <v>17</v>
      </c>
      <c r="D1335" s="5" t="s">
        <v>18</v>
      </c>
      <c r="E1335" s="5" t="s">
        <v>130</v>
      </c>
      <c r="F1335" s="9" t="s">
        <v>131</v>
      </c>
      <c r="G1335" s="9">
        <v>1603</v>
      </c>
      <c r="H1335" s="5" t="s">
        <v>21</v>
      </c>
      <c r="I1335" s="5" t="s">
        <v>3585</v>
      </c>
      <c r="J1335" s="12" t="str">
        <f>HYPERLINK("https://www.boe.es/gazeta/dias/1808/12/15/pdfs/GMD-1808-155.pdf#page=7","Abrir facsímil")</f>
        <v>Abrir facsímil</v>
      </c>
      <c r="K1335" s="15" t="s">
        <v>23</v>
      </c>
    </row>
    <row r="1336" spans="1:11" ht="42" customHeight="1">
      <c r="A1336" s="4" t="s">
        <v>3586</v>
      </c>
      <c r="B1336" s="5" t="s">
        <v>3586</v>
      </c>
      <c r="C1336" s="5" t="s">
        <v>389</v>
      </c>
      <c r="D1336" s="5" t="s">
        <v>390</v>
      </c>
      <c r="E1336" s="5" t="s">
        <v>139</v>
      </c>
      <c r="F1336" s="9" t="s">
        <v>3587</v>
      </c>
      <c r="G1336" s="9">
        <v>272</v>
      </c>
      <c r="H1336" s="5" t="s">
        <v>21</v>
      </c>
      <c r="I1336" s="5" t="s">
        <v>3588</v>
      </c>
      <c r="J1336" s="12" t="str">
        <f>HYPERLINK("https://www.boe.es/gazeta/dias/1808/09/23/pdfs/GMS-1808-34.pdf#page=8","Abrir facsímil")</f>
        <v>Abrir facsímil</v>
      </c>
      <c r="K1336" s="15" t="s">
        <v>23</v>
      </c>
    </row>
    <row r="1337" spans="1:11" ht="42" customHeight="1">
      <c r="A1337" s="4" t="s">
        <v>3589</v>
      </c>
      <c r="B1337" s="5" t="s">
        <v>3590</v>
      </c>
      <c r="C1337" s="5" t="s">
        <v>94</v>
      </c>
      <c r="D1337" s="5" t="s">
        <v>95</v>
      </c>
      <c r="E1337" s="5" t="s">
        <v>1182</v>
      </c>
      <c r="F1337" s="9" t="s">
        <v>1183</v>
      </c>
      <c r="G1337" s="9">
        <v>59</v>
      </c>
      <c r="H1337" s="5" t="s">
        <v>21</v>
      </c>
      <c r="I1337" s="5" t="s">
        <v>3591</v>
      </c>
      <c r="J1337" s="12" t="str">
        <f>HYPERLINK("https://www.boe.es/gazeta/dias/1808/06/26/pdfs/GMS-1808-8.pdf#page=3","Abrir facsímil")</f>
        <v>Abrir facsímil</v>
      </c>
      <c r="K1337" s="15" t="s">
        <v>23</v>
      </c>
    </row>
    <row r="1338" spans="1:11" ht="42" customHeight="1">
      <c r="A1338" s="4" t="s">
        <v>3592</v>
      </c>
      <c r="B1338" s="5" t="s">
        <v>3593</v>
      </c>
      <c r="C1338" s="5" t="s">
        <v>17</v>
      </c>
      <c r="D1338" s="5" t="s">
        <v>18</v>
      </c>
      <c r="E1338" s="5" t="s">
        <v>180</v>
      </c>
      <c r="F1338" s="9" t="s">
        <v>2568</v>
      </c>
      <c r="G1338" s="9">
        <v>1491</v>
      </c>
      <c r="H1338" s="5" t="s">
        <v>21</v>
      </c>
      <c r="I1338" s="5" t="s">
        <v>3594</v>
      </c>
      <c r="J1338" s="12" t="str">
        <f>HYPERLINK("https://www.boe.es/gazeta/dias/1808/11/15/pdfs/GMD-1808-144.pdf#page=5","Abrir facsímil")</f>
        <v>Abrir facsímil</v>
      </c>
      <c r="K1338" s="15" t="s">
        <v>23</v>
      </c>
    </row>
    <row r="1339" spans="1:11" ht="42" customHeight="1">
      <c r="A1339" s="4" t="s">
        <v>3595</v>
      </c>
      <c r="B1339" s="5" t="s">
        <v>3596</v>
      </c>
      <c r="C1339" s="5" t="s">
        <v>33</v>
      </c>
      <c r="D1339" s="5" t="s">
        <v>34</v>
      </c>
      <c r="E1339" s="5" t="s">
        <v>19</v>
      </c>
      <c r="F1339" s="9" t="s">
        <v>949</v>
      </c>
      <c r="G1339" s="9" t="s">
        <v>75</v>
      </c>
      <c r="H1339" s="5" t="s">
        <v>21</v>
      </c>
      <c r="I1339" s="5" t="s">
        <v>3597</v>
      </c>
      <c r="J1339" s="12" t="str">
        <f>HYPERLINK("https://www.boe.es/gazeta/dias/1808/09/30/pdfs/GMD-C-1808-130.pdf#page=4","Abrir facsímil")</f>
        <v>Abrir facsímil</v>
      </c>
      <c r="K1339" s="15" t="s">
        <v>23</v>
      </c>
    </row>
    <row r="1340" spans="1:11" ht="42" customHeight="1">
      <c r="A1340" s="4" t="s">
        <v>3598</v>
      </c>
      <c r="B1340" s="5" t="s">
        <v>3598</v>
      </c>
      <c r="C1340" s="5" t="s">
        <v>41</v>
      </c>
      <c r="D1340" s="5" t="s">
        <v>42</v>
      </c>
      <c r="E1340" s="5" t="s">
        <v>35</v>
      </c>
      <c r="F1340" s="9" t="s">
        <v>36</v>
      </c>
      <c r="G1340" s="9" t="s">
        <v>1806</v>
      </c>
      <c r="H1340" s="5" t="s">
        <v>21</v>
      </c>
      <c r="I1340" s="5" t="s">
        <v>3599</v>
      </c>
      <c r="J1340" s="12" t="str">
        <f>HYPERLINK("https://www.boe.es/gazeta/dias/1808/04/22/pdfs/GMD-C-1808-38.pdf#page=6","Abrir facsímil")</f>
        <v>Abrir facsímil</v>
      </c>
      <c r="K1340" s="15" t="s">
        <v>23</v>
      </c>
    </row>
    <row r="1341" spans="1:11" ht="42" customHeight="1">
      <c r="A1341" s="4" t="s">
        <v>3600</v>
      </c>
      <c r="B1341" s="5" t="s">
        <v>3601</v>
      </c>
      <c r="C1341" s="5" t="s">
        <v>94</v>
      </c>
      <c r="D1341" s="5" t="s">
        <v>95</v>
      </c>
      <c r="E1341" s="5" t="s">
        <v>2204</v>
      </c>
      <c r="F1341" s="9" t="s">
        <v>2205</v>
      </c>
      <c r="G1341" s="9">
        <v>65</v>
      </c>
      <c r="H1341" s="5" t="s">
        <v>21</v>
      </c>
      <c r="I1341" s="5" t="s">
        <v>3602</v>
      </c>
      <c r="J1341" s="12" t="str">
        <f>HYPERLINK("https://www.boe.es/gazeta/dias/1808/06/29/pdfs/GMS-1808-9.pdf#page=1","Abrir facsímil")</f>
        <v>Abrir facsímil</v>
      </c>
      <c r="K1341" s="15" t="s">
        <v>23</v>
      </c>
    </row>
    <row r="1342" spans="1:11" ht="42" customHeight="1">
      <c r="A1342" s="4" t="s">
        <v>3603</v>
      </c>
      <c r="B1342" s="5" t="s">
        <v>3604</v>
      </c>
      <c r="C1342" s="5" t="s">
        <v>260</v>
      </c>
      <c r="D1342" s="5" t="s">
        <v>42</v>
      </c>
      <c r="E1342" s="5" t="s">
        <v>2159</v>
      </c>
      <c r="F1342" s="9" t="s">
        <v>2160</v>
      </c>
      <c r="G1342" s="9">
        <v>172</v>
      </c>
      <c r="H1342" s="5" t="s">
        <v>21</v>
      </c>
      <c r="I1342" s="5" t="s">
        <v>3605</v>
      </c>
      <c r="J1342" s="12" t="str">
        <f>HYPERLINK("https://www.boe.es/gazeta/dias/1808/02/19/pdfs/GMD-1808-15.pdf#page=2","Abrir facsímil")</f>
        <v>Abrir facsímil</v>
      </c>
      <c r="K1342" s="15" t="s">
        <v>23</v>
      </c>
    </row>
    <row r="1343" spans="1:11" ht="42" customHeight="1">
      <c r="A1343" s="4" t="s">
        <v>3606</v>
      </c>
      <c r="B1343" s="5" t="s">
        <v>3607</v>
      </c>
      <c r="C1343" s="5" t="s">
        <v>101</v>
      </c>
      <c r="D1343" s="5" t="s">
        <v>102</v>
      </c>
      <c r="E1343" s="5" t="s">
        <v>572</v>
      </c>
      <c r="F1343" s="9" t="s">
        <v>573</v>
      </c>
      <c r="G1343" s="9">
        <v>14</v>
      </c>
      <c r="H1343" s="5" t="s">
        <v>21</v>
      </c>
      <c r="I1343" s="5" t="s">
        <v>3608</v>
      </c>
      <c r="J1343" s="12" t="str">
        <f>HYPERLINK("https://www.boe.es/gazeta/dias/1808/01/05/pdfs/GMD-1808-2.pdf#page=2","Abrir facsímil")</f>
        <v>Abrir facsímil</v>
      </c>
      <c r="K1343" s="15" t="s">
        <v>23</v>
      </c>
    </row>
    <row r="1344" spans="1:11" ht="42" customHeight="1">
      <c r="A1344" s="4" t="s">
        <v>3606</v>
      </c>
      <c r="B1344" s="5" t="s">
        <v>3607</v>
      </c>
      <c r="C1344" s="5" t="s">
        <v>101</v>
      </c>
      <c r="D1344" s="5" t="s">
        <v>102</v>
      </c>
      <c r="E1344" s="5" t="s">
        <v>203</v>
      </c>
      <c r="F1344" s="9" t="s">
        <v>204</v>
      </c>
      <c r="G1344" s="9">
        <v>134</v>
      </c>
      <c r="H1344" s="5" t="s">
        <v>21</v>
      </c>
      <c r="I1344" s="5" t="s">
        <v>3609</v>
      </c>
      <c r="J1344" s="12" t="str">
        <f>HYPERLINK("https://www.boe.es/gazeta/dias/1808/02/09/pdfs/GMD-1808-12.pdf#page=2","Abrir facsímil")</f>
        <v>Abrir facsímil</v>
      </c>
      <c r="K1344" s="15" t="s">
        <v>23</v>
      </c>
    </row>
    <row r="1345" spans="1:11" ht="42" customHeight="1">
      <c r="A1345" s="4" t="s">
        <v>3606</v>
      </c>
      <c r="B1345" s="5" t="s">
        <v>3607</v>
      </c>
      <c r="C1345" s="5" t="s">
        <v>101</v>
      </c>
      <c r="D1345" s="5" t="s">
        <v>102</v>
      </c>
      <c r="E1345" s="5" t="s">
        <v>684</v>
      </c>
      <c r="F1345" s="9" t="s">
        <v>685</v>
      </c>
      <c r="G1345" s="9">
        <v>377</v>
      </c>
      <c r="H1345" s="5" t="s">
        <v>21</v>
      </c>
      <c r="I1345" s="5" t="s">
        <v>3610</v>
      </c>
      <c r="J1345" s="12" t="str">
        <f>HYPERLINK("https://www.boe.es/gazeta/dias/1808/04/15/pdfs/GMD-1808-35.pdf#page=3","Abrir facsímil")</f>
        <v>Abrir facsímil</v>
      </c>
      <c r="K1345" s="15" t="s">
        <v>23</v>
      </c>
    </row>
    <row r="1346" spans="1:11" ht="42" customHeight="1">
      <c r="A1346" s="4" t="s">
        <v>3606</v>
      </c>
      <c r="B1346" s="5" t="s">
        <v>3607</v>
      </c>
      <c r="C1346" s="5" t="s">
        <v>101</v>
      </c>
      <c r="D1346" s="5" t="s">
        <v>102</v>
      </c>
      <c r="E1346" s="5" t="s">
        <v>1671</v>
      </c>
      <c r="F1346" s="9" t="s">
        <v>1672</v>
      </c>
      <c r="G1346" s="9">
        <v>476</v>
      </c>
      <c r="H1346" s="5" t="s">
        <v>21</v>
      </c>
      <c r="I1346" s="5" t="s">
        <v>3611</v>
      </c>
      <c r="J1346" s="12" t="str">
        <f>HYPERLINK("https://www.boe.es/gazeta/dias/1808/05/20/pdfs/GMD-1808-48.pdf#page=4","Abrir facsímil")</f>
        <v>Abrir facsímil</v>
      </c>
      <c r="K1346" s="15" t="s">
        <v>23</v>
      </c>
    </row>
    <row r="1347" spans="1:11" ht="42" customHeight="1">
      <c r="A1347" s="4" t="s">
        <v>3612</v>
      </c>
      <c r="B1347" s="5" t="s">
        <v>3613</v>
      </c>
      <c r="C1347" s="5" t="s">
        <v>101</v>
      </c>
      <c r="D1347" s="5" t="s">
        <v>102</v>
      </c>
      <c r="E1347" s="5" t="s">
        <v>35</v>
      </c>
      <c r="F1347" s="9" t="s">
        <v>3452</v>
      </c>
      <c r="G1347" s="9">
        <v>394</v>
      </c>
      <c r="H1347" s="5" t="s">
        <v>21</v>
      </c>
      <c r="I1347" s="5" t="s">
        <v>3614</v>
      </c>
      <c r="J1347" s="12" t="str">
        <f>HYPERLINK("https://www.boe.es/gazeta/dias/1808/04/22/pdfs/GMD-1808-38.pdf#page=2","Abrir facsímil")</f>
        <v>Abrir facsímil</v>
      </c>
      <c r="K1347" s="15" t="s">
        <v>23</v>
      </c>
    </row>
    <row r="1348" spans="1:11" ht="42" customHeight="1">
      <c r="A1348" s="4" t="s">
        <v>3615</v>
      </c>
      <c r="B1348" s="5" t="s">
        <v>3616</v>
      </c>
      <c r="C1348" s="5" t="s">
        <v>101</v>
      </c>
      <c r="D1348" s="5" t="s">
        <v>102</v>
      </c>
      <c r="E1348" s="5" t="s">
        <v>35</v>
      </c>
      <c r="F1348" s="9" t="s">
        <v>3452</v>
      </c>
      <c r="G1348" s="9">
        <v>394</v>
      </c>
      <c r="H1348" s="5" t="s">
        <v>21</v>
      </c>
      <c r="I1348" s="5" t="s">
        <v>3617</v>
      </c>
      <c r="J1348" s="12" t="str">
        <f>HYPERLINK("https://www.boe.es/gazeta/dias/1808/04/22/pdfs/GMD-1808-38.pdf#page=2","Abrir facsímil")</f>
        <v>Abrir facsímil</v>
      </c>
      <c r="K1348" s="15" t="s">
        <v>23</v>
      </c>
    </row>
    <row r="1349" spans="1:11" ht="42" customHeight="1">
      <c r="A1349" s="4" t="s">
        <v>3618</v>
      </c>
      <c r="B1349" s="5" t="s">
        <v>3618</v>
      </c>
      <c r="C1349" s="5" t="s">
        <v>41</v>
      </c>
      <c r="D1349" s="5" t="s">
        <v>42</v>
      </c>
      <c r="E1349" s="5" t="s">
        <v>96</v>
      </c>
      <c r="F1349" s="9" t="s">
        <v>97</v>
      </c>
      <c r="G1349" s="9">
        <v>267</v>
      </c>
      <c r="H1349" s="5" t="s">
        <v>21</v>
      </c>
      <c r="I1349" s="5" t="s">
        <v>3619</v>
      </c>
      <c r="J1349" s="12" t="str">
        <f>HYPERLINK("https://www.boe.es/gazeta/dias/1808/03/15/pdfs/GMD-1808-22.pdf#page=9","Abrir facsímil")</f>
        <v>Abrir facsímil</v>
      </c>
      <c r="K1349" s="15" t="s">
        <v>23</v>
      </c>
    </row>
    <row r="1350" spans="1:11" ht="42" customHeight="1">
      <c r="A1350" s="4" t="s">
        <v>3620</v>
      </c>
      <c r="B1350" s="5" t="s">
        <v>3620</v>
      </c>
      <c r="C1350" s="5" t="s">
        <v>33</v>
      </c>
      <c r="D1350" s="5" t="s">
        <v>34</v>
      </c>
      <c r="E1350" s="5" t="s">
        <v>363</v>
      </c>
      <c r="F1350" s="9" t="s">
        <v>364</v>
      </c>
      <c r="G1350" s="9" t="s">
        <v>75</v>
      </c>
      <c r="H1350" s="5" t="s">
        <v>21</v>
      </c>
      <c r="I1350" s="5" t="s">
        <v>3621</v>
      </c>
      <c r="J1350" s="12" t="str">
        <f>HYPERLINK("https://www.boe.es/gazeta/dias/1808/09/20/pdfs/GMD-C-1808-126.pdf#page=4","Abrir facsímil")</f>
        <v>Abrir facsímil</v>
      </c>
      <c r="K1350" s="15" t="s">
        <v>23</v>
      </c>
    </row>
    <row r="1351" spans="1:11" ht="42" customHeight="1">
      <c r="A1351" s="4" t="s">
        <v>3622</v>
      </c>
      <c r="B1351" s="5" t="s">
        <v>3622</v>
      </c>
      <c r="C1351" s="5" t="s">
        <v>260</v>
      </c>
      <c r="D1351" s="5" t="s">
        <v>42</v>
      </c>
      <c r="E1351" s="5" t="s">
        <v>1484</v>
      </c>
      <c r="F1351" s="9" t="s">
        <v>1485</v>
      </c>
      <c r="G1351" s="9">
        <v>676</v>
      </c>
      <c r="H1351" s="5" t="s">
        <v>21</v>
      </c>
      <c r="I1351" s="5" t="s">
        <v>3623</v>
      </c>
      <c r="J1351" s="12" t="str">
        <f>HYPERLINK("https://www.boe.es/gazeta/dias/1808/06/28/pdfs/GMD-1808-70.pdf#page=6","Abrir facsímil")</f>
        <v>Abrir facsímil</v>
      </c>
      <c r="K1351" s="15" t="s">
        <v>23</v>
      </c>
    </row>
    <row r="1352" spans="1:11" ht="42" customHeight="1">
      <c r="A1352" s="4" t="s">
        <v>3624</v>
      </c>
      <c r="B1352" s="5" t="s">
        <v>3624</v>
      </c>
      <c r="C1352" s="5" t="s">
        <v>389</v>
      </c>
      <c r="D1352" s="5" t="s">
        <v>390</v>
      </c>
      <c r="E1352" s="5" t="s">
        <v>1821</v>
      </c>
      <c r="F1352" s="9" t="s">
        <v>1874</v>
      </c>
      <c r="G1352" s="9">
        <v>623</v>
      </c>
      <c r="H1352" s="5" t="s">
        <v>21</v>
      </c>
      <c r="I1352" s="5" t="s">
        <v>3625</v>
      </c>
      <c r="J1352" s="12" t="str">
        <f>HYPERLINK("https://www.boe.es/gazeta/dias/1808/06/22/pdfs/GMD-1808-64.pdf#page=1","Abrir facsímil")</f>
        <v>Abrir facsímil</v>
      </c>
      <c r="K1352" s="15" t="s">
        <v>23</v>
      </c>
    </row>
    <row r="1353" spans="1:11" ht="42" customHeight="1">
      <c r="A1353" s="4" t="s">
        <v>3626</v>
      </c>
      <c r="B1353" s="5" t="s">
        <v>3626</v>
      </c>
      <c r="C1353" s="5" t="s">
        <v>41</v>
      </c>
      <c r="D1353" s="5" t="s">
        <v>42</v>
      </c>
      <c r="E1353" s="5" t="s">
        <v>363</v>
      </c>
      <c r="F1353" s="9" t="s">
        <v>364</v>
      </c>
      <c r="G1353" s="9" t="s">
        <v>117</v>
      </c>
      <c r="H1353" s="5" t="s">
        <v>21</v>
      </c>
      <c r="I1353" s="5" t="s">
        <v>3627</v>
      </c>
      <c r="J1353" s="12" t="str">
        <f>HYPERLINK("https://www.boe.es/gazeta/dias/1808/09/20/pdfs/GMD-C-1808-126.pdf#page=1","Abrir facsímil")</f>
        <v>Abrir facsímil</v>
      </c>
      <c r="K1353" s="15" t="s">
        <v>23</v>
      </c>
    </row>
    <row r="1354" spans="1:11" ht="42" customHeight="1">
      <c r="A1354" s="4" t="s">
        <v>3628</v>
      </c>
      <c r="B1354" s="5" t="s">
        <v>3628</v>
      </c>
      <c r="C1354" s="5" t="s">
        <v>33</v>
      </c>
      <c r="D1354" s="5" t="s">
        <v>34</v>
      </c>
      <c r="E1354" s="5" t="s">
        <v>153</v>
      </c>
      <c r="F1354" s="9" t="s">
        <v>154</v>
      </c>
      <c r="G1354" s="9" t="s">
        <v>106</v>
      </c>
      <c r="H1354" s="5" t="s">
        <v>21</v>
      </c>
      <c r="I1354" s="5" t="s">
        <v>3629</v>
      </c>
      <c r="J1354" s="12" t="str">
        <f>HYPERLINK("https://www.boe.es/gazeta/dias/1808/09/09/pdfs/GMD-C-1808-121.pdf#page=3","Abrir facsímil")</f>
        <v>Abrir facsímil</v>
      </c>
      <c r="K1354" s="15" t="s">
        <v>23</v>
      </c>
    </row>
    <row r="1355" spans="1:11" ht="42" customHeight="1">
      <c r="A1355" s="4" t="s">
        <v>3630</v>
      </c>
      <c r="B1355" s="5" t="s">
        <v>3630</v>
      </c>
      <c r="C1355" s="5" t="s">
        <v>33</v>
      </c>
      <c r="D1355" s="5" t="s">
        <v>34</v>
      </c>
      <c r="E1355" s="5" t="s">
        <v>391</v>
      </c>
      <c r="F1355" s="9" t="s">
        <v>588</v>
      </c>
      <c r="G1355" s="9" t="s">
        <v>117</v>
      </c>
      <c r="H1355" s="5" t="s">
        <v>21</v>
      </c>
      <c r="I1355" s="5" t="s">
        <v>3631</v>
      </c>
      <c r="J1355" s="12" t="str">
        <f>HYPERLINK("https://www.boe.es/gazeta/dias/1808/09/27/pdfs/GMD-C-1808-128.pdf#page=1","Abrir facsímil")</f>
        <v>Abrir facsímil</v>
      </c>
      <c r="K1355" s="15" t="s">
        <v>23</v>
      </c>
    </row>
    <row r="1356" spans="1:11" ht="42" customHeight="1">
      <c r="A1356" s="4" t="s">
        <v>3632</v>
      </c>
      <c r="B1356" s="5" t="s">
        <v>3632</v>
      </c>
      <c r="C1356" s="5" t="s">
        <v>389</v>
      </c>
      <c r="D1356" s="5" t="s">
        <v>390</v>
      </c>
      <c r="E1356" s="5" t="s">
        <v>1896</v>
      </c>
      <c r="F1356" s="9" t="s">
        <v>1897</v>
      </c>
      <c r="G1356" s="9">
        <v>782</v>
      </c>
      <c r="H1356" s="5" t="s">
        <v>21</v>
      </c>
      <c r="I1356" s="5" t="s">
        <v>3633</v>
      </c>
      <c r="J1356" s="12" t="str">
        <f>HYPERLINK("https://www.boe.es/gazeta/dias/1808/07/11/pdfs/GMD-1808-83.pdf#page=8","Abrir facsímil")</f>
        <v>Abrir facsímil</v>
      </c>
      <c r="K1356" s="15" t="s">
        <v>23</v>
      </c>
    </row>
    <row r="1357" spans="1:11" ht="42" customHeight="1">
      <c r="A1357" s="4" t="s">
        <v>3632</v>
      </c>
      <c r="B1357" s="5" t="s">
        <v>3632</v>
      </c>
      <c r="C1357" s="5" t="s">
        <v>17</v>
      </c>
      <c r="D1357" s="5" t="s">
        <v>18</v>
      </c>
      <c r="E1357" s="5" t="s">
        <v>960</v>
      </c>
      <c r="F1357" s="9" t="s">
        <v>961</v>
      </c>
      <c r="G1357" s="9">
        <v>861</v>
      </c>
      <c r="H1357" s="5" t="s">
        <v>21</v>
      </c>
      <c r="I1357" s="5" t="s">
        <v>3634</v>
      </c>
      <c r="J1357" s="12" t="str">
        <f>HYPERLINK("https://www.boe.es/gazeta/dias/1808/07/21/pdfs/GMD-1808-93.pdf#page=7","Abrir facsímil")</f>
        <v>Abrir facsímil</v>
      </c>
      <c r="K1357" s="15" t="s">
        <v>23</v>
      </c>
    </row>
    <row r="1358" spans="1:11" ht="42" customHeight="1">
      <c r="A1358" s="4" t="s">
        <v>3635</v>
      </c>
      <c r="B1358" s="5" t="s">
        <v>3635</v>
      </c>
      <c r="C1358" s="5" t="s">
        <v>94</v>
      </c>
      <c r="D1358" s="5" t="s">
        <v>95</v>
      </c>
      <c r="E1358" s="5" t="s">
        <v>225</v>
      </c>
      <c r="F1358" s="9" t="s">
        <v>226</v>
      </c>
      <c r="G1358" s="9">
        <v>609</v>
      </c>
      <c r="H1358" s="5" t="s">
        <v>21</v>
      </c>
      <c r="I1358" s="5" t="s">
        <v>3636</v>
      </c>
      <c r="J1358" s="12" t="str">
        <f>HYPERLINK("https://www.boe.es/gazeta/dias/1808/06/20/pdfs/GMD-1808-62.pdf#page=7","Abrir facsímil")</f>
        <v>Abrir facsímil</v>
      </c>
      <c r="K1358" s="15" t="s">
        <v>23</v>
      </c>
    </row>
    <row r="1359" spans="1:11" ht="42" customHeight="1">
      <c r="A1359" s="4" t="s">
        <v>3637</v>
      </c>
      <c r="B1359" s="5" t="s">
        <v>3637</v>
      </c>
      <c r="C1359" s="5" t="s">
        <v>41</v>
      </c>
      <c r="D1359" s="5" t="s">
        <v>42</v>
      </c>
      <c r="E1359" s="5" t="s">
        <v>558</v>
      </c>
      <c r="F1359" s="9" t="s">
        <v>559</v>
      </c>
      <c r="G1359" s="9">
        <v>1545</v>
      </c>
      <c r="H1359" s="5" t="s">
        <v>21</v>
      </c>
      <c r="I1359" s="5" t="s">
        <v>3638</v>
      </c>
      <c r="J1359" s="12" t="str">
        <f>HYPERLINK("https://www.boe.es/gazeta/dias/1808/11/25/pdfs/GMD-1808-147.pdf#page=11","Abrir facsímil")</f>
        <v>Abrir facsímil</v>
      </c>
      <c r="K1359" s="15" t="s">
        <v>23</v>
      </c>
    </row>
    <row r="1360" spans="1:11" ht="42" customHeight="1">
      <c r="A1360" s="4" t="s">
        <v>3639</v>
      </c>
      <c r="B1360" s="5" t="s">
        <v>3639</v>
      </c>
      <c r="C1360" s="5" t="s">
        <v>17</v>
      </c>
      <c r="D1360" s="5" t="s">
        <v>18</v>
      </c>
      <c r="E1360" s="5" t="s">
        <v>130</v>
      </c>
      <c r="F1360" s="9" t="s">
        <v>131</v>
      </c>
      <c r="G1360" s="9">
        <v>1604</v>
      </c>
      <c r="H1360" s="5" t="s">
        <v>21</v>
      </c>
      <c r="I1360" s="5" t="s">
        <v>3640</v>
      </c>
      <c r="J1360" s="12" t="str">
        <f>HYPERLINK("https://www.boe.es/gazeta/dias/1808/12/15/pdfs/GMD-1808-155.pdf#page=8","Abrir facsímil")</f>
        <v>Abrir facsímil</v>
      </c>
      <c r="K1360" s="15" t="s">
        <v>23</v>
      </c>
    </row>
    <row r="1361" spans="1:11" ht="42" customHeight="1">
      <c r="A1361" s="4" t="s">
        <v>3641</v>
      </c>
      <c r="B1361" s="5" t="s">
        <v>3641</v>
      </c>
      <c r="C1361" s="5" t="s">
        <v>260</v>
      </c>
      <c r="D1361" s="5" t="s">
        <v>42</v>
      </c>
      <c r="E1361" s="5" t="s">
        <v>991</v>
      </c>
      <c r="F1361" s="9" t="s">
        <v>992</v>
      </c>
      <c r="G1361" s="9">
        <v>218</v>
      </c>
      <c r="H1361" s="5" t="s">
        <v>21</v>
      </c>
      <c r="I1361" s="5" t="s">
        <v>3642</v>
      </c>
      <c r="J1361" s="12" t="str">
        <f>HYPERLINK("https://www.boe.es/gazeta/dias/1808/03/01/pdfs/GMD-1808-18.pdf#page=8","Abrir facsímil")</f>
        <v>Abrir facsímil</v>
      </c>
      <c r="K1361" s="15" t="s">
        <v>23</v>
      </c>
    </row>
    <row r="1362" spans="1:11" ht="42" customHeight="1">
      <c r="A1362" s="4" t="s">
        <v>3643</v>
      </c>
      <c r="B1362" s="5" t="s">
        <v>3643</v>
      </c>
      <c r="C1362" s="5" t="s">
        <v>17</v>
      </c>
      <c r="D1362" s="5" t="s">
        <v>18</v>
      </c>
      <c r="E1362" s="5" t="s">
        <v>1085</v>
      </c>
      <c r="F1362" s="9" t="s">
        <v>1086</v>
      </c>
      <c r="G1362" s="9">
        <v>108</v>
      </c>
      <c r="H1362" s="5" t="s">
        <v>21</v>
      </c>
      <c r="I1362" s="5" t="s">
        <v>3644</v>
      </c>
      <c r="J1362" s="12" t="str">
        <f>HYPERLINK("https://www.boe.es/gazeta/dias/1808/01/29/pdfs/GMD-1808-9.pdf#page=12","Abrir facsímil")</f>
        <v>Abrir facsímil</v>
      </c>
      <c r="K1362" s="15" t="s">
        <v>23</v>
      </c>
    </row>
    <row r="1363" spans="1:11" ht="42" customHeight="1">
      <c r="A1363" s="4" t="s">
        <v>3645</v>
      </c>
      <c r="B1363" s="5" t="s">
        <v>3645</v>
      </c>
      <c r="C1363" s="5" t="s">
        <v>17</v>
      </c>
      <c r="D1363" s="5" t="s">
        <v>18</v>
      </c>
      <c r="E1363" s="5" t="s">
        <v>96</v>
      </c>
      <c r="F1363" s="9" t="s">
        <v>97</v>
      </c>
      <c r="G1363" s="9">
        <v>270</v>
      </c>
      <c r="H1363" s="5" t="s">
        <v>21</v>
      </c>
      <c r="I1363" s="5" t="s">
        <v>3646</v>
      </c>
      <c r="J1363" s="12" t="str">
        <f>HYPERLINK("https://www.boe.es/gazeta/dias/1808/03/15/pdfs/GMD-1808-22.pdf#page=12","Abrir facsímil")</f>
        <v>Abrir facsímil</v>
      </c>
      <c r="K1363" s="15" t="s">
        <v>23</v>
      </c>
    </row>
    <row r="1364" spans="1:11" ht="42" customHeight="1">
      <c r="A1364" s="4" t="s">
        <v>3647</v>
      </c>
      <c r="B1364" s="5" t="s">
        <v>3647</v>
      </c>
      <c r="C1364" s="5" t="s">
        <v>389</v>
      </c>
      <c r="D1364" s="5" t="s">
        <v>390</v>
      </c>
      <c r="E1364" s="5" t="s">
        <v>469</v>
      </c>
      <c r="F1364" s="9" t="s">
        <v>470</v>
      </c>
      <c r="G1364" s="9">
        <v>154</v>
      </c>
      <c r="H1364" s="5" t="s">
        <v>21</v>
      </c>
      <c r="I1364" s="5" t="s">
        <v>3648</v>
      </c>
      <c r="J1364" s="12" t="str">
        <f>HYPERLINK("https://www.boe.es/gazeta/dias/1808/02/12/pdfs/GMD-1808-13.pdf#page=10","Abrir facsímil")</f>
        <v>Abrir facsímil</v>
      </c>
      <c r="K1364" s="15" t="s">
        <v>23</v>
      </c>
    </row>
    <row r="1365" spans="1:11" ht="42" customHeight="1">
      <c r="A1365" s="4" t="s">
        <v>3649</v>
      </c>
      <c r="B1365" s="5" t="s">
        <v>3649</v>
      </c>
      <c r="C1365" s="5" t="s">
        <v>389</v>
      </c>
      <c r="D1365" s="5" t="s">
        <v>390</v>
      </c>
      <c r="E1365" s="5" t="s">
        <v>203</v>
      </c>
      <c r="F1365" s="9" t="s">
        <v>204</v>
      </c>
      <c r="G1365" s="9">
        <v>144</v>
      </c>
      <c r="H1365" s="5" t="s">
        <v>21</v>
      </c>
      <c r="I1365" s="5" t="s">
        <v>3650</v>
      </c>
      <c r="J1365" s="12" t="str">
        <f>HYPERLINK("https://www.boe.es/gazeta/dias/1808/02/09/pdfs/GMD-1808-12.pdf#page=12","Abrir facsímil")</f>
        <v>Abrir facsímil</v>
      </c>
      <c r="K1365" s="15" t="s">
        <v>23</v>
      </c>
    </row>
    <row r="1366" spans="1:11" ht="42" customHeight="1">
      <c r="A1366" s="4" t="s">
        <v>3651</v>
      </c>
      <c r="B1366" s="5" t="s">
        <v>3651</v>
      </c>
      <c r="C1366" s="5" t="s">
        <v>94</v>
      </c>
      <c r="D1366" s="5" t="s">
        <v>95</v>
      </c>
      <c r="E1366" s="5" t="s">
        <v>210</v>
      </c>
      <c r="F1366" s="9" t="s">
        <v>211</v>
      </c>
      <c r="G1366" s="9">
        <v>254</v>
      </c>
      <c r="H1366" s="5" t="s">
        <v>21</v>
      </c>
      <c r="I1366" s="5" t="s">
        <v>3652</v>
      </c>
      <c r="J1366" s="12" t="str">
        <f>HYPERLINK("https://www.boe.es/gazeta/dias/1808/03/11/pdfs/GMD-1808-21.pdf#page=8","Abrir facsímil")</f>
        <v>Abrir facsímil</v>
      </c>
      <c r="K1366" s="15" t="s">
        <v>23</v>
      </c>
    </row>
    <row r="1367" spans="1:11" ht="42" customHeight="1">
      <c r="A1367" s="4" t="s">
        <v>3653</v>
      </c>
      <c r="B1367" s="5" t="s">
        <v>3654</v>
      </c>
      <c r="C1367" s="5" t="s">
        <v>33</v>
      </c>
      <c r="D1367" s="5" t="s">
        <v>34</v>
      </c>
      <c r="E1367" s="5" t="s">
        <v>68</v>
      </c>
      <c r="F1367" s="9" t="s">
        <v>309</v>
      </c>
      <c r="G1367" s="9" t="s">
        <v>106</v>
      </c>
      <c r="H1367" s="5" t="s">
        <v>21</v>
      </c>
      <c r="I1367" s="5" t="s">
        <v>3655</v>
      </c>
      <c r="J1367" s="12" t="str">
        <f>HYPERLINK("https://www.boe.es/gazeta/dias/1808/10/21/pdfs/GMD-D-1808-136.pdf#page=3","Abrir facsímil")</f>
        <v>Abrir facsímil</v>
      </c>
      <c r="K1367" s="15" t="s">
        <v>23</v>
      </c>
    </row>
    <row r="1368" spans="1:11" ht="42" customHeight="1">
      <c r="A1368" s="4" t="s">
        <v>3656</v>
      </c>
      <c r="B1368" s="5" t="s">
        <v>3657</v>
      </c>
      <c r="C1368" s="5" t="s">
        <v>33</v>
      </c>
      <c r="D1368" s="5" t="s">
        <v>34</v>
      </c>
      <c r="E1368" s="5" t="s">
        <v>35</v>
      </c>
      <c r="F1368" s="9" t="s">
        <v>36</v>
      </c>
      <c r="G1368" s="9" t="s">
        <v>1294</v>
      </c>
      <c r="H1368" s="5" t="s">
        <v>21</v>
      </c>
      <c r="I1368" s="5" t="s">
        <v>3658</v>
      </c>
      <c r="J1368" s="12" t="str">
        <f>HYPERLINK("https://www.boe.es/gazeta/dias/1808/04/22/pdfs/GMD-C-1808-38.pdf#page=8","Abrir facsímil")</f>
        <v>Abrir facsímil</v>
      </c>
      <c r="K1368" s="15" t="s">
        <v>23</v>
      </c>
    </row>
    <row r="1369" spans="1:11" ht="42" customHeight="1">
      <c r="A1369" s="4" t="s">
        <v>3659</v>
      </c>
      <c r="B1369" s="5" t="s">
        <v>3660</v>
      </c>
      <c r="C1369" s="5" t="s">
        <v>17</v>
      </c>
      <c r="D1369" s="5" t="s">
        <v>18</v>
      </c>
      <c r="E1369" s="5" t="s">
        <v>89</v>
      </c>
      <c r="F1369" s="9" t="s">
        <v>90</v>
      </c>
      <c r="G1369" s="9">
        <v>1363</v>
      </c>
      <c r="H1369" s="5" t="s">
        <v>21</v>
      </c>
      <c r="I1369" s="5" t="s">
        <v>3661</v>
      </c>
      <c r="J1369" s="12" t="str">
        <f>HYPERLINK("https://www.boe.es/gazeta/dias/1808/10/25/pdfs/GMD-1808-137.pdf#page=11","Abrir facsímil")</f>
        <v>Abrir facsímil</v>
      </c>
      <c r="K1369" s="15" t="s">
        <v>23</v>
      </c>
    </row>
    <row r="1370" spans="1:11" ht="42" customHeight="1">
      <c r="A1370" s="4" t="s">
        <v>3662</v>
      </c>
      <c r="B1370" s="5" t="s">
        <v>3663</v>
      </c>
      <c r="C1370" s="5" t="s">
        <v>33</v>
      </c>
      <c r="D1370" s="5" t="s">
        <v>34</v>
      </c>
      <c r="E1370" s="5" t="s">
        <v>508</v>
      </c>
      <c r="F1370" s="9" t="s">
        <v>1561</v>
      </c>
      <c r="G1370" s="9">
        <v>1032</v>
      </c>
      <c r="H1370" s="5" t="s">
        <v>21</v>
      </c>
      <c r="I1370" s="5" t="s">
        <v>3664</v>
      </c>
      <c r="J1370" s="12" t="str">
        <f>HYPERLINK("https://www.boe.es/gazeta/dias/1808/08/16/pdfs/GMD-C-1808-113.pdf#page=12","Abrir facsímil")</f>
        <v>Abrir facsímil</v>
      </c>
      <c r="K1370" s="15" t="s">
        <v>23</v>
      </c>
    </row>
    <row r="1371" spans="1:11" ht="42" customHeight="1">
      <c r="A1371" s="4" t="s">
        <v>3665</v>
      </c>
      <c r="B1371" s="5" t="s">
        <v>3666</v>
      </c>
      <c r="C1371" s="5" t="s">
        <v>33</v>
      </c>
      <c r="D1371" s="5" t="s">
        <v>34</v>
      </c>
      <c r="E1371" s="5" t="s">
        <v>153</v>
      </c>
      <c r="F1371" s="9" t="s">
        <v>154</v>
      </c>
      <c r="G1371" s="9" t="s">
        <v>117</v>
      </c>
      <c r="H1371" s="5" t="s">
        <v>21</v>
      </c>
      <c r="I1371" s="5" t="s">
        <v>3667</v>
      </c>
      <c r="J1371" s="12" t="str">
        <f>HYPERLINK("https://www.boe.es/gazeta/dias/1808/09/09/pdfs/GMD-C-1808-121.pdf#page=1","Abrir facsímil")</f>
        <v>Abrir facsímil</v>
      </c>
      <c r="K1371" s="15" t="s">
        <v>23</v>
      </c>
    </row>
    <row r="1372" spans="1:11" ht="42" customHeight="1">
      <c r="A1372" s="4" t="s">
        <v>3668</v>
      </c>
      <c r="B1372" s="5" t="s">
        <v>3669</v>
      </c>
      <c r="C1372" s="5" t="s">
        <v>33</v>
      </c>
      <c r="D1372" s="5" t="s">
        <v>34</v>
      </c>
      <c r="E1372" s="5" t="s">
        <v>456</v>
      </c>
      <c r="F1372" s="9" t="s">
        <v>748</v>
      </c>
      <c r="G1372" s="9" t="s">
        <v>199</v>
      </c>
      <c r="H1372" s="5" t="s">
        <v>21</v>
      </c>
      <c r="I1372" s="5" t="s">
        <v>3670</v>
      </c>
      <c r="J1372" s="12" t="str">
        <f>HYPERLINK("https://www.boe.es/gazeta/dias/1808/10/14/pdfs/GMD-C-1808-134.pdf#page=2","Abrir facsímil")</f>
        <v>Abrir facsímil</v>
      </c>
      <c r="K1372" s="15" t="s">
        <v>23</v>
      </c>
    </row>
    <row r="1373" spans="1:11" ht="42" customHeight="1">
      <c r="A1373" s="4" t="s">
        <v>3668</v>
      </c>
      <c r="B1373" s="5" t="s">
        <v>3669</v>
      </c>
      <c r="C1373" s="5" t="s">
        <v>41</v>
      </c>
      <c r="D1373" s="5" t="s">
        <v>42</v>
      </c>
      <c r="E1373" s="5" t="s">
        <v>180</v>
      </c>
      <c r="F1373" s="9" t="s">
        <v>768</v>
      </c>
      <c r="G1373" s="9" t="s">
        <v>75</v>
      </c>
      <c r="H1373" s="5" t="s">
        <v>21</v>
      </c>
      <c r="I1373" s="5" t="s">
        <v>3671</v>
      </c>
      <c r="J1373" s="12" t="str">
        <f>HYPERLINK("https://www.boe.es/gazeta/dias/1808/11/15/pdfs/GMD-D-1808-144.pdf#page=4","Abrir facsímil")</f>
        <v>Abrir facsímil</v>
      </c>
      <c r="K1373" s="15" t="s">
        <v>23</v>
      </c>
    </row>
    <row r="1374" spans="1:11" ht="42" customHeight="1">
      <c r="A1374" s="4" t="s">
        <v>3672</v>
      </c>
      <c r="B1374" s="5" t="s">
        <v>3673</v>
      </c>
      <c r="C1374" s="5" t="s">
        <v>17</v>
      </c>
      <c r="D1374" s="5" t="s">
        <v>18</v>
      </c>
      <c r="E1374" s="5" t="s">
        <v>130</v>
      </c>
      <c r="F1374" s="9" t="s">
        <v>131</v>
      </c>
      <c r="G1374" s="9">
        <v>1604</v>
      </c>
      <c r="H1374" s="5" t="s">
        <v>21</v>
      </c>
      <c r="I1374" s="5" t="s">
        <v>3674</v>
      </c>
      <c r="J1374" s="12" t="str">
        <f>HYPERLINK("https://www.boe.es/gazeta/dias/1808/12/15/pdfs/GMD-1808-155.pdf#page=8","Abrir facsímil")</f>
        <v>Abrir facsímil</v>
      </c>
      <c r="K1374" s="15" t="s">
        <v>23</v>
      </c>
    </row>
    <row r="1375" spans="1:11" ht="42" customHeight="1">
      <c r="A1375" s="4" t="s">
        <v>3675</v>
      </c>
      <c r="B1375" s="5" t="s">
        <v>3676</v>
      </c>
      <c r="C1375" s="5" t="s">
        <v>41</v>
      </c>
      <c r="D1375" s="5" t="s">
        <v>42</v>
      </c>
      <c r="E1375" s="5" t="s">
        <v>363</v>
      </c>
      <c r="F1375" s="9" t="s">
        <v>364</v>
      </c>
      <c r="G1375" s="9" t="s">
        <v>75</v>
      </c>
      <c r="H1375" s="5" t="s">
        <v>21</v>
      </c>
      <c r="I1375" s="5" t="s">
        <v>3677</v>
      </c>
      <c r="J1375" s="12" t="str">
        <f>HYPERLINK("https://www.boe.es/gazeta/dias/1808/09/20/pdfs/GMD-C-1808-126.pdf#page=4","Abrir facsímil")</f>
        <v>Abrir facsímil</v>
      </c>
      <c r="K1375" s="15" t="s">
        <v>23</v>
      </c>
    </row>
    <row r="1376" spans="1:11" ht="42" customHeight="1">
      <c r="A1376" s="4" t="s">
        <v>3678</v>
      </c>
      <c r="B1376" s="5" t="s">
        <v>3679</v>
      </c>
      <c r="C1376" s="5" t="s">
        <v>41</v>
      </c>
      <c r="D1376" s="5" t="s">
        <v>42</v>
      </c>
      <c r="E1376" s="5" t="s">
        <v>115</v>
      </c>
      <c r="F1376" s="9" t="s">
        <v>116</v>
      </c>
      <c r="G1376" s="9" t="s">
        <v>106</v>
      </c>
      <c r="H1376" s="5" t="s">
        <v>21</v>
      </c>
      <c r="I1376" s="5" t="s">
        <v>3680</v>
      </c>
      <c r="J1376" s="12" t="str">
        <f>HYPERLINK("https://www.boe.es/gazeta/dias/1808/09/16/pdfs/GMD-C-1808-125.pdf#page=3","Abrir facsímil")</f>
        <v>Abrir facsímil</v>
      </c>
      <c r="K1376" s="15" t="s">
        <v>23</v>
      </c>
    </row>
    <row r="1377" spans="1:11" ht="42" customHeight="1">
      <c r="A1377" s="4" t="s">
        <v>3681</v>
      </c>
      <c r="B1377" s="5" t="s">
        <v>3682</v>
      </c>
      <c r="C1377" s="5" t="s">
        <v>17</v>
      </c>
      <c r="D1377" s="5" t="s">
        <v>18</v>
      </c>
      <c r="E1377" s="5" t="s">
        <v>1345</v>
      </c>
      <c r="F1377" s="9" t="s">
        <v>1346</v>
      </c>
      <c r="G1377" s="9">
        <v>85</v>
      </c>
      <c r="H1377" s="5" t="s">
        <v>21</v>
      </c>
      <c r="I1377" s="5" t="s">
        <v>3683</v>
      </c>
      <c r="J1377" s="12" t="str">
        <f>HYPERLINK("https://www.boe.es/gazeta/dias/1808/07/06/pdfs/GMS-1808-11.pdf#page=5","Abrir facsímil")</f>
        <v>Abrir facsímil</v>
      </c>
      <c r="K1377" s="15" t="s">
        <v>23</v>
      </c>
    </row>
    <row r="1378" spans="1:11" ht="42" customHeight="1">
      <c r="A1378" s="4" t="s">
        <v>3684</v>
      </c>
      <c r="B1378" s="5" t="s">
        <v>3685</v>
      </c>
      <c r="C1378" s="5" t="s">
        <v>389</v>
      </c>
      <c r="D1378" s="5" t="s">
        <v>390</v>
      </c>
      <c r="E1378" s="5" t="s">
        <v>19</v>
      </c>
      <c r="F1378" s="9" t="s">
        <v>949</v>
      </c>
      <c r="G1378" s="9" t="s">
        <v>199</v>
      </c>
      <c r="H1378" s="5" t="s">
        <v>21</v>
      </c>
      <c r="I1378" s="5" t="s">
        <v>3686</v>
      </c>
      <c r="J1378" s="12" t="str">
        <f>HYPERLINK("https://www.boe.es/gazeta/dias/1808/09/30/pdfs/GMD-C-1808-130.pdf#page=2","Abrir facsímil")</f>
        <v>Abrir facsímil</v>
      </c>
      <c r="K1378" s="15" t="s">
        <v>23</v>
      </c>
    </row>
    <row r="1379" spans="1:11" ht="42" customHeight="1">
      <c r="A1379" s="4" t="s">
        <v>3687</v>
      </c>
      <c r="B1379" s="5" t="s">
        <v>3688</v>
      </c>
      <c r="C1379" s="5" t="s">
        <v>17</v>
      </c>
      <c r="D1379" s="5" t="s">
        <v>18</v>
      </c>
      <c r="E1379" s="5" t="s">
        <v>1385</v>
      </c>
      <c r="F1379" s="9" t="s">
        <v>1386</v>
      </c>
      <c r="G1379" s="9">
        <v>229</v>
      </c>
      <c r="H1379" s="5" t="s">
        <v>21</v>
      </c>
      <c r="I1379" s="5" t="s">
        <v>3689</v>
      </c>
      <c r="J1379" s="12" t="str">
        <f>HYPERLINK("https://www.boe.es/gazeta/dias/1808/03/04/pdfs/GMD-1808-19.pdf#page=7","Abrir facsímil")</f>
        <v>Abrir facsímil</v>
      </c>
      <c r="K1379" s="15" t="s">
        <v>23</v>
      </c>
    </row>
    <row r="1380" spans="1:11" ht="42" customHeight="1">
      <c r="A1380" s="4" t="s">
        <v>3690</v>
      </c>
      <c r="B1380" s="5" t="s">
        <v>3691</v>
      </c>
      <c r="C1380" s="5" t="s">
        <v>33</v>
      </c>
      <c r="D1380" s="5" t="s">
        <v>34</v>
      </c>
      <c r="E1380" s="5" t="s">
        <v>35</v>
      </c>
      <c r="F1380" s="9" t="s">
        <v>36</v>
      </c>
      <c r="G1380" s="9" t="s">
        <v>199</v>
      </c>
      <c r="H1380" s="5" t="s">
        <v>21</v>
      </c>
      <c r="I1380" s="5" t="s">
        <v>3692</v>
      </c>
      <c r="J1380" s="12" t="str">
        <f>HYPERLINK("https://www.boe.es/gazeta/dias/1808/04/22/pdfs/GMD-C-1808-38.pdf#page=2","Abrir facsímil")</f>
        <v>Abrir facsímil</v>
      </c>
      <c r="K1380" s="15" t="s">
        <v>23</v>
      </c>
    </row>
    <row r="1381" spans="1:11" ht="42" customHeight="1">
      <c r="A1381" s="4" t="s">
        <v>3693</v>
      </c>
      <c r="B1381" s="5" t="s">
        <v>3694</v>
      </c>
      <c r="C1381" s="5" t="s">
        <v>101</v>
      </c>
      <c r="D1381" s="5" t="s">
        <v>102</v>
      </c>
      <c r="E1381" s="5" t="s">
        <v>1702</v>
      </c>
      <c r="F1381" s="9" t="s">
        <v>3079</v>
      </c>
      <c r="G1381" s="9">
        <v>793</v>
      </c>
      <c r="H1381" s="5" t="s">
        <v>21</v>
      </c>
      <c r="I1381" s="5" t="s">
        <v>3695</v>
      </c>
      <c r="J1381" s="12" t="str">
        <f>HYPERLINK("https://www.boe.es/gazeta/dias/1808/07/13/pdfs/GMD-1808-85.pdf#page=3","Abrir facsímil")</f>
        <v>Abrir facsímil</v>
      </c>
      <c r="K1381" s="15" t="s">
        <v>23</v>
      </c>
    </row>
    <row r="1382" spans="1:11" ht="42" customHeight="1">
      <c r="A1382" s="4" t="s">
        <v>3696</v>
      </c>
      <c r="B1382" s="5" t="s">
        <v>3697</v>
      </c>
      <c r="C1382" s="5" t="s">
        <v>33</v>
      </c>
      <c r="D1382" s="5" t="s">
        <v>34</v>
      </c>
      <c r="E1382" s="5" t="s">
        <v>35</v>
      </c>
      <c r="F1382" s="9" t="s">
        <v>36</v>
      </c>
      <c r="G1382" s="9" t="s">
        <v>655</v>
      </c>
      <c r="H1382" s="5" t="s">
        <v>21</v>
      </c>
      <c r="I1382" s="5" t="s">
        <v>3698</v>
      </c>
      <c r="J1382" s="12" t="str">
        <f>HYPERLINK("https://www.boe.es/gazeta/dias/1808/04/22/pdfs/GMD-C-1808-38.pdf#page=43","Abrir facsímil")</f>
        <v>Abrir facsímil</v>
      </c>
      <c r="K1382" s="15" t="s">
        <v>23</v>
      </c>
    </row>
    <row r="1383" spans="1:11" ht="42" customHeight="1">
      <c r="A1383" s="4" t="s">
        <v>3699</v>
      </c>
      <c r="B1383" s="5" t="s">
        <v>3699</v>
      </c>
      <c r="C1383" s="5" t="s">
        <v>41</v>
      </c>
      <c r="D1383" s="5" t="s">
        <v>42</v>
      </c>
      <c r="E1383" s="5" t="s">
        <v>28</v>
      </c>
      <c r="F1383" s="9" t="s">
        <v>446</v>
      </c>
      <c r="G1383" s="9" t="s">
        <v>117</v>
      </c>
      <c r="H1383" s="5" t="s">
        <v>21</v>
      </c>
      <c r="I1383" s="5" t="s">
        <v>3700</v>
      </c>
      <c r="J1383" s="12" t="str">
        <f>HYPERLINK("https://www.boe.es/gazeta/dias/1808/11/04/pdfs/GMD-D-1808-141.pdf#page=1","Abrir facsímil")</f>
        <v>Abrir facsímil</v>
      </c>
      <c r="K1383" s="15" t="s">
        <v>23</v>
      </c>
    </row>
    <row r="1384" spans="1:11" ht="42" customHeight="1">
      <c r="A1384" s="4" t="s">
        <v>3701</v>
      </c>
      <c r="B1384" s="5" t="s">
        <v>3701</v>
      </c>
      <c r="C1384" s="5" t="s">
        <v>17</v>
      </c>
      <c r="D1384" s="5" t="s">
        <v>18</v>
      </c>
      <c r="E1384" s="5" t="s">
        <v>110</v>
      </c>
      <c r="F1384" s="9" t="s">
        <v>111</v>
      </c>
      <c r="G1384" s="9">
        <v>1383</v>
      </c>
      <c r="H1384" s="5" t="s">
        <v>21</v>
      </c>
      <c r="I1384" s="5" t="s">
        <v>3702</v>
      </c>
      <c r="J1384" s="12" t="str">
        <f>HYPERLINK("https://www.boe.es/gazeta/dias/1808/10/28/pdfs/GMD-1808-138.pdf#page=9","Abrir facsímil")</f>
        <v>Abrir facsímil</v>
      </c>
      <c r="K1384" s="15" t="s">
        <v>23</v>
      </c>
    </row>
    <row r="1385" spans="1:11" ht="42" customHeight="1">
      <c r="A1385" s="4" t="s">
        <v>3703</v>
      </c>
      <c r="B1385" s="5" t="s">
        <v>3703</v>
      </c>
      <c r="C1385" s="5" t="s">
        <v>101</v>
      </c>
      <c r="D1385" s="5" t="s">
        <v>102</v>
      </c>
      <c r="E1385" s="5" t="s">
        <v>207</v>
      </c>
      <c r="F1385" s="9" t="s">
        <v>208</v>
      </c>
      <c r="G1385" s="9">
        <v>194</v>
      </c>
      <c r="H1385" s="5" t="s">
        <v>21</v>
      </c>
      <c r="I1385" s="5" t="s">
        <v>3704</v>
      </c>
      <c r="J1385" s="12" t="str">
        <f>HYPERLINK("https://www.boe.es/gazeta/dias/1808/02/23/pdfs/GMD-1808-16.pdf#page=8","Abrir facsímil")</f>
        <v>Abrir facsímil</v>
      </c>
      <c r="K1385" s="15" t="s">
        <v>23</v>
      </c>
    </row>
    <row r="1386" spans="1:11" ht="42" customHeight="1">
      <c r="A1386" s="4" t="s">
        <v>3703</v>
      </c>
      <c r="B1386" s="5" t="s">
        <v>3703</v>
      </c>
      <c r="C1386" s="5" t="s">
        <v>41</v>
      </c>
      <c r="D1386" s="5" t="s">
        <v>42</v>
      </c>
      <c r="E1386" s="5" t="s">
        <v>478</v>
      </c>
      <c r="F1386" s="9" t="s">
        <v>479</v>
      </c>
      <c r="G1386" s="9">
        <v>246</v>
      </c>
      <c r="H1386" s="5" t="s">
        <v>21</v>
      </c>
      <c r="I1386" s="5" t="s">
        <v>3705</v>
      </c>
      <c r="J1386" s="12" t="str">
        <f>HYPERLINK("https://www.boe.es/gazeta/dias/1808/03/08/pdfs/GMD-1808-20.pdf#page=12","Abrir facsímil")</f>
        <v>Abrir facsímil</v>
      </c>
      <c r="K1386" s="15" t="s">
        <v>23</v>
      </c>
    </row>
    <row r="1387" spans="1:11" ht="42" customHeight="1">
      <c r="A1387" s="4" t="s">
        <v>3706</v>
      </c>
      <c r="B1387" s="5" t="s">
        <v>3706</v>
      </c>
      <c r="C1387" s="5" t="s">
        <v>389</v>
      </c>
      <c r="D1387" s="5" t="s">
        <v>390</v>
      </c>
      <c r="E1387" s="5" t="s">
        <v>1896</v>
      </c>
      <c r="F1387" s="9" t="s">
        <v>1897</v>
      </c>
      <c r="G1387" s="9">
        <v>777</v>
      </c>
      <c r="H1387" s="5" t="s">
        <v>21</v>
      </c>
      <c r="I1387" s="5" t="s">
        <v>3707</v>
      </c>
      <c r="J1387" s="12" t="str">
        <f>HYPERLINK("https://www.boe.es/gazeta/dias/1808/07/11/pdfs/GMD-1808-83.pdf#page=3","Abrir facsímil")</f>
        <v>Abrir facsímil</v>
      </c>
      <c r="K1387" s="15" t="s">
        <v>23</v>
      </c>
    </row>
    <row r="1388" spans="1:11" ht="42" customHeight="1">
      <c r="A1388" s="4" t="s">
        <v>3708</v>
      </c>
      <c r="B1388" s="5" t="s">
        <v>3708</v>
      </c>
      <c r="C1388" s="5" t="s">
        <v>17</v>
      </c>
      <c r="D1388" s="5" t="s">
        <v>18</v>
      </c>
      <c r="E1388" s="5" t="s">
        <v>572</v>
      </c>
      <c r="F1388" s="9" t="s">
        <v>573</v>
      </c>
      <c r="G1388" s="9">
        <v>19</v>
      </c>
      <c r="H1388" s="5" t="s">
        <v>21</v>
      </c>
      <c r="I1388" s="5" t="s">
        <v>3709</v>
      </c>
      <c r="J1388" s="12" t="str">
        <f>HYPERLINK("https://www.boe.es/gazeta/dias/1808/01/05/pdfs/GMD-1808-2.pdf#page=7","Abrir facsímil")</f>
        <v>Abrir facsímil</v>
      </c>
      <c r="K1388" s="15" t="s">
        <v>23</v>
      </c>
    </row>
    <row r="1389" spans="1:11" ht="42" customHeight="1">
      <c r="A1389" s="4" t="s">
        <v>3710</v>
      </c>
      <c r="B1389" s="5" t="s">
        <v>3710</v>
      </c>
      <c r="C1389" s="5" t="s">
        <v>94</v>
      </c>
      <c r="D1389" s="5" t="s">
        <v>95</v>
      </c>
      <c r="E1389" s="5" t="s">
        <v>427</v>
      </c>
      <c r="F1389" s="9" t="s">
        <v>428</v>
      </c>
      <c r="G1389" s="9" t="s">
        <v>199</v>
      </c>
      <c r="H1389" s="5" t="s">
        <v>21</v>
      </c>
      <c r="I1389" s="5" t="s">
        <v>3711</v>
      </c>
      <c r="J1389" s="12" t="str">
        <f>HYPERLINK("https://www.boe.es/gazeta/dias/1808/11/22/pdfs/GMD-D-1808-146.pdf#page=2","Abrir facsímil")</f>
        <v>Abrir facsímil</v>
      </c>
      <c r="K1389" s="15" t="s">
        <v>23</v>
      </c>
    </row>
    <row r="1390" spans="1:11" ht="42" customHeight="1">
      <c r="A1390" s="4" t="s">
        <v>3712</v>
      </c>
      <c r="B1390" s="5" t="s">
        <v>3712</v>
      </c>
      <c r="C1390" s="5" t="s">
        <v>17</v>
      </c>
      <c r="D1390" s="5" t="s">
        <v>18</v>
      </c>
      <c r="E1390" s="5" t="s">
        <v>478</v>
      </c>
      <c r="F1390" s="9" t="s">
        <v>479</v>
      </c>
      <c r="G1390" s="9">
        <v>240</v>
      </c>
      <c r="H1390" s="5" t="s">
        <v>21</v>
      </c>
      <c r="I1390" s="5" t="s">
        <v>3713</v>
      </c>
      <c r="J1390" s="12" t="str">
        <f>HYPERLINK("https://www.boe.es/gazeta/dias/1808/03/08/pdfs/GMD-1808-20.pdf#page=6","Abrir facsímil")</f>
        <v>Abrir facsímil</v>
      </c>
      <c r="K1390" s="15" t="s">
        <v>23</v>
      </c>
    </row>
    <row r="1391" spans="1:11" ht="42" customHeight="1">
      <c r="A1391" s="4" t="s">
        <v>3714</v>
      </c>
      <c r="B1391" s="5" t="s">
        <v>3715</v>
      </c>
      <c r="C1391" s="5" t="s">
        <v>94</v>
      </c>
      <c r="D1391" s="5" t="s">
        <v>95</v>
      </c>
      <c r="E1391" s="5" t="s">
        <v>73</v>
      </c>
      <c r="F1391" s="9" t="s">
        <v>581</v>
      </c>
      <c r="G1391" s="9">
        <v>1468</v>
      </c>
      <c r="H1391" s="5" t="s">
        <v>21</v>
      </c>
      <c r="I1391" s="5" t="s">
        <v>3716</v>
      </c>
      <c r="J1391" s="12" t="str">
        <f>HYPERLINK("https://www.boe.es/gazeta/dias/1808/11/11/pdfs/GMD-1808-143.pdf#page=10","Abrir facsímil")</f>
        <v>Abrir facsímil</v>
      </c>
      <c r="K1391" s="15" t="s">
        <v>23</v>
      </c>
    </row>
    <row r="1392" spans="1:11" ht="42" customHeight="1">
      <c r="A1392" s="4" t="s">
        <v>3717</v>
      </c>
      <c r="B1392" s="5" t="s">
        <v>3717</v>
      </c>
      <c r="C1392" s="5" t="s">
        <v>94</v>
      </c>
      <c r="D1392" s="5" t="s">
        <v>95</v>
      </c>
      <c r="E1392" s="5" t="s">
        <v>363</v>
      </c>
      <c r="F1392" s="9" t="s">
        <v>3718</v>
      </c>
      <c r="G1392" s="9">
        <v>263</v>
      </c>
      <c r="H1392" s="5" t="s">
        <v>21</v>
      </c>
      <c r="I1392" s="5" t="s">
        <v>3719</v>
      </c>
      <c r="J1392" s="12" t="str">
        <f>HYPERLINK("https://www.boe.es/gazeta/dias/1808/09/20/pdfs/GMS-1808-33.pdf#page=7","Abrir facsímil")</f>
        <v>Abrir facsímil</v>
      </c>
      <c r="K1392" s="15" t="s">
        <v>23</v>
      </c>
    </row>
    <row r="1393" spans="1:11" ht="42" customHeight="1">
      <c r="A1393" s="4" t="s">
        <v>3720</v>
      </c>
      <c r="B1393" s="5" t="s">
        <v>3720</v>
      </c>
      <c r="C1393" s="5" t="s">
        <v>101</v>
      </c>
      <c r="D1393" s="5" t="s">
        <v>102</v>
      </c>
      <c r="E1393" s="5" t="s">
        <v>139</v>
      </c>
      <c r="F1393" s="9" t="s">
        <v>140</v>
      </c>
      <c r="G1393" s="9">
        <v>1193</v>
      </c>
      <c r="H1393" s="5" t="s">
        <v>21</v>
      </c>
      <c r="I1393" s="5" t="s">
        <v>3721</v>
      </c>
      <c r="J1393" s="12" t="str">
        <f>HYPERLINK("https://www.boe.es/gazeta/dias/1808/09/23/pdfs/GMD-1808-127.pdf#page=1","Abrir facsímil")</f>
        <v>Abrir facsímil</v>
      </c>
      <c r="K1393" s="15" t="s">
        <v>23</v>
      </c>
    </row>
    <row r="1394" spans="1:11" ht="42" customHeight="1">
      <c r="A1394" s="4" t="s">
        <v>3722</v>
      </c>
      <c r="B1394" s="5" t="s">
        <v>3723</v>
      </c>
      <c r="C1394" s="5" t="s">
        <v>33</v>
      </c>
      <c r="D1394" s="5" t="s">
        <v>34</v>
      </c>
      <c r="E1394" s="5" t="s">
        <v>35</v>
      </c>
      <c r="F1394" s="9" t="s">
        <v>36</v>
      </c>
      <c r="G1394" s="9" t="s">
        <v>281</v>
      </c>
      <c r="H1394" s="5" t="s">
        <v>21</v>
      </c>
      <c r="I1394" s="5" t="s">
        <v>3724</v>
      </c>
      <c r="J1394" s="12" t="str">
        <f>HYPERLINK("https://www.boe.es/gazeta/dias/1808/04/22/pdfs/GMD-C-1808-38.pdf#page=47","Abrir facsímil")</f>
        <v>Abrir facsímil</v>
      </c>
      <c r="K1394" s="15" t="s">
        <v>23</v>
      </c>
    </row>
    <row r="1395" spans="1:11" ht="42" customHeight="1">
      <c r="A1395" s="4" t="s">
        <v>3725</v>
      </c>
      <c r="B1395" s="5" t="s">
        <v>3726</v>
      </c>
      <c r="C1395" s="5" t="s">
        <v>33</v>
      </c>
      <c r="D1395" s="5" t="s">
        <v>34</v>
      </c>
      <c r="E1395" s="5" t="s">
        <v>35</v>
      </c>
      <c r="F1395" s="9" t="s">
        <v>36</v>
      </c>
      <c r="G1395" s="9" t="s">
        <v>867</v>
      </c>
      <c r="H1395" s="5" t="s">
        <v>21</v>
      </c>
      <c r="I1395" s="5" t="s">
        <v>3727</v>
      </c>
      <c r="J1395" s="12" t="str">
        <f>HYPERLINK("https://www.boe.es/gazeta/dias/1808/04/22/pdfs/GMD-C-1808-38.pdf#page=19","Abrir facsímil")</f>
        <v>Abrir facsímil</v>
      </c>
      <c r="K1395" s="15" t="s">
        <v>23</v>
      </c>
    </row>
    <row r="1396" spans="1:11" ht="42" customHeight="1">
      <c r="A1396" s="4" t="s">
        <v>3728</v>
      </c>
      <c r="B1396" s="5" t="s">
        <v>3728</v>
      </c>
      <c r="C1396" s="5" t="s">
        <v>41</v>
      </c>
      <c r="D1396" s="5" t="s">
        <v>42</v>
      </c>
      <c r="E1396" s="5" t="s">
        <v>139</v>
      </c>
      <c r="F1396" s="9" t="s">
        <v>3587</v>
      </c>
      <c r="G1396" s="9">
        <v>269</v>
      </c>
      <c r="H1396" s="5" t="s">
        <v>21</v>
      </c>
      <c r="I1396" s="5" t="s">
        <v>3729</v>
      </c>
      <c r="J1396" s="12" t="str">
        <f>HYPERLINK("https://www.boe.es/gazeta/dias/1808/09/23/pdfs/GMS-1808-34.pdf#page=5","Abrir facsímil")</f>
        <v>Abrir facsímil</v>
      </c>
      <c r="K1396" s="15" t="s">
        <v>23</v>
      </c>
    </row>
    <row r="1397" spans="1:11" ht="42" customHeight="1">
      <c r="A1397" s="4" t="s">
        <v>3730</v>
      </c>
      <c r="B1397" s="5" t="s">
        <v>3730</v>
      </c>
      <c r="C1397" s="5" t="s">
        <v>33</v>
      </c>
      <c r="D1397" s="5" t="s">
        <v>34</v>
      </c>
      <c r="E1397" s="5" t="s">
        <v>19</v>
      </c>
      <c r="F1397" s="9" t="s">
        <v>949</v>
      </c>
      <c r="G1397" s="9" t="s">
        <v>117</v>
      </c>
      <c r="H1397" s="5" t="s">
        <v>21</v>
      </c>
      <c r="I1397" s="5" t="s">
        <v>3731</v>
      </c>
      <c r="J1397" s="12" t="str">
        <f>HYPERLINK("https://www.boe.es/gazeta/dias/1808/09/30/pdfs/GMD-C-1808-130.pdf#page=1","Abrir facsímil")</f>
        <v>Abrir facsímil</v>
      </c>
      <c r="K1397" s="15" t="s">
        <v>23</v>
      </c>
    </row>
    <row r="1398" spans="1:11" ht="42" customHeight="1">
      <c r="A1398" s="4" t="s">
        <v>3730</v>
      </c>
      <c r="B1398" s="5" t="s">
        <v>3730</v>
      </c>
      <c r="C1398" s="5" t="s">
        <v>33</v>
      </c>
      <c r="D1398" s="5" t="s">
        <v>34</v>
      </c>
      <c r="E1398" s="5" t="s">
        <v>264</v>
      </c>
      <c r="F1398" s="9" t="s">
        <v>318</v>
      </c>
      <c r="G1398" s="9" t="s">
        <v>199</v>
      </c>
      <c r="H1398" s="5" t="s">
        <v>21</v>
      </c>
      <c r="I1398" s="5" t="s">
        <v>3732</v>
      </c>
      <c r="J1398" s="12" t="str">
        <f>HYPERLINK("https://www.boe.es/gazeta/dias/1808/11/29/pdfs/GMD-C-1808-148.pdf#page=2","Abrir facsímil")</f>
        <v>Abrir facsímil</v>
      </c>
      <c r="K1398" s="15" t="s">
        <v>23</v>
      </c>
    </row>
    <row r="1399" spans="1:11" ht="42" customHeight="1">
      <c r="A1399" s="4" t="s">
        <v>3733</v>
      </c>
      <c r="B1399" s="5" t="s">
        <v>3733</v>
      </c>
      <c r="C1399" s="5" t="s">
        <v>41</v>
      </c>
      <c r="D1399" s="5" t="s">
        <v>42</v>
      </c>
      <c r="E1399" s="5" t="s">
        <v>35</v>
      </c>
      <c r="F1399" s="9" t="s">
        <v>36</v>
      </c>
      <c r="G1399" s="9" t="s">
        <v>867</v>
      </c>
      <c r="H1399" s="5" t="s">
        <v>21</v>
      </c>
      <c r="I1399" s="5" t="s">
        <v>3734</v>
      </c>
      <c r="J1399" s="12" t="str">
        <f>HYPERLINK("https://www.boe.es/gazeta/dias/1808/04/22/pdfs/GMD-C-1808-38.pdf#page=19","Abrir facsímil")</f>
        <v>Abrir facsímil</v>
      </c>
      <c r="K1399" s="15" t="s">
        <v>23</v>
      </c>
    </row>
    <row r="1400" spans="1:11" ht="42" customHeight="1">
      <c r="A1400" s="4" t="s">
        <v>3735</v>
      </c>
      <c r="B1400" s="5" t="s">
        <v>3735</v>
      </c>
      <c r="C1400" s="5" t="s">
        <v>17</v>
      </c>
      <c r="D1400" s="5" t="s">
        <v>18</v>
      </c>
      <c r="E1400" s="5" t="s">
        <v>166</v>
      </c>
      <c r="F1400" s="9" t="s">
        <v>356</v>
      </c>
      <c r="G1400" s="9">
        <v>1509</v>
      </c>
      <c r="H1400" s="5" t="s">
        <v>21</v>
      </c>
      <c r="I1400" s="5" t="s">
        <v>3736</v>
      </c>
      <c r="J1400" s="12" t="str">
        <f>HYPERLINK("https://www.boe.es/gazeta/dias/1808/11/18/pdfs/GMD-1808-145.pdf#page=7","Abrir facsímil")</f>
        <v>Abrir facsímil</v>
      </c>
      <c r="K1400" s="15" t="s">
        <v>23</v>
      </c>
    </row>
    <row r="1401" spans="1:11" ht="42" customHeight="1">
      <c r="A1401" s="4" t="s">
        <v>3737</v>
      </c>
      <c r="B1401" s="5" t="s">
        <v>3737</v>
      </c>
      <c r="C1401" s="5" t="s">
        <v>17</v>
      </c>
      <c r="D1401" s="5" t="s">
        <v>18</v>
      </c>
      <c r="E1401" s="5" t="s">
        <v>125</v>
      </c>
      <c r="F1401" s="9" t="s">
        <v>397</v>
      </c>
      <c r="G1401" s="9">
        <v>1269</v>
      </c>
      <c r="H1401" s="5" t="s">
        <v>21</v>
      </c>
      <c r="I1401" s="5" t="s">
        <v>3738</v>
      </c>
      <c r="J1401" s="12" t="str">
        <f>HYPERLINK("https://www.boe.es/gazeta/dias/1808/10/07/pdfs/GMD-1808-132.pdf#page=9","Abrir facsímil")</f>
        <v>Abrir facsímil</v>
      </c>
      <c r="K1401" s="15" t="s">
        <v>23</v>
      </c>
    </row>
    <row r="1402" spans="1:11" ht="42" customHeight="1">
      <c r="A1402" s="4" t="s">
        <v>3737</v>
      </c>
      <c r="B1402" s="5" t="s">
        <v>3737</v>
      </c>
      <c r="C1402" s="5" t="s">
        <v>41</v>
      </c>
      <c r="D1402" s="5" t="s">
        <v>42</v>
      </c>
      <c r="E1402" s="5" t="s">
        <v>166</v>
      </c>
      <c r="F1402" s="9" t="s">
        <v>400</v>
      </c>
      <c r="G1402" s="9" t="s">
        <v>117</v>
      </c>
      <c r="H1402" s="5" t="s">
        <v>21</v>
      </c>
      <c r="I1402" s="5" t="s">
        <v>3739</v>
      </c>
      <c r="J1402" s="12" t="str">
        <f>HYPERLINK("https://www.boe.es/gazeta/dias/1808/11/18/pdfs/D00069-00072.pdf#page=1","Abrir facsímil")</f>
        <v>Abrir facsímil</v>
      </c>
      <c r="K1402" s="15" t="s">
        <v>23</v>
      </c>
    </row>
    <row r="1403" spans="1:11" ht="42" customHeight="1">
      <c r="A1403" s="4" t="s">
        <v>3740</v>
      </c>
      <c r="B1403" s="5" t="s">
        <v>3740</v>
      </c>
      <c r="C1403" s="5" t="s">
        <v>389</v>
      </c>
      <c r="D1403" s="5" t="s">
        <v>390</v>
      </c>
      <c r="E1403" s="5" t="s">
        <v>1760</v>
      </c>
      <c r="F1403" s="9" t="s">
        <v>1761</v>
      </c>
      <c r="G1403" s="9">
        <v>430</v>
      </c>
      <c r="H1403" s="5" t="s">
        <v>21</v>
      </c>
      <c r="I1403" s="5" t="s">
        <v>3741</v>
      </c>
      <c r="J1403" s="12" t="str">
        <f>HYPERLINK("https://www.boe.es/gazeta/dias/1808/05/03/pdfs/GMD-1808-43.pdf#page=6","Abrir facsímil")</f>
        <v>Abrir facsímil</v>
      </c>
      <c r="K1403" s="15" t="s">
        <v>23</v>
      </c>
    </row>
    <row r="1404" spans="1:11" ht="42" customHeight="1">
      <c r="A1404" s="4" t="s">
        <v>3742</v>
      </c>
      <c r="B1404" s="5" t="s">
        <v>3742</v>
      </c>
      <c r="C1404" s="5" t="s">
        <v>17</v>
      </c>
      <c r="D1404" s="5" t="s">
        <v>18</v>
      </c>
      <c r="E1404" s="5" t="s">
        <v>461</v>
      </c>
      <c r="F1404" s="9" t="s">
        <v>733</v>
      </c>
      <c r="G1404" s="9">
        <v>1448</v>
      </c>
      <c r="H1404" s="5" t="s">
        <v>21</v>
      </c>
      <c r="I1404" s="5" t="s">
        <v>3743</v>
      </c>
      <c r="J1404" s="12" t="str">
        <f>HYPERLINK("https://www.boe.es/gazeta/dias/1808/11/08/pdfs/GMD-1808-142.pdf#page=10","Abrir facsímil")</f>
        <v>Abrir facsímil</v>
      </c>
      <c r="K1404" s="15" t="s">
        <v>23</v>
      </c>
    </row>
    <row r="1405" spans="1:11" ht="42" customHeight="1">
      <c r="A1405" s="4" t="s">
        <v>3744</v>
      </c>
      <c r="B1405" s="5" t="s">
        <v>3744</v>
      </c>
      <c r="C1405" s="5" t="s">
        <v>33</v>
      </c>
      <c r="D1405" s="5" t="s">
        <v>34</v>
      </c>
      <c r="E1405" s="5" t="s">
        <v>461</v>
      </c>
      <c r="F1405" s="9" t="s">
        <v>462</v>
      </c>
      <c r="G1405" s="9" t="s">
        <v>75</v>
      </c>
      <c r="H1405" s="5" t="s">
        <v>21</v>
      </c>
      <c r="I1405" s="5" t="s">
        <v>3745</v>
      </c>
      <c r="J1405" s="12" t="str">
        <f>HYPERLINK("https://www.boe.es/gazeta/dias/1808/11/08/pdfs/GMD-D-1808-142.pdf#page=4","Abrir facsímil")</f>
        <v>Abrir facsímil</v>
      </c>
      <c r="K1405" s="15" t="s">
        <v>23</v>
      </c>
    </row>
    <row r="1406" spans="1:11" ht="42" customHeight="1">
      <c r="A1406" s="4" t="s">
        <v>3746</v>
      </c>
      <c r="B1406" s="5" t="s">
        <v>3747</v>
      </c>
      <c r="C1406" s="5" t="s">
        <v>17</v>
      </c>
      <c r="D1406" s="5" t="s">
        <v>18</v>
      </c>
      <c r="E1406" s="5" t="s">
        <v>61</v>
      </c>
      <c r="F1406" s="9" t="s">
        <v>62</v>
      </c>
      <c r="G1406" s="9">
        <v>1285</v>
      </c>
      <c r="H1406" s="5" t="s">
        <v>21</v>
      </c>
      <c r="I1406" s="5" t="s">
        <v>3748</v>
      </c>
      <c r="J1406" s="12" t="str">
        <f>HYPERLINK("https://www.boe.es/gazeta/dias/1808/10/11/pdfs/GMD-1808-133.pdf#page=13","Abrir facsímil")</f>
        <v>Abrir facsímil</v>
      </c>
      <c r="K1406" s="15" t="s">
        <v>23</v>
      </c>
    </row>
    <row r="1407" spans="1:11" ht="42" customHeight="1">
      <c r="A1407" s="4" t="s">
        <v>3749</v>
      </c>
      <c r="B1407" s="5" t="s">
        <v>3750</v>
      </c>
      <c r="C1407" s="5" t="s">
        <v>17</v>
      </c>
      <c r="D1407" s="5" t="s">
        <v>18</v>
      </c>
      <c r="E1407" s="5" t="s">
        <v>61</v>
      </c>
      <c r="F1407" s="9" t="s">
        <v>62</v>
      </c>
      <c r="G1407" s="9">
        <v>1285</v>
      </c>
      <c r="H1407" s="5" t="s">
        <v>21</v>
      </c>
      <c r="I1407" s="5" t="s">
        <v>3751</v>
      </c>
      <c r="J1407" s="12" t="str">
        <f>HYPERLINK("https://www.boe.es/gazeta/dias/1808/10/11/pdfs/GMD-1808-133.pdf#page=13","Abrir facsímil")</f>
        <v>Abrir facsímil</v>
      </c>
      <c r="K1407" s="15" t="s">
        <v>23</v>
      </c>
    </row>
    <row r="1408" spans="1:11" ht="42" customHeight="1">
      <c r="A1408" s="4" t="s">
        <v>3752</v>
      </c>
      <c r="B1408" s="5" t="s">
        <v>3752</v>
      </c>
      <c r="C1408" s="5" t="s">
        <v>101</v>
      </c>
      <c r="D1408" s="5" t="s">
        <v>102</v>
      </c>
      <c r="E1408" s="5" t="s">
        <v>2603</v>
      </c>
      <c r="F1408" s="9" t="s">
        <v>2604</v>
      </c>
      <c r="G1408" s="9">
        <v>666</v>
      </c>
      <c r="H1408" s="5" t="s">
        <v>21</v>
      </c>
      <c r="I1408" s="5" t="s">
        <v>3753</v>
      </c>
      <c r="J1408" s="12" t="str">
        <f>HYPERLINK("https://www.boe.es/gazeta/dias/1808/06/27/pdfs/GMD-1808-69.pdf#page=4","Abrir facsímil")</f>
        <v>Abrir facsímil</v>
      </c>
      <c r="K1408" s="15" t="s">
        <v>23</v>
      </c>
    </row>
    <row r="1409" spans="1:11" ht="42" customHeight="1">
      <c r="A1409" s="4" t="s">
        <v>3754</v>
      </c>
      <c r="B1409" s="5" t="s">
        <v>3754</v>
      </c>
      <c r="C1409" s="5" t="s">
        <v>101</v>
      </c>
      <c r="D1409" s="5" t="s">
        <v>102</v>
      </c>
      <c r="E1409" s="5" t="s">
        <v>1210</v>
      </c>
      <c r="F1409" s="9" t="s">
        <v>1211</v>
      </c>
      <c r="G1409" s="9">
        <v>451</v>
      </c>
      <c r="H1409" s="5" t="s">
        <v>21</v>
      </c>
      <c r="I1409" s="5" t="s">
        <v>3755</v>
      </c>
      <c r="J1409" s="12" t="str">
        <f>HYPERLINK("https://www.boe.es/gazeta/dias/1808/05/13/pdfs/GMD-1808-46.pdf#page=3","Abrir facsímil")</f>
        <v>Abrir facsímil</v>
      </c>
      <c r="K1409" s="15" t="s">
        <v>23</v>
      </c>
    </row>
    <row r="1410" spans="1:11" ht="42" customHeight="1">
      <c r="A1410" s="4" t="s">
        <v>3756</v>
      </c>
      <c r="B1410" s="5" t="s">
        <v>3757</v>
      </c>
      <c r="C1410" s="5" t="s">
        <v>17</v>
      </c>
      <c r="D1410" s="5" t="s">
        <v>18</v>
      </c>
      <c r="E1410" s="5" t="s">
        <v>1791</v>
      </c>
      <c r="F1410" s="9" t="s">
        <v>1792</v>
      </c>
      <c r="G1410" s="9">
        <v>143</v>
      </c>
      <c r="H1410" s="5" t="s">
        <v>21</v>
      </c>
      <c r="I1410" s="5" t="s">
        <v>3758</v>
      </c>
      <c r="J1410" s="12" t="str">
        <f>HYPERLINK("https://www.boe.es/gazeta/dias/1808/07/30/pdfs/GMS-1808-18.pdf#page=7","Abrir facsímil")</f>
        <v>Abrir facsímil</v>
      </c>
      <c r="K1410" s="15" t="s">
        <v>23</v>
      </c>
    </row>
    <row r="1411" spans="1:11" ht="42" customHeight="1">
      <c r="A1411" s="4" t="s">
        <v>3759</v>
      </c>
      <c r="B1411" s="5" t="s">
        <v>3759</v>
      </c>
      <c r="C1411" s="5" t="s">
        <v>33</v>
      </c>
      <c r="D1411" s="5" t="s">
        <v>34</v>
      </c>
      <c r="E1411" s="5" t="s">
        <v>264</v>
      </c>
      <c r="F1411" s="9" t="s">
        <v>318</v>
      </c>
      <c r="G1411" s="9" t="s">
        <v>199</v>
      </c>
      <c r="H1411" s="5" t="s">
        <v>21</v>
      </c>
      <c r="I1411" s="5" t="s">
        <v>3760</v>
      </c>
      <c r="J1411" s="12" t="str">
        <f>HYPERLINK("https://www.boe.es/gazeta/dias/1808/11/29/pdfs/GMD-C-1808-148.pdf#page=2","Abrir facsímil")</f>
        <v>Abrir facsímil</v>
      </c>
      <c r="K1411" s="15" t="s">
        <v>23</v>
      </c>
    </row>
    <row r="1412" spans="1:11" ht="42" customHeight="1">
      <c r="A1412" s="4" t="s">
        <v>3761</v>
      </c>
      <c r="B1412" s="5" t="s">
        <v>3762</v>
      </c>
      <c r="C1412" s="5" t="s">
        <v>17</v>
      </c>
      <c r="D1412" s="5" t="s">
        <v>18</v>
      </c>
      <c r="E1412" s="5" t="s">
        <v>877</v>
      </c>
      <c r="F1412" s="9" t="s">
        <v>878</v>
      </c>
      <c r="G1412" s="9">
        <v>118</v>
      </c>
      <c r="H1412" s="5" t="s">
        <v>21</v>
      </c>
      <c r="I1412" s="5" t="s">
        <v>3763</v>
      </c>
      <c r="J1412" s="12" t="str">
        <f>HYPERLINK("https://www.boe.es/gazeta/dias/1808/02/02/pdfs/GMD-1808-10.pdf#page=10","Abrir facsímil")</f>
        <v>Abrir facsímil</v>
      </c>
      <c r="K1412" s="15" t="s">
        <v>23</v>
      </c>
    </row>
    <row r="1413" spans="1:11" ht="42" customHeight="1">
      <c r="A1413" s="4" t="s">
        <v>3764</v>
      </c>
      <c r="B1413" s="5" t="s">
        <v>3765</v>
      </c>
      <c r="C1413" s="5" t="s">
        <v>41</v>
      </c>
      <c r="D1413" s="5" t="s">
        <v>42</v>
      </c>
      <c r="E1413" s="5" t="s">
        <v>35</v>
      </c>
      <c r="F1413" s="9" t="s">
        <v>36</v>
      </c>
      <c r="G1413" s="9" t="s">
        <v>37</v>
      </c>
      <c r="H1413" s="5" t="s">
        <v>21</v>
      </c>
      <c r="I1413" s="5" t="s">
        <v>3766</v>
      </c>
      <c r="J1413" s="12" t="str">
        <f>HYPERLINK("https://www.boe.es/gazeta/dias/1808/04/22/pdfs/GMD-C-1808-38.pdf#page=33","Abrir facsímil")</f>
        <v>Abrir facsímil</v>
      </c>
      <c r="K1413" s="15" t="s">
        <v>23</v>
      </c>
    </row>
    <row r="1414" spans="1:11" ht="42" customHeight="1">
      <c r="A1414" s="4" t="s">
        <v>3767</v>
      </c>
      <c r="B1414" s="5" t="s">
        <v>3768</v>
      </c>
      <c r="C1414" s="5" t="s">
        <v>260</v>
      </c>
      <c r="D1414" s="5" t="s">
        <v>42</v>
      </c>
      <c r="E1414" s="5" t="s">
        <v>73</v>
      </c>
      <c r="F1414" s="9" t="s">
        <v>2883</v>
      </c>
      <c r="G1414" s="9">
        <v>379</v>
      </c>
      <c r="H1414" s="5" t="s">
        <v>21</v>
      </c>
      <c r="I1414" s="5" t="s">
        <v>3769</v>
      </c>
      <c r="J1414" s="12" t="str">
        <f>HYPERLINK("https://www.boe.es/gazeta/dias/1808/11/11/pdfs/GMS-1808-48.pdf#page=3","Abrir facsímil")</f>
        <v>Abrir facsímil</v>
      </c>
      <c r="K1414" s="15" t="s">
        <v>23</v>
      </c>
    </row>
    <row r="1415" spans="1:11" ht="42" customHeight="1">
      <c r="A1415" s="4" t="s">
        <v>3770</v>
      </c>
      <c r="B1415" s="5" t="s">
        <v>3770</v>
      </c>
      <c r="C1415" s="5" t="s">
        <v>17</v>
      </c>
      <c r="D1415" s="5" t="s">
        <v>18</v>
      </c>
      <c r="E1415" s="5" t="s">
        <v>35</v>
      </c>
      <c r="F1415" s="9" t="s">
        <v>3452</v>
      </c>
      <c r="G1415" s="9">
        <v>400</v>
      </c>
      <c r="H1415" s="5" t="s">
        <v>21</v>
      </c>
      <c r="I1415" s="5" t="s">
        <v>3771</v>
      </c>
      <c r="J1415" s="12" t="str">
        <f>HYPERLINK("https://www.boe.es/gazeta/dias/1808/04/22/pdfs/GMD-1808-38.pdf#page=8","Abrir facsímil")</f>
        <v>Abrir facsímil</v>
      </c>
      <c r="K1415" s="15" t="s">
        <v>23</v>
      </c>
    </row>
    <row r="1416" spans="1:11" ht="42" customHeight="1">
      <c r="A1416" s="4" t="s">
        <v>3772</v>
      </c>
      <c r="B1416" s="5" t="s">
        <v>3773</v>
      </c>
      <c r="C1416" s="5" t="s">
        <v>33</v>
      </c>
      <c r="D1416" s="5" t="s">
        <v>34</v>
      </c>
      <c r="E1416" s="5" t="s">
        <v>35</v>
      </c>
      <c r="F1416" s="9" t="s">
        <v>36</v>
      </c>
      <c r="G1416" s="9" t="s">
        <v>956</v>
      </c>
      <c r="H1416" s="5" t="s">
        <v>21</v>
      </c>
      <c r="I1416" s="5" t="s">
        <v>3774</v>
      </c>
      <c r="J1416" s="12" t="str">
        <f>HYPERLINK("https://www.boe.es/gazeta/dias/1808/04/22/pdfs/GMD-C-1808-38.pdf#page=41","Abrir facsímil")</f>
        <v>Abrir facsímil</v>
      </c>
      <c r="K1416" s="15" t="s">
        <v>23</v>
      </c>
    </row>
    <row r="1417" spans="1:11" ht="42" customHeight="1">
      <c r="A1417" s="4" t="s">
        <v>3775</v>
      </c>
      <c r="B1417" s="5" t="s">
        <v>3776</v>
      </c>
      <c r="C1417" s="5" t="s">
        <v>33</v>
      </c>
      <c r="D1417" s="5" t="s">
        <v>34</v>
      </c>
      <c r="E1417" s="5" t="s">
        <v>115</v>
      </c>
      <c r="F1417" s="9" t="s">
        <v>116</v>
      </c>
      <c r="G1417" s="9" t="s">
        <v>117</v>
      </c>
      <c r="H1417" s="5" t="s">
        <v>21</v>
      </c>
      <c r="I1417" s="5" t="s">
        <v>3777</v>
      </c>
      <c r="J1417" s="12" t="str">
        <f>HYPERLINK("https://www.boe.es/gazeta/dias/1808/09/16/pdfs/GMD-C-1808-125.pdf#page=1","Abrir facsímil")</f>
        <v>Abrir facsímil</v>
      </c>
      <c r="K1417" s="15" t="s">
        <v>23</v>
      </c>
    </row>
    <row r="1418" spans="1:11" ht="42" customHeight="1">
      <c r="A1418" s="4" t="s">
        <v>3778</v>
      </c>
      <c r="B1418" s="5" t="s">
        <v>3778</v>
      </c>
      <c r="C1418" s="5" t="s">
        <v>101</v>
      </c>
      <c r="D1418" s="5" t="s">
        <v>102</v>
      </c>
      <c r="E1418" s="5" t="s">
        <v>215</v>
      </c>
      <c r="F1418" s="9" t="s">
        <v>216</v>
      </c>
      <c r="G1418" s="9">
        <v>294</v>
      </c>
      <c r="H1418" s="5" t="s">
        <v>21</v>
      </c>
      <c r="I1418" s="5" t="s">
        <v>3779</v>
      </c>
      <c r="J1418" s="12" t="str">
        <f>HYPERLINK("https://www.boe.es/gazeta/dias/1808/03/25/pdfs/GMD-1808-25.pdf#page=4","Abrir facsímil")</f>
        <v>Abrir facsímil</v>
      </c>
      <c r="K1418" s="15" t="s">
        <v>23</v>
      </c>
    </row>
    <row r="1419" spans="1:11" ht="42" customHeight="1">
      <c r="A1419" s="4" t="s">
        <v>3780</v>
      </c>
      <c r="B1419" s="5" t="s">
        <v>3780</v>
      </c>
      <c r="C1419" s="5" t="s">
        <v>17</v>
      </c>
      <c r="D1419" s="5" t="s">
        <v>18</v>
      </c>
      <c r="E1419" s="5" t="s">
        <v>2281</v>
      </c>
      <c r="F1419" s="9" t="s">
        <v>2282</v>
      </c>
      <c r="G1419" s="9">
        <v>421</v>
      </c>
      <c r="H1419" s="5" t="s">
        <v>21</v>
      </c>
      <c r="I1419" s="5" t="s">
        <v>3781</v>
      </c>
      <c r="J1419" s="12" t="str">
        <f>HYPERLINK("https://www.boe.es/gazeta/dias/1808/04/29/pdfs/GMD-1808-42.pdf#page=5","Abrir facsímil")</f>
        <v>Abrir facsímil</v>
      </c>
      <c r="K1419" s="15" t="s">
        <v>23</v>
      </c>
    </row>
    <row r="1420" spans="1:11" ht="42" customHeight="1">
      <c r="A1420" s="4" t="s">
        <v>3780</v>
      </c>
      <c r="B1420" s="5" t="s">
        <v>3780</v>
      </c>
      <c r="C1420" s="5" t="s">
        <v>17</v>
      </c>
      <c r="D1420" s="5" t="s">
        <v>18</v>
      </c>
      <c r="E1420" s="5" t="s">
        <v>2281</v>
      </c>
      <c r="F1420" s="9" t="s">
        <v>2282</v>
      </c>
      <c r="G1420" s="9">
        <v>422</v>
      </c>
      <c r="H1420" s="5" t="s">
        <v>21</v>
      </c>
      <c r="I1420" s="5" t="s">
        <v>3782</v>
      </c>
      <c r="J1420" s="12" t="str">
        <f>HYPERLINK("https://www.boe.es/gazeta/dias/1808/04/29/pdfs/GMD-1808-42.pdf#page=6","Abrir facsímil")</f>
        <v>Abrir facsímil</v>
      </c>
      <c r="K1420" s="15" t="s">
        <v>23</v>
      </c>
    </row>
    <row r="1421" spans="1:11" ht="42" customHeight="1">
      <c r="A1421" s="4" t="s">
        <v>3780</v>
      </c>
      <c r="B1421" s="5" t="s">
        <v>3780</v>
      </c>
      <c r="C1421" s="5" t="s">
        <v>389</v>
      </c>
      <c r="D1421" s="5" t="s">
        <v>390</v>
      </c>
      <c r="E1421" s="5" t="s">
        <v>2281</v>
      </c>
      <c r="F1421" s="9" t="s">
        <v>2282</v>
      </c>
      <c r="G1421" s="9">
        <v>423</v>
      </c>
      <c r="H1421" s="5" t="s">
        <v>21</v>
      </c>
      <c r="I1421" s="5" t="s">
        <v>3783</v>
      </c>
      <c r="J1421" s="12" t="str">
        <f>HYPERLINK("https://www.boe.es/gazeta/dias/1808/04/29/pdfs/GMD-1808-42.pdf#page=7","Abrir facsímil")</f>
        <v>Abrir facsímil</v>
      </c>
      <c r="K1421" s="15" t="s">
        <v>23</v>
      </c>
    </row>
    <row r="1422" spans="1:11" ht="42" customHeight="1">
      <c r="A1422" s="4" t="s">
        <v>3784</v>
      </c>
      <c r="B1422" s="5" t="s">
        <v>3784</v>
      </c>
      <c r="C1422" s="5" t="s">
        <v>41</v>
      </c>
      <c r="D1422" s="5" t="s">
        <v>42</v>
      </c>
      <c r="E1422" s="5" t="s">
        <v>1286</v>
      </c>
      <c r="F1422" s="9" t="s">
        <v>1287</v>
      </c>
      <c r="G1422" s="9">
        <v>1624</v>
      </c>
      <c r="H1422" s="5" t="s">
        <v>21</v>
      </c>
      <c r="I1422" s="5" t="s">
        <v>3785</v>
      </c>
      <c r="J1422" s="12" t="str">
        <f>HYPERLINK("https://www.boe.es/gazeta/dias/1808/12/17/pdfs/GMD-1808-157.pdf#page=4","Abrir facsímil")</f>
        <v>Abrir facsímil</v>
      </c>
      <c r="K1422" s="15" t="s">
        <v>23</v>
      </c>
    </row>
    <row r="1423" spans="1:11" ht="42" customHeight="1">
      <c r="A1423" s="4" t="s">
        <v>3784</v>
      </c>
      <c r="B1423" s="5" t="s">
        <v>3784</v>
      </c>
      <c r="C1423" s="5" t="s">
        <v>17</v>
      </c>
      <c r="D1423" s="5" t="s">
        <v>18</v>
      </c>
      <c r="E1423" s="5" t="s">
        <v>1286</v>
      </c>
      <c r="F1423" s="9" t="s">
        <v>1287</v>
      </c>
      <c r="G1423" s="9">
        <v>1625</v>
      </c>
      <c r="H1423" s="5" t="s">
        <v>21</v>
      </c>
      <c r="I1423" s="5" t="s">
        <v>3786</v>
      </c>
      <c r="J1423" s="12" t="str">
        <f>HYPERLINK("https://www.boe.es/gazeta/dias/1808/12/17/pdfs/GMD-1808-157.pdf#page=5","Abrir facsímil")</f>
        <v>Abrir facsímil</v>
      </c>
      <c r="K1423" s="15" t="s">
        <v>23</v>
      </c>
    </row>
    <row r="1424" spans="1:11" ht="42" customHeight="1">
      <c r="A1424" s="4" t="s">
        <v>3787</v>
      </c>
      <c r="B1424" s="5" t="s">
        <v>3787</v>
      </c>
      <c r="C1424" s="5" t="s">
        <v>17</v>
      </c>
      <c r="D1424" s="5" t="s">
        <v>18</v>
      </c>
      <c r="E1424" s="5" t="s">
        <v>110</v>
      </c>
      <c r="F1424" s="9" t="s">
        <v>3788</v>
      </c>
      <c r="G1424" s="9">
        <v>348</v>
      </c>
      <c r="H1424" s="5" t="s">
        <v>21</v>
      </c>
      <c r="I1424" s="5" t="s">
        <v>3789</v>
      </c>
      <c r="J1424" s="12" t="str">
        <f>HYPERLINK("https://www.boe.es/gazeta/dias/1808/10/28/pdfs/GMS-1808-44.pdf#page=4","Abrir facsímil")</f>
        <v>Abrir facsímil</v>
      </c>
      <c r="K1424" s="15" t="s">
        <v>23</v>
      </c>
    </row>
    <row r="1425" spans="1:11" ht="42" customHeight="1">
      <c r="A1425" s="4" t="s">
        <v>3790</v>
      </c>
      <c r="B1425" s="5" t="s">
        <v>3790</v>
      </c>
      <c r="C1425" s="5" t="s">
        <v>101</v>
      </c>
      <c r="D1425" s="5" t="s">
        <v>102</v>
      </c>
      <c r="E1425" s="5" t="s">
        <v>3791</v>
      </c>
      <c r="F1425" s="9" t="s">
        <v>3792</v>
      </c>
      <c r="G1425" s="9">
        <v>611</v>
      </c>
      <c r="H1425" s="5" t="s">
        <v>21</v>
      </c>
      <c r="I1425" s="5" t="s">
        <v>3793</v>
      </c>
      <c r="J1425" s="12" t="str">
        <f>HYPERLINK("https://www.boe.es/gazeta/dias/1808/06/21/pdfs/GMD-1808-63.pdf#page=1","Abrir facsímil")</f>
        <v>Abrir facsímil</v>
      </c>
      <c r="K1425" s="15" t="s">
        <v>23</v>
      </c>
    </row>
    <row r="1426" spans="1:11" ht="42" customHeight="1">
      <c r="A1426" s="4" t="s">
        <v>3794</v>
      </c>
      <c r="B1426" s="5" t="s">
        <v>3795</v>
      </c>
      <c r="C1426" s="5" t="s">
        <v>94</v>
      </c>
      <c r="D1426" s="5" t="s">
        <v>95</v>
      </c>
      <c r="E1426" s="5" t="s">
        <v>203</v>
      </c>
      <c r="F1426" s="9" t="s">
        <v>204</v>
      </c>
      <c r="G1426" s="9">
        <v>141</v>
      </c>
      <c r="H1426" s="5" t="s">
        <v>21</v>
      </c>
      <c r="I1426" s="5" t="s">
        <v>3796</v>
      </c>
      <c r="J1426" s="12" t="str">
        <f>HYPERLINK("https://www.boe.es/gazeta/dias/1808/02/09/pdfs/GMD-1808-12.pdf#page=9","Abrir facsímil")</f>
        <v>Abrir facsímil</v>
      </c>
      <c r="K1426" s="15" t="s">
        <v>23</v>
      </c>
    </row>
    <row r="1427" spans="1:11" ht="42" customHeight="1">
      <c r="A1427" s="4" t="s">
        <v>3797</v>
      </c>
      <c r="B1427" s="5" t="s">
        <v>3798</v>
      </c>
      <c r="C1427" s="5" t="s">
        <v>389</v>
      </c>
      <c r="D1427" s="5" t="s">
        <v>390</v>
      </c>
      <c r="E1427" s="5" t="s">
        <v>572</v>
      </c>
      <c r="F1427" s="9" t="s">
        <v>573</v>
      </c>
      <c r="G1427" s="9">
        <v>20</v>
      </c>
      <c r="H1427" s="5" t="s">
        <v>21</v>
      </c>
      <c r="I1427" s="5" t="s">
        <v>3799</v>
      </c>
      <c r="J1427" s="12" t="str">
        <f>HYPERLINK("https://www.boe.es/gazeta/dias/1808/01/05/pdfs/GMD-1808-2.pdf#page=8","Abrir facsímil")</f>
        <v>Abrir facsímil</v>
      </c>
      <c r="K1427" s="15" t="s">
        <v>23</v>
      </c>
    </row>
    <row r="1428" spans="1:11" ht="42" customHeight="1">
      <c r="A1428" s="4" t="s">
        <v>3800</v>
      </c>
      <c r="B1428" s="5" t="s">
        <v>3801</v>
      </c>
      <c r="C1428" s="5" t="s">
        <v>17</v>
      </c>
      <c r="D1428" s="5" t="s">
        <v>18</v>
      </c>
      <c r="E1428" s="5" t="s">
        <v>1385</v>
      </c>
      <c r="F1428" s="9" t="s">
        <v>1386</v>
      </c>
      <c r="G1428" s="9">
        <v>230</v>
      </c>
      <c r="H1428" s="5" t="s">
        <v>21</v>
      </c>
      <c r="I1428" s="5" t="s">
        <v>3802</v>
      </c>
      <c r="J1428" s="12" t="str">
        <f>HYPERLINK("https://www.boe.es/gazeta/dias/1808/03/04/pdfs/GMD-1808-19.pdf#page=8","Abrir facsímil")</f>
        <v>Abrir facsímil</v>
      </c>
      <c r="K1428" s="15" t="s">
        <v>23</v>
      </c>
    </row>
    <row r="1429" spans="1:11" ht="42" customHeight="1">
      <c r="A1429" s="4" t="s">
        <v>3803</v>
      </c>
      <c r="B1429" s="5" t="s">
        <v>3804</v>
      </c>
      <c r="C1429" s="5" t="s">
        <v>33</v>
      </c>
      <c r="D1429" s="5" t="s">
        <v>34</v>
      </c>
      <c r="E1429" s="5" t="s">
        <v>35</v>
      </c>
      <c r="F1429" s="9" t="s">
        <v>36</v>
      </c>
      <c r="G1429" s="9" t="s">
        <v>450</v>
      </c>
      <c r="H1429" s="5" t="s">
        <v>21</v>
      </c>
      <c r="I1429" s="5" t="s">
        <v>3805</v>
      </c>
      <c r="J1429" s="12" t="str">
        <f>HYPERLINK("https://www.boe.es/gazeta/dias/1808/04/22/pdfs/GMD-C-1808-38.pdf#page=45","Abrir facsímil")</f>
        <v>Abrir facsímil</v>
      </c>
      <c r="K1429" s="15" t="s">
        <v>23</v>
      </c>
    </row>
    <row r="1430" spans="1:11" ht="42" customHeight="1">
      <c r="A1430" s="4" t="s">
        <v>3806</v>
      </c>
      <c r="B1430" s="5" t="s">
        <v>3807</v>
      </c>
      <c r="C1430" s="5" t="s">
        <v>33</v>
      </c>
      <c r="D1430" s="5" t="s">
        <v>34</v>
      </c>
      <c r="E1430" s="5" t="s">
        <v>391</v>
      </c>
      <c r="F1430" s="9" t="s">
        <v>588</v>
      </c>
      <c r="G1430" s="9" t="s">
        <v>199</v>
      </c>
      <c r="H1430" s="5" t="s">
        <v>21</v>
      </c>
      <c r="I1430" s="5" t="s">
        <v>3808</v>
      </c>
      <c r="J1430" s="12" t="str">
        <f>HYPERLINK("https://www.boe.es/gazeta/dias/1808/09/27/pdfs/GMD-C-1808-128.pdf#page=2","Abrir facsímil")</f>
        <v>Abrir facsímil</v>
      </c>
      <c r="K1430" s="15" t="s">
        <v>23</v>
      </c>
    </row>
    <row r="1431" spans="1:11" ht="42" customHeight="1">
      <c r="A1431" s="4" t="s">
        <v>3809</v>
      </c>
      <c r="B1431" s="5" t="s">
        <v>3810</v>
      </c>
      <c r="C1431" s="5" t="s">
        <v>17</v>
      </c>
      <c r="D1431" s="5" t="s">
        <v>18</v>
      </c>
      <c r="E1431" s="5" t="s">
        <v>84</v>
      </c>
      <c r="F1431" s="9" t="s">
        <v>85</v>
      </c>
      <c r="G1431" s="9">
        <v>1160</v>
      </c>
      <c r="H1431" s="5" t="s">
        <v>21</v>
      </c>
      <c r="I1431" s="5" t="s">
        <v>3811</v>
      </c>
      <c r="J1431" s="12" t="str">
        <f>HYPERLINK("https://www.boe.es/gazeta/dias/1808/09/13/pdfs/GMD-1808-123.pdf#page=8","Abrir facsímil")</f>
        <v>Abrir facsímil</v>
      </c>
      <c r="K1431" s="15" t="s">
        <v>23</v>
      </c>
    </row>
    <row r="1432" spans="1:11" ht="42" customHeight="1">
      <c r="A1432" s="4" t="s">
        <v>3809</v>
      </c>
      <c r="B1432" s="5" t="s">
        <v>3810</v>
      </c>
      <c r="C1432" s="5" t="s">
        <v>94</v>
      </c>
      <c r="D1432" s="5" t="s">
        <v>95</v>
      </c>
      <c r="E1432" s="5" t="s">
        <v>84</v>
      </c>
      <c r="F1432" s="9" t="s">
        <v>85</v>
      </c>
      <c r="G1432" s="9">
        <v>1162</v>
      </c>
      <c r="H1432" s="5" t="s">
        <v>21</v>
      </c>
      <c r="I1432" s="5" t="s">
        <v>3812</v>
      </c>
      <c r="J1432" s="12" t="str">
        <f>HYPERLINK("https://www.boe.es/gazeta/dias/1808/09/13/pdfs/GMD-1808-123.pdf#page=10","Abrir facsímil")</f>
        <v>Abrir facsímil</v>
      </c>
      <c r="K1432" s="15" t="s">
        <v>23</v>
      </c>
    </row>
    <row r="1433" spans="1:11" ht="42" customHeight="1">
      <c r="A1433" s="4" t="s">
        <v>3809</v>
      </c>
      <c r="B1433" s="5" t="s">
        <v>3810</v>
      </c>
      <c r="C1433" s="5" t="s">
        <v>17</v>
      </c>
      <c r="D1433" s="5" t="s">
        <v>18</v>
      </c>
      <c r="E1433" s="5" t="s">
        <v>363</v>
      </c>
      <c r="F1433" s="9" t="s">
        <v>1224</v>
      </c>
      <c r="G1433" s="9">
        <v>1189</v>
      </c>
      <c r="H1433" s="5" t="s">
        <v>21</v>
      </c>
      <c r="I1433" s="5" t="s">
        <v>3813</v>
      </c>
      <c r="J1433" s="12" t="str">
        <f>HYPERLINK("https://www.boe.es/gazeta/dias/1808/09/20/pdfs/GMD-1808-126.pdf#page=9","Abrir facsímil")</f>
        <v>Abrir facsímil</v>
      </c>
      <c r="K1433" s="15" t="s">
        <v>23</v>
      </c>
    </row>
    <row r="1434" spans="1:11" ht="42" customHeight="1">
      <c r="A1434" s="4" t="s">
        <v>3809</v>
      </c>
      <c r="B1434" s="5" t="s">
        <v>3810</v>
      </c>
      <c r="C1434" s="5" t="s">
        <v>41</v>
      </c>
      <c r="D1434" s="5" t="s">
        <v>42</v>
      </c>
      <c r="E1434" s="5" t="s">
        <v>139</v>
      </c>
      <c r="F1434" s="9" t="s">
        <v>140</v>
      </c>
      <c r="G1434" s="9">
        <v>1202</v>
      </c>
      <c r="H1434" s="5" t="s">
        <v>21</v>
      </c>
      <c r="I1434" s="5" t="s">
        <v>3814</v>
      </c>
      <c r="J1434" s="12" t="str">
        <f>HYPERLINK("https://www.boe.es/gazeta/dias/1808/09/23/pdfs/GMD-1808-127.pdf#page=10","Abrir facsímil")</f>
        <v>Abrir facsímil</v>
      </c>
      <c r="K1434" s="15" t="s">
        <v>23</v>
      </c>
    </row>
    <row r="1435" spans="1:11" ht="42" customHeight="1">
      <c r="A1435" s="4" t="s">
        <v>3815</v>
      </c>
      <c r="B1435" s="5" t="s">
        <v>3816</v>
      </c>
      <c r="C1435" s="5" t="s">
        <v>17</v>
      </c>
      <c r="D1435" s="5" t="s">
        <v>18</v>
      </c>
      <c r="E1435" s="5" t="s">
        <v>456</v>
      </c>
      <c r="F1435" s="9" t="s">
        <v>457</v>
      </c>
      <c r="G1435" s="9">
        <v>1299</v>
      </c>
      <c r="H1435" s="5" t="s">
        <v>21</v>
      </c>
      <c r="I1435" s="5" t="s">
        <v>3817</v>
      </c>
      <c r="J1435" s="12" t="str">
        <f>HYPERLINK("https://www.boe.es/gazeta/dias/1808/10/14/pdfs/GMD-1808-134.pdf#page=11","Abrir facsímil")</f>
        <v>Abrir facsímil</v>
      </c>
      <c r="K1435" s="15" t="s">
        <v>23</v>
      </c>
    </row>
    <row r="1436" spans="1:11" ht="42" customHeight="1">
      <c r="A1436" s="4" t="s">
        <v>3818</v>
      </c>
      <c r="B1436" s="5" t="s">
        <v>3819</v>
      </c>
      <c r="C1436" s="5" t="s">
        <v>41</v>
      </c>
      <c r="D1436" s="5" t="s">
        <v>42</v>
      </c>
      <c r="E1436" s="5" t="s">
        <v>456</v>
      </c>
      <c r="F1436" s="9" t="s">
        <v>748</v>
      </c>
      <c r="G1436" s="9" t="s">
        <v>117</v>
      </c>
      <c r="H1436" s="5" t="s">
        <v>21</v>
      </c>
      <c r="I1436" s="5" t="s">
        <v>3820</v>
      </c>
      <c r="J1436" s="12" t="str">
        <f>HYPERLINK("https://www.boe.es/gazeta/dias/1808/10/14/pdfs/GMD-C-1808-134.pdf#page=1","Abrir facsímil")</f>
        <v>Abrir facsímil</v>
      </c>
      <c r="K1436" s="15" t="s">
        <v>23</v>
      </c>
    </row>
    <row r="1437" spans="1:11" ht="42" customHeight="1">
      <c r="A1437" s="4" t="s">
        <v>3821</v>
      </c>
      <c r="B1437" s="5" t="s">
        <v>3822</v>
      </c>
      <c r="C1437" s="5" t="s">
        <v>33</v>
      </c>
      <c r="D1437" s="5" t="s">
        <v>34</v>
      </c>
      <c r="E1437" s="5" t="s">
        <v>35</v>
      </c>
      <c r="F1437" s="9" t="s">
        <v>36</v>
      </c>
      <c r="G1437" s="9" t="s">
        <v>135</v>
      </c>
      <c r="H1437" s="5" t="s">
        <v>21</v>
      </c>
      <c r="I1437" s="5" t="s">
        <v>3823</v>
      </c>
      <c r="J1437" s="12" t="str">
        <f>HYPERLINK("https://www.boe.es/gazeta/dias/1808/04/22/pdfs/GMD-C-1808-38.pdf#page=26","Abrir facsímil")</f>
        <v>Abrir facsímil</v>
      </c>
      <c r="K1437" s="15" t="s">
        <v>23</v>
      </c>
    </row>
    <row r="1438" spans="1:11" ht="42" customHeight="1">
      <c r="A1438" s="4" t="s">
        <v>3824</v>
      </c>
      <c r="B1438" s="5" t="s">
        <v>3825</v>
      </c>
      <c r="C1438" s="5" t="s">
        <v>33</v>
      </c>
      <c r="D1438" s="5" t="s">
        <v>34</v>
      </c>
      <c r="E1438" s="5" t="s">
        <v>35</v>
      </c>
      <c r="F1438" s="9" t="s">
        <v>36</v>
      </c>
      <c r="G1438" s="9" t="s">
        <v>2643</v>
      </c>
      <c r="H1438" s="5" t="s">
        <v>21</v>
      </c>
      <c r="I1438" s="5" t="s">
        <v>3826</v>
      </c>
      <c r="J1438" s="12" t="str">
        <f>HYPERLINK("https://www.boe.es/gazeta/dias/1808/04/22/pdfs/GMD-C-1808-38.pdf#page=17","Abrir facsímil")</f>
        <v>Abrir facsímil</v>
      </c>
      <c r="K1438" s="15" t="s">
        <v>23</v>
      </c>
    </row>
    <row r="1439" spans="1:11" ht="42" customHeight="1">
      <c r="A1439" s="4" t="s">
        <v>3827</v>
      </c>
      <c r="B1439" s="5" t="s">
        <v>3828</v>
      </c>
      <c r="C1439" s="5" t="s">
        <v>260</v>
      </c>
      <c r="D1439" s="5" t="s">
        <v>42</v>
      </c>
      <c r="E1439" s="5" t="s">
        <v>2159</v>
      </c>
      <c r="F1439" s="9" t="s">
        <v>2160</v>
      </c>
      <c r="G1439" s="9">
        <v>185</v>
      </c>
      <c r="H1439" s="5" t="s">
        <v>21</v>
      </c>
      <c r="I1439" s="5" t="s">
        <v>3829</v>
      </c>
      <c r="J1439" s="12" t="str">
        <f>HYPERLINK("https://www.boe.es/gazeta/dias/1808/02/19/pdfs/GMD-1808-15.pdf#page=15","Abrir facsímil")</f>
        <v>Abrir facsímil</v>
      </c>
      <c r="K1439" s="15" t="s">
        <v>23</v>
      </c>
    </row>
    <row r="1440" spans="1:11" ht="42" customHeight="1">
      <c r="A1440" s="4" t="s">
        <v>3830</v>
      </c>
      <c r="B1440" s="5" t="s">
        <v>3831</v>
      </c>
      <c r="C1440" s="5" t="s">
        <v>17</v>
      </c>
      <c r="D1440" s="5" t="s">
        <v>18</v>
      </c>
      <c r="E1440" s="5" t="s">
        <v>418</v>
      </c>
      <c r="F1440" s="9" t="s">
        <v>3832</v>
      </c>
      <c r="G1440" s="9">
        <v>228</v>
      </c>
      <c r="H1440" s="5" t="s">
        <v>21</v>
      </c>
      <c r="I1440" s="5" t="s">
        <v>3833</v>
      </c>
      <c r="J1440" s="12" t="str">
        <f>HYPERLINK("https://www.boe.es/gazeta/dias/1808/09/06/pdfs/GMS-1808-29.pdf#page=4","Abrir facsímil")</f>
        <v>Abrir facsímil</v>
      </c>
      <c r="K1440" s="15" t="s">
        <v>23</v>
      </c>
    </row>
    <row r="1441" spans="1:11" ht="42" customHeight="1">
      <c r="A1441" s="4" t="s">
        <v>3834</v>
      </c>
      <c r="B1441" s="5" t="s">
        <v>3835</v>
      </c>
      <c r="C1441" s="5" t="s">
        <v>94</v>
      </c>
      <c r="D1441" s="5" t="s">
        <v>95</v>
      </c>
      <c r="E1441" s="5" t="s">
        <v>89</v>
      </c>
      <c r="F1441" s="9" t="s">
        <v>1247</v>
      </c>
      <c r="G1441" s="9">
        <v>1367</v>
      </c>
      <c r="H1441" s="5" t="s">
        <v>21</v>
      </c>
      <c r="I1441" s="5" t="s">
        <v>3836</v>
      </c>
      <c r="J1441" s="12" t="str">
        <f>HYPERLINK("https://www.boe.es/gazeta/dias/1808/10/25/pdfs/GMD-C-1808-137.pdf#page=3","Abrir facsímil")</f>
        <v>Abrir facsímil</v>
      </c>
      <c r="K1441" s="15" t="s">
        <v>23</v>
      </c>
    </row>
    <row r="1442" spans="1:11" ht="42" customHeight="1">
      <c r="A1442" s="4" t="s">
        <v>3834</v>
      </c>
      <c r="B1442" s="5" t="s">
        <v>3835</v>
      </c>
      <c r="C1442" s="5" t="s">
        <v>17</v>
      </c>
      <c r="D1442" s="5" t="s">
        <v>18</v>
      </c>
      <c r="E1442" s="5" t="s">
        <v>558</v>
      </c>
      <c r="F1442" s="9" t="s">
        <v>3837</v>
      </c>
      <c r="G1442" s="9">
        <v>412</v>
      </c>
      <c r="H1442" s="5" t="s">
        <v>21</v>
      </c>
      <c r="I1442" s="5" t="s">
        <v>3838</v>
      </c>
      <c r="J1442" s="12" t="str">
        <f>HYPERLINK("https://www.boe.es/gazeta/dias/1808/11/25/pdfs/GMS-1808-52.pdf#page=4","Abrir facsímil")</f>
        <v>Abrir facsímil</v>
      </c>
      <c r="K1442" s="15" t="s">
        <v>23</v>
      </c>
    </row>
    <row r="1443" spans="1:11" ht="42" customHeight="1">
      <c r="A1443" s="4" t="s">
        <v>3839</v>
      </c>
      <c r="B1443" s="5" t="s">
        <v>3840</v>
      </c>
      <c r="C1443" s="5" t="s">
        <v>33</v>
      </c>
      <c r="D1443" s="5" t="s">
        <v>34</v>
      </c>
      <c r="E1443" s="5" t="s">
        <v>427</v>
      </c>
      <c r="F1443" s="9" t="s">
        <v>428</v>
      </c>
      <c r="G1443" s="9" t="s">
        <v>117</v>
      </c>
      <c r="H1443" s="5" t="s">
        <v>21</v>
      </c>
      <c r="I1443" s="5" t="s">
        <v>3841</v>
      </c>
      <c r="J1443" s="12" t="str">
        <f>HYPERLINK("https://www.boe.es/gazeta/dias/1808/11/22/pdfs/GMD-D-1808-146.pdf#page=1","Abrir facsímil")</f>
        <v>Abrir facsímil</v>
      </c>
      <c r="K1443" s="15" t="s">
        <v>23</v>
      </c>
    </row>
    <row r="1444" spans="1:11" ht="42" customHeight="1">
      <c r="A1444" s="4" t="s">
        <v>3842</v>
      </c>
      <c r="B1444" s="5" t="s">
        <v>3843</v>
      </c>
      <c r="C1444" s="5" t="s">
        <v>33</v>
      </c>
      <c r="D1444" s="5" t="s">
        <v>34</v>
      </c>
      <c r="E1444" s="5" t="s">
        <v>35</v>
      </c>
      <c r="F1444" s="9" t="s">
        <v>36</v>
      </c>
      <c r="G1444" s="9" t="s">
        <v>2643</v>
      </c>
      <c r="H1444" s="5" t="s">
        <v>21</v>
      </c>
      <c r="I1444" s="5" t="s">
        <v>3844</v>
      </c>
      <c r="J1444" s="12" t="str">
        <f>HYPERLINK("https://www.boe.es/gazeta/dias/1808/04/22/pdfs/GMD-C-1808-38.pdf#page=17","Abrir facsímil")</f>
        <v>Abrir facsímil</v>
      </c>
      <c r="K1444" s="15" t="s">
        <v>23</v>
      </c>
    </row>
    <row r="1445" spans="1:11" ht="42" customHeight="1">
      <c r="A1445" s="4" t="s">
        <v>3845</v>
      </c>
      <c r="B1445" s="5" t="s">
        <v>3846</v>
      </c>
      <c r="C1445" s="5" t="s">
        <v>33</v>
      </c>
      <c r="D1445" s="5" t="s">
        <v>34</v>
      </c>
      <c r="E1445" s="5" t="s">
        <v>153</v>
      </c>
      <c r="F1445" s="9" t="s">
        <v>154</v>
      </c>
      <c r="G1445" s="9" t="s">
        <v>117</v>
      </c>
      <c r="H1445" s="5" t="s">
        <v>21</v>
      </c>
      <c r="I1445" s="5" t="s">
        <v>3847</v>
      </c>
      <c r="J1445" s="12" t="str">
        <f>HYPERLINK("https://www.boe.es/gazeta/dias/1808/09/09/pdfs/GMD-C-1808-121.pdf#page=1","Abrir facsímil")</f>
        <v>Abrir facsímil</v>
      </c>
      <c r="K1445" s="15" t="s">
        <v>23</v>
      </c>
    </row>
    <row r="1446" spans="1:11" ht="42" customHeight="1">
      <c r="A1446" s="4" t="s">
        <v>3848</v>
      </c>
      <c r="B1446" s="5" t="s">
        <v>3849</v>
      </c>
      <c r="C1446" s="5" t="s">
        <v>33</v>
      </c>
      <c r="D1446" s="5" t="s">
        <v>34</v>
      </c>
      <c r="E1446" s="5" t="s">
        <v>427</v>
      </c>
      <c r="F1446" s="9" t="s">
        <v>428</v>
      </c>
      <c r="G1446" s="9" t="s">
        <v>106</v>
      </c>
      <c r="H1446" s="5" t="s">
        <v>21</v>
      </c>
      <c r="I1446" s="5" t="s">
        <v>3850</v>
      </c>
      <c r="J1446" s="12" t="str">
        <f>HYPERLINK("https://www.boe.es/gazeta/dias/1808/11/22/pdfs/GMD-D-1808-146.pdf#page=3","Abrir facsímil")</f>
        <v>Abrir facsímil</v>
      </c>
      <c r="K1446" s="15" t="s">
        <v>23</v>
      </c>
    </row>
    <row r="1447" spans="1:11" ht="42" customHeight="1">
      <c r="A1447" s="4" t="s">
        <v>3851</v>
      </c>
      <c r="B1447" s="5" t="s">
        <v>3852</v>
      </c>
      <c r="C1447" s="5" t="s">
        <v>33</v>
      </c>
      <c r="D1447" s="5" t="s">
        <v>34</v>
      </c>
      <c r="E1447" s="5" t="s">
        <v>180</v>
      </c>
      <c r="F1447" s="9" t="s">
        <v>768</v>
      </c>
      <c r="G1447" s="9" t="s">
        <v>75</v>
      </c>
      <c r="H1447" s="5" t="s">
        <v>21</v>
      </c>
      <c r="I1447" s="5" t="s">
        <v>3853</v>
      </c>
      <c r="J1447" s="12" t="str">
        <f>HYPERLINK("https://www.boe.es/gazeta/dias/1808/11/15/pdfs/GMD-D-1808-144.pdf#page=4","Abrir facsímil")</f>
        <v>Abrir facsímil</v>
      </c>
      <c r="K1447" s="15" t="s">
        <v>23</v>
      </c>
    </row>
    <row r="1448" spans="1:11" ht="42" customHeight="1">
      <c r="A1448" s="4" t="s">
        <v>3854</v>
      </c>
      <c r="B1448" s="5" t="s">
        <v>3855</v>
      </c>
      <c r="C1448" s="5" t="s">
        <v>41</v>
      </c>
      <c r="D1448" s="5" t="s">
        <v>42</v>
      </c>
      <c r="E1448" s="5" t="s">
        <v>1484</v>
      </c>
      <c r="F1448" s="9" t="s">
        <v>1485</v>
      </c>
      <c r="G1448" s="9">
        <v>676</v>
      </c>
      <c r="H1448" s="5" t="s">
        <v>21</v>
      </c>
      <c r="I1448" s="5" t="s">
        <v>3856</v>
      </c>
      <c r="J1448" s="12" t="str">
        <f>HYPERLINK("https://www.boe.es/gazeta/dias/1808/06/28/pdfs/GMD-1808-70.pdf#page=6","Abrir facsímil")</f>
        <v>Abrir facsímil</v>
      </c>
      <c r="K1448" s="15" t="s">
        <v>23</v>
      </c>
    </row>
    <row r="1449" spans="1:11" ht="42" customHeight="1">
      <c r="A1449" s="4" t="s">
        <v>3857</v>
      </c>
      <c r="B1449" s="5" t="s">
        <v>3858</v>
      </c>
      <c r="C1449" s="5" t="s">
        <v>33</v>
      </c>
      <c r="D1449" s="5" t="s">
        <v>34</v>
      </c>
      <c r="E1449" s="5" t="s">
        <v>35</v>
      </c>
      <c r="F1449" s="9" t="s">
        <v>36</v>
      </c>
      <c r="G1449" s="9" t="s">
        <v>106</v>
      </c>
      <c r="H1449" s="5" t="s">
        <v>21</v>
      </c>
      <c r="I1449" s="5" t="s">
        <v>3859</v>
      </c>
      <c r="J1449" s="12" t="str">
        <f>HYPERLINK("https://www.boe.es/gazeta/dias/1808/04/22/pdfs/GMD-C-1808-38.pdf#page=3","Abrir facsímil")</f>
        <v>Abrir facsímil</v>
      </c>
      <c r="K1449" s="15" t="s">
        <v>23</v>
      </c>
    </row>
    <row r="1450" spans="1:11" ht="42" customHeight="1">
      <c r="A1450" s="4" t="s">
        <v>3857</v>
      </c>
      <c r="B1450" s="5" t="s">
        <v>3858</v>
      </c>
      <c r="C1450" s="5" t="s">
        <v>94</v>
      </c>
      <c r="D1450" s="5" t="s">
        <v>95</v>
      </c>
      <c r="E1450" s="5" t="s">
        <v>418</v>
      </c>
      <c r="F1450" s="9" t="s">
        <v>3832</v>
      </c>
      <c r="G1450" s="9">
        <v>231</v>
      </c>
      <c r="H1450" s="5" t="s">
        <v>21</v>
      </c>
      <c r="I1450" s="5" t="s">
        <v>3860</v>
      </c>
      <c r="J1450" s="12" t="str">
        <f>HYPERLINK("https://www.boe.es/gazeta/dias/1808/09/06/pdfs/GMS-1808-29.pdf#page=7","Abrir facsímil")</f>
        <v>Abrir facsímil</v>
      </c>
      <c r="K1450" s="15" t="s">
        <v>23</v>
      </c>
    </row>
    <row r="1451" spans="1:11" ht="42" customHeight="1">
      <c r="A1451" s="4" t="s">
        <v>3861</v>
      </c>
      <c r="B1451" s="5" t="s">
        <v>3862</v>
      </c>
      <c r="C1451" s="5" t="s">
        <v>17</v>
      </c>
      <c r="D1451" s="5" t="s">
        <v>18</v>
      </c>
      <c r="E1451" s="5" t="s">
        <v>115</v>
      </c>
      <c r="F1451" s="9" t="s">
        <v>1650</v>
      </c>
      <c r="G1451" s="9">
        <v>1177</v>
      </c>
      <c r="H1451" s="5" t="s">
        <v>21</v>
      </c>
      <c r="I1451" s="5" t="s">
        <v>3863</v>
      </c>
      <c r="J1451" s="12" t="str">
        <f>HYPERLINK("https://www.boe.es/gazeta/dias/1808/09/16/pdfs/GMD-1808-125.pdf#page=9","Abrir facsímil")</f>
        <v>Abrir facsímil</v>
      </c>
      <c r="K1451" s="15" t="s">
        <v>23</v>
      </c>
    </row>
    <row r="1452" spans="1:11" ht="42" customHeight="1">
      <c r="A1452" s="4" t="s">
        <v>3864</v>
      </c>
      <c r="B1452" s="5" t="s">
        <v>3865</v>
      </c>
      <c r="C1452" s="5" t="s">
        <v>17</v>
      </c>
      <c r="D1452" s="5" t="s">
        <v>18</v>
      </c>
      <c r="E1452" s="5" t="s">
        <v>334</v>
      </c>
      <c r="F1452" s="9" t="s">
        <v>1814</v>
      </c>
      <c r="G1452" s="9">
        <v>1240</v>
      </c>
      <c r="H1452" s="5" t="s">
        <v>21</v>
      </c>
      <c r="I1452" s="5" t="s">
        <v>3866</v>
      </c>
      <c r="J1452" s="12" t="str">
        <f>HYPERLINK("https://www.boe.es/gazeta/dias/1808/10/04/pdfs/GMD-1808-131.pdf#page=8","Abrir facsímil")</f>
        <v>Abrir facsímil</v>
      </c>
      <c r="K1452" s="15" t="s">
        <v>23</v>
      </c>
    </row>
    <row r="1453" spans="1:11" ht="42" customHeight="1">
      <c r="A1453" s="4" t="s">
        <v>3867</v>
      </c>
      <c r="B1453" s="5" t="s">
        <v>3868</v>
      </c>
      <c r="C1453" s="5" t="s">
        <v>94</v>
      </c>
      <c r="D1453" s="5" t="s">
        <v>95</v>
      </c>
      <c r="E1453" s="5" t="s">
        <v>2849</v>
      </c>
      <c r="F1453" s="9" t="s">
        <v>2850</v>
      </c>
      <c r="G1453" s="9">
        <v>16</v>
      </c>
      <c r="H1453" s="5" t="s">
        <v>21</v>
      </c>
      <c r="I1453" s="5" t="s">
        <v>3869</v>
      </c>
      <c r="J1453" s="12" t="str">
        <f>HYPERLINK("https://www.boe.es/gazeta/dias/1808/06/04/pdfs/GMS-1808-2.pdf#page=8","Abrir facsímil")</f>
        <v>Abrir facsímil</v>
      </c>
      <c r="K1453" s="15" t="s">
        <v>23</v>
      </c>
    </row>
    <row r="1454" spans="1:11" ht="42" customHeight="1">
      <c r="A1454" s="4" t="s">
        <v>3870</v>
      </c>
      <c r="B1454" s="5" t="s">
        <v>3871</v>
      </c>
      <c r="C1454" s="5" t="s">
        <v>33</v>
      </c>
      <c r="D1454" s="5" t="s">
        <v>34</v>
      </c>
      <c r="E1454" s="5" t="s">
        <v>35</v>
      </c>
      <c r="F1454" s="9" t="s">
        <v>36</v>
      </c>
      <c r="G1454" s="9" t="s">
        <v>1294</v>
      </c>
      <c r="H1454" s="5" t="s">
        <v>21</v>
      </c>
      <c r="I1454" s="5" t="s">
        <v>3872</v>
      </c>
      <c r="J1454" s="12" t="str">
        <f>HYPERLINK("https://www.boe.es/gazeta/dias/1808/04/22/pdfs/GMD-C-1808-38.pdf#page=8","Abrir facsímil")</f>
        <v>Abrir facsímil</v>
      </c>
      <c r="K1454" s="15" t="s">
        <v>23</v>
      </c>
    </row>
    <row r="1455" spans="1:11" ht="42" customHeight="1">
      <c r="A1455" s="4" t="s">
        <v>3873</v>
      </c>
      <c r="B1455" s="5" t="s">
        <v>3874</v>
      </c>
      <c r="C1455" s="5" t="s">
        <v>33</v>
      </c>
      <c r="D1455" s="5" t="s">
        <v>34</v>
      </c>
      <c r="E1455" s="5" t="s">
        <v>35</v>
      </c>
      <c r="F1455" s="9" t="s">
        <v>36</v>
      </c>
      <c r="G1455" s="9" t="s">
        <v>299</v>
      </c>
      <c r="H1455" s="5" t="s">
        <v>21</v>
      </c>
      <c r="I1455" s="5" t="s">
        <v>3875</v>
      </c>
      <c r="J1455" s="12" t="str">
        <f>HYPERLINK("https://www.boe.es/gazeta/dias/1808/04/22/pdfs/GMD-C-1808-38.pdf#page=14","Abrir facsímil")</f>
        <v>Abrir facsímil</v>
      </c>
      <c r="K1455" s="15" t="s">
        <v>23</v>
      </c>
    </row>
    <row r="1456" spans="1:11" ht="42" customHeight="1">
      <c r="A1456" s="4" t="s">
        <v>3876</v>
      </c>
      <c r="B1456" s="5" t="s">
        <v>3877</v>
      </c>
      <c r="C1456" s="5" t="s">
        <v>41</v>
      </c>
      <c r="D1456" s="5" t="s">
        <v>42</v>
      </c>
      <c r="E1456" s="5" t="s">
        <v>35</v>
      </c>
      <c r="F1456" s="9" t="s">
        <v>36</v>
      </c>
      <c r="G1456" s="9" t="s">
        <v>148</v>
      </c>
      <c r="H1456" s="5" t="s">
        <v>21</v>
      </c>
      <c r="I1456" s="5" t="s">
        <v>3878</v>
      </c>
      <c r="J1456" s="12" t="str">
        <f>HYPERLINK("https://www.boe.es/gazeta/dias/1808/04/22/pdfs/GMD-C-1808-38.pdf#page=38","Abrir facsímil")</f>
        <v>Abrir facsímil</v>
      </c>
      <c r="K1456" s="15" t="s">
        <v>23</v>
      </c>
    </row>
    <row r="1457" spans="1:11" ht="42" customHeight="1">
      <c r="A1457" s="4" t="s">
        <v>3879</v>
      </c>
      <c r="B1457" s="5" t="s">
        <v>3880</v>
      </c>
      <c r="C1457" s="5" t="s">
        <v>41</v>
      </c>
      <c r="D1457" s="5" t="s">
        <v>42</v>
      </c>
      <c r="E1457" s="5" t="s">
        <v>2194</v>
      </c>
      <c r="F1457" s="9" t="s">
        <v>3881</v>
      </c>
      <c r="G1457" s="9">
        <v>341</v>
      </c>
      <c r="H1457" s="5" t="s">
        <v>21</v>
      </c>
      <c r="I1457" s="5" t="s">
        <v>3882</v>
      </c>
      <c r="J1457" s="12" t="str">
        <f>HYPERLINK("https://www.boe.es/gazeta/dias/1808/04/05/pdfs/GMD-1808-31.pdf#page=7","Abrir facsímil")</f>
        <v>Abrir facsímil</v>
      </c>
      <c r="K1457" s="15" t="s">
        <v>23</v>
      </c>
    </row>
    <row r="1458" spans="1:11" ht="42" customHeight="1">
      <c r="A1458" s="4" t="s">
        <v>3883</v>
      </c>
      <c r="B1458" s="5" t="s">
        <v>3884</v>
      </c>
      <c r="C1458" s="5" t="s">
        <v>17</v>
      </c>
      <c r="D1458" s="5" t="s">
        <v>18</v>
      </c>
      <c r="E1458" s="5" t="s">
        <v>719</v>
      </c>
      <c r="F1458" s="9" t="s">
        <v>720</v>
      </c>
      <c r="G1458" s="9">
        <v>1611</v>
      </c>
      <c r="H1458" s="5" t="s">
        <v>21</v>
      </c>
      <c r="I1458" s="5" t="s">
        <v>3885</v>
      </c>
      <c r="J1458" s="12" t="str">
        <f>HYPERLINK("https://www.boe.es/gazeta/dias/1808/12/16/pdfs/GMD-1808-156.pdf#page=3","Abrir facsímil")</f>
        <v>Abrir facsímil</v>
      </c>
      <c r="K1458" s="15" t="s">
        <v>23</v>
      </c>
    </row>
    <row r="1459" spans="1:11" ht="42" customHeight="1">
      <c r="A1459" s="4" t="s">
        <v>3886</v>
      </c>
      <c r="B1459" s="5" t="s">
        <v>3887</v>
      </c>
      <c r="C1459" s="5" t="s">
        <v>33</v>
      </c>
      <c r="D1459" s="5" t="s">
        <v>34</v>
      </c>
      <c r="E1459" s="5" t="s">
        <v>35</v>
      </c>
      <c r="F1459" s="9" t="s">
        <v>36</v>
      </c>
      <c r="G1459" s="9" t="s">
        <v>324</v>
      </c>
      <c r="H1459" s="5" t="s">
        <v>21</v>
      </c>
      <c r="I1459" s="5" t="s">
        <v>3888</v>
      </c>
      <c r="J1459" s="12" t="str">
        <f>HYPERLINK("https://www.boe.es/gazeta/dias/1808/04/22/pdfs/GMD-C-1808-38.pdf#page=24","Abrir facsímil")</f>
        <v>Abrir facsímil</v>
      </c>
      <c r="K1459" s="15" t="s">
        <v>23</v>
      </c>
    </row>
    <row r="1460" spans="1:11" ht="42" customHeight="1">
      <c r="A1460" s="4" t="s">
        <v>3889</v>
      </c>
      <c r="B1460" s="5" t="s">
        <v>3890</v>
      </c>
      <c r="C1460" s="5" t="s">
        <v>41</v>
      </c>
      <c r="D1460" s="5" t="s">
        <v>42</v>
      </c>
      <c r="E1460" s="5" t="s">
        <v>558</v>
      </c>
      <c r="F1460" s="9" t="s">
        <v>559</v>
      </c>
      <c r="G1460" s="9">
        <v>1546</v>
      </c>
      <c r="H1460" s="5" t="s">
        <v>21</v>
      </c>
      <c r="I1460" s="5" t="s">
        <v>3891</v>
      </c>
      <c r="J1460" s="12" t="str">
        <f>HYPERLINK("https://www.boe.es/gazeta/dias/1808/11/25/pdfs/GMD-1808-147.pdf#page=12","Abrir facsímil")</f>
        <v>Abrir facsímil</v>
      </c>
      <c r="K1460" s="15" t="s">
        <v>23</v>
      </c>
    </row>
    <row r="1461" spans="1:11" ht="42" customHeight="1">
      <c r="A1461" s="4" t="s">
        <v>3892</v>
      </c>
      <c r="B1461" s="5" t="s">
        <v>3893</v>
      </c>
      <c r="C1461" s="5" t="s">
        <v>94</v>
      </c>
      <c r="D1461" s="5" t="s">
        <v>95</v>
      </c>
      <c r="E1461" s="5" t="s">
        <v>245</v>
      </c>
      <c r="F1461" s="9" t="s">
        <v>246</v>
      </c>
      <c r="G1461" s="9">
        <v>542</v>
      </c>
      <c r="H1461" s="5" t="s">
        <v>21</v>
      </c>
      <c r="I1461" s="5" t="s">
        <v>3894</v>
      </c>
      <c r="J1461" s="12" t="str">
        <f>HYPERLINK("https://www.boe.es/gazeta/dias/1808/06/07/pdfs/GMD-1808-54.pdf#page=8","Abrir facsímil")</f>
        <v>Abrir facsímil</v>
      </c>
      <c r="K1461" s="15" t="s">
        <v>23</v>
      </c>
    </row>
    <row r="1462" spans="1:11" ht="42" customHeight="1">
      <c r="A1462" s="4" t="s">
        <v>3895</v>
      </c>
      <c r="B1462" s="5" t="s">
        <v>3896</v>
      </c>
      <c r="C1462" s="5" t="s">
        <v>94</v>
      </c>
      <c r="D1462" s="5" t="s">
        <v>95</v>
      </c>
      <c r="E1462" s="5" t="s">
        <v>180</v>
      </c>
      <c r="F1462" s="9" t="s">
        <v>2568</v>
      </c>
      <c r="G1462" s="9">
        <v>1495</v>
      </c>
      <c r="H1462" s="5" t="s">
        <v>21</v>
      </c>
      <c r="I1462" s="5" t="s">
        <v>3897</v>
      </c>
      <c r="J1462" s="12" t="str">
        <f>HYPERLINK("https://www.boe.es/gazeta/dias/1808/11/15/pdfs/GMD-1808-144.pdf#page=9","Abrir facsímil")</f>
        <v>Abrir facsímil</v>
      </c>
      <c r="K1462" s="15" t="s">
        <v>23</v>
      </c>
    </row>
    <row r="1463" spans="1:11" ht="42" customHeight="1">
      <c r="A1463" s="4" t="s">
        <v>3898</v>
      </c>
      <c r="B1463" s="5" t="s">
        <v>3899</v>
      </c>
      <c r="C1463" s="5" t="s">
        <v>41</v>
      </c>
      <c r="D1463" s="5" t="s">
        <v>42</v>
      </c>
      <c r="E1463" s="5" t="s">
        <v>110</v>
      </c>
      <c r="F1463" s="9" t="s">
        <v>111</v>
      </c>
      <c r="G1463" s="9">
        <v>1383</v>
      </c>
      <c r="H1463" s="5" t="s">
        <v>21</v>
      </c>
      <c r="I1463" s="5" t="s">
        <v>3900</v>
      </c>
      <c r="J1463" s="12" t="str">
        <f>HYPERLINK("https://www.boe.es/gazeta/dias/1808/10/28/pdfs/GMD-1808-138.pdf#page=9","Abrir facsímil")</f>
        <v>Abrir facsímil</v>
      </c>
      <c r="K1463" s="15" t="s">
        <v>23</v>
      </c>
    </row>
    <row r="1464" spans="1:11" ht="42" customHeight="1">
      <c r="A1464" s="4" t="s">
        <v>3901</v>
      </c>
      <c r="B1464" s="5" t="s">
        <v>3902</v>
      </c>
      <c r="C1464" s="5" t="s">
        <v>17</v>
      </c>
      <c r="D1464" s="5" t="s">
        <v>18</v>
      </c>
      <c r="E1464" s="5" t="s">
        <v>558</v>
      </c>
      <c r="F1464" s="9" t="s">
        <v>559</v>
      </c>
      <c r="G1464" s="9">
        <v>1544</v>
      </c>
      <c r="H1464" s="5" t="s">
        <v>21</v>
      </c>
      <c r="I1464" s="5" t="s">
        <v>3903</v>
      </c>
      <c r="J1464" s="12" t="str">
        <f>HYPERLINK("https://www.boe.es/gazeta/dias/1808/11/25/pdfs/GMD-1808-147.pdf#page=10","Abrir facsímil")</f>
        <v>Abrir facsímil</v>
      </c>
      <c r="K1464" s="15" t="s">
        <v>23</v>
      </c>
    </row>
    <row r="1465" spans="1:11" ht="42" customHeight="1">
      <c r="A1465" s="4" t="s">
        <v>3904</v>
      </c>
      <c r="B1465" s="5" t="s">
        <v>3905</v>
      </c>
      <c r="C1465" s="5" t="s">
        <v>41</v>
      </c>
      <c r="D1465" s="5" t="s">
        <v>42</v>
      </c>
      <c r="E1465" s="5" t="s">
        <v>35</v>
      </c>
      <c r="F1465" s="9" t="s">
        <v>36</v>
      </c>
      <c r="G1465" s="9" t="s">
        <v>414</v>
      </c>
      <c r="H1465" s="5" t="s">
        <v>21</v>
      </c>
      <c r="I1465" s="5" t="s">
        <v>3906</v>
      </c>
      <c r="J1465" s="12" t="str">
        <f>HYPERLINK("https://www.boe.es/gazeta/dias/1808/04/22/pdfs/GMD-C-1808-38.pdf#page=20","Abrir facsímil")</f>
        <v>Abrir facsímil</v>
      </c>
      <c r="K1465" s="15" t="s">
        <v>23</v>
      </c>
    </row>
    <row r="1466" spans="1:11" ht="42" customHeight="1">
      <c r="A1466" s="4" t="s">
        <v>3907</v>
      </c>
      <c r="B1466" s="5" t="s">
        <v>3908</v>
      </c>
      <c r="C1466" s="5" t="s">
        <v>33</v>
      </c>
      <c r="D1466" s="5" t="s">
        <v>34</v>
      </c>
      <c r="E1466" s="5" t="s">
        <v>125</v>
      </c>
      <c r="F1466" s="9" t="s">
        <v>126</v>
      </c>
      <c r="G1466" s="9" t="s">
        <v>199</v>
      </c>
      <c r="H1466" s="5" t="s">
        <v>21</v>
      </c>
      <c r="I1466" s="5" t="s">
        <v>3909</v>
      </c>
      <c r="J1466" s="12" t="str">
        <f>HYPERLINK("https://www.boe.es/gazeta/dias/1808/10/07/pdfs/GMD-C-1808-132.pdf#page=2","Abrir facsímil")</f>
        <v>Abrir facsímil</v>
      </c>
      <c r="K1466" s="15" t="s">
        <v>23</v>
      </c>
    </row>
    <row r="1467" spans="1:11" ht="42" customHeight="1">
      <c r="A1467" s="4" t="s">
        <v>3910</v>
      </c>
      <c r="B1467" s="5" t="s">
        <v>3911</v>
      </c>
      <c r="C1467" s="5" t="s">
        <v>389</v>
      </c>
      <c r="D1467" s="5" t="s">
        <v>390</v>
      </c>
      <c r="E1467" s="5" t="s">
        <v>513</v>
      </c>
      <c r="F1467" s="9" t="s">
        <v>514</v>
      </c>
      <c r="G1467" s="9">
        <v>290</v>
      </c>
      <c r="H1467" s="5" t="s">
        <v>21</v>
      </c>
      <c r="I1467" s="5" t="s">
        <v>3912</v>
      </c>
      <c r="J1467" s="12" t="str">
        <f>HYPERLINK("https://www.boe.es/gazeta/dias/1808/03/22/pdfs/GMD-1808-24.pdf#page=12","Abrir facsímil")</f>
        <v>Abrir facsímil</v>
      </c>
      <c r="K1467" s="15" t="s">
        <v>23</v>
      </c>
    </row>
    <row r="1468" spans="1:11" ht="42" customHeight="1">
      <c r="A1468" s="4" t="s">
        <v>3913</v>
      </c>
      <c r="B1468" s="5" t="s">
        <v>3914</v>
      </c>
      <c r="C1468" s="5" t="s">
        <v>41</v>
      </c>
      <c r="D1468" s="5" t="s">
        <v>42</v>
      </c>
      <c r="E1468" s="5" t="s">
        <v>35</v>
      </c>
      <c r="F1468" s="9" t="s">
        <v>36</v>
      </c>
      <c r="G1468" s="9" t="s">
        <v>655</v>
      </c>
      <c r="H1468" s="5" t="s">
        <v>21</v>
      </c>
      <c r="I1468" s="5" t="s">
        <v>3915</v>
      </c>
      <c r="J1468" s="12" t="str">
        <f>HYPERLINK("https://www.boe.es/gazeta/dias/1808/04/22/pdfs/GMD-C-1808-38.pdf#page=43","Abrir facsímil")</f>
        <v>Abrir facsímil</v>
      </c>
      <c r="K1468" s="15" t="s">
        <v>23</v>
      </c>
    </row>
    <row r="1469" spans="1:11" ht="42" customHeight="1">
      <c r="A1469" s="4" t="s">
        <v>3916</v>
      </c>
      <c r="B1469" s="5" t="s">
        <v>3917</v>
      </c>
      <c r="C1469" s="5" t="s">
        <v>33</v>
      </c>
      <c r="D1469" s="5" t="s">
        <v>34</v>
      </c>
      <c r="E1469" s="5" t="s">
        <v>35</v>
      </c>
      <c r="F1469" s="9" t="s">
        <v>36</v>
      </c>
      <c r="G1469" s="9" t="s">
        <v>279</v>
      </c>
      <c r="H1469" s="5" t="s">
        <v>21</v>
      </c>
      <c r="I1469" s="5" t="s">
        <v>3918</v>
      </c>
      <c r="J1469" s="12" t="str">
        <f>HYPERLINK("https://www.boe.es/gazeta/dias/1808/04/22/pdfs/GMD-C-1808-38.pdf#page=44","Abrir facsímil")</f>
        <v>Abrir facsímil</v>
      </c>
      <c r="K1469" s="15" t="s">
        <v>23</v>
      </c>
    </row>
    <row r="1470" spans="1:11" ht="42" customHeight="1">
      <c r="A1470" s="4" t="s">
        <v>3919</v>
      </c>
      <c r="B1470" s="5" t="s">
        <v>3920</v>
      </c>
      <c r="C1470" s="5" t="s">
        <v>41</v>
      </c>
      <c r="D1470" s="5" t="s">
        <v>42</v>
      </c>
      <c r="E1470" s="5" t="s">
        <v>89</v>
      </c>
      <c r="F1470" s="9" t="s">
        <v>563</v>
      </c>
      <c r="G1470" s="9" t="s">
        <v>106</v>
      </c>
      <c r="H1470" s="5" t="s">
        <v>21</v>
      </c>
      <c r="I1470" s="5" t="s">
        <v>3921</v>
      </c>
      <c r="J1470" s="12" t="str">
        <f>HYPERLINK("https://www.boe.es/gazeta/dias/1808/10/25/pdfs/GMD-D-1808-137.pdf#page=3","Abrir facsímil")</f>
        <v>Abrir facsímil</v>
      </c>
      <c r="K1470" s="15" t="s">
        <v>23</v>
      </c>
    </row>
    <row r="1471" spans="1:11" ht="42" customHeight="1">
      <c r="A1471" s="4" t="s">
        <v>3922</v>
      </c>
      <c r="B1471" s="5" t="s">
        <v>3923</v>
      </c>
      <c r="C1471" s="5" t="s">
        <v>41</v>
      </c>
      <c r="D1471" s="5" t="s">
        <v>42</v>
      </c>
      <c r="E1471" s="5" t="s">
        <v>68</v>
      </c>
      <c r="F1471" s="9" t="s">
        <v>309</v>
      </c>
      <c r="G1471" s="9" t="s">
        <v>117</v>
      </c>
      <c r="H1471" s="5" t="s">
        <v>21</v>
      </c>
      <c r="I1471" s="5" t="s">
        <v>3924</v>
      </c>
      <c r="J1471" s="12" t="str">
        <f>HYPERLINK("https://www.boe.es/gazeta/dias/1808/10/21/pdfs/GMD-D-1808-136.pdf#page=1","Abrir facsímil")</f>
        <v>Abrir facsímil</v>
      </c>
      <c r="K1471" s="15" t="s">
        <v>23</v>
      </c>
    </row>
    <row r="1472" spans="1:11" ht="42" customHeight="1">
      <c r="A1472" s="4" t="s">
        <v>3925</v>
      </c>
      <c r="B1472" s="5" t="s">
        <v>3926</v>
      </c>
      <c r="C1472" s="5" t="s">
        <v>94</v>
      </c>
      <c r="D1472" s="5" t="s">
        <v>95</v>
      </c>
      <c r="E1472" s="5" t="s">
        <v>19</v>
      </c>
      <c r="F1472" s="9" t="s">
        <v>59</v>
      </c>
      <c r="G1472" s="9">
        <v>1229</v>
      </c>
      <c r="H1472" s="5" t="s">
        <v>21</v>
      </c>
      <c r="I1472" s="5" t="s">
        <v>3927</v>
      </c>
      <c r="J1472" s="12" t="str">
        <f>HYPERLINK("https://www.boe.es/gazeta/dias/1808/09/30/pdfs/GMD-1808-130.pdf#page=9","Abrir facsímil")</f>
        <v>Abrir facsímil</v>
      </c>
      <c r="K1472" s="15" t="s">
        <v>23</v>
      </c>
    </row>
    <row r="1473" spans="1:11" ht="42" customHeight="1">
      <c r="A1473" s="4" t="s">
        <v>3928</v>
      </c>
      <c r="B1473" s="5" t="s">
        <v>3929</v>
      </c>
      <c r="C1473" s="5" t="s">
        <v>41</v>
      </c>
      <c r="D1473" s="5" t="s">
        <v>42</v>
      </c>
      <c r="E1473" s="5" t="s">
        <v>35</v>
      </c>
      <c r="F1473" s="9" t="s">
        <v>36</v>
      </c>
      <c r="G1473" s="9" t="s">
        <v>324</v>
      </c>
      <c r="H1473" s="5" t="s">
        <v>21</v>
      </c>
      <c r="I1473" s="5" t="s">
        <v>3930</v>
      </c>
      <c r="J1473" s="12" t="str">
        <f>HYPERLINK("https://www.boe.es/gazeta/dias/1808/04/22/pdfs/GMD-C-1808-38.pdf#page=24","Abrir facsímil")</f>
        <v>Abrir facsímil</v>
      </c>
      <c r="K1473" s="15" t="s">
        <v>23</v>
      </c>
    </row>
    <row r="1474" spans="1:11" ht="42" customHeight="1">
      <c r="A1474" s="4" t="s">
        <v>3931</v>
      </c>
      <c r="B1474" s="5" t="s">
        <v>3932</v>
      </c>
      <c r="C1474" s="5" t="s">
        <v>389</v>
      </c>
      <c r="D1474" s="5" t="s">
        <v>390</v>
      </c>
      <c r="E1474" s="5" t="s">
        <v>245</v>
      </c>
      <c r="F1474" s="9" t="s">
        <v>246</v>
      </c>
      <c r="G1474" s="9">
        <v>546</v>
      </c>
      <c r="H1474" s="5" t="s">
        <v>21</v>
      </c>
      <c r="I1474" s="5" t="s">
        <v>3933</v>
      </c>
      <c r="J1474" s="12" t="str">
        <f>HYPERLINK("https://www.boe.es/gazeta/dias/1808/06/07/pdfs/GMD-1808-54.pdf#page=12","Abrir facsímil")</f>
        <v>Abrir facsímil</v>
      </c>
      <c r="K1474" s="15" t="s">
        <v>23</v>
      </c>
    </row>
    <row r="1475" spans="1:11" ht="42" customHeight="1">
      <c r="A1475" s="4" t="s">
        <v>3934</v>
      </c>
      <c r="B1475" s="5" t="s">
        <v>3935</v>
      </c>
      <c r="C1475" s="5" t="s">
        <v>33</v>
      </c>
      <c r="D1475" s="5" t="s">
        <v>34</v>
      </c>
      <c r="E1475" s="5" t="s">
        <v>427</v>
      </c>
      <c r="F1475" s="9" t="s">
        <v>428</v>
      </c>
      <c r="G1475" s="9" t="s">
        <v>106</v>
      </c>
      <c r="H1475" s="5" t="s">
        <v>21</v>
      </c>
      <c r="I1475" s="5" t="s">
        <v>3936</v>
      </c>
      <c r="J1475" s="12" t="str">
        <f>HYPERLINK("https://www.boe.es/gazeta/dias/1808/11/22/pdfs/GMD-D-1808-146.pdf#page=3","Abrir facsímil")</f>
        <v>Abrir facsímil</v>
      </c>
      <c r="K1475" s="15" t="s">
        <v>23</v>
      </c>
    </row>
    <row r="1476" spans="1:11" ht="42" customHeight="1">
      <c r="A1476" s="4" t="s">
        <v>3937</v>
      </c>
      <c r="B1476" s="5" t="s">
        <v>3938</v>
      </c>
      <c r="C1476" s="5" t="s">
        <v>33</v>
      </c>
      <c r="D1476" s="5" t="s">
        <v>34</v>
      </c>
      <c r="E1476" s="5" t="s">
        <v>391</v>
      </c>
      <c r="F1476" s="9" t="s">
        <v>588</v>
      </c>
      <c r="G1476" s="9" t="s">
        <v>199</v>
      </c>
      <c r="H1476" s="5" t="s">
        <v>21</v>
      </c>
      <c r="I1476" s="5" t="s">
        <v>3939</v>
      </c>
      <c r="J1476" s="12" t="str">
        <f>HYPERLINK("https://www.boe.es/gazeta/dias/1808/09/27/pdfs/GMD-C-1808-128.pdf#page=2","Abrir facsímil")</f>
        <v>Abrir facsímil</v>
      </c>
      <c r="K1476" s="15" t="s">
        <v>23</v>
      </c>
    </row>
    <row r="1477" spans="1:11" ht="42" customHeight="1">
      <c r="A1477" s="4" t="s">
        <v>3940</v>
      </c>
      <c r="B1477" s="5" t="s">
        <v>3941</v>
      </c>
      <c r="C1477" s="5" t="s">
        <v>642</v>
      </c>
      <c r="D1477" s="5" t="s">
        <v>643</v>
      </c>
      <c r="E1477" s="5" t="s">
        <v>293</v>
      </c>
      <c r="F1477" s="9" t="s">
        <v>294</v>
      </c>
      <c r="G1477" s="9">
        <v>1167</v>
      </c>
      <c r="H1477" s="5" t="s">
        <v>21</v>
      </c>
      <c r="I1477" s="5" t="s">
        <v>3942</v>
      </c>
      <c r="J1477" s="12" t="str">
        <f>HYPERLINK("https://www.boe.es/gazeta/dias/1808/09/14/pdfs/GMD-1808-124E.pdf#page=3","Abrir facsímil")</f>
        <v>Abrir facsímil</v>
      </c>
      <c r="K1477" s="15" t="s">
        <v>23</v>
      </c>
    </row>
    <row r="1478" spans="1:11" ht="42" customHeight="1">
      <c r="A1478" s="4" t="s">
        <v>3943</v>
      </c>
      <c r="B1478" s="5" t="s">
        <v>3944</v>
      </c>
      <c r="C1478" s="5" t="s">
        <v>33</v>
      </c>
      <c r="D1478" s="5" t="s">
        <v>34</v>
      </c>
      <c r="E1478" s="5" t="s">
        <v>139</v>
      </c>
      <c r="F1478" s="9" t="s">
        <v>1089</v>
      </c>
      <c r="G1478" s="9" t="s">
        <v>117</v>
      </c>
      <c r="H1478" s="5" t="s">
        <v>21</v>
      </c>
      <c r="I1478" s="5" t="s">
        <v>3945</v>
      </c>
      <c r="J1478" s="12" t="str">
        <f>HYPERLINK("https://www.boe.es/gazeta/dias/1808/09/23/pdfs/GMD-C-1808-127.pdf#page=1","Abrir facsímil")</f>
        <v>Abrir facsímil</v>
      </c>
      <c r="K1478" s="15" t="s">
        <v>23</v>
      </c>
    </row>
    <row r="1479" spans="1:11" ht="42" customHeight="1">
      <c r="A1479" s="4" t="s">
        <v>3946</v>
      </c>
      <c r="B1479" s="5" t="s">
        <v>3947</v>
      </c>
      <c r="C1479" s="5" t="s">
        <v>41</v>
      </c>
      <c r="D1479" s="5" t="s">
        <v>42</v>
      </c>
      <c r="E1479" s="5" t="s">
        <v>339</v>
      </c>
      <c r="F1479" s="9" t="s">
        <v>340</v>
      </c>
      <c r="G1479" s="9">
        <v>82</v>
      </c>
      <c r="H1479" s="5" t="s">
        <v>21</v>
      </c>
      <c r="I1479" s="5" t="s">
        <v>3948</v>
      </c>
      <c r="J1479" s="12" t="str">
        <f>HYPERLINK("https://www.boe.es/gazeta/dias/1808/01/22/pdfs/GMD-1808-7.pdf#page=10","Abrir facsímil")</f>
        <v>Abrir facsímil</v>
      </c>
      <c r="K1479" s="15" t="s">
        <v>23</v>
      </c>
    </row>
    <row r="1480" spans="1:11" ht="42" customHeight="1">
      <c r="A1480" s="4" t="s">
        <v>3949</v>
      </c>
      <c r="B1480" s="5" t="s">
        <v>3950</v>
      </c>
      <c r="C1480" s="5" t="s">
        <v>17</v>
      </c>
      <c r="D1480" s="5" t="s">
        <v>18</v>
      </c>
      <c r="E1480" s="5" t="s">
        <v>3951</v>
      </c>
      <c r="F1480" s="9" t="s">
        <v>3952</v>
      </c>
      <c r="G1480" s="9">
        <v>1650</v>
      </c>
      <c r="H1480" s="5" t="s">
        <v>21</v>
      </c>
      <c r="I1480" s="5" t="s">
        <v>3953</v>
      </c>
      <c r="J1480" s="12" t="str">
        <f>HYPERLINK("https://www.boe.es/gazeta/dias/1808/12/20/pdfs/GMD-1808-160.pdf#page=8","Abrir facsímil")</f>
        <v>Abrir facsímil</v>
      </c>
      <c r="K1480" s="15" t="s">
        <v>23</v>
      </c>
    </row>
    <row r="1481" spans="1:11" ht="42" customHeight="1">
      <c r="A1481" s="4" t="s">
        <v>3954</v>
      </c>
      <c r="B1481" s="5" t="s">
        <v>3955</v>
      </c>
      <c r="C1481" s="5" t="s">
        <v>41</v>
      </c>
      <c r="D1481" s="5" t="s">
        <v>42</v>
      </c>
      <c r="E1481" s="5" t="s">
        <v>35</v>
      </c>
      <c r="F1481" s="9" t="s">
        <v>36</v>
      </c>
      <c r="G1481" s="9" t="s">
        <v>1294</v>
      </c>
      <c r="H1481" s="5" t="s">
        <v>21</v>
      </c>
      <c r="I1481" s="5" t="s">
        <v>3956</v>
      </c>
      <c r="J1481" s="12" t="str">
        <f>HYPERLINK("https://www.boe.es/gazeta/dias/1808/04/22/pdfs/GMD-C-1808-38.pdf#page=8","Abrir facsímil")</f>
        <v>Abrir facsímil</v>
      </c>
      <c r="K1481" s="15" t="s">
        <v>23</v>
      </c>
    </row>
    <row r="1482" spans="1:11" ht="42" customHeight="1">
      <c r="A1482" s="4" t="s">
        <v>3957</v>
      </c>
      <c r="B1482" s="5" t="s">
        <v>3958</v>
      </c>
      <c r="C1482" s="5" t="s">
        <v>33</v>
      </c>
      <c r="D1482" s="5" t="s">
        <v>34</v>
      </c>
      <c r="E1482" s="5" t="s">
        <v>19</v>
      </c>
      <c r="F1482" s="9" t="s">
        <v>949</v>
      </c>
      <c r="G1482" s="9" t="s">
        <v>199</v>
      </c>
      <c r="H1482" s="5" t="s">
        <v>21</v>
      </c>
      <c r="I1482" s="5" t="s">
        <v>3959</v>
      </c>
      <c r="J1482" s="12" t="str">
        <f>HYPERLINK("https://www.boe.es/gazeta/dias/1808/09/30/pdfs/GMD-C-1808-130.pdf#page=2","Abrir facsímil")</f>
        <v>Abrir facsímil</v>
      </c>
      <c r="K1482" s="15" t="s">
        <v>23</v>
      </c>
    </row>
    <row r="1483" spans="1:11" ht="42" customHeight="1">
      <c r="A1483" s="4" t="s">
        <v>3960</v>
      </c>
      <c r="B1483" s="5" t="s">
        <v>3961</v>
      </c>
      <c r="C1483" s="5" t="s">
        <v>41</v>
      </c>
      <c r="D1483" s="5" t="s">
        <v>42</v>
      </c>
      <c r="E1483" s="5" t="s">
        <v>19</v>
      </c>
      <c r="F1483" s="9" t="s">
        <v>59</v>
      </c>
      <c r="G1483" s="9">
        <v>1231</v>
      </c>
      <c r="H1483" s="5" t="s">
        <v>21</v>
      </c>
      <c r="I1483" s="5" t="s">
        <v>3962</v>
      </c>
      <c r="J1483" s="12" t="str">
        <f>HYPERLINK("https://www.boe.es/gazeta/dias/1808/09/30/pdfs/GMD-1808-130.pdf#page=11","Abrir facsímil")</f>
        <v>Abrir facsímil</v>
      </c>
      <c r="K1483" s="15" t="s">
        <v>23</v>
      </c>
    </row>
    <row r="1484" spans="1:11" ht="42" customHeight="1">
      <c r="A1484" s="4" t="s">
        <v>3960</v>
      </c>
      <c r="B1484" s="5" t="s">
        <v>3961</v>
      </c>
      <c r="C1484" s="5" t="s">
        <v>17</v>
      </c>
      <c r="D1484" s="5" t="s">
        <v>18</v>
      </c>
      <c r="E1484" s="5" t="s">
        <v>110</v>
      </c>
      <c r="F1484" s="9" t="s">
        <v>111</v>
      </c>
      <c r="G1484" s="9">
        <v>1383</v>
      </c>
      <c r="H1484" s="5" t="s">
        <v>21</v>
      </c>
      <c r="I1484" s="5" t="s">
        <v>3963</v>
      </c>
      <c r="J1484" s="12" t="str">
        <f>HYPERLINK("https://www.boe.es/gazeta/dias/1808/10/28/pdfs/GMD-1808-138.pdf#page=9","Abrir facsímil")</f>
        <v>Abrir facsímil</v>
      </c>
      <c r="K1484" s="15" t="s">
        <v>23</v>
      </c>
    </row>
    <row r="1485" spans="1:11" ht="42" customHeight="1">
      <c r="A1485" s="4" t="s">
        <v>3964</v>
      </c>
      <c r="B1485" s="5" t="s">
        <v>3965</v>
      </c>
      <c r="C1485" s="5" t="s">
        <v>33</v>
      </c>
      <c r="D1485" s="5" t="s">
        <v>34</v>
      </c>
      <c r="E1485" s="5" t="s">
        <v>35</v>
      </c>
      <c r="F1485" s="9" t="s">
        <v>36</v>
      </c>
      <c r="G1485" s="9" t="s">
        <v>144</v>
      </c>
      <c r="H1485" s="5" t="s">
        <v>21</v>
      </c>
      <c r="I1485" s="5" t="s">
        <v>3966</v>
      </c>
      <c r="J1485" s="12" t="str">
        <f>HYPERLINK("https://www.boe.es/gazeta/dias/1808/04/22/pdfs/GMD-C-1808-38.pdf#page=40","Abrir facsímil")</f>
        <v>Abrir facsímil</v>
      </c>
      <c r="K1485" s="15" t="s">
        <v>23</v>
      </c>
    </row>
    <row r="1486" spans="1:11" ht="42" customHeight="1">
      <c r="A1486" s="4" t="s">
        <v>3967</v>
      </c>
      <c r="B1486" s="5" t="s">
        <v>3968</v>
      </c>
      <c r="C1486" s="5" t="s">
        <v>41</v>
      </c>
      <c r="D1486" s="5" t="s">
        <v>42</v>
      </c>
      <c r="E1486" s="5" t="s">
        <v>1385</v>
      </c>
      <c r="F1486" s="9" t="s">
        <v>1386</v>
      </c>
      <c r="G1486" s="9">
        <v>234</v>
      </c>
      <c r="H1486" s="5" t="s">
        <v>21</v>
      </c>
      <c r="I1486" s="5" t="s">
        <v>3969</v>
      </c>
      <c r="J1486" s="12" t="str">
        <f>HYPERLINK("https://www.boe.es/gazeta/dias/1808/03/04/pdfs/GMD-1808-19.pdf#page=12","Abrir facsímil")</f>
        <v>Abrir facsímil</v>
      </c>
      <c r="K1486" s="15" t="s">
        <v>23</v>
      </c>
    </row>
    <row r="1487" spans="1:11" ht="42" customHeight="1">
      <c r="A1487" s="4" t="s">
        <v>3970</v>
      </c>
      <c r="B1487" s="5" t="s">
        <v>3971</v>
      </c>
      <c r="C1487" s="5" t="s">
        <v>33</v>
      </c>
      <c r="D1487" s="5" t="s">
        <v>34</v>
      </c>
      <c r="E1487" s="5" t="s">
        <v>35</v>
      </c>
      <c r="F1487" s="9" t="s">
        <v>36</v>
      </c>
      <c r="G1487" s="9" t="s">
        <v>414</v>
      </c>
      <c r="H1487" s="5" t="s">
        <v>21</v>
      </c>
      <c r="I1487" s="5" t="s">
        <v>3972</v>
      </c>
      <c r="J1487" s="12" t="str">
        <f>HYPERLINK("https://www.boe.es/gazeta/dias/1808/04/22/pdfs/GMD-C-1808-38.pdf#page=20","Abrir facsímil")</f>
        <v>Abrir facsímil</v>
      </c>
      <c r="K1487" s="15" t="s">
        <v>23</v>
      </c>
    </row>
    <row r="1488" spans="1:11" ht="42" customHeight="1">
      <c r="A1488" s="4" t="s">
        <v>3973</v>
      </c>
      <c r="B1488" s="5" t="s">
        <v>3974</v>
      </c>
      <c r="C1488" s="5" t="s">
        <v>94</v>
      </c>
      <c r="D1488" s="5" t="s">
        <v>95</v>
      </c>
      <c r="E1488" s="5" t="s">
        <v>264</v>
      </c>
      <c r="F1488" s="9" t="s">
        <v>2256</v>
      </c>
      <c r="G1488" s="9">
        <v>1565</v>
      </c>
      <c r="H1488" s="5" t="s">
        <v>21</v>
      </c>
      <c r="I1488" s="5" t="s">
        <v>3975</v>
      </c>
      <c r="J1488" s="12" t="str">
        <f>HYPERLINK("https://www.boe.es/gazeta/dias/1808/11/29/pdfs/GMD-1808-148.pdf#page=11","Abrir facsímil")</f>
        <v>Abrir facsímil</v>
      </c>
      <c r="K1488" s="15" t="s">
        <v>23</v>
      </c>
    </row>
    <row r="1489" spans="1:11" ht="42" customHeight="1">
      <c r="A1489" s="4" t="s">
        <v>3976</v>
      </c>
      <c r="B1489" s="5" t="s">
        <v>3977</v>
      </c>
      <c r="C1489" s="5" t="s">
        <v>389</v>
      </c>
      <c r="D1489" s="5" t="s">
        <v>390</v>
      </c>
      <c r="E1489" s="5" t="s">
        <v>832</v>
      </c>
      <c r="F1489" s="9" t="s">
        <v>833</v>
      </c>
      <c r="G1489" s="9">
        <v>521</v>
      </c>
      <c r="H1489" s="5" t="s">
        <v>21</v>
      </c>
      <c r="I1489" s="5" t="s">
        <v>3978</v>
      </c>
      <c r="J1489" s="12" t="str">
        <f>HYPERLINK("https://www.boe.es/gazeta/dias/1808/05/31/pdfs/GMD-1808-52.pdf#page=11","Abrir facsímil")</f>
        <v>Abrir facsímil</v>
      </c>
      <c r="K1489" s="15" t="s">
        <v>23</v>
      </c>
    </row>
    <row r="1490" spans="1:11" ht="42" customHeight="1">
      <c r="A1490" s="4" t="s">
        <v>3976</v>
      </c>
      <c r="B1490" s="5" t="s">
        <v>3977</v>
      </c>
      <c r="C1490" s="5" t="s">
        <v>389</v>
      </c>
      <c r="D1490" s="5" t="s">
        <v>390</v>
      </c>
      <c r="E1490" s="5" t="s">
        <v>139</v>
      </c>
      <c r="F1490" s="9" t="s">
        <v>140</v>
      </c>
      <c r="G1490" s="9">
        <v>1204</v>
      </c>
      <c r="H1490" s="5" t="s">
        <v>21</v>
      </c>
      <c r="I1490" s="5" t="s">
        <v>3979</v>
      </c>
      <c r="J1490" s="12" t="str">
        <f>HYPERLINK("https://www.boe.es/gazeta/dias/1808/09/23/pdfs/GMD-1808-127.pdf#page=12","Abrir facsímil")</f>
        <v>Abrir facsímil</v>
      </c>
      <c r="K1490" s="15" t="s">
        <v>23</v>
      </c>
    </row>
    <row r="1491" spans="1:11" ht="42" customHeight="1">
      <c r="A1491" s="4" t="s">
        <v>3980</v>
      </c>
      <c r="B1491" s="5" t="s">
        <v>3981</v>
      </c>
      <c r="C1491" s="5" t="s">
        <v>260</v>
      </c>
      <c r="D1491" s="5" t="s">
        <v>42</v>
      </c>
      <c r="E1491" s="5" t="s">
        <v>3381</v>
      </c>
      <c r="F1491" s="9" t="s">
        <v>3382</v>
      </c>
      <c r="G1491" s="9">
        <v>370</v>
      </c>
      <c r="H1491" s="5" t="s">
        <v>21</v>
      </c>
      <c r="I1491" s="5" t="s">
        <v>3982</v>
      </c>
      <c r="J1491" s="12" t="str">
        <f>HYPERLINK("https://www.boe.es/gazeta/dias/1808/04/12/pdfs/GMD-1808-34.pdf#page=8","Abrir facsímil")</f>
        <v>Abrir facsímil</v>
      </c>
      <c r="K1491" s="15" t="s">
        <v>23</v>
      </c>
    </row>
    <row r="1492" spans="1:11" ht="42" customHeight="1">
      <c r="A1492" s="4" t="s">
        <v>3983</v>
      </c>
      <c r="B1492" s="5" t="s">
        <v>3984</v>
      </c>
      <c r="C1492" s="5" t="s">
        <v>33</v>
      </c>
      <c r="D1492" s="5" t="s">
        <v>34</v>
      </c>
      <c r="E1492" s="5" t="s">
        <v>197</v>
      </c>
      <c r="F1492" s="9" t="s">
        <v>198</v>
      </c>
      <c r="G1492" s="9" t="s">
        <v>117</v>
      </c>
      <c r="H1492" s="5" t="s">
        <v>21</v>
      </c>
      <c r="I1492" s="5" t="s">
        <v>3985</v>
      </c>
      <c r="J1492" s="12" t="str">
        <f>HYPERLINK("https://www.boe.es/gazeta/dias/1808/11/01/pdfs/GMD-D-1808-140.pdf#page=1","Abrir facsímil")</f>
        <v>Abrir facsímil</v>
      </c>
      <c r="K1492" s="15" t="s">
        <v>23</v>
      </c>
    </row>
    <row r="1493" spans="1:11" ht="42" customHeight="1">
      <c r="A1493" s="4" t="s">
        <v>3986</v>
      </c>
      <c r="B1493" s="5" t="s">
        <v>3987</v>
      </c>
      <c r="C1493" s="5" t="s">
        <v>33</v>
      </c>
      <c r="D1493" s="5" t="s">
        <v>34</v>
      </c>
      <c r="E1493" s="5" t="s">
        <v>125</v>
      </c>
      <c r="F1493" s="9" t="s">
        <v>126</v>
      </c>
      <c r="G1493" s="9" t="s">
        <v>75</v>
      </c>
      <c r="H1493" s="5" t="s">
        <v>21</v>
      </c>
      <c r="I1493" s="5" t="s">
        <v>3988</v>
      </c>
      <c r="J1493" s="12" t="str">
        <f>HYPERLINK("https://www.boe.es/gazeta/dias/1808/10/07/pdfs/GMD-C-1808-132.pdf#page=4","Abrir facsímil")</f>
        <v>Abrir facsímil</v>
      </c>
      <c r="K1493" s="15" t="s">
        <v>23</v>
      </c>
    </row>
    <row r="1494" spans="1:11" ht="42" customHeight="1">
      <c r="A1494" s="4" t="s">
        <v>3989</v>
      </c>
      <c r="B1494" s="5" t="s">
        <v>3990</v>
      </c>
      <c r="C1494" s="5" t="s">
        <v>33</v>
      </c>
      <c r="D1494" s="5" t="s">
        <v>34</v>
      </c>
      <c r="E1494" s="5" t="s">
        <v>35</v>
      </c>
      <c r="F1494" s="9" t="s">
        <v>36</v>
      </c>
      <c r="G1494" s="9" t="s">
        <v>162</v>
      </c>
      <c r="H1494" s="5" t="s">
        <v>21</v>
      </c>
      <c r="I1494" s="5" t="s">
        <v>3991</v>
      </c>
      <c r="J1494" s="12" t="str">
        <f>HYPERLINK("https://www.boe.es/gazeta/dias/1808/04/22/pdfs/GMD-C-1808-38.pdf#page=31","Abrir facsímil")</f>
        <v>Abrir facsímil</v>
      </c>
      <c r="K1494" s="15" t="s">
        <v>23</v>
      </c>
    </row>
    <row r="1495" spans="1:11" ht="42" customHeight="1">
      <c r="A1495" s="4" t="s">
        <v>3989</v>
      </c>
      <c r="B1495" s="5" t="s">
        <v>3990</v>
      </c>
      <c r="C1495" s="5" t="s">
        <v>41</v>
      </c>
      <c r="D1495" s="5" t="s">
        <v>42</v>
      </c>
      <c r="E1495" s="5" t="s">
        <v>19</v>
      </c>
      <c r="F1495" s="9" t="s">
        <v>59</v>
      </c>
      <c r="G1495" s="9">
        <v>1230</v>
      </c>
      <c r="H1495" s="5" t="s">
        <v>21</v>
      </c>
      <c r="I1495" s="5" t="s">
        <v>3992</v>
      </c>
      <c r="J1495" s="12" t="str">
        <f>HYPERLINK("https://www.boe.es/gazeta/dias/1808/09/30/pdfs/GMD-1808-130.pdf#page=10","Abrir facsímil")</f>
        <v>Abrir facsímil</v>
      </c>
      <c r="K1495" s="15" t="s">
        <v>23</v>
      </c>
    </row>
    <row r="1496" spans="1:11" ht="42" customHeight="1">
      <c r="A1496" s="4" t="s">
        <v>3993</v>
      </c>
      <c r="B1496" s="5" t="s">
        <v>3994</v>
      </c>
      <c r="C1496" s="5" t="s">
        <v>101</v>
      </c>
      <c r="D1496" s="5" t="s">
        <v>102</v>
      </c>
      <c r="E1496" s="5" t="s">
        <v>290</v>
      </c>
      <c r="F1496" s="9" t="s">
        <v>291</v>
      </c>
      <c r="G1496" s="9">
        <v>1055</v>
      </c>
      <c r="H1496" s="5" t="s">
        <v>21</v>
      </c>
      <c r="I1496" s="5" t="s">
        <v>3995</v>
      </c>
      <c r="J1496" s="12" t="str">
        <f>HYPERLINK("https://www.boe.es/gazeta/dias/1808/08/23/pdfs/GMD-1808-116.pdf#page=1","Abrir facsímil")</f>
        <v>Abrir facsímil</v>
      </c>
      <c r="K1496" s="15" t="s">
        <v>23</v>
      </c>
    </row>
    <row r="1497" spans="1:11" ht="42" customHeight="1">
      <c r="A1497" s="4" t="s">
        <v>3996</v>
      </c>
      <c r="B1497" s="5" t="s">
        <v>3997</v>
      </c>
      <c r="C1497" s="5" t="s">
        <v>17</v>
      </c>
      <c r="D1497" s="5" t="s">
        <v>18</v>
      </c>
      <c r="E1497" s="5" t="s">
        <v>461</v>
      </c>
      <c r="F1497" s="9" t="s">
        <v>733</v>
      </c>
      <c r="G1497" s="9">
        <v>1447</v>
      </c>
      <c r="H1497" s="5" t="s">
        <v>21</v>
      </c>
      <c r="I1497" s="5" t="s">
        <v>3998</v>
      </c>
      <c r="J1497" s="12" t="str">
        <f>HYPERLINK("https://www.boe.es/gazeta/dias/1808/11/08/pdfs/GMD-1808-142.pdf#page=9","Abrir facsímil")</f>
        <v>Abrir facsímil</v>
      </c>
      <c r="K1497" s="15" t="s">
        <v>23</v>
      </c>
    </row>
    <row r="1498" spans="1:11" ht="42" customHeight="1">
      <c r="A1498" s="4" t="s">
        <v>3999</v>
      </c>
      <c r="B1498" s="5" t="s">
        <v>4000</v>
      </c>
      <c r="C1498" s="5" t="s">
        <v>17</v>
      </c>
      <c r="D1498" s="5" t="s">
        <v>18</v>
      </c>
      <c r="E1498" s="5" t="s">
        <v>522</v>
      </c>
      <c r="F1498" s="9" t="s">
        <v>523</v>
      </c>
      <c r="G1498" s="9">
        <v>983</v>
      </c>
      <c r="H1498" s="5" t="s">
        <v>21</v>
      </c>
      <c r="I1498" s="5" t="s">
        <v>4001</v>
      </c>
      <c r="J1498" s="12" t="str">
        <f>HYPERLINK("https://www.boe.es/gazeta/dias/1808/08/07/pdfs/GMD-1808-110.pdf#page=5","Abrir facsímil")</f>
        <v>Abrir facsímil</v>
      </c>
      <c r="K1498" s="15" t="s">
        <v>23</v>
      </c>
    </row>
    <row r="1499" spans="1:11" ht="42" customHeight="1">
      <c r="A1499" s="4" t="s">
        <v>3999</v>
      </c>
      <c r="B1499" s="5" t="s">
        <v>4000</v>
      </c>
      <c r="C1499" s="5" t="s">
        <v>33</v>
      </c>
      <c r="D1499" s="5" t="s">
        <v>34</v>
      </c>
      <c r="E1499" s="5" t="s">
        <v>89</v>
      </c>
      <c r="F1499" s="9" t="s">
        <v>563</v>
      </c>
      <c r="G1499" s="9" t="s">
        <v>75</v>
      </c>
      <c r="H1499" s="5" t="s">
        <v>21</v>
      </c>
      <c r="I1499" s="5" t="s">
        <v>4002</v>
      </c>
      <c r="J1499" s="12" t="str">
        <f>HYPERLINK("https://www.boe.es/gazeta/dias/1808/10/25/pdfs/GMD-D-1808-137.pdf#page=4","Abrir facsímil")</f>
        <v>Abrir facsímil</v>
      </c>
      <c r="K1499" s="15" t="s">
        <v>23</v>
      </c>
    </row>
    <row r="1500" spans="1:11" ht="42" customHeight="1">
      <c r="A1500" s="4" t="s">
        <v>3999</v>
      </c>
      <c r="B1500" s="5" t="s">
        <v>4000</v>
      </c>
      <c r="C1500" s="5" t="s">
        <v>17</v>
      </c>
      <c r="D1500" s="5" t="s">
        <v>18</v>
      </c>
      <c r="E1500" s="5" t="s">
        <v>130</v>
      </c>
      <c r="F1500" s="9" t="s">
        <v>131</v>
      </c>
      <c r="G1500" s="9">
        <v>1603</v>
      </c>
      <c r="H1500" s="5" t="s">
        <v>21</v>
      </c>
      <c r="I1500" s="5" t="s">
        <v>4003</v>
      </c>
      <c r="J1500" s="12" t="str">
        <f>HYPERLINK("https://www.boe.es/gazeta/dias/1808/12/15/pdfs/GMD-1808-155.pdf#page=7","Abrir facsímil")</f>
        <v>Abrir facsímil</v>
      </c>
      <c r="K1500" s="15" t="s">
        <v>23</v>
      </c>
    </row>
    <row r="1501" spans="1:11" ht="42" customHeight="1">
      <c r="A1501" s="4" t="s">
        <v>4004</v>
      </c>
      <c r="B1501" s="5" t="s">
        <v>4005</v>
      </c>
      <c r="C1501" s="5" t="s">
        <v>94</v>
      </c>
      <c r="D1501" s="5" t="s">
        <v>95</v>
      </c>
      <c r="E1501" s="5" t="s">
        <v>877</v>
      </c>
      <c r="F1501" s="9" t="s">
        <v>878</v>
      </c>
      <c r="G1501" s="9">
        <v>119</v>
      </c>
      <c r="H1501" s="5" t="s">
        <v>21</v>
      </c>
      <c r="I1501" s="5" t="s">
        <v>4006</v>
      </c>
      <c r="J1501" s="12" t="str">
        <f>HYPERLINK("https://www.boe.es/gazeta/dias/1808/02/02/pdfs/GMD-1808-10.pdf#page=11","Abrir facsímil")</f>
        <v>Abrir facsímil</v>
      </c>
      <c r="K1501" s="15" t="s">
        <v>23</v>
      </c>
    </row>
    <row r="1502" spans="1:11" ht="42" customHeight="1">
      <c r="A1502" s="4" t="s">
        <v>4007</v>
      </c>
      <c r="B1502" s="5" t="s">
        <v>4008</v>
      </c>
      <c r="C1502" s="5" t="s">
        <v>33</v>
      </c>
      <c r="D1502" s="5" t="s">
        <v>34</v>
      </c>
      <c r="E1502" s="5" t="s">
        <v>35</v>
      </c>
      <c r="F1502" s="9" t="s">
        <v>36</v>
      </c>
      <c r="G1502" s="9" t="s">
        <v>795</v>
      </c>
      <c r="H1502" s="5" t="s">
        <v>21</v>
      </c>
      <c r="I1502" s="5" t="s">
        <v>4009</v>
      </c>
      <c r="J1502" s="12" t="str">
        <f>HYPERLINK("https://www.boe.es/gazeta/dias/1808/04/22/pdfs/GMD-C-1808-38.pdf#page=21","Abrir facsímil")</f>
        <v>Abrir facsímil</v>
      </c>
      <c r="K1502" s="15" t="s">
        <v>23</v>
      </c>
    </row>
    <row r="1503" spans="1:11" ht="42" customHeight="1">
      <c r="A1503" s="4" t="s">
        <v>4010</v>
      </c>
      <c r="B1503" s="5" t="s">
        <v>4011</v>
      </c>
      <c r="C1503" s="5" t="s">
        <v>41</v>
      </c>
      <c r="D1503" s="5" t="s">
        <v>42</v>
      </c>
      <c r="E1503" s="5" t="s">
        <v>19</v>
      </c>
      <c r="F1503" s="9" t="s">
        <v>59</v>
      </c>
      <c r="G1503" s="9">
        <v>1231</v>
      </c>
      <c r="H1503" s="5" t="s">
        <v>21</v>
      </c>
      <c r="I1503" s="5" t="s">
        <v>4012</v>
      </c>
      <c r="J1503" s="12" t="str">
        <f>HYPERLINK("https://www.boe.es/gazeta/dias/1808/09/30/pdfs/GMD-1808-130.pdf#page=11","Abrir facsímil")</f>
        <v>Abrir facsímil</v>
      </c>
      <c r="K1503" s="15" t="s">
        <v>23</v>
      </c>
    </row>
    <row r="1504" spans="1:11" ht="42" customHeight="1">
      <c r="A1504" s="4" t="s">
        <v>4010</v>
      </c>
      <c r="B1504" s="5" t="s">
        <v>4011</v>
      </c>
      <c r="C1504" s="5" t="s">
        <v>33</v>
      </c>
      <c r="D1504" s="5" t="s">
        <v>34</v>
      </c>
      <c r="E1504" s="5" t="s">
        <v>28</v>
      </c>
      <c r="F1504" s="9" t="s">
        <v>446</v>
      </c>
      <c r="G1504" s="9" t="s">
        <v>75</v>
      </c>
      <c r="H1504" s="5" t="s">
        <v>21</v>
      </c>
      <c r="I1504" s="5" t="s">
        <v>4013</v>
      </c>
      <c r="J1504" s="12" t="str">
        <f>HYPERLINK("https://www.boe.es/gazeta/dias/1808/11/04/pdfs/GMD-D-1808-141.pdf#page=4","Abrir facsímil")</f>
        <v>Abrir facsímil</v>
      </c>
      <c r="K1504" s="15" t="s">
        <v>23</v>
      </c>
    </row>
    <row r="1505" spans="1:11" ht="42" customHeight="1">
      <c r="A1505" s="4" t="s">
        <v>4014</v>
      </c>
      <c r="B1505" s="5" t="s">
        <v>4015</v>
      </c>
      <c r="C1505" s="5" t="s">
        <v>33</v>
      </c>
      <c r="D1505" s="5" t="s">
        <v>34</v>
      </c>
      <c r="E1505" s="5" t="s">
        <v>35</v>
      </c>
      <c r="F1505" s="9" t="s">
        <v>36</v>
      </c>
      <c r="G1505" s="9" t="s">
        <v>1860</v>
      </c>
      <c r="H1505" s="5" t="s">
        <v>21</v>
      </c>
      <c r="I1505" s="5" t="s">
        <v>4016</v>
      </c>
      <c r="J1505" s="12" t="str">
        <f>HYPERLINK("https://www.boe.es/gazeta/dias/1808/04/22/pdfs/GMD-C-1808-38.pdf#page=37","Abrir facsímil")</f>
        <v>Abrir facsímil</v>
      </c>
      <c r="K1505" s="15" t="s">
        <v>23</v>
      </c>
    </row>
    <row r="1506" spans="1:11" ht="42" customHeight="1">
      <c r="A1506" s="4" t="s">
        <v>4017</v>
      </c>
      <c r="B1506" s="5" t="s">
        <v>4018</v>
      </c>
      <c r="C1506" s="5" t="s">
        <v>17</v>
      </c>
      <c r="D1506" s="5" t="s">
        <v>18</v>
      </c>
      <c r="E1506" s="5" t="s">
        <v>65</v>
      </c>
      <c r="F1506" s="9" t="s">
        <v>66</v>
      </c>
      <c r="G1506" s="9">
        <v>1311</v>
      </c>
      <c r="H1506" s="5" t="s">
        <v>21</v>
      </c>
      <c r="I1506" s="5" t="s">
        <v>4019</v>
      </c>
      <c r="J1506" s="12" t="str">
        <f>HYPERLINK("https://www.boe.es/gazeta/dias/1808/10/18/pdfs/GMD-1808-135.pdf#page=11","Abrir facsímil")</f>
        <v>Abrir facsímil</v>
      </c>
      <c r="K1506" s="15" t="s">
        <v>23</v>
      </c>
    </row>
    <row r="1507" spans="1:11" ht="42" customHeight="1">
      <c r="A1507" s="4" t="s">
        <v>4020</v>
      </c>
      <c r="B1507" s="5" t="s">
        <v>4021</v>
      </c>
      <c r="C1507" s="5" t="s">
        <v>41</v>
      </c>
      <c r="D1507" s="5" t="s">
        <v>42</v>
      </c>
      <c r="E1507" s="5" t="s">
        <v>1466</v>
      </c>
      <c r="F1507" s="9" t="s">
        <v>1467</v>
      </c>
      <c r="G1507" s="9">
        <v>58</v>
      </c>
      <c r="H1507" s="5" t="s">
        <v>21</v>
      </c>
      <c r="I1507" s="5" t="s">
        <v>4022</v>
      </c>
      <c r="J1507" s="12" t="str">
        <f>HYPERLINK("https://www.boe.es/gazeta/dias/1808/01/15/pdfs/GMD-1808-5.pdf#page=10","Abrir facsímil")</f>
        <v>Abrir facsímil</v>
      </c>
      <c r="K1507" s="15" t="s">
        <v>23</v>
      </c>
    </row>
    <row r="1508" spans="1:11" ht="42" customHeight="1">
      <c r="A1508" s="4" t="s">
        <v>4020</v>
      </c>
      <c r="B1508" s="5" t="s">
        <v>4021</v>
      </c>
      <c r="C1508" s="5" t="s">
        <v>41</v>
      </c>
      <c r="D1508" s="5" t="s">
        <v>42</v>
      </c>
      <c r="E1508" s="5" t="s">
        <v>207</v>
      </c>
      <c r="F1508" s="9" t="s">
        <v>208</v>
      </c>
      <c r="G1508" s="9">
        <v>196</v>
      </c>
      <c r="H1508" s="5" t="s">
        <v>21</v>
      </c>
      <c r="I1508" s="5" t="s">
        <v>4023</v>
      </c>
      <c r="J1508" s="12" t="str">
        <f>HYPERLINK("https://www.boe.es/gazeta/dias/1808/02/23/pdfs/GMD-1808-16.pdf#page=10","Abrir facsímil")</f>
        <v>Abrir facsímil</v>
      </c>
      <c r="K1508" s="15" t="s">
        <v>23</v>
      </c>
    </row>
    <row r="1509" spans="1:11" ht="42" customHeight="1">
      <c r="A1509" s="4" t="s">
        <v>4024</v>
      </c>
      <c r="B1509" s="5" t="s">
        <v>4025</v>
      </c>
      <c r="C1509" s="5" t="s">
        <v>94</v>
      </c>
      <c r="D1509" s="5" t="s">
        <v>95</v>
      </c>
      <c r="E1509" s="5" t="s">
        <v>363</v>
      </c>
      <c r="F1509" s="9" t="s">
        <v>1224</v>
      </c>
      <c r="G1509" s="9">
        <v>1189</v>
      </c>
      <c r="H1509" s="5" t="s">
        <v>21</v>
      </c>
      <c r="I1509" s="5" t="s">
        <v>4026</v>
      </c>
      <c r="J1509" s="12" t="str">
        <f>HYPERLINK("https://www.boe.es/gazeta/dias/1808/09/20/pdfs/GMD-1808-126.pdf#page=9","Abrir facsímil")</f>
        <v>Abrir facsímil</v>
      </c>
      <c r="K1509" s="15" t="s">
        <v>23</v>
      </c>
    </row>
    <row r="1510" spans="1:11" ht="42" customHeight="1">
      <c r="A1510" s="4" t="s">
        <v>4027</v>
      </c>
      <c r="B1510" s="5" t="s">
        <v>4028</v>
      </c>
      <c r="C1510" s="5" t="s">
        <v>94</v>
      </c>
      <c r="D1510" s="5" t="s">
        <v>95</v>
      </c>
      <c r="E1510" s="5" t="s">
        <v>125</v>
      </c>
      <c r="F1510" s="9" t="s">
        <v>126</v>
      </c>
      <c r="G1510" s="9" t="s">
        <v>117</v>
      </c>
      <c r="H1510" s="5" t="s">
        <v>21</v>
      </c>
      <c r="I1510" s="5" t="s">
        <v>4029</v>
      </c>
      <c r="J1510" s="12" t="str">
        <f>HYPERLINK("https://www.boe.es/gazeta/dias/1808/10/07/pdfs/GMD-C-1808-132.pdf#page=1","Abrir facsímil")</f>
        <v>Abrir facsímil</v>
      </c>
      <c r="K1510" s="15" t="s">
        <v>23</v>
      </c>
    </row>
    <row r="1511" spans="1:11" ht="42" customHeight="1">
      <c r="A1511" s="4" t="s">
        <v>4030</v>
      </c>
      <c r="B1511" s="5" t="s">
        <v>4031</v>
      </c>
      <c r="C1511" s="5" t="s">
        <v>17</v>
      </c>
      <c r="D1511" s="5" t="s">
        <v>18</v>
      </c>
      <c r="E1511" s="5" t="s">
        <v>3097</v>
      </c>
      <c r="F1511" s="9" t="s">
        <v>3098</v>
      </c>
      <c r="G1511" s="9">
        <v>830</v>
      </c>
      <c r="H1511" s="5" t="s">
        <v>21</v>
      </c>
      <c r="I1511" s="5" t="s">
        <v>4032</v>
      </c>
      <c r="J1511" s="12" t="str">
        <f>HYPERLINK("https://www.boe.es/gazeta/dias/1808/07/17/pdfs/GMD-1808-89.pdf#page=8","Abrir facsímil")</f>
        <v>Abrir facsímil</v>
      </c>
      <c r="K1511" s="15" t="s">
        <v>23</v>
      </c>
    </row>
    <row r="1512" spans="1:11" ht="42" customHeight="1">
      <c r="A1512" s="4" t="s">
        <v>4030</v>
      </c>
      <c r="B1512" s="5" t="s">
        <v>4031</v>
      </c>
      <c r="C1512" s="5" t="s">
        <v>33</v>
      </c>
      <c r="D1512" s="5" t="s">
        <v>34</v>
      </c>
      <c r="E1512" s="5" t="s">
        <v>427</v>
      </c>
      <c r="F1512" s="9" t="s">
        <v>428</v>
      </c>
      <c r="G1512" s="9" t="s">
        <v>199</v>
      </c>
      <c r="H1512" s="5" t="s">
        <v>21</v>
      </c>
      <c r="I1512" s="5" t="s">
        <v>4033</v>
      </c>
      <c r="J1512" s="12" t="str">
        <f>HYPERLINK("https://www.boe.es/gazeta/dias/1808/11/22/pdfs/GMD-D-1808-146.pdf#page=2","Abrir facsímil")</f>
        <v>Abrir facsímil</v>
      </c>
      <c r="K1512" s="15" t="s">
        <v>23</v>
      </c>
    </row>
    <row r="1513" spans="1:11" ht="42" customHeight="1">
      <c r="A1513" s="4" t="s">
        <v>4034</v>
      </c>
      <c r="B1513" s="5" t="s">
        <v>4035</v>
      </c>
      <c r="C1513" s="5" t="s">
        <v>17</v>
      </c>
      <c r="D1513" s="5" t="s">
        <v>18</v>
      </c>
      <c r="E1513" s="5" t="s">
        <v>197</v>
      </c>
      <c r="F1513" s="9" t="s">
        <v>790</v>
      </c>
      <c r="G1513" s="9">
        <v>1404</v>
      </c>
      <c r="H1513" s="5" t="s">
        <v>21</v>
      </c>
      <c r="I1513" s="5" t="s">
        <v>4036</v>
      </c>
      <c r="J1513" s="12" t="str">
        <f>HYPERLINK("https://www.boe.es/gazeta/dias/1808/11/01/pdfs/GMD-1808-140.pdf#page=6","Abrir facsímil")</f>
        <v>Abrir facsímil</v>
      </c>
      <c r="K1513" s="15" t="s">
        <v>23</v>
      </c>
    </row>
    <row r="1514" spans="1:11" ht="42" customHeight="1">
      <c r="A1514" s="4" t="s">
        <v>4037</v>
      </c>
      <c r="B1514" s="5" t="s">
        <v>4038</v>
      </c>
      <c r="C1514" s="5" t="s">
        <v>33</v>
      </c>
      <c r="D1514" s="5" t="s">
        <v>34</v>
      </c>
      <c r="E1514" s="5" t="s">
        <v>35</v>
      </c>
      <c r="F1514" s="9" t="s">
        <v>36</v>
      </c>
      <c r="G1514" s="9" t="s">
        <v>924</v>
      </c>
      <c r="H1514" s="5" t="s">
        <v>21</v>
      </c>
      <c r="I1514" s="5" t="s">
        <v>4039</v>
      </c>
      <c r="J1514" s="12" t="str">
        <f>HYPERLINK("https://www.boe.es/gazeta/dias/1808/04/22/pdfs/GMD-C-1808-38.pdf#page=27","Abrir facsímil")</f>
        <v>Abrir facsímil</v>
      </c>
      <c r="K1514" s="15" t="s">
        <v>23</v>
      </c>
    </row>
    <row r="1515" spans="1:11" ht="42" customHeight="1">
      <c r="A1515" s="4" t="s">
        <v>4040</v>
      </c>
      <c r="B1515" s="5" t="s">
        <v>4041</v>
      </c>
      <c r="C1515" s="5" t="s">
        <v>41</v>
      </c>
      <c r="D1515" s="5" t="s">
        <v>42</v>
      </c>
      <c r="E1515" s="5" t="s">
        <v>539</v>
      </c>
      <c r="F1515" s="9" t="s">
        <v>540</v>
      </c>
      <c r="G1515" s="9">
        <v>1117</v>
      </c>
      <c r="H1515" s="5" t="s">
        <v>21</v>
      </c>
      <c r="I1515" s="5" t="s">
        <v>4042</v>
      </c>
      <c r="J1515" s="12" t="str">
        <f>HYPERLINK("https://www.boe.es/gazeta/dias/1808/09/02/pdfs/GMD-1808-119.pdf#page=11","Abrir facsímil")</f>
        <v>Abrir facsímil</v>
      </c>
      <c r="K1515" s="15" t="s">
        <v>23</v>
      </c>
    </row>
    <row r="1516" spans="1:11" ht="42" customHeight="1">
      <c r="A1516" s="4" t="s">
        <v>4043</v>
      </c>
      <c r="B1516" s="5" t="s">
        <v>4044</v>
      </c>
      <c r="C1516" s="5" t="s">
        <v>33</v>
      </c>
      <c r="D1516" s="5" t="s">
        <v>34</v>
      </c>
      <c r="E1516" s="5" t="s">
        <v>35</v>
      </c>
      <c r="F1516" s="9" t="s">
        <v>36</v>
      </c>
      <c r="G1516" s="9" t="s">
        <v>443</v>
      </c>
      <c r="H1516" s="5" t="s">
        <v>21</v>
      </c>
      <c r="I1516" s="5" t="s">
        <v>4045</v>
      </c>
      <c r="J1516" s="12" t="str">
        <f>HYPERLINK("https://www.boe.es/gazeta/dias/1808/04/22/pdfs/GMD-C-1808-38.pdf#page=16","Abrir facsímil")</f>
        <v>Abrir facsímil</v>
      </c>
      <c r="K1516" s="15" t="s">
        <v>23</v>
      </c>
    </row>
    <row r="1517" spans="1:11" ht="42" customHeight="1">
      <c r="A1517" s="4" t="s">
        <v>4046</v>
      </c>
      <c r="B1517" s="5" t="s">
        <v>4047</v>
      </c>
      <c r="C1517" s="5" t="s">
        <v>33</v>
      </c>
      <c r="D1517" s="5" t="s">
        <v>34</v>
      </c>
      <c r="E1517" s="5" t="s">
        <v>363</v>
      </c>
      <c r="F1517" s="9" t="s">
        <v>364</v>
      </c>
      <c r="G1517" s="9" t="s">
        <v>75</v>
      </c>
      <c r="H1517" s="5" t="s">
        <v>21</v>
      </c>
      <c r="I1517" s="5" t="s">
        <v>4048</v>
      </c>
      <c r="J1517" s="12" t="str">
        <f>HYPERLINK("https://www.boe.es/gazeta/dias/1808/09/20/pdfs/GMD-C-1808-126.pdf#page=4","Abrir facsímil")</f>
        <v>Abrir facsímil</v>
      </c>
      <c r="K1517" s="15" t="s">
        <v>23</v>
      </c>
    </row>
    <row r="1518" spans="1:11" ht="42" customHeight="1">
      <c r="A1518" s="4" t="s">
        <v>4049</v>
      </c>
      <c r="B1518" s="5" t="s">
        <v>4050</v>
      </c>
      <c r="C1518" s="5" t="s">
        <v>94</v>
      </c>
      <c r="D1518" s="5" t="s">
        <v>95</v>
      </c>
      <c r="E1518" s="5" t="s">
        <v>185</v>
      </c>
      <c r="F1518" s="9" t="s">
        <v>186</v>
      </c>
      <c r="G1518" s="9">
        <v>1097</v>
      </c>
      <c r="H1518" s="5" t="s">
        <v>21</v>
      </c>
      <c r="I1518" s="5" t="s">
        <v>4051</v>
      </c>
      <c r="J1518" s="12" t="str">
        <f>HYPERLINK("https://www.boe.es/gazeta/dias/1808/08/30/pdfs/GMD-1808-118.pdf#page=3","Abrir facsímil")</f>
        <v>Abrir facsímil</v>
      </c>
      <c r="K1518" s="15" t="s">
        <v>23</v>
      </c>
    </row>
    <row r="1519" spans="1:11" ht="42" customHeight="1">
      <c r="A1519" s="4" t="s">
        <v>4052</v>
      </c>
      <c r="B1519" s="5" t="s">
        <v>4053</v>
      </c>
      <c r="C1519" s="5" t="s">
        <v>33</v>
      </c>
      <c r="D1519" s="5" t="s">
        <v>34</v>
      </c>
      <c r="E1519" s="5" t="s">
        <v>35</v>
      </c>
      <c r="F1519" s="9" t="s">
        <v>36</v>
      </c>
      <c r="G1519" s="9" t="s">
        <v>814</v>
      </c>
      <c r="H1519" s="5" t="s">
        <v>21</v>
      </c>
      <c r="I1519" s="5" t="s">
        <v>4054</v>
      </c>
      <c r="J1519" s="12" t="str">
        <f>HYPERLINK("https://www.boe.es/gazeta/dias/1808/04/22/pdfs/GMD-C-1808-38.pdf#page=25","Abrir facsímil")</f>
        <v>Abrir facsímil</v>
      </c>
      <c r="K1519" s="15" t="s">
        <v>23</v>
      </c>
    </row>
    <row r="1520" spans="1:11" ht="42" customHeight="1">
      <c r="A1520" s="4" t="s">
        <v>4055</v>
      </c>
      <c r="B1520" s="5" t="s">
        <v>4056</v>
      </c>
      <c r="C1520" s="5" t="s">
        <v>33</v>
      </c>
      <c r="D1520" s="5" t="s">
        <v>34</v>
      </c>
      <c r="E1520" s="5" t="s">
        <v>35</v>
      </c>
      <c r="F1520" s="9" t="s">
        <v>36</v>
      </c>
      <c r="G1520" s="9" t="s">
        <v>1178</v>
      </c>
      <c r="H1520" s="5" t="s">
        <v>21</v>
      </c>
      <c r="I1520" s="5" t="s">
        <v>4057</v>
      </c>
      <c r="J1520" s="12" t="str">
        <f>HYPERLINK("https://www.boe.es/gazeta/dias/1808/04/22/pdfs/GMD-C-1808-38.pdf#page=9","Abrir facsímil")</f>
        <v>Abrir facsímil</v>
      </c>
      <c r="K1520" s="15" t="s">
        <v>23</v>
      </c>
    </row>
    <row r="1521" spans="1:11" ht="42" customHeight="1">
      <c r="A1521" s="4" t="s">
        <v>4058</v>
      </c>
      <c r="B1521" s="5" t="s">
        <v>4059</v>
      </c>
      <c r="C1521" s="5" t="s">
        <v>26</v>
      </c>
      <c r="D1521" s="5" t="s">
        <v>27</v>
      </c>
      <c r="E1521" s="5" t="s">
        <v>19</v>
      </c>
      <c r="F1521" s="9" t="s">
        <v>949</v>
      </c>
      <c r="G1521" s="9" t="s">
        <v>117</v>
      </c>
      <c r="H1521" s="5" t="s">
        <v>21</v>
      </c>
      <c r="I1521" s="5" t="s">
        <v>4060</v>
      </c>
      <c r="J1521" s="12" t="str">
        <f>HYPERLINK("https://www.boe.es/gazeta/dias/1808/09/30/pdfs/GMD-C-1808-130.pdf#page=1","Abrir facsímil")</f>
        <v>Abrir facsímil</v>
      </c>
      <c r="K1521" s="15" t="s">
        <v>23</v>
      </c>
    </row>
    <row r="1522" spans="1:11" ht="42" customHeight="1">
      <c r="A1522" s="4" t="s">
        <v>4061</v>
      </c>
      <c r="B1522" s="5" t="s">
        <v>4062</v>
      </c>
      <c r="C1522" s="5" t="s">
        <v>41</v>
      </c>
      <c r="D1522" s="5" t="s">
        <v>42</v>
      </c>
      <c r="E1522" s="5" t="s">
        <v>870</v>
      </c>
      <c r="F1522" s="9" t="s">
        <v>871</v>
      </c>
      <c r="G1522" s="9">
        <v>586</v>
      </c>
      <c r="H1522" s="5" t="s">
        <v>21</v>
      </c>
      <c r="I1522" s="5" t="s">
        <v>4063</v>
      </c>
      <c r="J1522" s="12" t="str">
        <f>HYPERLINK("https://www.boe.es/gazeta/dias/1808/06/17/pdfs/GMD-1808-59.pdf#page=8","Abrir facsímil")</f>
        <v>Abrir facsímil</v>
      </c>
      <c r="K1522" s="15" t="s">
        <v>23</v>
      </c>
    </row>
    <row r="1523" spans="1:11" ht="42" customHeight="1">
      <c r="A1523" s="4" t="s">
        <v>4064</v>
      </c>
      <c r="B1523" s="5" t="s">
        <v>4065</v>
      </c>
      <c r="C1523" s="5" t="s">
        <v>33</v>
      </c>
      <c r="D1523" s="5" t="s">
        <v>34</v>
      </c>
      <c r="E1523" s="5" t="s">
        <v>89</v>
      </c>
      <c r="F1523" s="9" t="s">
        <v>563</v>
      </c>
      <c r="G1523" s="9" t="s">
        <v>106</v>
      </c>
      <c r="H1523" s="5" t="s">
        <v>21</v>
      </c>
      <c r="I1523" s="5" t="s">
        <v>4066</v>
      </c>
      <c r="J1523" s="12" t="str">
        <f>HYPERLINK("https://www.boe.es/gazeta/dias/1808/10/25/pdfs/GMD-D-1808-137.pdf#page=3","Abrir facsímil")</f>
        <v>Abrir facsímil</v>
      </c>
      <c r="K1523" s="15" t="s">
        <v>23</v>
      </c>
    </row>
    <row r="1524" spans="1:11" ht="42" customHeight="1">
      <c r="A1524" s="4" t="s">
        <v>4067</v>
      </c>
      <c r="B1524" s="5" t="s">
        <v>4068</v>
      </c>
      <c r="C1524" s="5" t="s">
        <v>17</v>
      </c>
      <c r="D1524" s="5" t="s">
        <v>18</v>
      </c>
      <c r="E1524" s="5" t="s">
        <v>334</v>
      </c>
      <c r="F1524" s="9" t="s">
        <v>1814</v>
      </c>
      <c r="G1524" s="9">
        <v>1247</v>
      </c>
      <c r="H1524" s="5" t="s">
        <v>21</v>
      </c>
      <c r="I1524" s="5" t="s">
        <v>4069</v>
      </c>
      <c r="J1524" s="12" t="str">
        <f>HYPERLINK("https://www.boe.es/gazeta/dias/1808/10/04/pdfs/GMD-1808-131.pdf#page=15","Abrir facsímil")</f>
        <v>Abrir facsímil</v>
      </c>
      <c r="K1524" s="15" t="s">
        <v>23</v>
      </c>
    </row>
    <row r="1525" spans="1:11" ht="42" customHeight="1">
      <c r="A1525" s="4" t="s">
        <v>4070</v>
      </c>
      <c r="B1525" s="5" t="s">
        <v>4071</v>
      </c>
      <c r="C1525" s="5" t="s">
        <v>33</v>
      </c>
      <c r="D1525" s="5" t="s">
        <v>34</v>
      </c>
      <c r="E1525" s="5" t="s">
        <v>125</v>
      </c>
      <c r="F1525" s="9" t="s">
        <v>126</v>
      </c>
      <c r="G1525" s="9" t="s">
        <v>117</v>
      </c>
      <c r="H1525" s="5" t="s">
        <v>21</v>
      </c>
      <c r="I1525" s="5" t="s">
        <v>4072</v>
      </c>
      <c r="J1525" s="12" t="str">
        <f>HYPERLINK("https://www.boe.es/gazeta/dias/1808/10/07/pdfs/GMD-C-1808-132.pdf#page=1","Abrir facsímil")</f>
        <v>Abrir facsímil</v>
      </c>
      <c r="K1525" s="15" t="s">
        <v>23</v>
      </c>
    </row>
    <row r="1526" spans="1:11" ht="42" customHeight="1">
      <c r="A1526" s="4" t="s">
        <v>4073</v>
      </c>
      <c r="B1526" s="5" t="s">
        <v>4074</v>
      </c>
      <c r="C1526" s="5" t="s">
        <v>41</v>
      </c>
      <c r="D1526" s="5" t="s">
        <v>42</v>
      </c>
      <c r="E1526" s="5" t="s">
        <v>35</v>
      </c>
      <c r="F1526" s="9" t="s">
        <v>36</v>
      </c>
      <c r="G1526" s="9" t="s">
        <v>414</v>
      </c>
      <c r="H1526" s="5" t="s">
        <v>21</v>
      </c>
      <c r="I1526" s="5" t="s">
        <v>4075</v>
      </c>
      <c r="J1526" s="12" t="str">
        <f>HYPERLINK("https://www.boe.es/gazeta/dias/1808/04/22/pdfs/GMD-C-1808-38.pdf#page=20","Abrir facsímil")</f>
        <v>Abrir facsímil</v>
      </c>
      <c r="K1526" s="15" t="s">
        <v>23</v>
      </c>
    </row>
    <row r="1527" spans="1:11" ht="42" customHeight="1">
      <c r="A1527" s="4" t="s">
        <v>4076</v>
      </c>
      <c r="B1527" s="5" t="s">
        <v>4077</v>
      </c>
      <c r="C1527" s="5" t="s">
        <v>33</v>
      </c>
      <c r="D1527" s="5" t="s">
        <v>34</v>
      </c>
      <c r="E1527" s="5" t="s">
        <v>65</v>
      </c>
      <c r="F1527" s="9" t="s">
        <v>105</v>
      </c>
      <c r="G1527" s="9" t="s">
        <v>106</v>
      </c>
      <c r="H1527" s="5" t="s">
        <v>21</v>
      </c>
      <c r="I1527" s="5" t="s">
        <v>4078</v>
      </c>
      <c r="J1527" s="12" t="str">
        <f>HYPERLINK("https://www.boe.es/gazeta/dias/1808/10/18/pdfs/GMD-D-1808-135.pdf#page=3","Abrir facsímil")</f>
        <v>Abrir facsímil</v>
      </c>
      <c r="K1527" s="15" t="s">
        <v>23</v>
      </c>
    </row>
    <row r="1528" spans="1:11" ht="42" customHeight="1">
      <c r="A1528" s="4" t="s">
        <v>4079</v>
      </c>
      <c r="B1528" s="5" t="s">
        <v>4080</v>
      </c>
      <c r="C1528" s="5" t="s">
        <v>33</v>
      </c>
      <c r="D1528" s="5" t="s">
        <v>34</v>
      </c>
      <c r="E1528" s="5" t="s">
        <v>35</v>
      </c>
      <c r="F1528" s="9" t="s">
        <v>36</v>
      </c>
      <c r="G1528" s="9" t="s">
        <v>299</v>
      </c>
      <c r="H1528" s="5" t="s">
        <v>21</v>
      </c>
      <c r="I1528" s="5" t="s">
        <v>4081</v>
      </c>
      <c r="J1528" s="12" t="str">
        <f>HYPERLINK("https://www.boe.es/gazeta/dias/1808/04/22/pdfs/GMD-C-1808-38.pdf#page=14","Abrir facsímil")</f>
        <v>Abrir facsímil</v>
      </c>
      <c r="K1528" s="15" t="s">
        <v>23</v>
      </c>
    </row>
    <row r="1529" spans="1:11" ht="42" customHeight="1">
      <c r="A1529" s="4" t="s">
        <v>4082</v>
      </c>
      <c r="B1529" s="5" t="s">
        <v>4083</v>
      </c>
      <c r="C1529" s="5" t="s">
        <v>389</v>
      </c>
      <c r="D1529" s="5" t="s">
        <v>390</v>
      </c>
      <c r="E1529" s="5" t="s">
        <v>363</v>
      </c>
      <c r="F1529" s="9" t="s">
        <v>1224</v>
      </c>
      <c r="G1529" s="9">
        <v>1192</v>
      </c>
      <c r="H1529" s="5" t="s">
        <v>21</v>
      </c>
      <c r="I1529" s="5" t="s">
        <v>4084</v>
      </c>
      <c r="J1529" s="12" t="str">
        <f>HYPERLINK("https://www.boe.es/gazeta/dias/1808/09/20/pdfs/GMD-1808-126.pdf#page=12","Abrir facsímil")</f>
        <v>Abrir facsímil</v>
      </c>
      <c r="K1529" s="15" t="s">
        <v>23</v>
      </c>
    </row>
    <row r="1530" spans="1:11" ht="42" customHeight="1">
      <c r="A1530" s="4" t="s">
        <v>4085</v>
      </c>
      <c r="B1530" s="5" t="s">
        <v>4086</v>
      </c>
      <c r="C1530" s="5" t="s">
        <v>17</v>
      </c>
      <c r="D1530" s="5" t="s">
        <v>18</v>
      </c>
      <c r="E1530" s="5" t="s">
        <v>968</v>
      </c>
      <c r="F1530" s="9" t="s">
        <v>969</v>
      </c>
      <c r="G1530" s="9">
        <v>899</v>
      </c>
      <c r="H1530" s="5" t="s">
        <v>21</v>
      </c>
      <c r="I1530" s="5" t="s">
        <v>4087</v>
      </c>
      <c r="J1530" s="12" t="str">
        <f>HYPERLINK("https://www.boe.es/gazeta/dias/1808/07/26/pdfs/GMD-1808-98.pdf#page=5","Abrir facsímil")</f>
        <v>Abrir facsímil</v>
      </c>
      <c r="K1530" s="15" t="s">
        <v>23</v>
      </c>
    </row>
    <row r="1531" spans="1:11" ht="42" customHeight="1">
      <c r="A1531" s="4" t="s">
        <v>4088</v>
      </c>
      <c r="B1531" s="5" t="s">
        <v>4089</v>
      </c>
      <c r="C1531" s="5" t="s">
        <v>17</v>
      </c>
      <c r="D1531" s="5" t="s">
        <v>18</v>
      </c>
      <c r="E1531" s="5" t="s">
        <v>558</v>
      </c>
      <c r="F1531" s="9" t="s">
        <v>559</v>
      </c>
      <c r="G1531" s="9">
        <v>1545</v>
      </c>
      <c r="H1531" s="5" t="s">
        <v>21</v>
      </c>
      <c r="I1531" s="5" t="s">
        <v>4090</v>
      </c>
      <c r="J1531" s="12" t="str">
        <f>HYPERLINK("https://www.boe.es/gazeta/dias/1808/11/25/pdfs/GMD-1808-147.pdf#page=11","Abrir facsímil")</f>
        <v>Abrir facsímil</v>
      </c>
      <c r="K1531" s="15" t="s">
        <v>23</v>
      </c>
    </row>
    <row r="1532" spans="1:11" ht="42" customHeight="1">
      <c r="A1532" s="4" t="s">
        <v>4091</v>
      </c>
      <c r="B1532" s="5" t="s">
        <v>4092</v>
      </c>
      <c r="C1532" s="5" t="s">
        <v>17</v>
      </c>
      <c r="D1532" s="5" t="s">
        <v>18</v>
      </c>
      <c r="E1532" s="5" t="s">
        <v>180</v>
      </c>
      <c r="F1532" s="9" t="s">
        <v>2568</v>
      </c>
      <c r="G1532" s="9">
        <v>1498</v>
      </c>
      <c r="H1532" s="5" t="s">
        <v>21</v>
      </c>
      <c r="I1532" s="5" t="s">
        <v>4093</v>
      </c>
      <c r="J1532" s="12" t="str">
        <f>HYPERLINK("https://www.boe.es/gazeta/dias/1808/11/15/pdfs/GMD-1808-144.pdf#page=12","Abrir facsímil")</f>
        <v>Abrir facsímil</v>
      </c>
      <c r="K1532" s="15" t="s">
        <v>23</v>
      </c>
    </row>
    <row r="1533" spans="1:11" ht="42" customHeight="1">
      <c r="A1533" s="4" t="s">
        <v>4094</v>
      </c>
      <c r="B1533" s="5" t="s">
        <v>4095</v>
      </c>
      <c r="C1533" s="5" t="s">
        <v>41</v>
      </c>
      <c r="D1533" s="5" t="s">
        <v>42</v>
      </c>
      <c r="E1533" s="5" t="s">
        <v>110</v>
      </c>
      <c r="F1533" s="9" t="s">
        <v>828</v>
      </c>
      <c r="G1533" s="9" t="s">
        <v>117</v>
      </c>
      <c r="H1533" s="5" t="s">
        <v>21</v>
      </c>
      <c r="I1533" s="5" t="s">
        <v>4096</v>
      </c>
      <c r="J1533" s="12" t="str">
        <f>HYPERLINK("https://www.boe.es/gazeta/dias/1808/10/28/pdfs/GMD-D-1808-138.pdf#page=1","Abrir facsímil")</f>
        <v>Abrir facsímil</v>
      </c>
      <c r="K1533" s="15" t="s">
        <v>23</v>
      </c>
    </row>
    <row r="1534" spans="1:11" ht="42" customHeight="1">
      <c r="A1534" s="4" t="s">
        <v>4094</v>
      </c>
      <c r="B1534" s="5" t="s">
        <v>4095</v>
      </c>
      <c r="C1534" s="5" t="s">
        <v>17</v>
      </c>
      <c r="D1534" s="5" t="s">
        <v>18</v>
      </c>
      <c r="E1534" s="5" t="s">
        <v>558</v>
      </c>
      <c r="F1534" s="9" t="s">
        <v>559</v>
      </c>
      <c r="G1534" s="9">
        <v>1545</v>
      </c>
      <c r="H1534" s="5" t="s">
        <v>21</v>
      </c>
      <c r="I1534" s="5" t="s">
        <v>4097</v>
      </c>
      <c r="J1534" s="12" t="str">
        <f>HYPERLINK("https://www.boe.es/gazeta/dias/1808/11/25/pdfs/GMD-1808-147.pdf#page=11","Abrir facsímil")</f>
        <v>Abrir facsímil</v>
      </c>
      <c r="K1534" s="15" t="s">
        <v>23</v>
      </c>
    </row>
    <row r="1535" spans="1:11" ht="42" customHeight="1">
      <c r="A1535" s="4" t="s">
        <v>4098</v>
      </c>
      <c r="B1535" s="5" t="s">
        <v>4099</v>
      </c>
      <c r="C1535" s="5" t="s">
        <v>33</v>
      </c>
      <c r="D1535" s="5" t="s">
        <v>34</v>
      </c>
      <c r="E1535" s="5" t="s">
        <v>35</v>
      </c>
      <c r="F1535" s="9" t="s">
        <v>36</v>
      </c>
      <c r="G1535" s="9" t="s">
        <v>106</v>
      </c>
      <c r="H1535" s="5" t="s">
        <v>21</v>
      </c>
      <c r="I1535" s="5" t="s">
        <v>4100</v>
      </c>
      <c r="J1535" s="12" t="str">
        <f>HYPERLINK("https://www.boe.es/gazeta/dias/1808/04/22/pdfs/GMD-C-1808-38.pdf#page=3","Abrir facsímil")</f>
        <v>Abrir facsímil</v>
      </c>
      <c r="K1535" s="15" t="s">
        <v>23</v>
      </c>
    </row>
    <row r="1536" spans="1:11" ht="42" customHeight="1">
      <c r="A1536" s="4" t="s">
        <v>4098</v>
      </c>
      <c r="B1536" s="5" t="s">
        <v>4099</v>
      </c>
      <c r="C1536" s="5" t="s">
        <v>33</v>
      </c>
      <c r="D1536" s="5" t="s">
        <v>34</v>
      </c>
      <c r="E1536" s="5" t="s">
        <v>35</v>
      </c>
      <c r="F1536" s="9" t="s">
        <v>36</v>
      </c>
      <c r="G1536" s="9" t="s">
        <v>501</v>
      </c>
      <c r="H1536" s="5" t="s">
        <v>21</v>
      </c>
      <c r="I1536" s="5" t="s">
        <v>4101</v>
      </c>
      <c r="J1536" s="12" t="str">
        <f>HYPERLINK("https://www.boe.es/gazeta/dias/1808/04/22/pdfs/GMD-C-1808-38.pdf#page=5","Abrir facsímil")</f>
        <v>Abrir facsímil</v>
      </c>
      <c r="K1536" s="15" t="s">
        <v>23</v>
      </c>
    </row>
    <row r="1537" spans="1:11" ht="42" customHeight="1">
      <c r="A1537" s="4" t="s">
        <v>4102</v>
      </c>
      <c r="B1537" s="5" t="s">
        <v>4103</v>
      </c>
      <c r="C1537" s="5" t="s">
        <v>389</v>
      </c>
      <c r="D1537" s="5" t="s">
        <v>390</v>
      </c>
      <c r="E1537" s="5" t="s">
        <v>2555</v>
      </c>
      <c r="F1537" s="9" t="s">
        <v>2556</v>
      </c>
      <c r="G1537" s="9">
        <v>132</v>
      </c>
      <c r="H1537" s="5" t="s">
        <v>21</v>
      </c>
      <c r="I1537" s="5" t="s">
        <v>4104</v>
      </c>
      <c r="J1537" s="12" t="str">
        <f>HYPERLINK("https://www.boe.es/gazeta/dias/1808/02/05/pdfs/GMD-1808-11.pdf#page=12","Abrir facsímil")</f>
        <v>Abrir facsímil</v>
      </c>
      <c r="K1537" s="15" t="s">
        <v>23</v>
      </c>
    </row>
    <row r="1538" spans="1:11" ht="42" customHeight="1">
      <c r="A1538" s="4" t="s">
        <v>4105</v>
      </c>
      <c r="B1538" s="5" t="s">
        <v>4106</v>
      </c>
      <c r="C1538" s="5" t="s">
        <v>41</v>
      </c>
      <c r="D1538" s="5" t="s">
        <v>42</v>
      </c>
      <c r="E1538" s="5" t="s">
        <v>166</v>
      </c>
      <c r="F1538" s="9" t="s">
        <v>400</v>
      </c>
      <c r="G1538" s="9" t="s">
        <v>199</v>
      </c>
      <c r="H1538" s="5" t="s">
        <v>21</v>
      </c>
      <c r="I1538" s="5" t="s">
        <v>4107</v>
      </c>
      <c r="J1538" s="12" t="str">
        <f>HYPERLINK("https://www.boe.es/gazeta/dias/1808/11/18/pdfs/D00069-00072.pdf#page=2","Abrir facsímil")</f>
        <v>Abrir facsímil</v>
      </c>
      <c r="K1538" s="15" t="s">
        <v>23</v>
      </c>
    </row>
    <row r="1539" spans="1:11" ht="42" customHeight="1">
      <c r="A1539" s="4" t="s">
        <v>4108</v>
      </c>
      <c r="B1539" s="5" t="s">
        <v>4109</v>
      </c>
      <c r="C1539" s="5" t="s">
        <v>33</v>
      </c>
      <c r="D1539" s="5" t="s">
        <v>34</v>
      </c>
      <c r="E1539" s="5" t="s">
        <v>35</v>
      </c>
      <c r="F1539" s="9" t="s">
        <v>36</v>
      </c>
      <c r="G1539" s="9" t="s">
        <v>144</v>
      </c>
      <c r="H1539" s="5" t="s">
        <v>21</v>
      </c>
      <c r="I1539" s="5" t="s">
        <v>4110</v>
      </c>
      <c r="J1539" s="12" t="str">
        <f>HYPERLINK("https://www.boe.es/gazeta/dias/1808/04/22/pdfs/GMD-C-1808-38.pdf#page=40","Abrir facsímil")</f>
        <v>Abrir facsímil</v>
      </c>
      <c r="K1539" s="15" t="s">
        <v>23</v>
      </c>
    </row>
    <row r="1540" spans="1:11" ht="42" customHeight="1">
      <c r="A1540" s="4" t="s">
        <v>4111</v>
      </c>
      <c r="B1540" s="5" t="s">
        <v>4112</v>
      </c>
      <c r="C1540" s="5" t="s">
        <v>33</v>
      </c>
      <c r="D1540" s="5" t="s">
        <v>34</v>
      </c>
      <c r="E1540" s="5" t="s">
        <v>35</v>
      </c>
      <c r="F1540" s="9" t="s">
        <v>36</v>
      </c>
      <c r="G1540" s="9" t="s">
        <v>277</v>
      </c>
      <c r="H1540" s="5" t="s">
        <v>21</v>
      </c>
      <c r="I1540" s="5" t="s">
        <v>4113</v>
      </c>
      <c r="J1540" s="12" t="str">
        <f>HYPERLINK("https://www.boe.es/gazeta/dias/1808/04/22/pdfs/GMD-C-1808-38.pdf#page=34","Abrir facsímil")</f>
        <v>Abrir facsímil</v>
      </c>
      <c r="K1540" s="15" t="s">
        <v>23</v>
      </c>
    </row>
    <row r="1541" spans="1:11" ht="42" customHeight="1">
      <c r="A1541" s="4" t="s">
        <v>4114</v>
      </c>
      <c r="B1541" s="5" t="s">
        <v>4115</v>
      </c>
      <c r="C1541" s="5" t="s">
        <v>94</v>
      </c>
      <c r="D1541" s="5" t="s">
        <v>95</v>
      </c>
      <c r="E1541" s="5" t="s">
        <v>110</v>
      </c>
      <c r="F1541" s="9" t="s">
        <v>111</v>
      </c>
      <c r="G1541" s="9">
        <v>1383</v>
      </c>
      <c r="H1541" s="5" t="s">
        <v>21</v>
      </c>
      <c r="I1541" s="5" t="s">
        <v>4116</v>
      </c>
      <c r="J1541" s="12" t="str">
        <f>HYPERLINK("https://www.boe.es/gazeta/dias/1808/10/28/pdfs/GMD-1808-138.pdf#page=9","Abrir facsímil")</f>
        <v>Abrir facsímil</v>
      </c>
      <c r="K1541" s="15" t="s">
        <v>23</v>
      </c>
    </row>
    <row r="1542" spans="1:11" ht="42" customHeight="1">
      <c r="A1542" s="4" t="s">
        <v>4117</v>
      </c>
      <c r="B1542" s="5" t="s">
        <v>4118</v>
      </c>
      <c r="C1542" s="5" t="s">
        <v>94</v>
      </c>
      <c r="D1542" s="5" t="s">
        <v>95</v>
      </c>
      <c r="E1542" s="5" t="s">
        <v>2603</v>
      </c>
      <c r="F1542" s="9" t="s">
        <v>2604</v>
      </c>
      <c r="G1542" s="9">
        <v>665</v>
      </c>
      <c r="H1542" s="5" t="s">
        <v>21</v>
      </c>
      <c r="I1542" s="5" t="s">
        <v>4119</v>
      </c>
      <c r="J1542" s="12" t="str">
        <f>HYPERLINK("https://www.boe.es/gazeta/dias/1808/06/27/pdfs/GMD-1808-69.pdf#page=3","Abrir facsímil")</f>
        <v>Abrir facsímil</v>
      </c>
      <c r="K1542" s="15" t="s">
        <v>23</v>
      </c>
    </row>
    <row r="1543" spans="1:11" ht="42" customHeight="1">
      <c r="A1543" s="4" t="s">
        <v>4120</v>
      </c>
      <c r="B1543" s="5" t="s">
        <v>4121</v>
      </c>
      <c r="C1543" s="5" t="s">
        <v>17</v>
      </c>
      <c r="D1543" s="5" t="s">
        <v>18</v>
      </c>
      <c r="E1543" s="5" t="s">
        <v>290</v>
      </c>
      <c r="F1543" s="9" t="s">
        <v>291</v>
      </c>
      <c r="G1543" s="9">
        <v>1060</v>
      </c>
      <c r="H1543" s="5" t="s">
        <v>21</v>
      </c>
      <c r="I1543" s="5" t="s">
        <v>4122</v>
      </c>
      <c r="J1543" s="12" t="str">
        <f>HYPERLINK("https://www.boe.es/gazeta/dias/1808/08/23/pdfs/GMD-1808-116.pdf#page=6","Abrir facsímil")</f>
        <v>Abrir facsímil</v>
      </c>
      <c r="K1543" s="15" t="s">
        <v>23</v>
      </c>
    </row>
    <row r="1544" spans="1:11" ht="42" customHeight="1">
      <c r="A1544" s="4" t="s">
        <v>4123</v>
      </c>
      <c r="B1544" s="5" t="s">
        <v>4124</v>
      </c>
      <c r="C1544" s="5" t="s">
        <v>389</v>
      </c>
      <c r="D1544" s="5" t="s">
        <v>390</v>
      </c>
      <c r="E1544" s="5" t="s">
        <v>1085</v>
      </c>
      <c r="F1544" s="9" t="s">
        <v>1086</v>
      </c>
      <c r="G1544" s="9">
        <v>108</v>
      </c>
      <c r="H1544" s="5" t="s">
        <v>21</v>
      </c>
      <c r="I1544" s="5" t="s">
        <v>4125</v>
      </c>
      <c r="J1544" s="12" t="str">
        <f>HYPERLINK("https://www.boe.es/gazeta/dias/1808/01/29/pdfs/GMD-1808-9.pdf#page=12","Abrir facsímil")</f>
        <v>Abrir facsímil</v>
      </c>
      <c r="K1544" s="15" t="s">
        <v>23</v>
      </c>
    </row>
    <row r="1545" spans="1:11" ht="42" customHeight="1">
      <c r="A1545" s="4" t="s">
        <v>4126</v>
      </c>
      <c r="B1545" s="5" t="s">
        <v>4127</v>
      </c>
      <c r="C1545" s="5" t="s">
        <v>17</v>
      </c>
      <c r="D1545" s="5" t="s">
        <v>18</v>
      </c>
      <c r="E1545" s="5" t="s">
        <v>61</v>
      </c>
      <c r="F1545" s="9" t="s">
        <v>62</v>
      </c>
      <c r="G1545" s="9">
        <v>1286</v>
      </c>
      <c r="H1545" s="5" t="s">
        <v>21</v>
      </c>
      <c r="I1545" s="5" t="s">
        <v>4128</v>
      </c>
      <c r="J1545" s="12" t="str">
        <f>HYPERLINK("https://www.boe.es/gazeta/dias/1808/10/11/pdfs/GMD-1808-133.pdf#page=14","Abrir facsímil")</f>
        <v>Abrir facsímil</v>
      </c>
      <c r="K1545" s="15" t="s">
        <v>23</v>
      </c>
    </row>
    <row r="1546" spans="1:11" ht="42" customHeight="1">
      <c r="A1546" s="4" t="s">
        <v>4129</v>
      </c>
      <c r="B1546" s="5" t="s">
        <v>4130</v>
      </c>
      <c r="C1546" s="5" t="s">
        <v>33</v>
      </c>
      <c r="D1546" s="5" t="s">
        <v>34</v>
      </c>
      <c r="E1546" s="5" t="s">
        <v>125</v>
      </c>
      <c r="F1546" s="9" t="s">
        <v>126</v>
      </c>
      <c r="G1546" s="9" t="s">
        <v>106</v>
      </c>
      <c r="H1546" s="5" t="s">
        <v>21</v>
      </c>
      <c r="I1546" s="5" t="s">
        <v>4131</v>
      </c>
      <c r="J1546" s="12" t="str">
        <f>HYPERLINK("https://www.boe.es/gazeta/dias/1808/10/07/pdfs/GMD-C-1808-132.pdf#page=3","Abrir facsímil")</f>
        <v>Abrir facsímil</v>
      </c>
      <c r="K1546" s="15" t="s">
        <v>23</v>
      </c>
    </row>
    <row r="1547" spans="1:11" ht="42" customHeight="1">
      <c r="A1547" s="4" t="s">
        <v>4132</v>
      </c>
      <c r="B1547" s="5" t="s">
        <v>4133</v>
      </c>
      <c r="C1547" s="5" t="s">
        <v>33</v>
      </c>
      <c r="D1547" s="5" t="s">
        <v>34</v>
      </c>
      <c r="E1547" s="5" t="s">
        <v>35</v>
      </c>
      <c r="F1547" s="9" t="s">
        <v>36</v>
      </c>
      <c r="G1547" s="9" t="s">
        <v>818</v>
      </c>
      <c r="H1547" s="5" t="s">
        <v>21</v>
      </c>
      <c r="I1547" s="5" t="s">
        <v>4134</v>
      </c>
      <c r="J1547" s="12" t="str">
        <f>HYPERLINK("https://www.boe.es/gazeta/dias/1808/04/22/pdfs/GMD-C-1808-38.pdf#page=7","Abrir facsímil")</f>
        <v>Abrir facsímil</v>
      </c>
      <c r="K1547" s="15" t="s">
        <v>23</v>
      </c>
    </row>
    <row r="1548" spans="1:11" ht="42" customHeight="1">
      <c r="A1548" s="4" t="s">
        <v>4135</v>
      </c>
      <c r="B1548" s="5" t="s">
        <v>4136</v>
      </c>
      <c r="C1548" s="5" t="s">
        <v>642</v>
      </c>
      <c r="D1548" s="5" t="s">
        <v>643</v>
      </c>
      <c r="E1548" s="5" t="s">
        <v>4137</v>
      </c>
      <c r="F1548" s="9" t="s">
        <v>4138</v>
      </c>
      <c r="G1548" s="9">
        <v>559</v>
      </c>
      <c r="H1548" s="5" t="s">
        <v>21</v>
      </c>
      <c r="I1548" s="5" t="s">
        <v>4139</v>
      </c>
      <c r="J1548" s="12" t="str">
        <f>HYPERLINK("https://www.boe.es/gazeta/dias/1808/06/12/pdfs/GMD-1808-56E.pdf#page=1","Abrir facsímil")</f>
        <v>Abrir facsímil</v>
      </c>
      <c r="K1548" s="15" t="s">
        <v>23</v>
      </c>
    </row>
    <row r="1549" spans="1:11" ht="42" customHeight="1">
      <c r="A1549" s="4" t="s">
        <v>4140</v>
      </c>
      <c r="B1549" s="5" t="s">
        <v>4141</v>
      </c>
      <c r="C1549" s="5" t="s">
        <v>33</v>
      </c>
      <c r="D1549" s="5" t="s">
        <v>34</v>
      </c>
      <c r="E1549" s="5" t="s">
        <v>35</v>
      </c>
      <c r="F1549" s="9" t="s">
        <v>36</v>
      </c>
      <c r="G1549" s="9" t="s">
        <v>313</v>
      </c>
      <c r="H1549" s="5" t="s">
        <v>21</v>
      </c>
      <c r="I1549" s="5" t="s">
        <v>4142</v>
      </c>
      <c r="J1549" s="12" t="str">
        <f>HYPERLINK("https://www.boe.es/gazeta/dias/1808/04/22/pdfs/GMD-C-1808-38.pdf#page=29","Abrir facsímil")</f>
        <v>Abrir facsímil</v>
      </c>
      <c r="K1549" s="15" t="s">
        <v>23</v>
      </c>
    </row>
    <row r="1550" spans="1:11" ht="42" customHeight="1">
      <c r="A1550" s="4" t="s">
        <v>4143</v>
      </c>
      <c r="B1550" s="5" t="s">
        <v>4144</v>
      </c>
      <c r="C1550" s="5" t="s">
        <v>33</v>
      </c>
      <c r="D1550" s="5" t="s">
        <v>34</v>
      </c>
      <c r="E1550" s="5" t="s">
        <v>197</v>
      </c>
      <c r="F1550" s="9" t="s">
        <v>198</v>
      </c>
      <c r="G1550" s="9" t="s">
        <v>75</v>
      </c>
      <c r="H1550" s="5" t="s">
        <v>21</v>
      </c>
      <c r="I1550" s="5" t="s">
        <v>4145</v>
      </c>
      <c r="J1550" s="12" t="str">
        <f>HYPERLINK("https://www.boe.es/gazeta/dias/1808/11/01/pdfs/GMD-D-1808-140.pdf#page=4","Abrir facsímil")</f>
        <v>Abrir facsímil</v>
      </c>
      <c r="K1550" s="15" t="s">
        <v>23</v>
      </c>
    </row>
    <row r="1551" spans="1:11" ht="42" customHeight="1">
      <c r="A1551" s="4" t="s">
        <v>4146</v>
      </c>
      <c r="B1551" s="5" t="s">
        <v>4147</v>
      </c>
      <c r="C1551" s="5" t="s">
        <v>33</v>
      </c>
      <c r="D1551" s="5" t="s">
        <v>34</v>
      </c>
      <c r="E1551" s="5" t="s">
        <v>35</v>
      </c>
      <c r="F1551" s="9" t="s">
        <v>36</v>
      </c>
      <c r="G1551" s="9" t="s">
        <v>199</v>
      </c>
      <c r="H1551" s="5" t="s">
        <v>21</v>
      </c>
      <c r="I1551" s="5" t="s">
        <v>4148</v>
      </c>
      <c r="J1551" s="12" t="str">
        <f>HYPERLINK("https://www.boe.es/gazeta/dias/1808/04/22/pdfs/GMD-C-1808-38.pdf#page=2","Abrir facsímil")</f>
        <v>Abrir facsímil</v>
      </c>
      <c r="K1551" s="15" t="s">
        <v>23</v>
      </c>
    </row>
    <row r="1552" spans="1:11" ht="42" customHeight="1">
      <c r="A1552" s="4" t="s">
        <v>4149</v>
      </c>
      <c r="B1552" s="5" t="s">
        <v>4150</v>
      </c>
      <c r="C1552" s="5" t="s">
        <v>33</v>
      </c>
      <c r="D1552" s="5" t="s">
        <v>34</v>
      </c>
      <c r="E1552" s="5" t="s">
        <v>35</v>
      </c>
      <c r="F1552" s="9" t="s">
        <v>36</v>
      </c>
      <c r="G1552" s="9" t="s">
        <v>162</v>
      </c>
      <c r="H1552" s="5" t="s">
        <v>21</v>
      </c>
      <c r="I1552" s="5" t="s">
        <v>4151</v>
      </c>
      <c r="J1552" s="12" t="str">
        <f>HYPERLINK("https://www.boe.es/gazeta/dias/1808/04/22/pdfs/GMD-C-1808-38.pdf#page=31","Abrir facsímil")</f>
        <v>Abrir facsímil</v>
      </c>
      <c r="K1552" s="15" t="s">
        <v>23</v>
      </c>
    </row>
    <row r="1553" spans="1:11" ht="42" customHeight="1">
      <c r="A1553" s="4" t="s">
        <v>4152</v>
      </c>
      <c r="B1553" s="5" t="s">
        <v>4153</v>
      </c>
      <c r="C1553" s="5" t="s">
        <v>33</v>
      </c>
      <c r="D1553" s="5" t="s">
        <v>34</v>
      </c>
      <c r="E1553" s="5" t="s">
        <v>110</v>
      </c>
      <c r="F1553" s="9" t="s">
        <v>828</v>
      </c>
      <c r="G1553" s="9" t="s">
        <v>106</v>
      </c>
      <c r="H1553" s="5" t="s">
        <v>21</v>
      </c>
      <c r="I1553" s="5" t="s">
        <v>4154</v>
      </c>
      <c r="J1553" s="12" t="str">
        <f>HYPERLINK("https://www.boe.es/gazeta/dias/1808/10/28/pdfs/GMD-D-1808-138.pdf#page=3","Abrir facsímil")</f>
        <v>Abrir facsímil</v>
      </c>
      <c r="K1553" s="15" t="s">
        <v>23</v>
      </c>
    </row>
    <row r="1554" spans="1:11" ht="42" customHeight="1">
      <c r="A1554" s="4" t="s">
        <v>4155</v>
      </c>
      <c r="B1554" s="5" t="s">
        <v>4156</v>
      </c>
      <c r="C1554" s="5" t="s">
        <v>33</v>
      </c>
      <c r="D1554" s="5" t="s">
        <v>34</v>
      </c>
      <c r="E1554" s="5" t="s">
        <v>28</v>
      </c>
      <c r="F1554" s="9" t="s">
        <v>446</v>
      </c>
      <c r="G1554" s="9" t="s">
        <v>117</v>
      </c>
      <c r="H1554" s="5" t="s">
        <v>21</v>
      </c>
      <c r="I1554" s="5" t="s">
        <v>4157</v>
      </c>
      <c r="J1554" s="12" t="str">
        <f>HYPERLINK("https://www.boe.es/gazeta/dias/1808/11/04/pdfs/GMD-D-1808-141.pdf#page=1","Abrir facsímil")</f>
        <v>Abrir facsímil</v>
      </c>
      <c r="K1554" s="15" t="s">
        <v>23</v>
      </c>
    </row>
    <row r="1555" spans="1:11" ht="42" customHeight="1">
      <c r="A1555" s="4" t="s">
        <v>4158</v>
      </c>
      <c r="B1555" s="5" t="s">
        <v>4159</v>
      </c>
      <c r="C1555" s="5" t="s">
        <v>41</v>
      </c>
      <c r="D1555" s="5" t="s">
        <v>42</v>
      </c>
      <c r="E1555" s="5" t="s">
        <v>461</v>
      </c>
      <c r="F1555" s="9" t="s">
        <v>462</v>
      </c>
      <c r="G1555" s="9" t="s">
        <v>75</v>
      </c>
      <c r="H1555" s="5" t="s">
        <v>21</v>
      </c>
      <c r="I1555" s="5" t="s">
        <v>4160</v>
      </c>
      <c r="J1555" s="12" t="str">
        <f>HYPERLINK("https://www.boe.es/gazeta/dias/1808/11/08/pdfs/GMD-D-1808-142.pdf#page=4","Abrir facsímil")</f>
        <v>Abrir facsímil</v>
      </c>
      <c r="K1555" s="15" t="s">
        <v>23</v>
      </c>
    </row>
    <row r="1556" spans="1:11" ht="42" customHeight="1">
      <c r="A1556" s="4" t="s">
        <v>4161</v>
      </c>
      <c r="B1556" s="5" t="s">
        <v>4162</v>
      </c>
      <c r="C1556" s="5" t="s">
        <v>33</v>
      </c>
      <c r="D1556" s="5" t="s">
        <v>34</v>
      </c>
      <c r="E1556" s="5" t="s">
        <v>197</v>
      </c>
      <c r="F1556" s="9" t="s">
        <v>198</v>
      </c>
      <c r="G1556" s="9" t="s">
        <v>106</v>
      </c>
      <c r="H1556" s="5" t="s">
        <v>21</v>
      </c>
      <c r="I1556" s="5" t="s">
        <v>4163</v>
      </c>
      <c r="J1556" s="12" t="str">
        <f>HYPERLINK("https://www.boe.es/gazeta/dias/1808/11/01/pdfs/GMD-D-1808-140.pdf#page=3","Abrir facsímil")</f>
        <v>Abrir facsímil</v>
      </c>
      <c r="K1556" s="15" t="s">
        <v>23</v>
      </c>
    </row>
    <row r="1557" spans="1:11" ht="42" customHeight="1">
      <c r="A1557" s="4" t="s">
        <v>4164</v>
      </c>
      <c r="B1557" s="5" t="s">
        <v>4165</v>
      </c>
      <c r="C1557" s="5" t="s">
        <v>33</v>
      </c>
      <c r="D1557" s="5" t="s">
        <v>34</v>
      </c>
      <c r="E1557" s="5" t="s">
        <v>35</v>
      </c>
      <c r="F1557" s="9" t="s">
        <v>36</v>
      </c>
      <c r="G1557" s="9" t="s">
        <v>501</v>
      </c>
      <c r="H1557" s="5" t="s">
        <v>21</v>
      </c>
      <c r="I1557" s="5" t="s">
        <v>4166</v>
      </c>
      <c r="J1557" s="12" t="str">
        <f>HYPERLINK("https://www.boe.es/gazeta/dias/1808/04/22/pdfs/GMD-C-1808-38.pdf#page=5","Abrir facsímil")</f>
        <v>Abrir facsímil</v>
      </c>
      <c r="K1557" s="15" t="s">
        <v>23</v>
      </c>
    </row>
    <row r="1558" spans="1:11" ht="42" customHeight="1">
      <c r="A1558" s="4" t="s">
        <v>4167</v>
      </c>
      <c r="B1558" s="5" t="s">
        <v>4168</v>
      </c>
      <c r="C1558" s="5" t="s">
        <v>41</v>
      </c>
      <c r="D1558" s="5" t="s">
        <v>42</v>
      </c>
      <c r="E1558" s="5" t="s">
        <v>35</v>
      </c>
      <c r="F1558" s="9" t="s">
        <v>36</v>
      </c>
      <c r="G1558" s="9" t="s">
        <v>144</v>
      </c>
      <c r="H1558" s="5" t="s">
        <v>21</v>
      </c>
      <c r="I1558" s="5" t="s">
        <v>4169</v>
      </c>
      <c r="J1558" s="12" t="str">
        <f>HYPERLINK("https://www.boe.es/gazeta/dias/1808/04/22/pdfs/GMD-C-1808-38.pdf#page=40","Abrir facsímil")</f>
        <v>Abrir facsímil</v>
      </c>
      <c r="K1558" s="15" t="s">
        <v>23</v>
      </c>
    </row>
    <row r="1559" spans="1:11" ht="42" customHeight="1">
      <c r="A1559" s="4" t="s">
        <v>4170</v>
      </c>
      <c r="B1559" s="5" t="s">
        <v>4171</v>
      </c>
      <c r="C1559" s="5" t="s">
        <v>33</v>
      </c>
      <c r="D1559" s="5" t="s">
        <v>34</v>
      </c>
      <c r="E1559" s="5" t="s">
        <v>35</v>
      </c>
      <c r="F1559" s="9" t="s">
        <v>36</v>
      </c>
      <c r="G1559" s="9" t="s">
        <v>80</v>
      </c>
      <c r="H1559" s="5" t="s">
        <v>21</v>
      </c>
      <c r="I1559" s="5" t="s">
        <v>4172</v>
      </c>
      <c r="J1559" s="12" t="str">
        <f>HYPERLINK("https://www.boe.es/gazeta/dias/1808/04/22/pdfs/GMD-C-1808-38.pdf#page=18","Abrir facsímil")</f>
        <v>Abrir facsímil</v>
      </c>
      <c r="K1559" s="15" t="s">
        <v>23</v>
      </c>
    </row>
    <row r="1560" spans="1:11" ht="42" customHeight="1">
      <c r="A1560" s="4" t="s">
        <v>4173</v>
      </c>
      <c r="B1560" s="5" t="s">
        <v>4174</v>
      </c>
      <c r="C1560" s="5" t="s">
        <v>17</v>
      </c>
      <c r="D1560" s="5" t="s">
        <v>18</v>
      </c>
      <c r="E1560" s="5" t="s">
        <v>3160</v>
      </c>
      <c r="F1560" s="9" t="s">
        <v>3161</v>
      </c>
      <c r="G1560" s="9">
        <v>572</v>
      </c>
      <c r="H1560" s="5" t="s">
        <v>21</v>
      </c>
      <c r="I1560" s="5" t="s">
        <v>4175</v>
      </c>
      <c r="J1560" s="12" t="str">
        <f>HYPERLINK("https://www.boe.es/gazeta/dias/1808/06/14/pdfs/GMD-1808-57.pdf#page=10","Abrir facsímil")</f>
        <v>Abrir facsímil</v>
      </c>
      <c r="K1560" s="15" t="s">
        <v>23</v>
      </c>
    </row>
    <row r="1561" spans="1:11" ht="42" customHeight="1">
      <c r="A1561" s="4" t="s">
        <v>4176</v>
      </c>
      <c r="B1561" s="5" t="s">
        <v>4177</v>
      </c>
      <c r="C1561" s="5" t="s">
        <v>33</v>
      </c>
      <c r="D1561" s="5" t="s">
        <v>34</v>
      </c>
      <c r="E1561" s="5" t="s">
        <v>19</v>
      </c>
      <c r="F1561" s="9" t="s">
        <v>949</v>
      </c>
      <c r="G1561" s="9" t="s">
        <v>199</v>
      </c>
      <c r="H1561" s="5" t="s">
        <v>21</v>
      </c>
      <c r="I1561" s="5" t="s">
        <v>4178</v>
      </c>
      <c r="J1561" s="12" t="str">
        <f>HYPERLINK("https://www.boe.es/gazeta/dias/1808/09/30/pdfs/GMD-C-1808-130.pdf#page=2","Abrir facsímil")</f>
        <v>Abrir facsímil</v>
      </c>
      <c r="K1561" s="15" t="s">
        <v>23</v>
      </c>
    </row>
    <row r="1562" spans="1:11" ht="42" customHeight="1">
      <c r="A1562" s="4" t="s">
        <v>4176</v>
      </c>
      <c r="B1562" s="5" t="s">
        <v>4177</v>
      </c>
      <c r="C1562" s="5" t="s">
        <v>33</v>
      </c>
      <c r="D1562" s="5" t="s">
        <v>34</v>
      </c>
      <c r="E1562" s="5" t="s">
        <v>456</v>
      </c>
      <c r="F1562" s="9" t="s">
        <v>748</v>
      </c>
      <c r="G1562" s="9" t="s">
        <v>106</v>
      </c>
      <c r="H1562" s="5" t="s">
        <v>21</v>
      </c>
      <c r="I1562" s="5" t="s">
        <v>4179</v>
      </c>
      <c r="J1562" s="12" t="str">
        <f>HYPERLINK("https://www.boe.es/gazeta/dias/1808/10/14/pdfs/GMD-C-1808-134.pdf#page=3","Abrir facsímil")</f>
        <v>Abrir facsímil</v>
      </c>
      <c r="K1562" s="15" t="s">
        <v>23</v>
      </c>
    </row>
    <row r="1563" spans="1:11" ht="42" customHeight="1">
      <c r="A1563" s="4" t="s">
        <v>4176</v>
      </c>
      <c r="B1563" s="5" t="s">
        <v>4177</v>
      </c>
      <c r="C1563" s="5" t="s">
        <v>17</v>
      </c>
      <c r="D1563" s="5" t="s">
        <v>18</v>
      </c>
      <c r="E1563" s="5" t="s">
        <v>89</v>
      </c>
      <c r="F1563" s="9" t="s">
        <v>90</v>
      </c>
      <c r="G1563" s="9">
        <v>1363</v>
      </c>
      <c r="H1563" s="5" t="s">
        <v>21</v>
      </c>
      <c r="I1563" s="5" t="s">
        <v>4180</v>
      </c>
      <c r="J1563" s="12" t="str">
        <f>HYPERLINK("https://www.boe.es/gazeta/dias/1808/10/25/pdfs/GMD-1808-137.pdf#page=11","Abrir facsímil")</f>
        <v>Abrir facsímil</v>
      </c>
      <c r="K1563" s="15" t="s">
        <v>23</v>
      </c>
    </row>
    <row r="1564" spans="1:11" ht="42" customHeight="1">
      <c r="A1564" s="4" t="s">
        <v>4176</v>
      </c>
      <c r="B1564" s="5" t="s">
        <v>4177</v>
      </c>
      <c r="C1564" s="5" t="s">
        <v>41</v>
      </c>
      <c r="D1564" s="5" t="s">
        <v>42</v>
      </c>
      <c r="E1564" s="5" t="s">
        <v>197</v>
      </c>
      <c r="F1564" s="9" t="s">
        <v>198</v>
      </c>
      <c r="G1564" s="9" t="s">
        <v>106</v>
      </c>
      <c r="H1564" s="5" t="s">
        <v>21</v>
      </c>
      <c r="I1564" s="5" t="s">
        <v>4181</v>
      </c>
      <c r="J1564" s="12" t="str">
        <f>HYPERLINK("https://www.boe.es/gazeta/dias/1808/11/01/pdfs/GMD-D-1808-140.pdf#page=3","Abrir facsímil")</f>
        <v>Abrir facsímil</v>
      </c>
      <c r="K1564" s="15" t="s">
        <v>23</v>
      </c>
    </row>
    <row r="1565" spans="1:11" ht="42" customHeight="1">
      <c r="A1565" s="4" t="s">
        <v>4182</v>
      </c>
      <c r="B1565" s="5" t="s">
        <v>4183</v>
      </c>
      <c r="C1565" s="5" t="s">
        <v>33</v>
      </c>
      <c r="D1565" s="5" t="s">
        <v>34</v>
      </c>
      <c r="E1565" s="5" t="s">
        <v>35</v>
      </c>
      <c r="F1565" s="9" t="s">
        <v>36</v>
      </c>
      <c r="G1565" s="9" t="s">
        <v>47</v>
      </c>
      <c r="H1565" s="5" t="s">
        <v>21</v>
      </c>
      <c r="I1565" s="5" t="s">
        <v>4184</v>
      </c>
      <c r="J1565" s="12" t="str">
        <f>HYPERLINK("https://www.boe.es/gazeta/dias/1808/04/22/pdfs/GMD-C-1808-38.pdf#page=13","Abrir facsímil")</f>
        <v>Abrir facsímil</v>
      </c>
      <c r="K1565" s="15" t="s">
        <v>23</v>
      </c>
    </row>
    <row r="1566" spans="1:11" ht="42" customHeight="1">
      <c r="A1566" s="4" t="s">
        <v>4185</v>
      </c>
      <c r="B1566" s="5" t="s">
        <v>4186</v>
      </c>
      <c r="C1566" s="5" t="s">
        <v>33</v>
      </c>
      <c r="D1566" s="5" t="s">
        <v>34</v>
      </c>
      <c r="E1566" s="5" t="s">
        <v>65</v>
      </c>
      <c r="F1566" s="9" t="s">
        <v>691</v>
      </c>
      <c r="G1566" s="9">
        <v>1328</v>
      </c>
      <c r="H1566" s="5" t="s">
        <v>21</v>
      </c>
      <c r="I1566" s="5" t="s">
        <v>4187</v>
      </c>
      <c r="J1566" s="12" t="str">
        <f>HYPERLINK("https://www.boe.es/gazeta/dias/1808/10/18/pdfs/GMD-C-1808-135.pdf#page=12","Abrir facsímil")</f>
        <v>Abrir facsímil</v>
      </c>
      <c r="K1566" s="15" t="s">
        <v>23</v>
      </c>
    </row>
    <row r="1567" spans="1:11" ht="42" customHeight="1">
      <c r="A1567" s="4" t="s">
        <v>4188</v>
      </c>
      <c r="B1567" s="5" t="s">
        <v>4189</v>
      </c>
      <c r="C1567" s="5" t="s">
        <v>17</v>
      </c>
      <c r="D1567" s="5" t="s">
        <v>18</v>
      </c>
      <c r="E1567" s="5" t="s">
        <v>28</v>
      </c>
      <c r="F1567" s="9" t="s">
        <v>29</v>
      </c>
      <c r="G1567" s="9">
        <v>1428</v>
      </c>
      <c r="H1567" s="5" t="s">
        <v>21</v>
      </c>
      <c r="I1567" s="5" t="s">
        <v>4190</v>
      </c>
      <c r="J1567" s="12" t="str">
        <f>HYPERLINK("https://www.boe.es/gazeta/dias/1808/11/04/pdfs/GMD-1808-141.pdf#page=10","Abrir facsímil")</f>
        <v>Abrir facsímil</v>
      </c>
      <c r="K1567" s="15" t="s">
        <v>23</v>
      </c>
    </row>
    <row r="1568" spans="1:11" ht="42" customHeight="1">
      <c r="A1568" s="4" t="s">
        <v>4191</v>
      </c>
      <c r="B1568" s="5" t="s">
        <v>4192</v>
      </c>
      <c r="C1568" s="5" t="s">
        <v>33</v>
      </c>
      <c r="D1568" s="5" t="s">
        <v>34</v>
      </c>
      <c r="E1568" s="5" t="s">
        <v>68</v>
      </c>
      <c r="F1568" s="9" t="s">
        <v>309</v>
      </c>
      <c r="G1568" s="9" t="s">
        <v>117</v>
      </c>
      <c r="H1568" s="5" t="s">
        <v>21</v>
      </c>
      <c r="I1568" s="5" t="s">
        <v>4193</v>
      </c>
      <c r="J1568" s="12" t="str">
        <f>HYPERLINK("https://www.boe.es/gazeta/dias/1808/10/21/pdfs/GMD-D-1808-136.pdf#page=1","Abrir facsímil")</f>
        <v>Abrir facsímil</v>
      </c>
      <c r="K1568" s="15" t="s">
        <v>23</v>
      </c>
    </row>
    <row r="1569" spans="1:11" ht="42" customHeight="1">
      <c r="A1569" s="4" t="s">
        <v>4194</v>
      </c>
      <c r="B1569" s="5" t="s">
        <v>4195</v>
      </c>
      <c r="C1569" s="5" t="s">
        <v>33</v>
      </c>
      <c r="D1569" s="5" t="s">
        <v>34</v>
      </c>
      <c r="E1569" s="5" t="s">
        <v>35</v>
      </c>
      <c r="F1569" s="9" t="s">
        <v>36</v>
      </c>
      <c r="G1569" s="9" t="s">
        <v>162</v>
      </c>
      <c r="H1569" s="5" t="s">
        <v>21</v>
      </c>
      <c r="I1569" s="5" t="s">
        <v>4196</v>
      </c>
      <c r="J1569" s="12" t="str">
        <f>HYPERLINK("https://www.boe.es/gazeta/dias/1808/04/22/pdfs/GMD-C-1808-38.pdf#page=31","Abrir facsímil")</f>
        <v>Abrir facsímil</v>
      </c>
      <c r="K1569" s="15" t="s">
        <v>23</v>
      </c>
    </row>
    <row r="1570" spans="1:11" ht="42" customHeight="1">
      <c r="A1570" s="4" t="s">
        <v>4197</v>
      </c>
      <c r="B1570" s="5" t="s">
        <v>4198</v>
      </c>
      <c r="C1570" s="5" t="s">
        <v>33</v>
      </c>
      <c r="D1570" s="5" t="s">
        <v>34</v>
      </c>
      <c r="E1570" s="5" t="s">
        <v>35</v>
      </c>
      <c r="F1570" s="9" t="s">
        <v>36</v>
      </c>
      <c r="G1570" s="9" t="s">
        <v>313</v>
      </c>
      <c r="H1570" s="5" t="s">
        <v>21</v>
      </c>
      <c r="I1570" s="5" t="s">
        <v>4199</v>
      </c>
      <c r="J1570" s="12" t="str">
        <f>HYPERLINK("https://www.boe.es/gazeta/dias/1808/04/22/pdfs/GMD-C-1808-38.pdf#page=29","Abrir facsímil")</f>
        <v>Abrir facsímil</v>
      </c>
      <c r="K1570" s="15" t="s">
        <v>23</v>
      </c>
    </row>
    <row r="1571" spans="1:11" ht="42" customHeight="1">
      <c r="A1571" s="4" t="s">
        <v>4200</v>
      </c>
      <c r="B1571" s="5" t="s">
        <v>4201</v>
      </c>
      <c r="C1571" s="5" t="s">
        <v>94</v>
      </c>
      <c r="D1571" s="5" t="s">
        <v>95</v>
      </c>
      <c r="E1571" s="5" t="s">
        <v>120</v>
      </c>
      <c r="F1571" s="9" t="s">
        <v>121</v>
      </c>
      <c r="G1571" s="9">
        <v>315</v>
      </c>
      <c r="H1571" s="5" t="s">
        <v>21</v>
      </c>
      <c r="I1571" s="5" t="s">
        <v>4202</v>
      </c>
      <c r="J1571" s="12" t="str">
        <f>HYPERLINK("https://www.boe.es/gazeta/dias/1808/03/29/pdfs/GMD-1808-27.pdf#page=11","Abrir facsímil")</f>
        <v>Abrir facsímil</v>
      </c>
      <c r="K1571" s="15" t="s">
        <v>23</v>
      </c>
    </row>
    <row r="1572" spans="1:11" ht="42" customHeight="1">
      <c r="A1572" s="4" t="s">
        <v>4203</v>
      </c>
      <c r="B1572" s="5" t="s">
        <v>4204</v>
      </c>
      <c r="C1572" s="5" t="s">
        <v>33</v>
      </c>
      <c r="D1572" s="5" t="s">
        <v>34</v>
      </c>
      <c r="E1572" s="5" t="s">
        <v>427</v>
      </c>
      <c r="F1572" s="9" t="s">
        <v>428</v>
      </c>
      <c r="G1572" s="9" t="s">
        <v>117</v>
      </c>
      <c r="H1572" s="5" t="s">
        <v>21</v>
      </c>
      <c r="I1572" s="5" t="s">
        <v>4205</v>
      </c>
      <c r="J1572" s="12" t="str">
        <f>HYPERLINK("https://www.boe.es/gazeta/dias/1808/11/22/pdfs/GMD-D-1808-146.pdf#page=1","Abrir facsímil")</f>
        <v>Abrir facsímil</v>
      </c>
      <c r="K1572" s="15" t="s">
        <v>23</v>
      </c>
    </row>
    <row r="1573" spans="1:11" ht="42" customHeight="1">
      <c r="A1573" s="4" t="s">
        <v>4206</v>
      </c>
      <c r="B1573" s="5" t="s">
        <v>4207</v>
      </c>
      <c r="C1573" s="5" t="s">
        <v>33</v>
      </c>
      <c r="D1573" s="5" t="s">
        <v>34</v>
      </c>
      <c r="E1573" s="5" t="s">
        <v>115</v>
      </c>
      <c r="F1573" s="9" t="s">
        <v>116</v>
      </c>
      <c r="G1573" s="9" t="s">
        <v>75</v>
      </c>
      <c r="H1573" s="5" t="s">
        <v>21</v>
      </c>
      <c r="I1573" s="5" t="s">
        <v>4208</v>
      </c>
      <c r="J1573" s="12" t="str">
        <f>HYPERLINK("https://www.boe.es/gazeta/dias/1808/09/16/pdfs/GMD-C-1808-125.pdf#page=4","Abrir facsímil")</f>
        <v>Abrir facsímil</v>
      </c>
      <c r="K1573" s="15" t="s">
        <v>23</v>
      </c>
    </row>
    <row r="1574" spans="1:11" ht="42" customHeight="1">
      <c r="A1574" s="4" t="s">
        <v>4206</v>
      </c>
      <c r="B1574" s="5" t="s">
        <v>4207</v>
      </c>
      <c r="C1574" s="5" t="s">
        <v>17</v>
      </c>
      <c r="D1574" s="5" t="s">
        <v>18</v>
      </c>
      <c r="E1574" s="5" t="s">
        <v>110</v>
      </c>
      <c r="F1574" s="9" t="s">
        <v>111</v>
      </c>
      <c r="G1574" s="9">
        <v>1384</v>
      </c>
      <c r="H1574" s="5" t="s">
        <v>21</v>
      </c>
      <c r="I1574" s="5" t="s">
        <v>4209</v>
      </c>
      <c r="J1574" s="12" t="str">
        <f>HYPERLINK("https://www.boe.es/gazeta/dias/1808/10/28/pdfs/GMD-1808-138.pdf#page=10","Abrir facsímil")</f>
        <v>Abrir facsímil</v>
      </c>
      <c r="K1574" s="15" t="s">
        <v>23</v>
      </c>
    </row>
    <row r="1575" spans="1:11" ht="42" customHeight="1">
      <c r="A1575" s="4" t="s">
        <v>4210</v>
      </c>
      <c r="B1575" s="5" t="s">
        <v>4211</v>
      </c>
      <c r="C1575" s="5" t="s">
        <v>101</v>
      </c>
      <c r="D1575" s="5" t="s">
        <v>102</v>
      </c>
      <c r="E1575" s="5" t="s">
        <v>2177</v>
      </c>
      <c r="F1575" s="9" t="s">
        <v>2178</v>
      </c>
      <c r="G1575" s="9">
        <v>724</v>
      </c>
      <c r="H1575" s="5" t="s">
        <v>21</v>
      </c>
      <c r="I1575" s="5" t="s">
        <v>4212</v>
      </c>
      <c r="J1575" s="12" t="str">
        <f>HYPERLINK("https://www.boe.es/gazeta/dias/1808/07/04/pdfs/GMD-1808-76.pdf#page=6","Abrir facsímil")</f>
        <v>Abrir facsímil</v>
      </c>
      <c r="K1575" s="15" t="s">
        <v>23</v>
      </c>
    </row>
    <row r="1576" spans="1:11" ht="42" customHeight="1">
      <c r="A1576" s="4" t="s">
        <v>4213</v>
      </c>
      <c r="B1576" s="5" t="s">
        <v>4214</v>
      </c>
      <c r="C1576" s="5" t="s">
        <v>41</v>
      </c>
      <c r="D1576" s="5" t="s">
        <v>42</v>
      </c>
      <c r="E1576" s="5" t="s">
        <v>35</v>
      </c>
      <c r="F1576" s="9" t="s">
        <v>36</v>
      </c>
      <c r="G1576" s="9" t="s">
        <v>148</v>
      </c>
      <c r="H1576" s="5" t="s">
        <v>21</v>
      </c>
      <c r="I1576" s="5" t="s">
        <v>4215</v>
      </c>
      <c r="J1576" s="12" t="str">
        <f>HYPERLINK("https://www.boe.es/gazeta/dias/1808/04/22/pdfs/GMD-C-1808-38.pdf#page=38","Abrir facsímil")</f>
        <v>Abrir facsímil</v>
      </c>
      <c r="K1576" s="15" t="s">
        <v>23</v>
      </c>
    </row>
    <row r="1577" spans="1:11" ht="42" customHeight="1">
      <c r="A1577" s="4" t="s">
        <v>4216</v>
      </c>
      <c r="B1577" s="5" t="s">
        <v>4217</v>
      </c>
      <c r="C1577" s="5" t="s">
        <v>17</v>
      </c>
      <c r="D1577" s="5" t="s">
        <v>18</v>
      </c>
      <c r="E1577" s="5" t="s">
        <v>3951</v>
      </c>
      <c r="F1577" s="9" t="s">
        <v>4218</v>
      </c>
      <c r="G1577" s="9">
        <v>472</v>
      </c>
      <c r="H1577" s="5" t="s">
        <v>21</v>
      </c>
      <c r="I1577" s="5" t="s">
        <v>4219</v>
      </c>
      <c r="J1577" s="12" t="str">
        <f>HYPERLINK("https://www.boe.es/gazeta/dias/1808/12/20/pdfs/GMS-1808-59.pdf#page=8","Abrir facsímil")</f>
        <v>Abrir facsímil</v>
      </c>
      <c r="K1577" s="15" t="s">
        <v>23</v>
      </c>
    </row>
    <row r="1578" spans="1:11" ht="42" customHeight="1">
      <c r="A1578" s="4" t="s">
        <v>4220</v>
      </c>
      <c r="B1578" s="5" t="s">
        <v>4221</v>
      </c>
      <c r="C1578" s="5" t="s">
        <v>17</v>
      </c>
      <c r="D1578" s="5" t="s">
        <v>18</v>
      </c>
      <c r="E1578" s="5" t="s">
        <v>65</v>
      </c>
      <c r="F1578" s="9" t="s">
        <v>66</v>
      </c>
      <c r="G1578" s="9">
        <v>1306</v>
      </c>
      <c r="H1578" s="5" t="s">
        <v>21</v>
      </c>
      <c r="I1578" s="5" t="s">
        <v>4222</v>
      </c>
      <c r="J1578" s="12" t="str">
        <f>HYPERLINK("https://www.boe.es/gazeta/dias/1808/10/18/pdfs/GMD-1808-135.pdf#page=6","Abrir facsímil")</f>
        <v>Abrir facsímil</v>
      </c>
      <c r="K1578" s="15" t="s">
        <v>23</v>
      </c>
    </row>
    <row r="1579" spans="1:11" ht="42" customHeight="1">
      <c r="A1579" s="4" t="s">
        <v>4223</v>
      </c>
      <c r="B1579" s="5" t="s">
        <v>4224</v>
      </c>
      <c r="C1579" s="5" t="s">
        <v>94</v>
      </c>
      <c r="D1579" s="5" t="s">
        <v>95</v>
      </c>
      <c r="E1579" s="5" t="s">
        <v>1361</v>
      </c>
      <c r="F1579" s="9" t="s">
        <v>1362</v>
      </c>
      <c r="G1579" s="9">
        <v>472</v>
      </c>
      <c r="H1579" s="5" t="s">
        <v>21</v>
      </c>
      <c r="I1579" s="5" t="s">
        <v>4225</v>
      </c>
      <c r="J1579" s="12" t="str">
        <f>HYPERLINK("https://www.boe.es/gazeta/dias/1808/05/17/pdfs/GMD-1808-47.pdf#page=12","Abrir facsímil")</f>
        <v>Abrir facsímil</v>
      </c>
      <c r="K1579" s="15" t="s">
        <v>23</v>
      </c>
    </row>
    <row r="1580" spans="1:11" ht="42" customHeight="1">
      <c r="A1580" s="4" t="s">
        <v>4226</v>
      </c>
      <c r="B1580" s="5" t="s">
        <v>4227</v>
      </c>
      <c r="C1580" s="5" t="s">
        <v>33</v>
      </c>
      <c r="D1580" s="5" t="s">
        <v>34</v>
      </c>
      <c r="E1580" s="5" t="s">
        <v>35</v>
      </c>
      <c r="F1580" s="9" t="s">
        <v>36</v>
      </c>
      <c r="G1580" s="9" t="s">
        <v>43</v>
      </c>
      <c r="H1580" s="5" t="s">
        <v>21</v>
      </c>
      <c r="I1580" s="5" t="s">
        <v>4228</v>
      </c>
      <c r="J1580" s="12" t="str">
        <f>HYPERLINK("https://www.boe.es/gazeta/dias/1808/04/22/pdfs/GMD-C-1808-38.pdf#page=30","Abrir facsímil")</f>
        <v>Abrir facsímil</v>
      </c>
      <c r="K1580" s="15" t="s">
        <v>23</v>
      </c>
    </row>
    <row r="1581" spans="1:11" ht="42" customHeight="1">
      <c r="A1581" s="4" t="s">
        <v>4229</v>
      </c>
      <c r="B1581" s="5" t="s">
        <v>4229</v>
      </c>
      <c r="C1581" s="5" t="s">
        <v>101</v>
      </c>
      <c r="D1581" s="5" t="s">
        <v>102</v>
      </c>
      <c r="E1581" s="5" t="s">
        <v>461</v>
      </c>
      <c r="F1581" s="9" t="s">
        <v>733</v>
      </c>
      <c r="G1581" s="9">
        <v>1440</v>
      </c>
      <c r="H1581" s="5" t="s">
        <v>21</v>
      </c>
      <c r="I1581" s="5" t="s">
        <v>4230</v>
      </c>
      <c r="J1581" s="12" t="str">
        <f>HYPERLINK("https://www.boe.es/gazeta/dias/1808/11/08/pdfs/GMD-1808-142.pdf#page=2","Abrir facsímil")</f>
        <v>Abrir facsímil</v>
      </c>
      <c r="K1581" s="15" t="s">
        <v>23</v>
      </c>
    </row>
    <row r="1582" spans="1:11" ht="42" customHeight="1">
      <c r="A1582" s="4" t="s">
        <v>4231</v>
      </c>
      <c r="B1582" s="5" t="s">
        <v>4232</v>
      </c>
      <c r="C1582" s="5" t="s">
        <v>17</v>
      </c>
      <c r="D1582" s="5" t="s">
        <v>18</v>
      </c>
      <c r="E1582" s="5" t="s">
        <v>166</v>
      </c>
      <c r="F1582" s="9" t="s">
        <v>356</v>
      </c>
      <c r="G1582" s="9">
        <v>1508</v>
      </c>
      <c r="H1582" s="5" t="s">
        <v>21</v>
      </c>
      <c r="I1582" s="5" t="s">
        <v>4233</v>
      </c>
      <c r="J1582" s="12" t="str">
        <f>HYPERLINK("https://www.boe.es/gazeta/dias/1808/11/18/pdfs/GMD-1808-145.pdf#page=6","Abrir facsímil")</f>
        <v>Abrir facsímil</v>
      </c>
      <c r="K1582" s="15" t="s">
        <v>23</v>
      </c>
    </row>
    <row r="1583" spans="1:11" ht="42" customHeight="1">
      <c r="A1583" s="4" t="s">
        <v>4234</v>
      </c>
      <c r="B1583" s="5" t="s">
        <v>4235</v>
      </c>
      <c r="C1583" s="5" t="s">
        <v>17</v>
      </c>
      <c r="D1583" s="5" t="s">
        <v>18</v>
      </c>
      <c r="E1583" s="5" t="s">
        <v>28</v>
      </c>
      <c r="F1583" s="9" t="s">
        <v>29</v>
      </c>
      <c r="G1583" s="9">
        <v>1428</v>
      </c>
      <c r="H1583" s="5" t="s">
        <v>21</v>
      </c>
      <c r="I1583" s="5" t="s">
        <v>4236</v>
      </c>
      <c r="J1583" s="12" t="str">
        <f>HYPERLINK("https://www.boe.es/gazeta/dias/1808/11/04/pdfs/GMD-1808-141.pdf#page=10","Abrir facsímil")</f>
        <v>Abrir facsímil</v>
      </c>
      <c r="K1583" s="15" t="s">
        <v>23</v>
      </c>
    </row>
    <row r="1584" spans="1:11" ht="42" customHeight="1">
      <c r="A1584" s="4" t="s">
        <v>4237</v>
      </c>
      <c r="B1584" s="5" t="s">
        <v>4238</v>
      </c>
      <c r="C1584" s="5" t="s">
        <v>33</v>
      </c>
      <c r="D1584" s="5" t="s">
        <v>34</v>
      </c>
      <c r="E1584" s="5" t="s">
        <v>35</v>
      </c>
      <c r="F1584" s="9" t="s">
        <v>36</v>
      </c>
      <c r="G1584" s="9" t="s">
        <v>1128</v>
      </c>
      <c r="H1584" s="5" t="s">
        <v>21</v>
      </c>
      <c r="I1584" s="5" t="s">
        <v>4239</v>
      </c>
      <c r="J1584" s="12" t="str">
        <f>HYPERLINK("https://www.boe.es/gazeta/dias/1808/04/22/pdfs/GMD-C-1808-38.pdf#page=11","Abrir facsímil")</f>
        <v>Abrir facsímil</v>
      </c>
      <c r="K1584" s="15" t="s">
        <v>23</v>
      </c>
    </row>
    <row r="1585" spans="1:11" ht="42" customHeight="1">
      <c r="A1585" s="4" t="s">
        <v>4240</v>
      </c>
      <c r="B1585" s="5" t="s">
        <v>4241</v>
      </c>
      <c r="C1585" s="5" t="s">
        <v>33</v>
      </c>
      <c r="D1585" s="5" t="s">
        <v>34</v>
      </c>
      <c r="E1585" s="5" t="s">
        <v>68</v>
      </c>
      <c r="F1585" s="9" t="s">
        <v>309</v>
      </c>
      <c r="G1585" s="9" t="s">
        <v>117</v>
      </c>
      <c r="H1585" s="5" t="s">
        <v>21</v>
      </c>
      <c r="I1585" s="5" t="s">
        <v>4242</v>
      </c>
      <c r="J1585" s="12" t="str">
        <f>HYPERLINK("https://www.boe.es/gazeta/dias/1808/10/21/pdfs/GMD-D-1808-136.pdf#page=1","Abrir facsímil")</f>
        <v>Abrir facsímil</v>
      </c>
      <c r="K1585" s="15" t="s">
        <v>23</v>
      </c>
    </row>
    <row r="1586" spans="1:11" ht="42" customHeight="1">
      <c r="A1586" s="4" t="s">
        <v>4243</v>
      </c>
      <c r="B1586" s="5" t="s">
        <v>4244</v>
      </c>
      <c r="C1586" s="5" t="s">
        <v>94</v>
      </c>
      <c r="D1586" s="5" t="s">
        <v>95</v>
      </c>
      <c r="E1586" s="5" t="s">
        <v>508</v>
      </c>
      <c r="F1586" s="9" t="s">
        <v>1561</v>
      </c>
      <c r="G1586" s="9">
        <v>1028</v>
      </c>
      <c r="H1586" s="5" t="s">
        <v>21</v>
      </c>
      <c r="I1586" s="5" t="s">
        <v>4245</v>
      </c>
      <c r="J1586" s="12" t="str">
        <f>HYPERLINK("https://www.boe.es/gazeta/dias/1808/08/16/pdfs/GMD-C-1808-113.pdf#page=8","Abrir facsímil")</f>
        <v>Abrir facsímil</v>
      </c>
      <c r="K1586" s="15" t="s">
        <v>23</v>
      </c>
    </row>
    <row r="1587" spans="1:11" ht="42" customHeight="1">
      <c r="A1587" s="4" t="s">
        <v>4246</v>
      </c>
      <c r="B1587" s="5" t="s">
        <v>4247</v>
      </c>
      <c r="C1587" s="5" t="s">
        <v>41</v>
      </c>
      <c r="D1587" s="5" t="s">
        <v>42</v>
      </c>
      <c r="E1587" s="5" t="s">
        <v>539</v>
      </c>
      <c r="F1587" s="9" t="s">
        <v>540</v>
      </c>
      <c r="G1587" s="9">
        <v>1117</v>
      </c>
      <c r="H1587" s="5" t="s">
        <v>21</v>
      </c>
      <c r="I1587" s="5" t="s">
        <v>4248</v>
      </c>
      <c r="J1587" s="12" t="str">
        <f>HYPERLINK("https://www.boe.es/gazeta/dias/1808/09/02/pdfs/GMD-1808-119.pdf#page=11","Abrir facsímil")</f>
        <v>Abrir facsímil</v>
      </c>
      <c r="K1587" s="15" t="s">
        <v>23</v>
      </c>
    </row>
    <row r="1588" spans="1:11" ht="42" customHeight="1">
      <c r="A1588" s="4" t="s">
        <v>4249</v>
      </c>
      <c r="B1588" s="5" t="s">
        <v>4250</v>
      </c>
      <c r="C1588" s="5" t="s">
        <v>94</v>
      </c>
      <c r="D1588" s="5" t="s">
        <v>95</v>
      </c>
      <c r="E1588" s="5" t="s">
        <v>2555</v>
      </c>
      <c r="F1588" s="9" t="s">
        <v>2556</v>
      </c>
      <c r="G1588" s="9">
        <v>130</v>
      </c>
      <c r="H1588" s="5" t="s">
        <v>21</v>
      </c>
      <c r="I1588" s="5" t="s">
        <v>4251</v>
      </c>
      <c r="J1588" s="12" t="str">
        <f>HYPERLINK("https://www.boe.es/gazeta/dias/1808/02/05/pdfs/GMD-1808-11.pdf#page=10","Abrir facsímil")</f>
        <v>Abrir facsímil</v>
      </c>
      <c r="K1588" s="15" t="s">
        <v>23</v>
      </c>
    </row>
    <row r="1589" spans="1:11" ht="42" customHeight="1">
      <c r="A1589" s="4" t="s">
        <v>4252</v>
      </c>
      <c r="B1589" s="5" t="s">
        <v>4253</v>
      </c>
      <c r="C1589" s="5" t="s">
        <v>389</v>
      </c>
      <c r="D1589" s="5" t="s">
        <v>390</v>
      </c>
      <c r="E1589" s="5" t="s">
        <v>1472</v>
      </c>
      <c r="F1589" s="9" t="s">
        <v>1473</v>
      </c>
      <c r="G1589" s="9">
        <v>96</v>
      </c>
      <c r="H1589" s="5" t="s">
        <v>21</v>
      </c>
      <c r="I1589" s="5" t="s">
        <v>4254</v>
      </c>
      <c r="J1589" s="12" t="str">
        <f>HYPERLINK("https://www.boe.es/gazeta/dias/1808/01/26/pdfs/GMD-1808-8.pdf#page=12","Abrir facsímil")</f>
        <v>Abrir facsímil</v>
      </c>
      <c r="K1589" s="15" t="s">
        <v>23</v>
      </c>
    </row>
    <row r="1590" spans="1:11" ht="42" customHeight="1">
      <c r="A1590" s="4" t="s">
        <v>4252</v>
      </c>
      <c r="B1590" s="5" t="s">
        <v>4253</v>
      </c>
      <c r="C1590" s="5" t="s">
        <v>389</v>
      </c>
      <c r="D1590" s="5" t="s">
        <v>390</v>
      </c>
      <c r="E1590" s="5" t="s">
        <v>1702</v>
      </c>
      <c r="F1590" s="9" t="s">
        <v>3079</v>
      </c>
      <c r="G1590" s="9">
        <v>797</v>
      </c>
      <c r="H1590" s="5" t="s">
        <v>21</v>
      </c>
      <c r="I1590" s="5" t="s">
        <v>4255</v>
      </c>
      <c r="J1590" s="12" t="str">
        <f>HYPERLINK("https://www.boe.es/gazeta/dias/1808/07/13/pdfs/GMD-1808-85.pdf#page=7","Abrir facsímil")</f>
        <v>Abrir facsímil</v>
      </c>
      <c r="K1590" s="15" t="s">
        <v>23</v>
      </c>
    </row>
    <row r="1591" spans="1:11" ht="42" customHeight="1">
      <c r="A1591" s="4" t="s">
        <v>4256</v>
      </c>
      <c r="B1591" s="5" t="s">
        <v>4257</v>
      </c>
      <c r="C1591" s="5" t="s">
        <v>17</v>
      </c>
      <c r="D1591" s="5" t="s">
        <v>18</v>
      </c>
      <c r="E1591" s="5" t="s">
        <v>473</v>
      </c>
      <c r="F1591" s="9" t="s">
        <v>4258</v>
      </c>
      <c r="G1591" s="9">
        <v>78</v>
      </c>
      <c r="H1591" s="5" t="s">
        <v>21</v>
      </c>
      <c r="I1591" s="5" t="s">
        <v>4259</v>
      </c>
      <c r="J1591" s="12" t="str">
        <f>HYPERLINK("https://www.boe.es/gazeta/dias/1808/07/02/pdfs/GMS-1808-10.pdf#page=6","Abrir facsímil")</f>
        <v>Abrir facsímil</v>
      </c>
      <c r="K1591" s="15" t="s">
        <v>23</v>
      </c>
    </row>
    <row r="1592" spans="1:11" ht="42" customHeight="1">
      <c r="A1592" s="4" t="s">
        <v>4260</v>
      </c>
      <c r="B1592" s="5" t="s">
        <v>4261</v>
      </c>
      <c r="C1592" s="5" t="s">
        <v>260</v>
      </c>
      <c r="D1592" s="5" t="s">
        <v>42</v>
      </c>
      <c r="E1592" s="5" t="s">
        <v>469</v>
      </c>
      <c r="F1592" s="9" t="s">
        <v>470</v>
      </c>
      <c r="G1592" s="9">
        <v>152</v>
      </c>
      <c r="H1592" s="5" t="s">
        <v>21</v>
      </c>
      <c r="I1592" s="5" t="s">
        <v>4262</v>
      </c>
      <c r="J1592" s="12" t="str">
        <f>HYPERLINK("https://www.boe.es/gazeta/dias/1808/02/12/pdfs/GMD-1808-13.pdf#page=8","Abrir facsímil")</f>
        <v>Abrir facsímil</v>
      </c>
      <c r="K1592" s="15" t="s">
        <v>23</v>
      </c>
    </row>
    <row r="1593" spans="1:11" ht="42" customHeight="1">
      <c r="A1593" s="4" t="s">
        <v>4263</v>
      </c>
      <c r="B1593" s="5" t="s">
        <v>4264</v>
      </c>
      <c r="C1593" s="5" t="s">
        <v>94</v>
      </c>
      <c r="D1593" s="5" t="s">
        <v>95</v>
      </c>
      <c r="E1593" s="5" t="s">
        <v>663</v>
      </c>
      <c r="F1593" s="9" t="s">
        <v>664</v>
      </c>
      <c r="G1593" s="9">
        <v>209</v>
      </c>
      <c r="H1593" s="5" t="s">
        <v>21</v>
      </c>
      <c r="I1593" s="5" t="s">
        <v>4265</v>
      </c>
      <c r="J1593" s="12" t="str">
        <f>HYPERLINK("https://www.boe.es/gazeta/dias/1808/02/26/pdfs/GMD-1808-17.pdf#page=11","Abrir facsímil")</f>
        <v>Abrir facsímil</v>
      </c>
      <c r="K1593" s="15" t="s">
        <v>23</v>
      </c>
    </row>
    <row r="1594" spans="1:11" ht="42" customHeight="1">
      <c r="A1594" s="4" t="s">
        <v>4263</v>
      </c>
      <c r="B1594" s="5" t="s">
        <v>4264</v>
      </c>
      <c r="C1594" s="5" t="s">
        <v>94</v>
      </c>
      <c r="D1594" s="5" t="s">
        <v>95</v>
      </c>
      <c r="E1594" s="5" t="s">
        <v>210</v>
      </c>
      <c r="F1594" s="9" t="s">
        <v>211</v>
      </c>
      <c r="G1594" s="9">
        <v>254</v>
      </c>
      <c r="H1594" s="5" t="s">
        <v>21</v>
      </c>
      <c r="I1594" s="5" t="s">
        <v>4266</v>
      </c>
      <c r="J1594" s="12" t="str">
        <f>HYPERLINK("https://www.boe.es/gazeta/dias/1808/03/11/pdfs/GMD-1808-21.pdf#page=8","Abrir facsímil")</f>
        <v>Abrir facsímil</v>
      </c>
      <c r="K1594" s="15" t="s">
        <v>23</v>
      </c>
    </row>
    <row r="1595" spans="1:11" ht="42" customHeight="1">
      <c r="A1595" s="4" t="s">
        <v>4263</v>
      </c>
      <c r="B1595" s="5" t="s">
        <v>4264</v>
      </c>
      <c r="C1595" s="5" t="s">
        <v>17</v>
      </c>
      <c r="D1595" s="5" t="s">
        <v>18</v>
      </c>
      <c r="E1595" s="5" t="s">
        <v>1821</v>
      </c>
      <c r="F1595" s="9" t="s">
        <v>1874</v>
      </c>
      <c r="G1595" s="9">
        <v>626</v>
      </c>
      <c r="H1595" s="5" t="s">
        <v>21</v>
      </c>
      <c r="I1595" s="5" t="s">
        <v>4267</v>
      </c>
      <c r="J1595" s="12" t="str">
        <f>HYPERLINK("https://www.boe.es/gazeta/dias/1808/06/22/pdfs/GMD-1808-64.pdf#page=4","Abrir facsímil")</f>
        <v>Abrir facsímil</v>
      </c>
      <c r="K1595" s="15" t="s">
        <v>23</v>
      </c>
    </row>
    <row r="1596" spans="1:11" ht="42" customHeight="1">
      <c r="A1596" s="4" t="s">
        <v>4268</v>
      </c>
      <c r="B1596" s="5" t="s">
        <v>4269</v>
      </c>
      <c r="C1596" s="5" t="s">
        <v>94</v>
      </c>
      <c r="D1596" s="5" t="s">
        <v>95</v>
      </c>
      <c r="E1596" s="5" t="s">
        <v>65</v>
      </c>
      <c r="F1596" s="9" t="s">
        <v>66</v>
      </c>
      <c r="G1596" s="9">
        <v>1307</v>
      </c>
      <c r="H1596" s="5" t="s">
        <v>21</v>
      </c>
      <c r="I1596" s="5" t="s">
        <v>4270</v>
      </c>
      <c r="J1596" s="12" t="str">
        <f>HYPERLINK("https://www.boe.es/gazeta/dias/1808/10/18/pdfs/GMD-1808-135.pdf#page=7","Abrir facsímil")</f>
        <v>Abrir facsímil</v>
      </c>
      <c r="K1596" s="15" t="s">
        <v>23</v>
      </c>
    </row>
    <row r="1597" spans="1:11" ht="42" customHeight="1">
      <c r="A1597" s="4" t="s">
        <v>4271</v>
      </c>
      <c r="B1597" s="5" t="s">
        <v>4272</v>
      </c>
      <c r="C1597" s="5" t="s">
        <v>33</v>
      </c>
      <c r="D1597" s="5" t="s">
        <v>34</v>
      </c>
      <c r="E1597" s="5" t="s">
        <v>456</v>
      </c>
      <c r="F1597" s="9" t="s">
        <v>748</v>
      </c>
      <c r="G1597" s="9" t="s">
        <v>199</v>
      </c>
      <c r="H1597" s="5" t="s">
        <v>21</v>
      </c>
      <c r="I1597" s="5" t="s">
        <v>4273</v>
      </c>
      <c r="J1597" s="12" t="str">
        <f>HYPERLINK("https://www.boe.es/gazeta/dias/1808/10/14/pdfs/GMD-C-1808-134.pdf#page=2","Abrir facsímil")</f>
        <v>Abrir facsímil</v>
      </c>
      <c r="K1597" s="15" t="s">
        <v>23</v>
      </c>
    </row>
    <row r="1598" spans="1:11" ht="42" customHeight="1">
      <c r="A1598" s="4" t="s">
        <v>4274</v>
      </c>
      <c r="B1598" s="5" t="s">
        <v>4275</v>
      </c>
      <c r="C1598" s="5" t="s">
        <v>17</v>
      </c>
      <c r="D1598" s="5" t="s">
        <v>18</v>
      </c>
      <c r="E1598" s="5" t="s">
        <v>2651</v>
      </c>
      <c r="F1598" s="9" t="s">
        <v>2652</v>
      </c>
      <c r="G1598" s="9">
        <v>634</v>
      </c>
      <c r="H1598" s="5" t="s">
        <v>21</v>
      </c>
      <c r="I1598" s="5" t="s">
        <v>4276</v>
      </c>
      <c r="J1598" s="12" t="str">
        <f>HYPERLINK("https://www.boe.es/gazeta/dias/1808/06/23/pdfs/GMD-1808-65.pdf#page=4","Abrir facsímil")</f>
        <v>Abrir facsímil</v>
      </c>
      <c r="K1598" s="15" t="s">
        <v>23</v>
      </c>
    </row>
    <row r="1599" spans="1:11" ht="42" customHeight="1">
      <c r="A1599" s="4" t="s">
        <v>4277</v>
      </c>
      <c r="B1599" s="5" t="s">
        <v>4278</v>
      </c>
      <c r="C1599" s="5" t="s">
        <v>260</v>
      </c>
      <c r="D1599" s="5" t="s">
        <v>42</v>
      </c>
      <c r="E1599" s="5" t="s">
        <v>28</v>
      </c>
      <c r="F1599" s="9" t="s">
        <v>29</v>
      </c>
      <c r="G1599" s="9">
        <v>1426</v>
      </c>
      <c r="H1599" s="5" t="s">
        <v>21</v>
      </c>
      <c r="I1599" s="5" t="s">
        <v>4279</v>
      </c>
      <c r="J1599" s="12" t="str">
        <f>HYPERLINK("https://www.boe.es/gazeta/dias/1808/11/04/pdfs/GMD-1808-141.pdf#page=8","Abrir facsímil")</f>
        <v>Abrir facsímil</v>
      </c>
      <c r="K1599" s="15" t="s">
        <v>23</v>
      </c>
    </row>
    <row r="1600" spans="1:11" ht="42" customHeight="1">
      <c r="A1600" s="4" t="s">
        <v>4280</v>
      </c>
      <c r="B1600" s="5" t="s">
        <v>4281</v>
      </c>
      <c r="C1600" s="5" t="s">
        <v>33</v>
      </c>
      <c r="D1600" s="5" t="s">
        <v>34</v>
      </c>
      <c r="E1600" s="5" t="s">
        <v>28</v>
      </c>
      <c r="F1600" s="9" t="s">
        <v>446</v>
      </c>
      <c r="G1600" s="9" t="s">
        <v>106</v>
      </c>
      <c r="H1600" s="5" t="s">
        <v>21</v>
      </c>
      <c r="I1600" s="5" t="s">
        <v>4282</v>
      </c>
      <c r="J1600" s="12" t="str">
        <f>HYPERLINK("https://www.boe.es/gazeta/dias/1808/11/04/pdfs/GMD-D-1808-141.pdf#page=3","Abrir facsímil")</f>
        <v>Abrir facsímil</v>
      </c>
      <c r="K1600" s="15" t="s">
        <v>23</v>
      </c>
    </row>
    <row r="1601" spans="1:11" ht="42" customHeight="1">
      <c r="A1601" s="4" t="s">
        <v>4283</v>
      </c>
      <c r="B1601" s="5" t="s">
        <v>4284</v>
      </c>
      <c r="C1601" s="5" t="s">
        <v>17</v>
      </c>
      <c r="D1601" s="5" t="s">
        <v>18</v>
      </c>
      <c r="E1601" s="5" t="s">
        <v>73</v>
      </c>
      <c r="F1601" s="9" t="s">
        <v>581</v>
      </c>
      <c r="G1601" s="9">
        <v>1468</v>
      </c>
      <c r="H1601" s="5" t="s">
        <v>21</v>
      </c>
      <c r="I1601" s="5" t="s">
        <v>4285</v>
      </c>
      <c r="J1601" s="12" t="str">
        <f>HYPERLINK("https://www.boe.es/gazeta/dias/1808/11/11/pdfs/GMD-1808-143.pdf#page=10","Abrir facsímil")</f>
        <v>Abrir facsímil</v>
      </c>
      <c r="K1601" s="15" t="s">
        <v>23</v>
      </c>
    </row>
    <row r="1602" spans="1:11" ht="42" customHeight="1">
      <c r="A1602" s="4" t="s">
        <v>4286</v>
      </c>
      <c r="B1602" s="5" t="s">
        <v>4287</v>
      </c>
      <c r="C1602" s="5" t="s">
        <v>389</v>
      </c>
      <c r="D1602" s="5" t="s">
        <v>390</v>
      </c>
      <c r="E1602" s="5" t="s">
        <v>120</v>
      </c>
      <c r="F1602" s="9" t="s">
        <v>121</v>
      </c>
      <c r="G1602" s="9">
        <v>316</v>
      </c>
      <c r="H1602" s="5" t="s">
        <v>21</v>
      </c>
      <c r="I1602" s="5" t="s">
        <v>4288</v>
      </c>
      <c r="J1602" s="12" t="str">
        <f>HYPERLINK("https://www.boe.es/gazeta/dias/1808/03/29/pdfs/GMD-1808-27.pdf#page=12","Abrir facsímil")</f>
        <v>Abrir facsímil</v>
      </c>
      <c r="K1602" s="15" t="s">
        <v>23</v>
      </c>
    </row>
    <row r="1603" spans="1:11" ht="42" customHeight="1">
      <c r="A1603" s="4" t="s">
        <v>4289</v>
      </c>
      <c r="B1603" s="5" t="s">
        <v>4290</v>
      </c>
      <c r="C1603" s="5" t="s">
        <v>17</v>
      </c>
      <c r="D1603" s="5" t="s">
        <v>18</v>
      </c>
      <c r="E1603" s="5" t="s">
        <v>157</v>
      </c>
      <c r="F1603" s="9" t="s">
        <v>2896</v>
      </c>
      <c r="G1603" s="9">
        <v>594</v>
      </c>
      <c r="H1603" s="5" t="s">
        <v>21</v>
      </c>
      <c r="I1603" s="5" t="s">
        <v>4291</v>
      </c>
      <c r="J1603" s="12" t="str">
        <f>HYPERLINK("https://www.boe.es/gazeta/dias/1808/06/18/pdfs/GMD-1808-60.pdf#page=8","Abrir facsímil")</f>
        <v>Abrir facsímil</v>
      </c>
      <c r="K1603" s="15" t="s">
        <v>23</v>
      </c>
    </row>
    <row r="1604" spans="1:11" ht="42" customHeight="1">
      <c r="A1604" s="4" t="s">
        <v>4292</v>
      </c>
      <c r="B1604" s="5" t="s">
        <v>4293</v>
      </c>
      <c r="C1604" s="5" t="s">
        <v>33</v>
      </c>
      <c r="D1604" s="5" t="s">
        <v>34</v>
      </c>
      <c r="E1604" s="5" t="s">
        <v>115</v>
      </c>
      <c r="F1604" s="9" t="s">
        <v>116</v>
      </c>
      <c r="G1604" s="9" t="s">
        <v>199</v>
      </c>
      <c r="H1604" s="5" t="s">
        <v>21</v>
      </c>
      <c r="I1604" s="5" t="s">
        <v>4294</v>
      </c>
      <c r="J1604" s="12" t="str">
        <f>HYPERLINK("https://www.boe.es/gazeta/dias/1808/09/16/pdfs/GMD-C-1808-125.pdf#page=2","Abrir facsímil")</f>
        <v>Abrir facsímil</v>
      </c>
      <c r="K1604" s="15" t="s">
        <v>23</v>
      </c>
    </row>
    <row r="1605" spans="1:11" ht="42" customHeight="1">
      <c r="A1605" s="4" t="s">
        <v>4295</v>
      </c>
      <c r="B1605" s="5" t="s">
        <v>4296</v>
      </c>
      <c r="C1605" s="5" t="s">
        <v>33</v>
      </c>
      <c r="D1605" s="5" t="s">
        <v>34</v>
      </c>
      <c r="E1605" s="5" t="s">
        <v>19</v>
      </c>
      <c r="F1605" s="9" t="s">
        <v>949</v>
      </c>
      <c r="G1605" s="9" t="s">
        <v>106</v>
      </c>
      <c r="H1605" s="5" t="s">
        <v>21</v>
      </c>
      <c r="I1605" s="5" t="s">
        <v>4297</v>
      </c>
      <c r="J1605" s="12" t="str">
        <f>HYPERLINK("https://www.boe.es/gazeta/dias/1808/09/30/pdfs/GMD-C-1808-130.pdf#page=3","Abrir facsímil")</f>
        <v>Abrir facsímil</v>
      </c>
      <c r="K1605" s="15" t="s">
        <v>23</v>
      </c>
    </row>
    <row r="1606" spans="1:11" ht="42" customHeight="1">
      <c r="A1606" s="4" t="s">
        <v>4295</v>
      </c>
      <c r="B1606" s="5" t="s">
        <v>4296</v>
      </c>
      <c r="C1606" s="5" t="s">
        <v>33</v>
      </c>
      <c r="D1606" s="5" t="s">
        <v>34</v>
      </c>
      <c r="E1606" s="5" t="s">
        <v>73</v>
      </c>
      <c r="F1606" s="9" t="s">
        <v>74</v>
      </c>
      <c r="G1606" s="9" t="s">
        <v>75</v>
      </c>
      <c r="H1606" s="5" t="s">
        <v>21</v>
      </c>
      <c r="I1606" s="5" t="s">
        <v>4298</v>
      </c>
      <c r="J1606" s="12" t="str">
        <f>HYPERLINK("https://www.boe.es/gazeta/dias/1808/11/11/pdfs/GMD-D-1808-143.pdf#page=4","Abrir facsímil")</f>
        <v>Abrir facsímil</v>
      </c>
      <c r="K1606" s="15" t="s">
        <v>23</v>
      </c>
    </row>
    <row r="1607" spans="1:11" ht="42" customHeight="1">
      <c r="A1607" s="4" t="s">
        <v>4299</v>
      </c>
      <c r="B1607" s="5" t="s">
        <v>4300</v>
      </c>
      <c r="C1607" s="5" t="s">
        <v>33</v>
      </c>
      <c r="D1607" s="5" t="s">
        <v>34</v>
      </c>
      <c r="E1607" s="5" t="s">
        <v>35</v>
      </c>
      <c r="F1607" s="9" t="s">
        <v>36</v>
      </c>
      <c r="G1607" s="9" t="s">
        <v>273</v>
      </c>
      <c r="H1607" s="5" t="s">
        <v>21</v>
      </c>
      <c r="I1607" s="5" t="s">
        <v>4301</v>
      </c>
      <c r="J1607" s="12" t="str">
        <f>HYPERLINK("https://www.boe.es/gazeta/dias/1808/04/22/pdfs/GMD-C-1808-38.pdf#page=12","Abrir facsímil")</f>
        <v>Abrir facsímil</v>
      </c>
      <c r="K1607" s="15" t="s">
        <v>23</v>
      </c>
    </row>
    <row r="1608" spans="1:11" ht="42" customHeight="1">
      <c r="A1608" s="4" t="s">
        <v>4299</v>
      </c>
      <c r="B1608" s="5" t="s">
        <v>4300</v>
      </c>
      <c r="C1608" s="5" t="s">
        <v>33</v>
      </c>
      <c r="D1608" s="5" t="s">
        <v>34</v>
      </c>
      <c r="E1608" s="5" t="s">
        <v>35</v>
      </c>
      <c r="F1608" s="9" t="s">
        <v>36</v>
      </c>
      <c r="G1608" s="9" t="s">
        <v>450</v>
      </c>
      <c r="H1608" s="5" t="s">
        <v>21</v>
      </c>
      <c r="I1608" s="5" t="s">
        <v>4302</v>
      </c>
      <c r="J1608" s="12" t="str">
        <f>HYPERLINK("https://www.boe.es/gazeta/dias/1808/04/22/pdfs/GMD-C-1808-38.pdf#page=45","Abrir facsímil")</f>
        <v>Abrir facsímil</v>
      </c>
      <c r="K1608" s="15" t="s">
        <v>23</v>
      </c>
    </row>
    <row r="1609" spans="1:11" ht="42" customHeight="1">
      <c r="A1609" s="4" t="s">
        <v>4299</v>
      </c>
      <c r="B1609" s="5" t="s">
        <v>4300</v>
      </c>
      <c r="C1609" s="5" t="s">
        <v>33</v>
      </c>
      <c r="D1609" s="5" t="s">
        <v>34</v>
      </c>
      <c r="E1609" s="5" t="s">
        <v>35</v>
      </c>
      <c r="F1609" s="9" t="s">
        <v>36</v>
      </c>
      <c r="G1609" s="9" t="s">
        <v>1006</v>
      </c>
      <c r="H1609" s="5" t="s">
        <v>21</v>
      </c>
      <c r="I1609" s="5" t="s">
        <v>4303</v>
      </c>
      <c r="J1609" s="12" t="str">
        <f>HYPERLINK("https://www.boe.es/gazeta/dias/1808/04/22/pdfs/GMD-C-1808-38.pdf#page=46","Abrir facsímil")</f>
        <v>Abrir facsímil</v>
      </c>
      <c r="K1609" s="15" t="s">
        <v>23</v>
      </c>
    </row>
    <row r="1610" spans="1:11" ht="42" customHeight="1">
      <c r="A1610" s="4" t="s">
        <v>4304</v>
      </c>
      <c r="B1610" s="5" t="s">
        <v>4305</v>
      </c>
      <c r="C1610" s="5" t="s">
        <v>389</v>
      </c>
      <c r="D1610" s="5" t="s">
        <v>390</v>
      </c>
      <c r="E1610" s="5" t="s">
        <v>28</v>
      </c>
      <c r="F1610" s="9" t="s">
        <v>29</v>
      </c>
      <c r="G1610" s="9">
        <v>1430</v>
      </c>
      <c r="H1610" s="5" t="s">
        <v>21</v>
      </c>
      <c r="I1610" s="5" t="s">
        <v>4306</v>
      </c>
      <c r="J1610" s="12" t="str">
        <f>HYPERLINK("https://www.boe.es/gazeta/dias/1808/11/04/pdfs/GMD-1808-141.pdf#page=12","Abrir facsímil")</f>
        <v>Abrir facsímil</v>
      </c>
      <c r="K1610" s="15" t="s">
        <v>23</v>
      </c>
    </row>
    <row r="1611" spans="1:11" ht="42" customHeight="1">
      <c r="A1611" s="4" t="s">
        <v>4307</v>
      </c>
      <c r="B1611" s="5" t="s">
        <v>4308</v>
      </c>
      <c r="C1611" s="5" t="s">
        <v>94</v>
      </c>
      <c r="D1611" s="5" t="s">
        <v>95</v>
      </c>
      <c r="E1611" s="5" t="s">
        <v>215</v>
      </c>
      <c r="F1611" s="9" t="s">
        <v>216</v>
      </c>
      <c r="G1611" s="9">
        <v>300</v>
      </c>
      <c r="H1611" s="5" t="s">
        <v>21</v>
      </c>
      <c r="I1611" s="5" t="s">
        <v>4309</v>
      </c>
      <c r="J1611" s="12" t="str">
        <f>HYPERLINK("https://www.boe.es/gazeta/dias/1808/03/25/pdfs/GMD-1808-25.pdf#page=10","Abrir facsímil")</f>
        <v>Abrir facsímil</v>
      </c>
      <c r="K1611" s="15" t="s">
        <v>23</v>
      </c>
    </row>
    <row r="1612" spans="1:11" ht="42" customHeight="1">
      <c r="A1612" s="4" t="s">
        <v>4310</v>
      </c>
      <c r="B1612" s="5" t="s">
        <v>4311</v>
      </c>
      <c r="C1612" s="5" t="s">
        <v>33</v>
      </c>
      <c r="D1612" s="5" t="s">
        <v>34</v>
      </c>
      <c r="E1612" s="5" t="s">
        <v>461</v>
      </c>
      <c r="F1612" s="9" t="s">
        <v>462</v>
      </c>
      <c r="G1612" s="9" t="s">
        <v>106</v>
      </c>
      <c r="H1612" s="5" t="s">
        <v>21</v>
      </c>
      <c r="I1612" s="5" t="s">
        <v>4312</v>
      </c>
      <c r="J1612" s="12" t="str">
        <f>HYPERLINK("https://www.boe.es/gazeta/dias/1808/11/08/pdfs/GMD-D-1808-142.pdf#page=3","Abrir facsímil")</f>
        <v>Abrir facsímil</v>
      </c>
      <c r="K1612" s="15" t="s">
        <v>23</v>
      </c>
    </row>
    <row r="1613" spans="1:11" ht="42" customHeight="1">
      <c r="A1613" s="4" t="s">
        <v>4313</v>
      </c>
      <c r="B1613" s="5" t="s">
        <v>4314</v>
      </c>
      <c r="C1613" s="5" t="s">
        <v>17</v>
      </c>
      <c r="D1613" s="5" t="s">
        <v>18</v>
      </c>
      <c r="E1613" s="5" t="s">
        <v>513</v>
      </c>
      <c r="F1613" s="9" t="s">
        <v>514</v>
      </c>
      <c r="G1613" s="9">
        <v>286</v>
      </c>
      <c r="H1613" s="5" t="s">
        <v>21</v>
      </c>
      <c r="I1613" s="5" t="s">
        <v>4315</v>
      </c>
      <c r="J1613" s="12" t="str">
        <f>HYPERLINK("https://www.boe.es/gazeta/dias/1808/03/22/pdfs/GMD-1808-24.pdf#page=8","Abrir facsímil")</f>
        <v>Abrir facsímil</v>
      </c>
      <c r="K1613" s="15" t="s">
        <v>23</v>
      </c>
    </row>
    <row r="1614" spans="1:11" ht="42" customHeight="1">
      <c r="A1614" s="4" t="s">
        <v>4316</v>
      </c>
      <c r="B1614" s="5" t="s">
        <v>4317</v>
      </c>
      <c r="C1614" s="5" t="s">
        <v>17</v>
      </c>
      <c r="D1614" s="5" t="s">
        <v>18</v>
      </c>
      <c r="E1614" s="5" t="s">
        <v>269</v>
      </c>
      <c r="F1614" s="9" t="s">
        <v>270</v>
      </c>
      <c r="G1614" s="9">
        <v>69</v>
      </c>
      <c r="H1614" s="5" t="s">
        <v>21</v>
      </c>
      <c r="I1614" s="5" t="s">
        <v>4318</v>
      </c>
      <c r="J1614" s="12" t="str">
        <f>HYPERLINK("https://www.boe.es/gazeta/dias/1808/01/19/pdfs/GMD-1808-6.pdf#page=9","Abrir facsímil")</f>
        <v>Abrir facsímil</v>
      </c>
      <c r="K1614" s="15" t="s">
        <v>23</v>
      </c>
    </row>
    <row r="1615" spans="1:11" ht="42" customHeight="1">
      <c r="A1615" s="4" t="s">
        <v>4319</v>
      </c>
      <c r="B1615" s="5" t="s">
        <v>4320</v>
      </c>
      <c r="C1615" s="5" t="s">
        <v>17</v>
      </c>
      <c r="D1615" s="5" t="s">
        <v>18</v>
      </c>
      <c r="E1615" s="5" t="s">
        <v>65</v>
      </c>
      <c r="F1615" s="9" t="s">
        <v>66</v>
      </c>
      <c r="G1615" s="9">
        <v>1312</v>
      </c>
      <c r="H1615" s="5" t="s">
        <v>21</v>
      </c>
      <c r="I1615" s="5" t="s">
        <v>4321</v>
      </c>
      <c r="J1615" s="12" t="str">
        <f>HYPERLINK("https://www.boe.es/gazeta/dias/1808/10/18/pdfs/GMD-1808-135.pdf#page=12","Abrir facsímil")</f>
        <v>Abrir facsímil</v>
      </c>
      <c r="K1615" s="15" t="s">
        <v>23</v>
      </c>
    </row>
    <row r="1616" spans="1:11" ht="42" customHeight="1">
      <c r="A1616" s="4" t="s">
        <v>4322</v>
      </c>
      <c r="B1616" s="5" t="s">
        <v>4323</v>
      </c>
      <c r="C1616" s="5" t="s">
        <v>33</v>
      </c>
      <c r="D1616" s="5" t="s">
        <v>34</v>
      </c>
      <c r="E1616" s="5" t="s">
        <v>35</v>
      </c>
      <c r="F1616" s="9" t="s">
        <v>36</v>
      </c>
      <c r="G1616" s="9" t="s">
        <v>924</v>
      </c>
      <c r="H1616" s="5" t="s">
        <v>21</v>
      </c>
      <c r="I1616" s="5" t="s">
        <v>4324</v>
      </c>
      <c r="J1616" s="12" t="str">
        <f>HYPERLINK("https://www.boe.es/gazeta/dias/1808/04/22/pdfs/GMD-C-1808-38.pdf#page=27","Abrir facsímil")</f>
        <v>Abrir facsímil</v>
      </c>
      <c r="K1616" s="15" t="s">
        <v>23</v>
      </c>
    </row>
    <row r="1617" spans="1:11" ht="42" customHeight="1">
      <c r="A1617" s="4" t="s">
        <v>4325</v>
      </c>
      <c r="B1617" s="5" t="s">
        <v>4326</v>
      </c>
      <c r="C1617" s="5" t="s">
        <v>17</v>
      </c>
      <c r="D1617" s="5" t="s">
        <v>18</v>
      </c>
      <c r="E1617" s="5" t="s">
        <v>522</v>
      </c>
      <c r="F1617" s="9" t="s">
        <v>523</v>
      </c>
      <c r="G1617" s="9">
        <v>984</v>
      </c>
      <c r="H1617" s="5" t="s">
        <v>21</v>
      </c>
      <c r="I1617" s="5" t="s">
        <v>4327</v>
      </c>
      <c r="J1617" s="12" t="str">
        <f>HYPERLINK("https://www.boe.es/gazeta/dias/1808/08/07/pdfs/GMD-1808-110.pdf#page=6","Abrir facsímil")</f>
        <v>Abrir facsímil</v>
      </c>
      <c r="K1617" s="15" t="s">
        <v>23</v>
      </c>
    </row>
    <row r="1618" spans="1:11" ht="42" customHeight="1">
      <c r="A1618" s="4" t="s">
        <v>4325</v>
      </c>
      <c r="B1618" s="5" t="s">
        <v>4326</v>
      </c>
      <c r="C1618" s="5" t="s">
        <v>17</v>
      </c>
      <c r="D1618" s="5" t="s">
        <v>18</v>
      </c>
      <c r="E1618" s="5" t="s">
        <v>130</v>
      </c>
      <c r="F1618" s="9" t="s">
        <v>131</v>
      </c>
      <c r="G1618" s="9">
        <v>1601</v>
      </c>
      <c r="H1618" s="5" t="s">
        <v>21</v>
      </c>
      <c r="I1618" s="5" t="s">
        <v>4328</v>
      </c>
      <c r="J1618" s="12" t="str">
        <f>HYPERLINK("https://www.boe.es/gazeta/dias/1808/12/15/pdfs/GMD-1808-155.pdf#page=5","Abrir facsímil")</f>
        <v>Abrir facsímil</v>
      </c>
      <c r="K1618" s="15" t="s">
        <v>23</v>
      </c>
    </row>
    <row r="1619" spans="1:11" ht="42" customHeight="1">
      <c r="A1619" s="4" t="s">
        <v>4325</v>
      </c>
      <c r="B1619" s="5" t="s">
        <v>4326</v>
      </c>
      <c r="C1619" s="5" t="s">
        <v>17</v>
      </c>
      <c r="D1619" s="5" t="s">
        <v>18</v>
      </c>
      <c r="E1619" s="5" t="s">
        <v>719</v>
      </c>
      <c r="F1619" s="9" t="s">
        <v>720</v>
      </c>
      <c r="G1619" s="9">
        <v>1609</v>
      </c>
      <c r="H1619" s="5" t="s">
        <v>21</v>
      </c>
      <c r="I1619" s="5" t="s">
        <v>4329</v>
      </c>
      <c r="J1619" s="12" t="str">
        <f>HYPERLINK("https://www.boe.es/gazeta/dias/1808/12/16/pdfs/GMD-1808-156.pdf#page=1","Abrir facsímil")</f>
        <v>Abrir facsímil</v>
      </c>
      <c r="K1619" s="15" t="s">
        <v>23</v>
      </c>
    </row>
    <row r="1620" spans="1:11" ht="42" customHeight="1">
      <c r="A1620" s="4" t="s">
        <v>4325</v>
      </c>
      <c r="B1620" s="5" t="s">
        <v>4326</v>
      </c>
      <c r="C1620" s="5" t="s">
        <v>17</v>
      </c>
      <c r="D1620" s="5" t="s">
        <v>18</v>
      </c>
      <c r="E1620" s="5" t="s">
        <v>719</v>
      </c>
      <c r="F1620" s="9" t="s">
        <v>720</v>
      </c>
      <c r="G1620" s="9">
        <v>1611</v>
      </c>
      <c r="H1620" s="5" t="s">
        <v>21</v>
      </c>
      <c r="I1620" s="5" t="s">
        <v>4330</v>
      </c>
      <c r="J1620" s="12" t="str">
        <f>HYPERLINK("https://www.boe.es/gazeta/dias/1808/12/16/pdfs/GMD-1808-156.pdf#page=3","Abrir facsímil")</f>
        <v>Abrir facsímil</v>
      </c>
      <c r="K1620" s="15" t="s">
        <v>23</v>
      </c>
    </row>
    <row r="1621" spans="1:11" ht="42" customHeight="1">
      <c r="A1621" s="4" t="s">
        <v>4331</v>
      </c>
      <c r="B1621" s="5" t="s">
        <v>4332</v>
      </c>
      <c r="C1621" s="5" t="s">
        <v>17</v>
      </c>
      <c r="D1621" s="5" t="s">
        <v>18</v>
      </c>
      <c r="E1621" s="5" t="s">
        <v>2856</v>
      </c>
      <c r="F1621" s="9" t="s">
        <v>2857</v>
      </c>
      <c r="G1621" s="9">
        <v>149</v>
      </c>
      <c r="H1621" s="5" t="s">
        <v>21</v>
      </c>
      <c r="I1621" s="5" t="s">
        <v>4333</v>
      </c>
      <c r="J1621" s="12" t="str">
        <f>HYPERLINK("https://www.boe.es/gazeta/dias/1808/08/03/pdfs/GMS-1808-19.pdf#page=5","Abrir facsímil")</f>
        <v>Abrir facsímil</v>
      </c>
      <c r="K1621" s="15" t="s">
        <v>23</v>
      </c>
    </row>
    <row r="1622" spans="1:11" ht="42" customHeight="1">
      <c r="A1622" s="4" t="s">
        <v>4331</v>
      </c>
      <c r="B1622" s="5" t="s">
        <v>4332</v>
      </c>
      <c r="C1622" s="5" t="s">
        <v>33</v>
      </c>
      <c r="D1622" s="5" t="s">
        <v>34</v>
      </c>
      <c r="E1622" s="5" t="s">
        <v>616</v>
      </c>
      <c r="F1622" s="9" t="s">
        <v>4334</v>
      </c>
      <c r="G1622" s="9">
        <v>1053</v>
      </c>
      <c r="H1622" s="5" t="s">
        <v>21</v>
      </c>
      <c r="I1622" s="5" t="s">
        <v>4335</v>
      </c>
      <c r="J1622" s="12" t="str">
        <f>HYPERLINK("https://www.boe.es/gazeta/dias/1808/08/19/pdfs/GMD-C-1808-115.pdf#page=7","Abrir facsímil")</f>
        <v>Abrir facsímil</v>
      </c>
      <c r="K1622" s="15" t="s">
        <v>23</v>
      </c>
    </row>
    <row r="1623" spans="1:11" ht="42" customHeight="1">
      <c r="A1623" s="4" t="s">
        <v>4331</v>
      </c>
      <c r="B1623" s="5" t="s">
        <v>4332</v>
      </c>
      <c r="C1623" s="5" t="s">
        <v>33</v>
      </c>
      <c r="D1623" s="5" t="s">
        <v>34</v>
      </c>
      <c r="E1623" s="5" t="s">
        <v>616</v>
      </c>
      <c r="F1623" s="9" t="s">
        <v>4334</v>
      </c>
      <c r="G1623" s="9">
        <v>1054</v>
      </c>
      <c r="H1623" s="5" t="s">
        <v>21</v>
      </c>
      <c r="I1623" s="5" t="s">
        <v>4336</v>
      </c>
      <c r="J1623" s="12" t="str">
        <f>HYPERLINK("https://www.boe.es/gazeta/dias/1808/08/19/pdfs/GMD-C-1808-115.pdf#page=8","Abrir facsímil")</f>
        <v>Abrir facsímil</v>
      </c>
      <c r="K1623" s="15" t="s">
        <v>23</v>
      </c>
    </row>
    <row r="1624" spans="1:11" ht="42" customHeight="1">
      <c r="A1624" s="4" t="s">
        <v>4331</v>
      </c>
      <c r="B1624" s="5" t="s">
        <v>4332</v>
      </c>
      <c r="C1624" s="5" t="s">
        <v>642</v>
      </c>
      <c r="D1624" s="5" t="s">
        <v>643</v>
      </c>
      <c r="E1624" s="5" t="s">
        <v>4337</v>
      </c>
      <c r="F1624" s="9" t="s">
        <v>4338</v>
      </c>
      <c r="G1624" s="9">
        <v>1567</v>
      </c>
      <c r="H1624" s="5" t="s">
        <v>21</v>
      </c>
      <c r="I1624" s="5" t="s">
        <v>4339</v>
      </c>
      <c r="J1624" s="12" t="str">
        <f>HYPERLINK("https://www.boe.es/gazeta/dias/1808/11/30/pdfs/GMD-1808-149E.pdf#page=1","Abrir facsímil")</f>
        <v>Abrir facsímil</v>
      </c>
      <c r="K1624" s="15" t="s">
        <v>23</v>
      </c>
    </row>
    <row r="1625" spans="1:11" ht="42" customHeight="1">
      <c r="A1625" s="4" t="s">
        <v>4340</v>
      </c>
      <c r="B1625" s="5" t="s">
        <v>4341</v>
      </c>
      <c r="C1625" s="5" t="s">
        <v>41</v>
      </c>
      <c r="D1625" s="5" t="s">
        <v>42</v>
      </c>
      <c r="E1625" s="5" t="s">
        <v>180</v>
      </c>
      <c r="F1625" s="9" t="s">
        <v>768</v>
      </c>
      <c r="G1625" s="9" t="s">
        <v>199</v>
      </c>
      <c r="H1625" s="5" t="s">
        <v>21</v>
      </c>
      <c r="I1625" s="5" t="s">
        <v>4342</v>
      </c>
      <c r="J1625" s="12" t="str">
        <f>HYPERLINK("https://www.boe.es/gazeta/dias/1808/11/15/pdfs/GMD-D-1808-144.pdf#page=2","Abrir facsímil")</f>
        <v>Abrir facsímil</v>
      </c>
      <c r="K1625" s="15" t="s">
        <v>23</v>
      </c>
    </row>
    <row r="1626" spans="1:11" ht="42" customHeight="1">
      <c r="A1626" s="4" t="s">
        <v>4343</v>
      </c>
      <c r="B1626" s="5" t="s">
        <v>4344</v>
      </c>
      <c r="C1626" s="5" t="s">
        <v>41</v>
      </c>
      <c r="D1626" s="5" t="s">
        <v>42</v>
      </c>
      <c r="E1626" s="5" t="s">
        <v>110</v>
      </c>
      <c r="F1626" s="9" t="s">
        <v>111</v>
      </c>
      <c r="G1626" s="9">
        <v>1383</v>
      </c>
      <c r="H1626" s="5" t="s">
        <v>21</v>
      </c>
      <c r="I1626" s="5" t="s">
        <v>4345</v>
      </c>
      <c r="J1626" s="12" t="str">
        <f>HYPERLINK("https://www.boe.es/gazeta/dias/1808/10/28/pdfs/GMD-1808-138.pdf#page=9","Abrir facsímil")</f>
        <v>Abrir facsímil</v>
      </c>
      <c r="K1626" s="15" t="s">
        <v>23</v>
      </c>
    </row>
    <row r="1627" spans="1:11" ht="42" customHeight="1">
      <c r="A1627" s="4" t="s">
        <v>4346</v>
      </c>
      <c r="B1627" s="5" t="s">
        <v>4347</v>
      </c>
      <c r="C1627" s="5" t="s">
        <v>17</v>
      </c>
      <c r="D1627" s="5" t="s">
        <v>18</v>
      </c>
      <c r="E1627" s="5" t="s">
        <v>130</v>
      </c>
      <c r="F1627" s="9" t="s">
        <v>131</v>
      </c>
      <c r="G1627" s="9">
        <v>1602</v>
      </c>
      <c r="H1627" s="5" t="s">
        <v>21</v>
      </c>
      <c r="I1627" s="5" t="s">
        <v>4348</v>
      </c>
      <c r="J1627" s="12" t="str">
        <f>HYPERLINK("https://www.boe.es/gazeta/dias/1808/12/15/pdfs/GMD-1808-155.pdf#page=6","Abrir facsímil")</f>
        <v>Abrir facsímil</v>
      </c>
      <c r="K1627" s="15" t="s">
        <v>23</v>
      </c>
    </row>
    <row r="1628" spans="1:11" ht="42" customHeight="1">
      <c r="A1628" s="4" t="s">
        <v>4349</v>
      </c>
      <c r="B1628" s="5" t="s">
        <v>4350</v>
      </c>
      <c r="C1628" s="5" t="s">
        <v>41</v>
      </c>
      <c r="D1628" s="5" t="s">
        <v>42</v>
      </c>
      <c r="E1628" s="5" t="s">
        <v>35</v>
      </c>
      <c r="F1628" s="9" t="s">
        <v>36</v>
      </c>
      <c r="G1628" s="9" t="s">
        <v>814</v>
      </c>
      <c r="H1628" s="5" t="s">
        <v>21</v>
      </c>
      <c r="I1628" s="5" t="s">
        <v>4351</v>
      </c>
      <c r="J1628" s="12" t="str">
        <f>HYPERLINK("https://www.boe.es/gazeta/dias/1808/04/22/pdfs/GMD-C-1808-38.pdf#page=25","Abrir facsímil")</f>
        <v>Abrir facsímil</v>
      </c>
      <c r="K1628" s="15" t="s">
        <v>23</v>
      </c>
    </row>
    <row r="1629" spans="1:11" ht="42" customHeight="1">
      <c r="A1629" s="4" t="s">
        <v>4352</v>
      </c>
      <c r="B1629" s="5" t="s">
        <v>4353</v>
      </c>
      <c r="C1629" s="5" t="s">
        <v>33</v>
      </c>
      <c r="D1629" s="5" t="s">
        <v>34</v>
      </c>
      <c r="E1629" s="5" t="s">
        <v>110</v>
      </c>
      <c r="F1629" s="9" t="s">
        <v>4354</v>
      </c>
      <c r="G1629" s="9">
        <v>1391</v>
      </c>
      <c r="H1629" s="5" t="s">
        <v>21</v>
      </c>
      <c r="I1629" s="5" t="s">
        <v>4355</v>
      </c>
      <c r="J1629" s="12" t="str">
        <f>HYPERLINK("https://www.boe.es/gazeta/dias/1808/10/28/pdfs/GMD-C-1808-138.pdf#page=5","Abrir facsímil")</f>
        <v>Abrir facsímil</v>
      </c>
      <c r="K1629" s="15" t="s">
        <v>23</v>
      </c>
    </row>
    <row r="1630" spans="1:11" ht="42" customHeight="1">
      <c r="A1630" s="4" t="s">
        <v>4356</v>
      </c>
      <c r="B1630" s="5" t="s">
        <v>4357</v>
      </c>
      <c r="C1630" s="5" t="s">
        <v>17</v>
      </c>
      <c r="D1630" s="5" t="s">
        <v>18</v>
      </c>
      <c r="E1630" s="5" t="s">
        <v>28</v>
      </c>
      <c r="F1630" s="9" t="s">
        <v>29</v>
      </c>
      <c r="G1630" s="9">
        <v>1427</v>
      </c>
      <c r="H1630" s="5" t="s">
        <v>21</v>
      </c>
      <c r="I1630" s="5" t="s">
        <v>4358</v>
      </c>
      <c r="J1630" s="12" t="str">
        <f>HYPERLINK("https://www.boe.es/gazeta/dias/1808/11/04/pdfs/GMD-1808-141.pdf#page=9","Abrir facsímil")</f>
        <v>Abrir facsímil</v>
      </c>
      <c r="K1630" s="15" t="s">
        <v>23</v>
      </c>
    </row>
    <row r="1631" spans="1:11" ht="42" customHeight="1">
      <c r="A1631" s="4" t="s">
        <v>4359</v>
      </c>
      <c r="B1631" s="5" t="s">
        <v>4360</v>
      </c>
      <c r="C1631" s="5" t="s">
        <v>94</v>
      </c>
      <c r="D1631" s="5" t="s">
        <v>95</v>
      </c>
      <c r="E1631" s="5" t="s">
        <v>153</v>
      </c>
      <c r="F1631" s="9" t="s">
        <v>1185</v>
      </c>
      <c r="G1631" s="9">
        <v>1144</v>
      </c>
      <c r="H1631" s="5" t="s">
        <v>21</v>
      </c>
      <c r="I1631" s="5" t="s">
        <v>4361</v>
      </c>
      <c r="J1631" s="12" t="str">
        <f>HYPERLINK("https://www.boe.es/gazeta/dias/1808/09/09/pdfs/GMD-1808-121.pdf#page=2","Abrir facsímil")</f>
        <v>Abrir facsímil</v>
      </c>
      <c r="K1631" s="15" t="s">
        <v>23</v>
      </c>
    </row>
    <row r="1632" spans="1:11" ht="42" customHeight="1">
      <c r="A1632" s="4" t="s">
        <v>4362</v>
      </c>
      <c r="B1632" s="5" t="s">
        <v>4363</v>
      </c>
      <c r="C1632" s="5" t="s">
        <v>17</v>
      </c>
      <c r="D1632" s="5" t="s">
        <v>18</v>
      </c>
      <c r="E1632" s="5" t="s">
        <v>3160</v>
      </c>
      <c r="F1632" s="9" t="s">
        <v>3161</v>
      </c>
      <c r="G1632" s="9">
        <v>570</v>
      </c>
      <c r="H1632" s="5" t="s">
        <v>21</v>
      </c>
      <c r="I1632" s="5" t="s">
        <v>4364</v>
      </c>
      <c r="J1632" s="12" t="str">
        <f>HYPERLINK("https://www.boe.es/gazeta/dias/1808/06/14/pdfs/GMD-1808-57.pdf#page=8","Abrir facsímil")</f>
        <v>Abrir facsímil</v>
      </c>
      <c r="K1632" s="15" t="s">
        <v>23</v>
      </c>
    </row>
    <row r="1633" spans="1:11" ht="42" customHeight="1">
      <c r="A1633" s="4" t="s">
        <v>4365</v>
      </c>
      <c r="B1633" s="5" t="s">
        <v>4366</v>
      </c>
      <c r="C1633" s="5" t="s">
        <v>17</v>
      </c>
      <c r="D1633" s="5" t="s">
        <v>18</v>
      </c>
      <c r="E1633" s="5" t="s">
        <v>65</v>
      </c>
      <c r="F1633" s="9" t="s">
        <v>66</v>
      </c>
      <c r="G1633" s="9">
        <v>1307</v>
      </c>
      <c r="H1633" s="5" t="s">
        <v>21</v>
      </c>
      <c r="I1633" s="5" t="s">
        <v>4367</v>
      </c>
      <c r="J1633" s="12" t="str">
        <f>HYPERLINK("https://www.boe.es/gazeta/dias/1808/10/18/pdfs/GMD-1808-135.pdf#page=7","Abrir facsímil")</f>
        <v>Abrir facsímil</v>
      </c>
      <c r="K1633" s="15" t="s">
        <v>23</v>
      </c>
    </row>
    <row r="1634" spans="1:11" ht="42" customHeight="1">
      <c r="A1634" s="4" t="s">
        <v>4368</v>
      </c>
      <c r="B1634" s="5" t="s">
        <v>4369</v>
      </c>
      <c r="C1634" s="5" t="s">
        <v>94</v>
      </c>
      <c r="D1634" s="5" t="s">
        <v>95</v>
      </c>
      <c r="E1634" s="5" t="s">
        <v>3160</v>
      </c>
      <c r="F1634" s="9" t="s">
        <v>3161</v>
      </c>
      <c r="G1634" s="9">
        <v>569</v>
      </c>
      <c r="H1634" s="5" t="s">
        <v>21</v>
      </c>
      <c r="I1634" s="5" t="s">
        <v>4370</v>
      </c>
      <c r="J1634" s="12" t="str">
        <f>HYPERLINK("https://www.boe.es/gazeta/dias/1808/06/14/pdfs/GMD-1808-57.pdf#page=7","Abrir facsímil")</f>
        <v>Abrir facsímil</v>
      </c>
      <c r="K1634" s="15" t="s">
        <v>23</v>
      </c>
    </row>
    <row r="1635" spans="1:11" ht="42" customHeight="1">
      <c r="A1635" s="4" t="s">
        <v>4371</v>
      </c>
      <c r="B1635" s="5" t="s">
        <v>4372</v>
      </c>
      <c r="C1635" s="5" t="s">
        <v>642</v>
      </c>
      <c r="D1635" s="5" t="s">
        <v>643</v>
      </c>
      <c r="E1635" s="5" t="s">
        <v>2887</v>
      </c>
      <c r="F1635" s="9" t="s">
        <v>2888</v>
      </c>
      <c r="G1635" s="9">
        <v>1565</v>
      </c>
      <c r="H1635" s="5" t="s">
        <v>21</v>
      </c>
      <c r="I1635" s="5" t="s">
        <v>4373</v>
      </c>
      <c r="J1635" s="12" t="str">
        <f>HYPERLINK("https://www.boe.es/gazeta/dias/1808/12/11/pdfs/GMD-1808-151E.pdf#page=1","Abrir facsímil")</f>
        <v>Abrir facsímil</v>
      </c>
      <c r="K1635" s="15" t="s">
        <v>23</v>
      </c>
    </row>
    <row r="1636" spans="1:11" ht="42" customHeight="1">
      <c r="A1636" s="4" t="s">
        <v>4374</v>
      </c>
      <c r="B1636" s="5" t="s">
        <v>4375</v>
      </c>
      <c r="C1636" s="5" t="s">
        <v>17</v>
      </c>
      <c r="D1636" s="5" t="s">
        <v>18</v>
      </c>
      <c r="E1636" s="5" t="s">
        <v>3011</v>
      </c>
      <c r="F1636" s="9" t="s">
        <v>3012</v>
      </c>
      <c r="G1636" s="9">
        <v>1678</v>
      </c>
      <c r="H1636" s="5" t="s">
        <v>21</v>
      </c>
      <c r="I1636" s="5" t="s">
        <v>4376</v>
      </c>
      <c r="J1636" s="12" t="str">
        <f>HYPERLINK("https://www.boe.es/gazeta/dias/1808/12/25/pdfs/GMD-1808-165.pdf#page=4","Abrir facsímil")</f>
        <v>Abrir facsímil</v>
      </c>
      <c r="K1636" s="15" t="s">
        <v>23</v>
      </c>
    </row>
    <row r="1637" spans="1:11" ht="42" customHeight="1">
      <c r="A1637" s="4" t="s">
        <v>4377</v>
      </c>
      <c r="B1637" s="5" t="s">
        <v>4378</v>
      </c>
      <c r="C1637" s="5" t="s">
        <v>94</v>
      </c>
      <c r="D1637" s="5" t="s">
        <v>95</v>
      </c>
      <c r="E1637" s="5" t="s">
        <v>2849</v>
      </c>
      <c r="F1637" s="9" t="s">
        <v>2850</v>
      </c>
      <c r="G1637" s="9">
        <v>16</v>
      </c>
      <c r="H1637" s="5" t="s">
        <v>21</v>
      </c>
      <c r="I1637" s="5" t="s">
        <v>4379</v>
      </c>
      <c r="J1637" s="12" t="str">
        <f>HYPERLINK("https://www.boe.es/gazeta/dias/1808/06/04/pdfs/GMS-1808-2.pdf#page=8","Abrir facsímil")</f>
        <v>Abrir facsímil</v>
      </c>
      <c r="K1637" s="15" t="s">
        <v>23</v>
      </c>
    </row>
    <row r="1638" spans="1:11" ht="42" customHeight="1">
      <c r="A1638" s="4" t="s">
        <v>4380</v>
      </c>
      <c r="B1638" s="5" t="s">
        <v>4381</v>
      </c>
      <c r="C1638" s="5" t="s">
        <v>389</v>
      </c>
      <c r="D1638" s="5" t="s">
        <v>390</v>
      </c>
      <c r="E1638" s="5" t="s">
        <v>4382</v>
      </c>
      <c r="F1638" s="9" t="s">
        <v>4383</v>
      </c>
      <c r="G1638" s="9">
        <v>843</v>
      </c>
      <c r="H1638" s="5" t="s">
        <v>21</v>
      </c>
      <c r="I1638" s="5" t="s">
        <v>4384</v>
      </c>
      <c r="J1638" s="12" t="str">
        <f>HYPERLINK("https://www.boe.es/gazeta/dias/1808/07/19/pdfs/GMD-1808-91.pdf#page=5","Abrir facsímil")</f>
        <v>Abrir facsímil</v>
      </c>
      <c r="K1638" s="15" t="s">
        <v>23</v>
      </c>
    </row>
    <row r="1639" spans="1:11" ht="42" customHeight="1">
      <c r="A1639" s="4" t="s">
        <v>4385</v>
      </c>
      <c r="B1639" s="5" t="s">
        <v>4386</v>
      </c>
      <c r="C1639" s="5" t="s">
        <v>33</v>
      </c>
      <c r="D1639" s="5" t="s">
        <v>34</v>
      </c>
      <c r="E1639" s="5" t="s">
        <v>28</v>
      </c>
      <c r="F1639" s="9" t="s">
        <v>446</v>
      </c>
      <c r="G1639" s="9" t="s">
        <v>117</v>
      </c>
      <c r="H1639" s="5" t="s">
        <v>21</v>
      </c>
      <c r="I1639" s="5" t="s">
        <v>4387</v>
      </c>
      <c r="J1639" s="12" t="str">
        <f>HYPERLINK("https://www.boe.es/gazeta/dias/1808/11/04/pdfs/GMD-D-1808-141.pdf#page=1","Abrir facsímil")</f>
        <v>Abrir facsímil</v>
      </c>
      <c r="K1639" s="15" t="s">
        <v>23</v>
      </c>
    </row>
    <row r="1640" spans="1:11" ht="42" customHeight="1">
      <c r="A1640" s="4" t="s">
        <v>4388</v>
      </c>
      <c r="B1640" s="5" t="s">
        <v>4389</v>
      </c>
      <c r="C1640" s="5" t="s">
        <v>33</v>
      </c>
      <c r="D1640" s="5" t="s">
        <v>34</v>
      </c>
      <c r="E1640" s="5" t="s">
        <v>19</v>
      </c>
      <c r="F1640" s="9" t="s">
        <v>949</v>
      </c>
      <c r="G1640" s="9" t="s">
        <v>199</v>
      </c>
      <c r="H1640" s="5" t="s">
        <v>21</v>
      </c>
      <c r="I1640" s="5" t="s">
        <v>4390</v>
      </c>
      <c r="J1640" s="12" t="str">
        <f>HYPERLINK("https://www.boe.es/gazeta/dias/1808/09/30/pdfs/GMD-C-1808-130.pdf#page=2","Abrir facsímil")</f>
        <v>Abrir facsímil</v>
      </c>
      <c r="K1640" s="15" t="s">
        <v>23</v>
      </c>
    </row>
    <row r="1641" spans="1:11" ht="42" customHeight="1">
      <c r="A1641" s="4" t="s">
        <v>4391</v>
      </c>
      <c r="B1641" s="5" t="s">
        <v>4392</v>
      </c>
      <c r="C1641" s="5" t="s">
        <v>17</v>
      </c>
      <c r="D1641" s="5" t="s">
        <v>18</v>
      </c>
      <c r="E1641" s="5" t="s">
        <v>456</v>
      </c>
      <c r="F1641" s="9" t="s">
        <v>2825</v>
      </c>
      <c r="G1641" s="9">
        <v>319</v>
      </c>
      <c r="H1641" s="5" t="s">
        <v>21</v>
      </c>
      <c r="I1641" s="5" t="s">
        <v>4393</v>
      </c>
      <c r="J1641" s="12" t="str">
        <f>HYPERLINK("https://www.boe.es/gazeta/dias/1808/10/14/pdfs/GMS-1808-40.pdf#page=7","Abrir facsímil")</f>
        <v>Abrir facsímil</v>
      </c>
      <c r="K1641" s="15" t="s">
        <v>23</v>
      </c>
    </row>
    <row r="1642" spans="1:11" ht="42" customHeight="1">
      <c r="A1642" s="4" t="s">
        <v>4394</v>
      </c>
      <c r="B1642" s="5" t="s">
        <v>4395</v>
      </c>
      <c r="C1642" s="5" t="s">
        <v>260</v>
      </c>
      <c r="D1642" s="5" t="s">
        <v>42</v>
      </c>
      <c r="E1642" s="5" t="s">
        <v>210</v>
      </c>
      <c r="F1642" s="9" t="s">
        <v>211</v>
      </c>
      <c r="G1642" s="9">
        <v>256</v>
      </c>
      <c r="H1642" s="5" t="s">
        <v>21</v>
      </c>
      <c r="I1642" s="5" t="s">
        <v>4396</v>
      </c>
      <c r="J1642" s="12" t="str">
        <f>HYPERLINK("https://www.boe.es/gazeta/dias/1808/03/11/pdfs/GMD-1808-21.pdf#page=10","Abrir facsímil")</f>
        <v>Abrir facsímil</v>
      </c>
      <c r="K1642" s="15" t="s">
        <v>23</v>
      </c>
    </row>
    <row r="1643" spans="1:11" ht="42" customHeight="1">
      <c r="A1643" s="4" t="s">
        <v>4397</v>
      </c>
      <c r="B1643" s="5" t="s">
        <v>4398</v>
      </c>
      <c r="C1643" s="5" t="s">
        <v>17</v>
      </c>
      <c r="D1643" s="5" t="s">
        <v>18</v>
      </c>
      <c r="E1643" s="5" t="s">
        <v>3951</v>
      </c>
      <c r="F1643" s="9" t="s">
        <v>4218</v>
      </c>
      <c r="G1643" s="9">
        <v>471</v>
      </c>
      <c r="H1643" s="5" t="s">
        <v>21</v>
      </c>
      <c r="I1643" s="5" t="s">
        <v>4399</v>
      </c>
      <c r="J1643" s="12" t="str">
        <f>HYPERLINK("https://www.boe.es/gazeta/dias/1808/12/20/pdfs/GMS-1808-59.pdf#page=7","Abrir facsímil")</f>
        <v>Abrir facsímil</v>
      </c>
      <c r="K1643" s="15" t="s">
        <v>23</v>
      </c>
    </row>
    <row r="1644" spans="1:11" ht="42" customHeight="1">
      <c r="A1644" s="4" t="s">
        <v>4400</v>
      </c>
      <c r="B1644" s="5" t="s">
        <v>4401</v>
      </c>
      <c r="C1644" s="5" t="s">
        <v>94</v>
      </c>
      <c r="D1644" s="5" t="s">
        <v>95</v>
      </c>
      <c r="E1644" s="5" t="s">
        <v>461</v>
      </c>
      <c r="F1644" s="9" t="s">
        <v>733</v>
      </c>
      <c r="G1644" s="9">
        <v>1445</v>
      </c>
      <c r="H1644" s="5" t="s">
        <v>21</v>
      </c>
      <c r="I1644" s="5" t="s">
        <v>4402</v>
      </c>
      <c r="J1644" s="12" t="str">
        <f>HYPERLINK("https://www.boe.es/gazeta/dias/1808/11/08/pdfs/GMD-1808-142.pdf#page=7","Abrir facsímil")</f>
        <v>Abrir facsímil</v>
      </c>
      <c r="K1644" s="15" t="s">
        <v>23</v>
      </c>
    </row>
    <row r="1645" spans="1:11" ht="42" customHeight="1">
      <c r="A1645" s="4" t="s">
        <v>4403</v>
      </c>
      <c r="B1645" s="5" t="s">
        <v>4404</v>
      </c>
      <c r="C1645" s="5" t="s">
        <v>33</v>
      </c>
      <c r="D1645" s="5" t="s">
        <v>34</v>
      </c>
      <c r="E1645" s="5" t="s">
        <v>65</v>
      </c>
      <c r="F1645" s="9" t="s">
        <v>105</v>
      </c>
      <c r="G1645" s="9" t="s">
        <v>117</v>
      </c>
      <c r="H1645" s="5" t="s">
        <v>21</v>
      </c>
      <c r="I1645" s="5" t="s">
        <v>4405</v>
      </c>
      <c r="J1645" s="12" t="str">
        <f>HYPERLINK("https://www.boe.es/gazeta/dias/1808/10/18/pdfs/GMD-D-1808-135.pdf#page=1","Abrir facsímil")</f>
        <v>Abrir facsímil</v>
      </c>
      <c r="K1645" s="15" t="s">
        <v>23</v>
      </c>
    </row>
    <row r="1646" spans="1:11" ht="42" customHeight="1">
      <c r="A1646" s="4" t="s">
        <v>4406</v>
      </c>
      <c r="B1646" s="5" t="s">
        <v>4407</v>
      </c>
      <c r="C1646" s="5" t="s">
        <v>41</v>
      </c>
      <c r="D1646" s="5" t="s">
        <v>42</v>
      </c>
      <c r="E1646" s="5" t="s">
        <v>115</v>
      </c>
      <c r="F1646" s="9" t="s">
        <v>116</v>
      </c>
      <c r="G1646" s="9" t="s">
        <v>199</v>
      </c>
      <c r="H1646" s="5" t="s">
        <v>21</v>
      </c>
      <c r="I1646" s="5" t="s">
        <v>4408</v>
      </c>
      <c r="J1646" s="12" t="str">
        <f>HYPERLINK("https://www.boe.es/gazeta/dias/1808/09/16/pdfs/GMD-C-1808-125.pdf#page=2","Abrir facsímil")</f>
        <v>Abrir facsímil</v>
      </c>
      <c r="K1646" s="15" t="s">
        <v>23</v>
      </c>
    </row>
    <row r="1647" spans="1:11" ht="42" customHeight="1">
      <c r="A1647" s="4" t="s">
        <v>4409</v>
      </c>
      <c r="B1647" s="5" t="s">
        <v>4410</v>
      </c>
      <c r="C1647" s="5" t="s">
        <v>94</v>
      </c>
      <c r="D1647" s="5" t="s">
        <v>95</v>
      </c>
      <c r="E1647" s="5" t="s">
        <v>65</v>
      </c>
      <c r="F1647" s="9" t="s">
        <v>691</v>
      </c>
      <c r="G1647" s="9">
        <v>1326</v>
      </c>
      <c r="H1647" s="5" t="s">
        <v>21</v>
      </c>
      <c r="I1647" s="5" t="s">
        <v>4411</v>
      </c>
      <c r="J1647" s="12" t="str">
        <f>HYPERLINK("https://www.boe.es/gazeta/dias/1808/10/18/pdfs/GMD-C-1808-135.pdf#page=10","Abrir facsímil")</f>
        <v>Abrir facsímil</v>
      </c>
      <c r="K1647" s="15" t="s">
        <v>23</v>
      </c>
    </row>
    <row r="1648" spans="1:11" ht="42" customHeight="1">
      <c r="A1648" s="4" t="s">
        <v>4409</v>
      </c>
      <c r="B1648" s="5" t="s">
        <v>4410</v>
      </c>
      <c r="C1648" s="5" t="s">
        <v>94</v>
      </c>
      <c r="D1648" s="5" t="s">
        <v>95</v>
      </c>
      <c r="E1648" s="5" t="s">
        <v>110</v>
      </c>
      <c r="F1648" s="9" t="s">
        <v>111</v>
      </c>
      <c r="G1648" s="9">
        <v>1381</v>
      </c>
      <c r="H1648" s="5" t="s">
        <v>21</v>
      </c>
      <c r="I1648" s="5" t="s">
        <v>4412</v>
      </c>
      <c r="J1648" s="12" t="str">
        <f>HYPERLINK("https://www.boe.es/gazeta/dias/1808/10/28/pdfs/GMD-1808-138.pdf#page=7","Abrir facsímil")</f>
        <v>Abrir facsímil</v>
      </c>
      <c r="K1648" s="15" t="s">
        <v>23</v>
      </c>
    </row>
    <row r="1649" spans="1:11" ht="42" customHeight="1">
      <c r="A1649" s="4" t="s">
        <v>4409</v>
      </c>
      <c r="B1649" s="5" t="s">
        <v>4410</v>
      </c>
      <c r="C1649" s="5" t="s">
        <v>17</v>
      </c>
      <c r="D1649" s="5" t="s">
        <v>18</v>
      </c>
      <c r="E1649" s="5" t="s">
        <v>427</v>
      </c>
      <c r="F1649" s="9" t="s">
        <v>1802</v>
      </c>
      <c r="G1649" s="9">
        <v>1518</v>
      </c>
      <c r="H1649" s="5" t="s">
        <v>21</v>
      </c>
      <c r="I1649" s="5" t="s">
        <v>4413</v>
      </c>
      <c r="J1649" s="12" t="str">
        <f>HYPERLINK("https://www.boe.es/gazeta/dias/1808/11/22/pdfs/GMD-1808-146.pdf#page=4","Abrir facsímil")</f>
        <v>Abrir facsímil</v>
      </c>
      <c r="K1649" s="15" t="s">
        <v>23</v>
      </c>
    </row>
    <row r="1650" spans="1:11" ht="42" customHeight="1">
      <c r="A1650" s="4" t="s">
        <v>4414</v>
      </c>
      <c r="B1650" s="5" t="s">
        <v>4415</v>
      </c>
      <c r="C1650" s="5" t="s">
        <v>17</v>
      </c>
      <c r="D1650" s="5" t="s">
        <v>18</v>
      </c>
      <c r="E1650" s="5" t="s">
        <v>1361</v>
      </c>
      <c r="F1650" s="9" t="s">
        <v>1362</v>
      </c>
      <c r="G1650" s="9">
        <v>472</v>
      </c>
      <c r="H1650" s="5" t="s">
        <v>21</v>
      </c>
      <c r="I1650" s="5" t="s">
        <v>4416</v>
      </c>
      <c r="J1650" s="12" t="str">
        <f>HYPERLINK("https://www.boe.es/gazeta/dias/1808/05/17/pdfs/GMD-1808-47.pdf#page=12","Abrir facsímil")</f>
        <v>Abrir facsímil</v>
      </c>
      <c r="K1650" s="15" t="s">
        <v>23</v>
      </c>
    </row>
    <row r="1651" spans="1:11" ht="42" customHeight="1">
      <c r="A1651" s="4" t="s">
        <v>4417</v>
      </c>
      <c r="B1651" s="5" t="s">
        <v>4418</v>
      </c>
      <c r="C1651" s="5" t="s">
        <v>33</v>
      </c>
      <c r="D1651" s="5" t="s">
        <v>34</v>
      </c>
      <c r="E1651" s="5" t="s">
        <v>264</v>
      </c>
      <c r="F1651" s="9" t="s">
        <v>318</v>
      </c>
      <c r="G1651" s="9" t="s">
        <v>199</v>
      </c>
      <c r="H1651" s="5" t="s">
        <v>21</v>
      </c>
      <c r="I1651" s="5" t="s">
        <v>4419</v>
      </c>
      <c r="J1651" s="12" t="str">
        <f>HYPERLINK("https://www.boe.es/gazeta/dias/1808/11/29/pdfs/GMD-C-1808-148.pdf#page=2","Abrir facsímil")</f>
        <v>Abrir facsímil</v>
      </c>
      <c r="K1651" s="15" t="s">
        <v>23</v>
      </c>
    </row>
    <row r="1652" spans="1:11" ht="42" customHeight="1">
      <c r="A1652" s="4" t="s">
        <v>4420</v>
      </c>
      <c r="B1652" s="5" t="s">
        <v>4421</v>
      </c>
      <c r="C1652" s="5" t="s">
        <v>33</v>
      </c>
      <c r="D1652" s="5" t="s">
        <v>34</v>
      </c>
      <c r="E1652" s="5" t="s">
        <v>35</v>
      </c>
      <c r="F1652" s="9" t="s">
        <v>36</v>
      </c>
      <c r="G1652" s="9" t="s">
        <v>1806</v>
      </c>
      <c r="H1652" s="5" t="s">
        <v>21</v>
      </c>
      <c r="I1652" s="5" t="s">
        <v>4422</v>
      </c>
      <c r="J1652" s="12" t="str">
        <f>HYPERLINK("https://www.boe.es/gazeta/dias/1808/04/22/pdfs/GMD-C-1808-38.pdf#page=6","Abrir facsímil")</f>
        <v>Abrir facsímil</v>
      </c>
      <c r="K1652" s="15" t="s">
        <v>23</v>
      </c>
    </row>
    <row r="1653" spans="1:11" ht="42" customHeight="1">
      <c r="A1653" s="4" t="s">
        <v>4423</v>
      </c>
      <c r="B1653" s="5" t="s">
        <v>4424</v>
      </c>
      <c r="C1653" s="5" t="s">
        <v>94</v>
      </c>
      <c r="D1653" s="5" t="s">
        <v>95</v>
      </c>
      <c r="E1653" s="5" t="s">
        <v>363</v>
      </c>
      <c r="F1653" s="9" t="s">
        <v>364</v>
      </c>
      <c r="G1653" s="9" t="s">
        <v>199</v>
      </c>
      <c r="H1653" s="5" t="s">
        <v>21</v>
      </c>
      <c r="I1653" s="5" t="s">
        <v>4425</v>
      </c>
      <c r="J1653" s="12" t="str">
        <f>HYPERLINK("https://www.boe.es/gazeta/dias/1808/09/20/pdfs/GMD-C-1808-126.pdf#page=2","Abrir facsímil")</f>
        <v>Abrir facsímil</v>
      </c>
      <c r="K1653" s="15" t="s">
        <v>23</v>
      </c>
    </row>
    <row r="1654" spans="1:11" ht="42" customHeight="1">
      <c r="A1654" s="4" t="s">
        <v>4426</v>
      </c>
      <c r="B1654" s="5" t="s">
        <v>4427</v>
      </c>
      <c r="C1654" s="5" t="s">
        <v>41</v>
      </c>
      <c r="D1654" s="5" t="s">
        <v>42</v>
      </c>
      <c r="E1654" s="5" t="s">
        <v>539</v>
      </c>
      <c r="F1654" s="9" t="s">
        <v>540</v>
      </c>
      <c r="G1654" s="9">
        <v>1111</v>
      </c>
      <c r="H1654" s="5" t="s">
        <v>21</v>
      </c>
      <c r="I1654" s="5" t="s">
        <v>4428</v>
      </c>
      <c r="J1654" s="12" t="str">
        <f>HYPERLINK("https://www.boe.es/gazeta/dias/1808/09/02/pdfs/GMD-1808-119.pdf#page=5","Abrir facsímil")</f>
        <v>Abrir facsímil</v>
      </c>
      <c r="K1654" s="15" t="s">
        <v>23</v>
      </c>
    </row>
    <row r="1655" spans="1:11" ht="42" customHeight="1">
      <c r="A1655" s="4" t="s">
        <v>4429</v>
      </c>
      <c r="B1655" s="5" t="s">
        <v>4430</v>
      </c>
      <c r="C1655" s="5" t="s">
        <v>33</v>
      </c>
      <c r="D1655" s="5" t="s">
        <v>34</v>
      </c>
      <c r="E1655" s="5" t="s">
        <v>264</v>
      </c>
      <c r="F1655" s="9" t="s">
        <v>318</v>
      </c>
      <c r="G1655" s="9" t="s">
        <v>106</v>
      </c>
      <c r="H1655" s="5" t="s">
        <v>21</v>
      </c>
      <c r="I1655" s="5" t="s">
        <v>4431</v>
      </c>
      <c r="J1655" s="12" t="str">
        <f>HYPERLINK("https://www.boe.es/gazeta/dias/1808/11/29/pdfs/GMD-C-1808-148.pdf#page=3","Abrir facsímil")</f>
        <v>Abrir facsímil</v>
      </c>
      <c r="K1655" s="15" t="s">
        <v>23</v>
      </c>
    </row>
    <row r="1656" spans="1:11" ht="42" customHeight="1">
      <c r="A1656" s="4" t="s">
        <v>4432</v>
      </c>
      <c r="B1656" s="5" t="s">
        <v>4433</v>
      </c>
      <c r="C1656" s="5" t="s">
        <v>33</v>
      </c>
      <c r="D1656" s="5" t="s">
        <v>34</v>
      </c>
      <c r="E1656" s="5" t="s">
        <v>35</v>
      </c>
      <c r="F1656" s="9" t="s">
        <v>36</v>
      </c>
      <c r="G1656" s="9" t="s">
        <v>1075</v>
      </c>
      <c r="H1656" s="5" t="s">
        <v>21</v>
      </c>
      <c r="I1656" s="5" t="s">
        <v>4434</v>
      </c>
      <c r="J1656" s="12" t="str">
        <f>HYPERLINK("https://www.boe.es/gazeta/dias/1808/04/22/pdfs/GMD-C-1808-38.pdf#page=32","Abrir facsímil")</f>
        <v>Abrir facsímil</v>
      </c>
      <c r="K1656" s="15" t="s">
        <v>23</v>
      </c>
    </row>
    <row r="1657" spans="1:11" ht="42" customHeight="1">
      <c r="A1657" s="4" t="s">
        <v>4435</v>
      </c>
      <c r="B1657" s="5" t="s">
        <v>4436</v>
      </c>
      <c r="C1657" s="5" t="s">
        <v>33</v>
      </c>
      <c r="D1657" s="5" t="s">
        <v>34</v>
      </c>
      <c r="E1657" s="5" t="s">
        <v>180</v>
      </c>
      <c r="F1657" s="9" t="s">
        <v>768</v>
      </c>
      <c r="G1657" s="9" t="s">
        <v>75</v>
      </c>
      <c r="H1657" s="5" t="s">
        <v>21</v>
      </c>
      <c r="I1657" s="5" t="s">
        <v>4437</v>
      </c>
      <c r="J1657" s="12" t="str">
        <f>HYPERLINK("https://www.boe.es/gazeta/dias/1808/11/15/pdfs/GMD-D-1808-144.pdf#page=4","Abrir facsímil")</f>
        <v>Abrir facsímil</v>
      </c>
      <c r="K1657" s="15" t="s">
        <v>23</v>
      </c>
    </row>
    <row r="1658" spans="1:11" ht="42" customHeight="1">
      <c r="A1658" s="4" t="s">
        <v>4438</v>
      </c>
      <c r="B1658" s="5" t="s">
        <v>4439</v>
      </c>
      <c r="C1658" s="5" t="s">
        <v>33</v>
      </c>
      <c r="D1658" s="5" t="s">
        <v>34</v>
      </c>
      <c r="E1658" s="5" t="s">
        <v>35</v>
      </c>
      <c r="F1658" s="9" t="s">
        <v>36</v>
      </c>
      <c r="G1658" s="9" t="s">
        <v>1075</v>
      </c>
      <c r="H1658" s="5" t="s">
        <v>21</v>
      </c>
      <c r="I1658" s="5" t="s">
        <v>4440</v>
      </c>
      <c r="J1658" s="12" t="str">
        <f>HYPERLINK("https://www.boe.es/gazeta/dias/1808/04/22/pdfs/GMD-C-1808-38.pdf#page=32","Abrir facsímil")</f>
        <v>Abrir facsímil</v>
      </c>
      <c r="K1658" s="15" t="s">
        <v>23</v>
      </c>
    </row>
    <row r="1659" spans="1:11" ht="42" customHeight="1">
      <c r="A1659" s="4" t="s">
        <v>4441</v>
      </c>
      <c r="B1659" s="5" t="s">
        <v>4442</v>
      </c>
      <c r="C1659" s="5" t="s">
        <v>17</v>
      </c>
      <c r="D1659" s="5" t="s">
        <v>18</v>
      </c>
      <c r="E1659" s="5" t="s">
        <v>130</v>
      </c>
      <c r="F1659" s="9" t="s">
        <v>131</v>
      </c>
      <c r="G1659" s="9">
        <v>1604</v>
      </c>
      <c r="H1659" s="5" t="s">
        <v>21</v>
      </c>
      <c r="I1659" s="5" t="s">
        <v>4443</v>
      </c>
      <c r="J1659" s="12" t="str">
        <f>HYPERLINK("https://www.boe.es/gazeta/dias/1808/12/15/pdfs/GMD-1808-155.pdf#page=8","Abrir facsímil")</f>
        <v>Abrir facsímil</v>
      </c>
      <c r="K1659" s="15" t="s">
        <v>23</v>
      </c>
    </row>
    <row r="1660" spans="1:11" ht="42" customHeight="1">
      <c r="A1660" s="4" t="s">
        <v>4444</v>
      </c>
      <c r="B1660" s="5" t="s">
        <v>4445</v>
      </c>
      <c r="C1660" s="5" t="s">
        <v>33</v>
      </c>
      <c r="D1660" s="5" t="s">
        <v>34</v>
      </c>
      <c r="E1660" s="5" t="s">
        <v>115</v>
      </c>
      <c r="F1660" s="9" t="s">
        <v>116</v>
      </c>
      <c r="G1660" s="9" t="s">
        <v>117</v>
      </c>
      <c r="H1660" s="5" t="s">
        <v>21</v>
      </c>
      <c r="I1660" s="5" t="s">
        <v>4446</v>
      </c>
      <c r="J1660" s="12" t="str">
        <f>HYPERLINK("https://www.boe.es/gazeta/dias/1808/09/16/pdfs/GMD-C-1808-125.pdf#page=1","Abrir facsímil")</f>
        <v>Abrir facsímil</v>
      </c>
      <c r="K1660" s="15" t="s">
        <v>23</v>
      </c>
    </row>
    <row r="1661" spans="1:11" ht="42" customHeight="1">
      <c r="A1661" s="4" t="s">
        <v>4447</v>
      </c>
      <c r="B1661" s="5" t="s">
        <v>4448</v>
      </c>
      <c r="C1661" s="5" t="s">
        <v>26</v>
      </c>
      <c r="D1661" s="5" t="s">
        <v>27</v>
      </c>
      <c r="E1661" s="5" t="s">
        <v>65</v>
      </c>
      <c r="F1661" s="9" t="s">
        <v>105</v>
      </c>
      <c r="G1661" s="9" t="s">
        <v>106</v>
      </c>
      <c r="H1661" s="5" t="s">
        <v>21</v>
      </c>
      <c r="I1661" s="5" t="s">
        <v>4449</v>
      </c>
      <c r="J1661" s="12" t="str">
        <f>HYPERLINK("https://www.boe.es/gazeta/dias/1808/10/18/pdfs/GMD-D-1808-135.pdf#page=3","Abrir facsímil")</f>
        <v>Abrir facsímil</v>
      </c>
      <c r="K1661" s="15" t="s">
        <v>23</v>
      </c>
    </row>
    <row r="1662" spans="1:11" ht="42" customHeight="1">
      <c r="A1662" s="4" t="s">
        <v>4450</v>
      </c>
      <c r="B1662" s="5" t="s">
        <v>4451</v>
      </c>
      <c r="C1662" s="5" t="s">
        <v>94</v>
      </c>
      <c r="D1662" s="5" t="s">
        <v>95</v>
      </c>
      <c r="E1662" s="5" t="s">
        <v>65</v>
      </c>
      <c r="F1662" s="9" t="s">
        <v>66</v>
      </c>
      <c r="G1662" s="9">
        <v>1314</v>
      </c>
      <c r="H1662" s="5" t="s">
        <v>21</v>
      </c>
      <c r="I1662" s="5" t="s">
        <v>4452</v>
      </c>
      <c r="J1662" s="12" t="str">
        <f>HYPERLINK("https://www.boe.es/gazeta/dias/1808/10/18/pdfs/GMD-1808-135.pdf#page=14","Abrir facsímil")</f>
        <v>Abrir facsímil</v>
      </c>
      <c r="K1662" s="15" t="s">
        <v>23</v>
      </c>
    </row>
    <row r="1663" spans="1:11" ht="42" customHeight="1">
      <c r="A1663" s="4" t="s">
        <v>4453</v>
      </c>
      <c r="B1663" s="5" t="s">
        <v>4454</v>
      </c>
      <c r="C1663" s="5" t="s">
        <v>33</v>
      </c>
      <c r="D1663" s="5" t="s">
        <v>34</v>
      </c>
      <c r="E1663" s="5" t="s">
        <v>35</v>
      </c>
      <c r="F1663" s="9" t="s">
        <v>36</v>
      </c>
      <c r="G1663" s="9" t="s">
        <v>1294</v>
      </c>
      <c r="H1663" s="5" t="s">
        <v>21</v>
      </c>
      <c r="I1663" s="5" t="s">
        <v>4455</v>
      </c>
      <c r="J1663" s="12" t="str">
        <f>HYPERLINK("https://www.boe.es/gazeta/dias/1808/04/22/pdfs/GMD-C-1808-38.pdf#page=8","Abrir facsímil")</f>
        <v>Abrir facsímil</v>
      </c>
      <c r="K1663" s="15" t="s">
        <v>23</v>
      </c>
    </row>
    <row r="1664" spans="1:11" ht="42" customHeight="1">
      <c r="A1664" s="4" t="s">
        <v>4456</v>
      </c>
      <c r="B1664" s="5" t="s">
        <v>4457</v>
      </c>
      <c r="C1664" s="5" t="s">
        <v>41</v>
      </c>
      <c r="D1664" s="5" t="s">
        <v>42</v>
      </c>
      <c r="E1664" s="5" t="s">
        <v>1791</v>
      </c>
      <c r="F1664" s="9" t="s">
        <v>2814</v>
      </c>
      <c r="G1664" s="9">
        <v>930</v>
      </c>
      <c r="H1664" s="5" t="s">
        <v>21</v>
      </c>
      <c r="I1664" s="5" t="s">
        <v>4458</v>
      </c>
      <c r="J1664" s="12" t="str">
        <f>HYPERLINK("https://www.boe.es/gazeta/dias/1808/07/30/pdfs/GMD-1808-102.pdf#page=4","Abrir facsímil")</f>
        <v>Abrir facsímil</v>
      </c>
      <c r="K1664" s="15" t="s">
        <v>23</v>
      </c>
    </row>
    <row r="1665" spans="1:11" ht="42" customHeight="1">
      <c r="A1665" s="4" t="s">
        <v>4456</v>
      </c>
      <c r="B1665" s="5" t="s">
        <v>4457</v>
      </c>
      <c r="C1665" s="5" t="s">
        <v>41</v>
      </c>
      <c r="D1665" s="5" t="s">
        <v>42</v>
      </c>
      <c r="E1665" s="5" t="s">
        <v>427</v>
      </c>
      <c r="F1665" s="9" t="s">
        <v>1802</v>
      </c>
      <c r="G1665" s="9">
        <v>1526</v>
      </c>
      <c r="H1665" s="5" t="s">
        <v>21</v>
      </c>
      <c r="I1665" s="5" t="s">
        <v>4459</v>
      </c>
      <c r="J1665" s="12" t="str">
        <f>HYPERLINK("https://www.boe.es/gazeta/dias/1808/11/22/pdfs/GMD-1808-146.pdf#page=12","Abrir facsímil")</f>
        <v>Abrir facsímil</v>
      </c>
      <c r="K1665" s="15" t="s">
        <v>23</v>
      </c>
    </row>
    <row r="1666" spans="1:11" ht="42" customHeight="1">
      <c r="A1666" s="4" t="s">
        <v>4460</v>
      </c>
      <c r="B1666" s="5" t="s">
        <v>4461</v>
      </c>
      <c r="C1666" s="5" t="s">
        <v>41</v>
      </c>
      <c r="D1666" s="5" t="s">
        <v>42</v>
      </c>
      <c r="E1666" s="5" t="s">
        <v>35</v>
      </c>
      <c r="F1666" s="9" t="s">
        <v>36</v>
      </c>
      <c r="G1666" s="9" t="s">
        <v>37</v>
      </c>
      <c r="H1666" s="5" t="s">
        <v>21</v>
      </c>
      <c r="I1666" s="5" t="s">
        <v>4462</v>
      </c>
      <c r="J1666" s="12" t="str">
        <f>HYPERLINK("https://www.boe.es/gazeta/dias/1808/04/22/pdfs/GMD-C-1808-38.pdf#page=33","Abrir facsímil")</f>
        <v>Abrir facsímil</v>
      </c>
      <c r="K1666" s="15" t="s">
        <v>23</v>
      </c>
    </row>
    <row r="1667" spans="1:11" ht="42" customHeight="1">
      <c r="A1667" s="4" t="s">
        <v>4463</v>
      </c>
      <c r="B1667" s="5" t="s">
        <v>4464</v>
      </c>
      <c r="C1667" s="5" t="s">
        <v>33</v>
      </c>
      <c r="D1667" s="5" t="s">
        <v>34</v>
      </c>
      <c r="E1667" s="5" t="s">
        <v>115</v>
      </c>
      <c r="F1667" s="9" t="s">
        <v>116</v>
      </c>
      <c r="G1667" s="9" t="s">
        <v>75</v>
      </c>
      <c r="H1667" s="5" t="s">
        <v>21</v>
      </c>
      <c r="I1667" s="5" t="s">
        <v>4465</v>
      </c>
      <c r="J1667" s="12" t="str">
        <f>HYPERLINK("https://www.boe.es/gazeta/dias/1808/09/16/pdfs/GMD-C-1808-125.pdf#page=4","Abrir facsímil")</f>
        <v>Abrir facsímil</v>
      </c>
      <c r="K1667" s="15" t="s">
        <v>23</v>
      </c>
    </row>
    <row r="1668" spans="1:11" ht="42" customHeight="1">
      <c r="A1668" s="4" t="s">
        <v>4466</v>
      </c>
      <c r="B1668" s="5" t="s">
        <v>4467</v>
      </c>
      <c r="C1668" s="5" t="s">
        <v>33</v>
      </c>
      <c r="D1668" s="5" t="s">
        <v>34</v>
      </c>
      <c r="E1668" s="5" t="s">
        <v>35</v>
      </c>
      <c r="F1668" s="9" t="s">
        <v>36</v>
      </c>
      <c r="G1668" s="9" t="s">
        <v>1860</v>
      </c>
      <c r="H1668" s="5" t="s">
        <v>21</v>
      </c>
      <c r="I1668" s="5" t="s">
        <v>4468</v>
      </c>
      <c r="J1668" s="12" t="str">
        <f>HYPERLINK("https://www.boe.es/gazeta/dias/1808/04/22/pdfs/GMD-C-1808-38.pdf#page=37","Abrir facsímil")</f>
        <v>Abrir facsímil</v>
      </c>
      <c r="K1668" s="15" t="s">
        <v>23</v>
      </c>
    </row>
    <row r="1669" spans="1:11" ht="42" customHeight="1">
      <c r="A1669" s="4" t="s">
        <v>4469</v>
      </c>
      <c r="B1669" s="5" t="s">
        <v>4470</v>
      </c>
      <c r="C1669" s="5" t="s">
        <v>389</v>
      </c>
      <c r="D1669" s="5" t="s">
        <v>390</v>
      </c>
      <c r="E1669" s="5" t="s">
        <v>2849</v>
      </c>
      <c r="F1669" s="9" t="s">
        <v>2850</v>
      </c>
      <c r="G1669" s="9">
        <v>9</v>
      </c>
      <c r="H1669" s="5" t="s">
        <v>21</v>
      </c>
      <c r="I1669" s="5" t="s">
        <v>4471</v>
      </c>
      <c r="J1669" s="12" t="str">
        <f>HYPERLINK("https://www.boe.es/gazeta/dias/1808/06/04/pdfs/GMS-1808-2.pdf#page=1","Abrir facsímil")</f>
        <v>Abrir facsímil</v>
      </c>
      <c r="K1669" s="15" t="s">
        <v>23</v>
      </c>
    </row>
    <row r="1670" spans="1:11" ht="42" customHeight="1">
      <c r="A1670" s="4" t="s">
        <v>4472</v>
      </c>
      <c r="B1670" s="5" t="s">
        <v>4473</v>
      </c>
      <c r="C1670" s="5" t="s">
        <v>94</v>
      </c>
      <c r="D1670" s="5" t="s">
        <v>95</v>
      </c>
      <c r="E1670" s="5" t="s">
        <v>35</v>
      </c>
      <c r="F1670" s="9" t="s">
        <v>36</v>
      </c>
      <c r="G1670" s="9" t="s">
        <v>1075</v>
      </c>
      <c r="H1670" s="5" t="s">
        <v>21</v>
      </c>
      <c r="I1670" s="5" t="s">
        <v>4474</v>
      </c>
      <c r="J1670" s="12" t="str">
        <f>HYPERLINK("https://www.boe.es/gazeta/dias/1808/04/22/pdfs/GMD-C-1808-38.pdf#page=32","Abrir facsímil")</f>
        <v>Abrir facsímil</v>
      </c>
      <c r="K1670" s="15" t="s">
        <v>23</v>
      </c>
    </row>
    <row r="1671" spans="1:11" ht="42" customHeight="1">
      <c r="A1671" s="4" t="s">
        <v>4475</v>
      </c>
      <c r="B1671" s="5" t="s">
        <v>4476</v>
      </c>
      <c r="C1671" s="5" t="s">
        <v>33</v>
      </c>
      <c r="D1671" s="5" t="s">
        <v>34</v>
      </c>
      <c r="E1671" s="5" t="s">
        <v>125</v>
      </c>
      <c r="F1671" s="9" t="s">
        <v>126</v>
      </c>
      <c r="G1671" s="9" t="s">
        <v>106</v>
      </c>
      <c r="H1671" s="5" t="s">
        <v>21</v>
      </c>
      <c r="I1671" s="5" t="s">
        <v>4477</v>
      </c>
      <c r="J1671" s="12" t="str">
        <f>HYPERLINK("https://www.boe.es/gazeta/dias/1808/10/07/pdfs/GMD-C-1808-132.pdf#page=3","Abrir facsímil")</f>
        <v>Abrir facsímil</v>
      </c>
      <c r="K1671" s="15" t="s">
        <v>23</v>
      </c>
    </row>
    <row r="1672" spans="1:11" ht="42" customHeight="1">
      <c r="A1672" s="4" t="s">
        <v>4478</v>
      </c>
      <c r="B1672" s="5" t="s">
        <v>4479</v>
      </c>
      <c r="C1672" s="5" t="s">
        <v>33</v>
      </c>
      <c r="D1672" s="5" t="s">
        <v>34</v>
      </c>
      <c r="E1672" s="5" t="s">
        <v>35</v>
      </c>
      <c r="F1672" s="9" t="s">
        <v>36</v>
      </c>
      <c r="G1672" s="9" t="s">
        <v>1517</v>
      </c>
      <c r="H1672" s="5" t="s">
        <v>21</v>
      </c>
      <c r="I1672" s="5" t="s">
        <v>4480</v>
      </c>
      <c r="J1672" s="12" t="str">
        <f>HYPERLINK("https://www.boe.es/gazeta/dias/1808/04/22/pdfs/GMD-C-1808-38.pdf#page=23","Abrir facsímil")</f>
        <v>Abrir facsímil</v>
      </c>
      <c r="K1672" s="15" t="s">
        <v>23</v>
      </c>
    </row>
    <row r="1673" spans="1:11" ht="42" customHeight="1">
      <c r="A1673" s="4" t="s">
        <v>4481</v>
      </c>
      <c r="B1673" s="5" t="s">
        <v>4482</v>
      </c>
      <c r="C1673" s="5" t="s">
        <v>33</v>
      </c>
      <c r="D1673" s="5" t="s">
        <v>34</v>
      </c>
      <c r="E1673" s="5" t="s">
        <v>35</v>
      </c>
      <c r="F1673" s="9" t="s">
        <v>36</v>
      </c>
      <c r="G1673" s="9" t="s">
        <v>2643</v>
      </c>
      <c r="H1673" s="5" t="s">
        <v>21</v>
      </c>
      <c r="I1673" s="5" t="s">
        <v>4483</v>
      </c>
      <c r="J1673" s="12" t="str">
        <f>HYPERLINK("https://www.boe.es/gazeta/dias/1808/04/22/pdfs/GMD-C-1808-38.pdf#page=17","Abrir facsímil")</f>
        <v>Abrir facsímil</v>
      </c>
      <c r="K1673" s="15" t="s">
        <v>23</v>
      </c>
    </row>
    <row r="1674" spans="1:11" ht="42" customHeight="1">
      <c r="A1674" s="4" t="s">
        <v>4484</v>
      </c>
      <c r="B1674" s="5" t="s">
        <v>4485</v>
      </c>
      <c r="C1674" s="5" t="s">
        <v>94</v>
      </c>
      <c r="D1674" s="5" t="s">
        <v>95</v>
      </c>
      <c r="E1674" s="5" t="s">
        <v>974</v>
      </c>
      <c r="F1674" s="9" t="s">
        <v>975</v>
      </c>
      <c r="G1674" s="9">
        <v>391</v>
      </c>
      <c r="H1674" s="5" t="s">
        <v>21</v>
      </c>
      <c r="I1674" s="5" t="s">
        <v>4486</v>
      </c>
      <c r="J1674" s="12" t="str">
        <f>HYPERLINK("https://www.boe.es/gazeta/dias/1808/04/19/pdfs/GMD-1808-37.pdf#page=7","Abrir facsímil")</f>
        <v>Abrir facsímil</v>
      </c>
      <c r="K1674" s="15" t="s">
        <v>23</v>
      </c>
    </row>
    <row r="1675" spans="1:11" ht="42" customHeight="1">
      <c r="A1675" s="4" t="s">
        <v>4487</v>
      </c>
      <c r="B1675" s="5" t="s">
        <v>4488</v>
      </c>
      <c r="C1675" s="5" t="s">
        <v>94</v>
      </c>
      <c r="D1675" s="5" t="s">
        <v>95</v>
      </c>
      <c r="E1675" s="5" t="s">
        <v>974</v>
      </c>
      <c r="F1675" s="9" t="s">
        <v>975</v>
      </c>
      <c r="G1675" s="9">
        <v>391</v>
      </c>
      <c r="H1675" s="5" t="s">
        <v>21</v>
      </c>
      <c r="I1675" s="5" t="s">
        <v>4489</v>
      </c>
      <c r="J1675" s="12" t="str">
        <f>HYPERLINK("https://www.boe.es/gazeta/dias/1808/04/19/pdfs/GMD-1808-37.pdf#page=7","Abrir facsímil")</f>
        <v>Abrir facsímil</v>
      </c>
      <c r="K1675" s="15" t="s">
        <v>23</v>
      </c>
    </row>
    <row r="1676" spans="1:11" ht="42" customHeight="1">
      <c r="A1676" s="4" t="s">
        <v>4490</v>
      </c>
      <c r="B1676" s="5" t="s">
        <v>4491</v>
      </c>
      <c r="C1676" s="5" t="s">
        <v>41</v>
      </c>
      <c r="D1676" s="5" t="s">
        <v>42</v>
      </c>
      <c r="E1676" s="5" t="s">
        <v>35</v>
      </c>
      <c r="F1676" s="9" t="s">
        <v>36</v>
      </c>
      <c r="G1676" s="9" t="s">
        <v>1860</v>
      </c>
      <c r="H1676" s="5" t="s">
        <v>21</v>
      </c>
      <c r="I1676" s="5" t="s">
        <v>4492</v>
      </c>
      <c r="J1676" s="12" t="str">
        <f>HYPERLINK("https://www.boe.es/gazeta/dias/1808/04/22/pdfs/GMD-C-1808-38.pdf#page=37","Abrir facsímil")</f>
        <v>Abrir facsímil</v>
      </c>
      <c r="K1676" s="15" t="s">
        <v>23</v>
      </c>
    </row>
    <row r="1677" spans="1:11" ht="42" customHeight="1">
      <c r="A1677" s="4" t="s">
        <v>4493</v>
      </c>
      <c r="B1677" s="5" t="s">
        <v>4494</v>
      </c>
      <c r="C1677" s="5" t="s">
        <v>33</v>
      </c>
      <c r="D1677" s="5" t="s">
        <v>34</v>
      </c>
      <c r="E1677" s="5" t="s">
        <v>35</v>
      </c>
      <c r="F1677" s="9" t="s">
        <v>36</v>
      </c>
      <c r="G1677" s="9" t="s">
        <v>1128</v>
      </c>
      <c r="H1677" s="5" t="s">
        <v>21</v>
      </c>
      <c r="I1677" s="5" t="s">
        <v>4495</v>
      </c>
      <c r="J1677" s="12" t="str">
        <f>HYPERLINK("https://www.boe.es/gazeta/dias/1808/04/22/pdfs/GMD-C-1808-38.pdf#page=11","Abrir facsímil")</f>
        <v>Abrir facsímil</v>
      </c>
      <c r="K1677" s="15" t="s">
        <v>23</v>
      </c>
    </row>
    <row r="1678" spans="1:11" ht="42" customHeight="1">
      <c r="A1678" s="4" t="s">
        <v>4496</v>
      </c>
      <c r="B1678" s="5" t="s">
        <v>4497</v>
      </c>
      <c r="C1678" s="5" t="s">
        <v>17</v>
      </c>
      <c r="D1678" s="5" t="s">
        <v>18</v>
      </c>
      <c r="E1678" s="5" t="s">
        <v>130</v>
      </c>
      <c r="F1678" s="9" t="s">
        <v>131</v>
      </c>
      <c r="G1678" s="9">
        <v>1604</v>
      </c>
      <c r="H1678" s="5" t="s">
        <v>21</v>
      </c>
      <c r="I1678" s="5" t="s">
        <v>4498</v>
      </c>
      <c r="J1678" s="12" t="str">
        <f>HYPERLINK("https://www.boe.es/gazeta/dias/1808/12/15/pdfs/GMD-1808-155.pdf#page=8","Abrir facsímil")</f>
        <v>Abrir facsímil</v>
      </c>
      <c r="K1678" s="15" t="s">
        <v>23</v>
      </c>
    </row>
    <row r="1679" spans="1:11" ht="42" customHeight="1">
      <c r="A1679" s="4" t="s">
        <v>4499</v>
      </c>
      <c r="B1679" s="5" t="s">
        <v>4500</v>
      </c>
      <c r="C1679" s="5" t="s">
        <v>17</v>
      </c>
      <c r="D1679" s="5" t="s">
        <v>18</v>
      </c>
      <c r="E1679" s="5" t="s">
        <v>334</v>
      </c>
      <c r="F1679" s="9" t="s">
        <v>1814</v>
      </c>
      <c r="G1679" s="9">
        <v>1244</v>
      </c>
      <c r="H1679" s="5" t="s">
        <v>21</v>
      </c>
      <c r="I1679" s="5" t="s">
        <v>4501</v>
      </c>
      <c r="J1679" s="12" t="str">
        <f>HYPERLINK("https://www.boe.es/gazeta/dias/1808/10/04/pdfs/GMD-1808-131.pdf#page=12","Abrir facsímil")</f>
        <v>Abrir facsímil</v>
      </c>
      <c r="K1679" s="15" t="s">
        <v>23</v>
      </c>
    </row>
    <row r="1680" spans="1:11" ht="42" customHeight="1">
      <c r="A1680" s="4" t="s">
        <v>4502</v>
      </c>
      <c r="B1680" s="5" t="s">
        <v>4503</v>
      </c>
      <c r="C1680" s="5" t="s">
        <v>33</v>
      </c>
      <c r="D1680" s="5" t="s">
        <v>34</v>
      </c>
      <c r="E1680" s="5" t="s">
        <v>89</v>
      </c>
      <c r="F1680" s="9" t="s">
        <v>563</v>
      </c>
      <c r="G1680" s="9" t="s">
        <v>199</v>
      </c>
      <c r="H1680" s="5" t="s">
        <v>21</v>
      </c>
      <c r="I1680" s="5" t="s">
        <v>4504</v>
      </c>
      <c r="J1680" s="12" t="str">
        <f>HYPERLINK("https://www.boe.es/gazeta/dias/1808/10/25/pdfs/GMD-D-1808-137.pdf#page=2","Abrir facsímil")</f>
        <v>Abrir facsímil</v>
      </c>
      <c r="K1680" s="15" t="s">
        <v>23</v>
      </c>
    </row>
    <row r="1681" spans="1:11" ht="42" customHeight="1">
      <c r="A1681" s="4" t="s">
        <v>4505</v>
      </c>
      <c r="B1681" s="5" t="s">
        <v>4506</v>
      </c>
      <c r="C1681" s="5" t="s">
        <v>41</v>
      </c>
      <c r="D1681" s="5" t="s">
        <v>42</v>
      </c>
      <c r="E1681" s="5" t="s">
        <v>73</v>
      </c>
      <c r="F1681" s="9" t="s">
        <v>74</v>
      </c>
      <c r="G1681" s="9" t="s">
        <v>199</v>
      </c>
      <c r="H1681" s="5" t="s">
        <v>21</v>
      </c>
      <c r="I1681" s="5" t="s">
        <v>4507</v>
      </c>
      <c r="J1681" s="12" t="str">
        <f>HYPERLINK("https://www.boe.es/gazeta/dias/1808/11/11/pdfs/GMD-D-1808-143.pdf#page=2","Abrir facsímil")</f>
        <v>Abrir facsímil</v>
      </c>
      <c r="K1681" s="15" t="s">
        <v>23</v>
      </c>
    </row>
    <row r="1682" spans="1:11" ht="42" customHeight="1">
      <c r="A1682" s="4" t="s">
        <v>4508</v>
      </c>
      <c r="B1682" s="5" t="s">
        <v>4509</v>
      </c>
      <c r="C1682" s="5" t="s">
        <v>17</v>
      </c>
      <c r="D1682" s="5" t="s">
        <v>18</v>
      </c>
      <c r="E1682" s="5" t="s">
        <v>1791</v>
      </c>
      <c r="F1682" s="9" t="s">
        <v>2814</v>
      </c>
      <c r="G1682" s="9">
        <v>930</v>
      </c>
      <c r="H1682" s="5" t="s">
        <v>21</v>
      </c>
      <c r="I1682" s="5" t="s">
        <v>4510</v>
      </c>
      <c r="J1682" s="12" t="str">
        <f>HYPERLINK("https://www.boe.es/gazeta/dias/1808/07/30/pdfs/GMD-1808-102.pdf#page=4","Abrir facsímil")</f>
        <v>Abrir facsímil</v>
      </c>
      <c r="K1682" s="15" t="s">
        <v>23</v>
      </c>
    </row>
    <row r="1683" spans="1:11" ht="42" customHeight="1">
      <c r="A1683" s="4" t="s">
        <v>4511</v>
      </c>
      <c r="B1683" s="5" t="s">
        <v>4512</v>
      </c>
      <c r="C1683" s="5" t="s">
        <v>94</v>
      </c>
      <c r="D1683" s="5" t="s">
        <v>95</v>
      </c>
      <c r="E1683" s="5" t="s">
        <v>84</v>
      </c>
      <c r="F1683" s="9" t="s">
        <v>85</v>
      </c>
      <c r="G1683" s="9">
        <v>1162</v>
      </c>
      <c r="H1683" s="5" t="s">
        <v>21</v>
      </c>
      <c r="I1683" s="5" t="s">
        <v>4513</v>
      </c>
      <c r="J1683" s="12" t="str">
        <f>HYPERLINK("https://www.boe.es/gazeta/dias/1808/09/13/pdfs/GMD-1808-123.pdf#page=10","Abrir facsímil")</f>
        <v>Abrir facsímil</v>
      </c>
      <c r="K1683" s="15" t="s">
        <v>23</v>
      </c>
    </row>
    <row r="1684" spans="1:11" ht="42" customHeight="1">
      <c r="A1684" s="4" t="s">
        <v>4514</v>
      </c>
      <c r="B1684" s="5" t="s">
        <v>4515</v>
      </c>
      <c r="C1684" s="5" t="s">
        <v>41</v>
      </c>
      <c r="D1684" s="5" t="s">
        <v>42</v>
      </c>
      <c r="E1684" s="5" t="s">
        <v>110</v>
      </c>
      <c r="F1684" s="9" t="s">
        <v>828</v>
      </c>
      <c r="G1684" s="9" t="s">
        <v>106</v>
      </c>
      <c r="H1684" s="5" t="s">
        <v>21</v>
      </c>
      <c r="I1684" s="5" t="s">
        <v>4516</v>
      </c>
      <c r="J1684" s="12" t="str">
        <f>HYPERLINK("https://www.boe.es/gazeta/dias/1808/10/28/pdfs/GMD-D-1808-138.pdf#page=3","Abrir facsímil")</f>
        <v>Abrir facsímil</v>
      </c>
      <c r="K1684" s="15" t="s">
        <v>23</v>
      </c>
    </row>
    <row r="1685" spans="1:11" ht="42" customHeight="1">
      <c r="A1685" s="4" t="s">
        <v>4517</v>
      </c>
      <c r="B1685" s="5" t="s">
        <v>4518</v>
      </c>
      <c r="C1685" s="5" t="s">
        <v>33</v>
      </c>
      <c r="D1685" s="5" t="s">
        <v>34</v>
      </c>
      <c r="E1685" s="5" t="s">
        <v>35</v>
      </c>
      <c r="F1685" s="9" t="s">
        <v>36</v>
      </c>
      <c r="G1685" s="9" t="s">
        <v>1006</v>
      </c>
      <c r="H1685" s="5" t="s">
        <v>21</v>
      </c>
      <c r="I1685" s="5" t="s">
        <v>4519</v>
      </c>
      <c r="J1685" s="12" t="str">
        <f>HYPERLINK("https://www.boe.es/gazeta/dias/1808/04/22/pdfs/GMD-C-1808-38.pdf#page=46","Abrir facsímil")</f>
        <v>Abrir facsímil</v>
      </c>
      <c r="K1685" s="15" t="s">
        <v>23</v>
      </c>
    </row>
    <row r="1686" spans="1:11" ht="42" customHeight="1">
      <c r="A1686" s="4" t="s">
        <v>4520</v>
      </c>
      <c r="B1686" s="5" t="s">
        <v>4521</v>
      </c>
      <c r="C1686" s="5" t="s">
        <v>33</v>
      </c>
      <c r="D1686" s="5" t="s">
        <v>34</v>
      </c>
      <c r="E1686" s="5" t="s">
        <v>35</v>
      </c>
      <c r="F1686" s="9" t="s">
        <v>36</v>
      </c>
      <c r="G1686" s="9" t="s">
        <v>322</v>
      </c>
      <c r="H1686" s="5" t="s">
        <v>21</v>
      </c>
      <c r="I1686" s="5" t="s">
        <v>4522</v>
      </c>
      <c r="J1686" s="12" t="str">
        <f>HYPERLINK("https://www.boe.es/gazeta/dias/1808/04/22/pdfs/GMD-C-1808-38.pdf#page=15","Abrir facsímil")</f>
        <v>Abrir facsímil</v>
      </c>
      <c r="K1686" s="15" t="s">
        <v>23</v>
      </c>
    </row>
    <row r="1687" spans="1:11" ht="42" customHeight="1">
      <c r="A1687" s="4" t="s">
        <v>4520</v>
      </c>
      <c r="B1687" s="5" t="s">
        <v>4521</v>
      </c>
      <c r="C1687" s="5" t="s">
        <v>33</v>
      </c>
      <c r="D1687" s="5" t="s">
        <v>34</v>
      </c>
      <c r="E1687" s="5" t="s">
        <v>35</v>
      </c>
      <c r="F1687" s="9" t="s">
        <v>36</v>
      </c>
      <c r="G1687" s="9" t="s">
        <v>2643</v>
      </c>
      <c r="H1687" s="5" t="s">
        <v>21</v>
      </c>
      <c r="I1687" s="5" t="s">
        <v>4523</v>
      </c>
      <c r="J1687" s="12" t="str">
        <f>HYPERLINK("https://www.boe.es/gazeta/dias/1808/04/22/pdfs/GMD-C-1808-38.pdf#page=17","Abrir facsímil")</f>
        <v>Abrir facsímil</v>
      </c>
      <c r="K1687" s="15" t="s">
        <v>23</v>
      </c>
    </row>
    <row r="1688" spans="1:11" ht="42" customHeight="1">
      <c r="A1688" s="4" t="s">
        <v>4520</v>
      </c>
      <c r="B1688" s="5" t="s">
        <v>4521</v>
      </c>
      <c r="C1688" s="5" t="s">
        <v>33</v>
      </c>
      <c r="D1688" s="5" t="s">
        <v>34</v>
      </c>
      <c r="E1688" s="5" t="s">
        <v>35</v>
      </c>
      <c r="F1688" s="9" t="s">
        <v>36</v>
      </c>
      <c r="G1688" s="9" t="s">
        <v>80</v>
      </c>
      <c r="H1688" s="5" t="s">
        <v>21</v>
      </c>
      <c r="I1688" s="5" t="s">
        <v>4524</v>
      </c>
      <c r="J1688" s="12" t="str">
        <f>HYPERLINK("https://www.boe.es/gazeta/dias/1808/04/22/pdfs/GMD-C-1808-38.pdf#page=18","Abrir facsímil")</f>
        <v>Abrir facsímil</v>
      </c>
      <c r="K1688" s="15" t="s">
        <v>23</v>
      </c>
    </row>
    <row r="1689" spans="1:11" ht="42" customHeight="1">
      <c r="A1689" s="4" t="s">
        <v>4520</v>
      </c>
      <c r="B1689" s="5" t="s">
        <v>4521</v>
      </c>
      <c r="C1689" s="5" t="s">
        <v>33</v>
      </c>
      <c r="D1689" s="5" t="s">
        <v>34</v>
      </c>
      <c r="E1689" s="5" t="s">
        <v>35</v>
      </c>
      <c r="F1689" s="9" t="s">
        <v>36</v>
      </c>
      <c r="G1689" s="9" t="s">
        <v>1294</v>
      </c>
      <c r="H1689" s="5" t="s">
        <v>21</v>
      </c>
      <c r="I1689" s="5" t="s">
        <v>4525</v>
      </c>
      <c r="J1689" s="12" t="str">
        <f>HYPERLINK("https://www.boe.es/gazeta/dias/1808/04/22/pdfs/GMD-C-1808-38.pdf#page=8","Abrir facsímil")</f>
        <v>Abrir facsímil</v>
      </c>
      <c r="K1689" s="15" t="s">
        <v>23</v>
      </c>
    </row>
    <row r="1690" spans="1:11" ht="42" customHeight="1">
      <c r="A1690" s="4" t="s">
        <v>4526</v>
      </c>
      <c r="B1690" s="5" t="s">
        <v>4527</v>
      </c>
      <c r="C1690" s="5" t="s">
        <v>389</v>
      </c>
      <c r="D1690" s="5" t="s">
        <v>390</v>
      </c>
      <c r="E1690" s="5" t="s">
        <v>115</v>
      </c>
      <c r="F1690" s="9" t="s">
        <v>116</v>
      </c>
      <c r="G1690" s="9" t="s">
        <v>199</v>
      </c>
      <c r="H1690" s="5" t="s">
        <v>21</v>
      </c>
      <c r="I1690" s="5" t="s">
        <v>4528</v>
      </c>
      <c r="J1690" s="12" t="str">
        <f>HYPERLINK("https://www.boe.es/gazeta/dias/1808/09/16/pdfs/GMD-C-1808-125.pdf#page=2","Abrir facsímil")</f>
        <v>Abrir facsímil</v>
      </c>
      <c r="K1690" s="15" t="s">
        <v>23</v>
      </c>
    </row>
    <row r="1691" spans="1:11" ht="42" customHeight="1">
      <c r="A1691" s="4" t="s">
        <v>4529</v>
      </c>
      <c r="B1691" s="5" t="s">
        <v>4530</v>
      </c>
      <c r="C1691" s="5" t="s">
        <v>41</v>
      </c>
      <c r="D1691" s="5" t="s">
        <v>42</v>
      </c>
      <c r="E1691" s="5" t="s">
        <v>203</v>
      </c>
      <c r="F1691" s="9" t="s">
        <v>204</v>
      </c>
      <c r="G1691" s="9">
        <v>144</v>
      </c>
      <c r="H1691" s="5" t="s">
        <v>21</v>
      </c>
      <c r="I1691" s="5" t="s">
        <v>4531</v>
      </c>
      <c r="J1691" s="12" t="str">
        <f>HYPERLINK("https://www.boe.es/gazeta/dias/1808/02/09/pdfs/GMD-1808-12.pdf#page=12","Abrir facsímil")</f>
        <v>Abrir facsímil</v>
      </c>
      <c r="K1691" s="15" t="s">
        <v>23</v>
      </c>
    </row>
    <row r="1692" spans="1:11" ht="42" customHeight="1">
      <c r="A1692" s="4" t="s">
        <v>4532</v>
      </c>
      <c r="B1692" s="5" t="s">
        <v>4533</v>
      </c>
      <c r="C1692" s="5" t="s">
        <v>41</v>
      </c>
      <c r="D1692" s="5" t="s">
        <v>42</v>
      </c>
      <c r="E1692" s="5" t="s">
        <v>203</v>
      </c>
      <c r="F1692" s="9" t="s">
        <v>204</v>
      </c>
      <c r="G1692" s="9">
        <v>144</v>
      </c>
      <c r="H1692" s="5" t="s">
        <v>21</v>
      </c>
      <c r="I1692" s="5" t="s">
        <v>4534</v>
      </c>
      <c r="J1692" s="12" t="str">
        <f>HYPERLINK("https://www.boe.es/gazeta/dias/1808/02/09/pdfs/GMD-1808-12.pdf#page=12","Abrir facsímil")</f>
        <v>Abrir facsímil</v>
      </c>
      <c r="K1692" s="15" t="s">
        <v>23</v>
      </c>
    </row>
    <row r="1693" spans="1:11" ht="42" customHeight="1">
      <c r="A1693" s="4" t="s">
        <v>4535</v>
      </c>
      <c r="B1693" s="5" t="s">
        <v>4536</v>
      </c>
      <c r="C1693" s="5" t="s">
        <v>33</v>
      </c>
      <c r="D1693" s="5" t="s">
        <v>34</v>
      </c>
      <c r="E1693" s="5" t="s">
        <v>35</v>
      </c>
      <c r="F1693" s="9" t="s">
        <v>36</v>
      </c>
      <c r="G1693" s="9" t="s">
        <v>117</v>
      </c>
      <c r="H1693" s="5" t="s">
        <v>21</v>
      </c>
      <c r="I1693" s="5" t="s">
        <v>4537</v>
      </c>
      <c r="J1693" s="12" t="str">
        <f>HYPERLINK("https://www.boe.es/gazeta/dias/1808/04/22/pdfs/GMD-C-1808-38.pdf#page=1","Abrir facsímil")</f>
        <v>Abrir facsímil</v>
      </c>
      <c r="K1693" s="15" t="s">
        <v>23</v>
      </c>
    </row>
    <row r="1694" spans="1:11" ht="42" customHeight="1">
      <c r="A1694" s="4" t="s">
        <v>4538</v>
      </c>
      <c r="B1694" s="5" t="s">
        <v>4539</v>
      </c>
      <c r="C1694" s="5" t="s">
        <v>33</v>
      </c>
      <c r="D1694" s="5" t="s">
        <v>34</v>
      </c>
      <c r="E1694" s="5" t="s">
        <v>35</v>
      </c>
      <c r="F1694" s="9" t="s">
        <v>36</v>
      </c>
      <c r="G1694" s="9" t="s">
        <v>1075</v>
      </c>
      <c r="H1694" s="5" t="s">
        <v>21</v>
      </c>
      <c r="I1694" s="5" t="s">
        <v>4540</v>
      </c>
      <c r="J1694" s="12" t="str">
        <f>HYPERLINK("https://www.boe.es/gazeta/dias/1808/04/22/pdfs/GMD-C-1808-38.pdf#page=32","Abrir facsímil")</f>
        <v>Abrir facsímil</v>
      </c>
      <c r="K1694" s="15" t="s">
        <v>23</v>
      </c>
    </row>
    <row r="1695" spans="1:11" ht="42" customHeight="1">
      <c r="A1695" s="4" t="s">
        <v>4541</v>
      </c>
      <c r="B1695" s="5" t="s">
        <v>4542</v>
      </c>
      <c r="C1695" s="5" t="s">
        <v>94</v>
      </c>
      <c r="D1695" s="5" t="s">
        <v>95</v>
      </c>
      <c r="E1695" s="5" t="s">
        <v>334</v>
      </c>
      <c r="F1695" s="9" t="s">
        <v>335</v>
      </c>
      <c r="G1695" s="9">
        <v>1259</v>
      </c>
      <c r="H1695" s="5" t="s">
        <v>21</v>
      </c>
      <c r="I1695" s="5" t="s">
        <v>4543</v>
      </c>
      <c r="J1695" s="12" t="str">
        <f>HYPERLINK("https://www.boe.es/gazeta/dias/1808/10/04/pdfs/GMD-C-1808-131.pdf#page=11","Abrir facsímil")</f>
        <v>Abrir facsímil</v>
      </c>
      <c r="K1695" s="15" t="s">
        <v>23</v>
      </c>
    </row>
    <row r="1696" spans="1:11" ht="42" customHeight="1">
      <c r="A1696" s="4" t="s">
        <v>4541</v>
      </c>
      <c r="B1696" s="5" t="s">
        <v>4542</v>
      </c>
      <c r="C1696" s="5" t="s">
        <v>17</v>
      </c>
      <c r="D1696" s="5" t="s">
        <v>18</v>
      </c>
      <c r="E1696" s="5" t="s">
        <v>68</v>
      </c>
      <c r="F1696" s="9" t="s">
        <v>69</v>
      </c>
      <c r="G1696" s="9">
        <v>1338</v>
      </c>
      <c r="H1696" s="5" t="s">
        <v>21</v>
      </c>
      <c r="I1696" s="5" t="s">
        <v>4544</v>
      </c>
      <c r="J1696" s="12" t="str">
        <f>HYPERLINK("https://www.boe.es/gazeta/dias/1808/10/21/pdfs/GMD-1808-136.pdf#page=10","Abrir facsímil")</f>
        <v>Abrir facsímil</v>
      </c>
      <c r="K1696" s="15" t="s">
        <v>23</v>
      </c>
    </row>
    <row r="1697" spans="1:11" ht="42" customHeight="1">
      <c r="A1697" s="4" t="s">
        <v>4541</v>
      </c>
      <c r="B1697" s="5" t="s">
        <v>4542</v>
      </c>
      <c r="C1697" s="5" t="s">
        <v>41</v>
      </c>
      <c r="D1697" s="5" t="s">
        <v>42</v>
      </c>
      <c r="E1697" s="5" t="s">
        <v>180</v>
      </c>
      <c r="F1697" s="9" t="s">
        <v>768</v>
      </c>
      <c r="G1697" s="9" t="s">
        <v>106</v>
      </c>
      <c r="H1697" s="5" t="s">
        <v>21</v>
      </c>
      <c r="I1697" s="5" t="s">
        <v>4545</v>
      </c>
      <c r="J1697" s="12" t="str">
        <f>HYPERLINK("https://www.boe.es/gazeta/dias/1808/11/15/pdfs/GMD-D-1808-144.pdf#page=3","Abrir facsímil")</f>
        <v>Abrir facsímil</v>
      </c>
      <c r="K1697" s="15" t="s">
        <v>23</v>
      </c>
    </row>
    <row r="1698" spans="1:11" ht="42" customHeight="1">
      <c r="A1698" s="4" t="s">
        <v>4546</v>
      </c>
      <c r="B1698" s="5" t="s">
        <v>4547</v>
      </c>
      <c r="C1698" s="5" t="s">
        <v>33</v>
      </c>
      <c r="D1698" s="5" t="s">
        <v>34</v>
      </c>
      <c r="E1698" s="5" t="s">
        <v>35</v>
      </c>
      <c r="F1698" s="9" t="s">
        <v>36</v>
      </c>
      <c r="G1698" s="9" t="s">
        <v>75</v>
      </c>
      <c r="H1698" s="5" t="s">
        <v>21</v>
      </c>
      <c r="I1698" s="5" t="s">
        <v>4548</v>
      </c>
      <c r="J1698" s="12" t="str">
        <f>HYPERLINK("https://www.boe.es/gazeta/dias/1808/04/22/pdfs/GMD-C-1808-38.pdf#page=4","Abrir facsímil")</f>
        <v>Abrir facsímil</v>
      </c>
      <c r="K1698" s="15" t="s">
        <v>23</v>
      </c>
    </row>
    <row r="1699" spans="1:11" ht="42" customHeight="1">
      <c r="A1699" s="4" t="s">
        <v>4549</v>
      </c>
      <c r="B1699" s="5" t="s">
        <v>4550</v>
      </c>
      <c r="C1699" s="5" t="s">
        <v>33</v>
      </c>
      <c r="D1699" s="5" t="s">
        <v>34</v>
      </c>
      <c r="E1699" s="5" t="s">
        <v>68</v>
      </c>
      <c r="F1699" s="9" t="s">
        <v>309</v>
      </c>
      <c r="G1699" s="9" t="s">
        <v>75</v>
      </c>
      <c r="H1699" s="5" t="s">
        <v>21</v>
      </c>
      <c r="I1699" s="5" t="s">
        <v>4551</v>
      </c>
      <c r="J1699" s="12" t="str">
        <f>HYPERLINK("https://www.boe.es/gazeta/dias/1808/10/21/pdfs/GMD-D-1808-136.pdf#page=4","Abrir facsímil")</f>
        <v>Abrir facsímil</v>
      </c>
      <c r="K1699" s="15" t="s">
        <v>23</v>
      </c>
    </row>
    <row r="1700" spans="1:11" ht="42" customHeight="1">
      <c r="A1700" s="4" t="s">
        <v>4552</v>
      </c>
      <c r="B1700" s="5" t="s">
        <v>4553</v>
      </c>
      <c r="C1700" s="5" t="s">
        <v>33</v>
      </c>
      <c r="D1700" s="5" t="s">
        <v>34</v>
      </c>
      <c r="E1700" s="5" t="s">
        <v>35</v>
      </c>
      <c r="F1700" s="9" t="s">
        <v>36</v>
      </c>
      <c r="G1700" s="9" t="s">
        <v>106</v>
      </c>
      <c r="H1700" s="5" t="s">
        <v>21</v>
      </c>
      <c r="I1700" s="5" t="s">
        <v>4554</v>
      </c>
      <c r="J1700" s="12" t="str">
        <f>HYPERLINK("https://www.boe.es/gazeta/dias/1808/04/22/pdfs/GMD-C-1808-38.pdf#page=3","Abrir facsímil")</f>
        <v>Abrir facsímil</v>
      </c>
      <c r="K1700" s="15" t="s">
        <v>23</v>
      </c>
    </row>
    <row r="1701" spans="1:11" ht="42" customHeight="1">
      <c r="A1701" s="4" t="s">
        <v>4555</v>
      </c>
      <c r="B1701" s="5" t="s">
        <v>4556</v>
      </c>
      <c r="C1701" s="5" t="s">
        <v>17</v>
      </c>
      <c r="D1701" s="5" t="s">
        <v>18</v>
      </c>
      <c r="E1701" s="5" t="s">
        <v>461</v>
      </c>
      <c r="F1701" s="9" t="s">
        <v>733</v>
      </c>
      <c r="G1701" s="9">
        <v>1447</v>
      </c>
      <c r="H1701" s="5" t="s">
        <v>21</v>
      </c>
      <c r="I1701" s="5" t="s">
        <v>4557</v>
      </c>
      <c r="J1701" s="12" t="str">
        <f>HYPERLINK("https://www.boe.es/gazeta/dias/1808/11/08/pdfs/GMD-1808-142.pdf#page=9","Abrir facsímil")</f>
        <v>Abrir facsímil</v>
      </c>
      <c r="K1701" s="15" t="s">
        <v>23</v>
      </c>
    </row>
    <row r="1702" spans="1:11" ht="42" customHeight="1">
      <c r="A1702" s="4" t="s">
        <v>4558</v>
      </c>
      <c r="B1702" s="5" t="s">
        <v>4559</v>
      </c>
      <c r="C1702" s="5" t="s">
        <v>33</v>
      </c>
      <c r="D1702" s="5" t="s">
        <v>34</v>
      </c>
      <c r="E1702" s="5" t="s">
        <v>35</v>
      </c>
      <c r="F1702" s="9" t="s">
        <v>36</v>
      </c>
      <c r="G1702" s="9" t="s">
        <v>814</v>
      </c>
      <c r="H1702" s="5" t="s">
        <v>21</v>
      </c>
      <c r="I1702" s="5" t="s">
        <v>4560</v>
      </c>
      <c r="J1702" s="12" t="str">
        <f>HYPERLINK("https://www.boe.es/gazeta/dias/1808/04/22/pdfs/GMD-C-1808-38.pdf#page=25","Abrir facsímil")</f>
        <v>Abrir facsímil</v>
      </c>
      <c r="K1702" s="15" t="s">
        <v>23</v>
      </c>
    </row>
    <row r="1703" spans="1:11" ht="42" customHeight="1">
      <c r="A1703" s="4" t="s">
        <v>4561</v>
      </c>
      <c r="B1703" s="5" t="s">
        <v>4562</v>
      </c>
      <c r="C1703" s="5" t="s">
        <v>33</v>
      </c>
      <c r="D1703" s="5" t="s">
        <v>34</v>
      </c>
      <c r="E1703" s="5" t="s">
        <v>35</v>
      </c>
      <c r="F1703" s="9" t="s">
        <v>36</v>
      </c>
      <c r="G1703" s="9" t="s">
        <v>37</v>
      </c>
      <c r="H1703" s="5" t="s">
        <v>21</v>
      </c>
      <c r="I1703" s="5" t="s">
        <v>4563</v>
      </c>
      <c r="J1703" s="12" t="str">
        <f>HYPERLINK("https://www.boe.es/gazeta/dias/1808/04/22/pdfs/GMD-C-1808-38.pdf#page=33","Abrir facsímil")</f>
        <v>Abrir facsímil</v>
      </c>
      <c r="K1703" s="15" t="s">
        <v>23</v>
      </c>
    </row>
    <row r="1704" spans="1:11" ht="42" customHeight="1">
      <c r="A1704" s="4" t="s">
        <v>4561</v>
      </c>
      <c r="B1704" s="5" t="s">
        <v>4562</v>
      </c>
      <c r="C1704" s="5" t="s">
        <v>33</v>
      </c>
      <c r="D1704" s="5" t="s">
        <v>34</v>
      </c>
      <c r="E1704" s="5" t="s">
        <v>35</v>
      </c>
      <c r="F1704" s="9" t="s">
        <v>36</v>
      </c>
      <c r="G1704" s="9" t="s">
        <v>1294</v>
      </c>
      <c r="H1704" s="5" t="s">
        <v>21</v>
      </c>
      <c r="I1704" s="5" t="s">
        <v>4564</v>
      </c>
      <c r="J1704" s="12" t="str">
        <f>HYPERLINK("https://www.boe.es/gazeta/dias/1808/04/22/pdfs/GMD-C-1808-38.pdf#page=8","Abrir facsímil")</f>
        <v>Abrir facsímil</v>
      </c>
      <c r="K1704" s="15" t="s">
        <v>23</v>
      </c>
    </row>
    <row r="1705" spans="1:11" ht="42" customHeight="1">
      <c r="A1705" s="4" t="s">
        <v>4565</v>
      </c>
      <c r="B1705" s="5" t="s">
        <v>4566</v>
      </c>
      <c r="C1705" s="5" t="s">
        <v>17</v>
      </c>
      <c r="D1705" s="5" t="s">
        <v>18</v>
      </c>
      <c r="E1705" s="5" t="s">
        <v>4567</v>
      </c>
      <c r="F1705" s="9" t="s">
        <v>4568</v>
      </c>
      <c r="G1705" s="9">
        <v>694</v>
      </c>
      <c r="H1705" s="5" t="s">
        <v>21</v>
      </c>
      <c r="I1705" s="5" t="s">
        <v>4569</v>
      </c>
      <c r="J1705" s="12" t="str">
        <f>HYPERLINK("https://www.boe.es/gazeta/dias/1808/06/30/pdfs/GMD-1808-72.pdf#page=8","Abrir facsímil")</f>
        <v>Abrir facsímil</v>
      </c>
      <c r="K1705" s="15" t="s">
        <v>23</v>
      </c>
    </row>
    <row r="1706" spans="1:11" ht="42" customHeight="1">
      <c r="A1706" s="4" t="s">
        <v>4570</v>
      </c>
      <c r="B1706" s="5" t="s">
        <v>4571</v>
      </c>
      <c r="C1706" s="5" t="s">
        <v>41</v>
      </c>
      <c r="D1706" s="5" t="s">
        <v>42</v>
      </c>
      <c r="E1706" s="5" t="s">
        <v>3791</v>
      </c>
      <c r="F1706" s="9" t="s">
        <v>3792</v>
      </c>
      <c r="G1706" s="9">
        <v>618</v>
      </c>
      <c r="H1706" s="5" t="s">
        <v>21</v>
      </c>
      <c r="I1706" s="5" t="s">
        <v>4572</v>
      </c>
      <c r="J1706" s="12" t="str">
        <f>HYPERLINK("https://www.boe.es/gazeta/dias/1808/06/21/pdfs/GMD-1808-63.pdf#page=8","Abrir facsímil")</f>
        <v>Abrir facsímil</v>
      </c>
      <c r="K1706" s="15" t="s">
        <v>23</v>
      </c>
    </row>
    <row r="1707" spans="1:11" ht="42" customHeight="1">
      <c r="A1707" s="4" t="s">
        <v>4573</v>
      </c>
      <c r="B1707" s="5" t="s">
        <v>4574</v>
      </c>
      <c r="C1707" s="5" t="s">
        <v>94</v>
      </c>
      <c r="D1707" s="5" t="s">
        <v>95</v>
      </c>
      <c r="E1707" s="5" t="s">
        <v>572</v>
      </c>
      <c r="F1707" s="9" t="s">
        <v>573</v>
      </c>
      <c r="G1707" s="9">
        <v>22</v>
      </c>
      <c r="H1707" s="5" t="s">
        <v>21</v>
      </c>
      <c r="I1707" s="5" t="s">
        <v>4575</v>
      </c>
      <c r="J1707" s="12" t="str">
        <f>HYPERLINK("https://www.boe.es/gazeta/dias/1808/01/05/pdfs/GMD-1808-2.pdf#page=10","Abrir facsímil")</f>
        <v>Abrir facsímil</v>
      </c>
      <c r="K1707" s="15" t="s">
        <v>23</v>
      </c>
    </row>
    <row r="1708" spans="1:11" ht="42" customHeight="1">
      <c r="A1708" s="4" t="s">
        <v>4576</v>
      </c>
      <c r="B1708" s="5" t="s">
        <v>4577</v>
      </c>
      <c r="C1708" s="5" t="s">
        <v>94</v>
      </c>
      <c r="D1708" s="5" t="s">
        <v>95</v>
      </c>
      <c r="E1708" s="5" t="s">
        <v>1148</v>
      </c>
      <c r="F1708" s="9" t="s">
        <v>1149</v>
      </c>
      <c r="G1708" s="9">
        <v>508</v>
      </c>
      <c r="H1708" s="5" t="s">
        <v>21</v>
      </c>
      <c r="I1708" s="5" t="s">
        <v>4578</v>
      </c>
      <c r="J1708" s="12" t="str">
        <f>HYPERLINK("https://www.boe.es/gazeta/dias/1808/05/27/pdfs/GMD-1808-50.pdf#page=12","Abrir facsímil")</f>
        <v>Abrir facsímil</v>
      </c>
      <c r="K1708" s="15" t="s">
        <v>23</v>
      </c>
    </row>
    <row r="1709" spans="1:11" ht="42" customHeight="1">
      <c r="A1709" s="4" t="s">
        <v>4579</v>
      </c>
      <c r="B1709" s="5" t="s">
        <v>4580</v>
      </c>
      <c r="C1709" s="5" t="s">
        <v>389</v>
      </c>
      <c r="D1709" s="5" t="s">
        <v>390</v>
      </c>
      <c r="E1709" s="5" t="s">
        <v>1085</v>
      </c>
      <c r="F1709" s="9" t="s">
        <v>1086</v>
      </c>
      <c r="G1709" s="9">
        <v>108</v>
      </c>
      <c r="H1709" s="5" t="s">
        <v>21</v>
      </c>
      <c r="I1709" s="5" t="s">
        <v>4581</v>
      </c>
      <c r="J1709" s="12" t="str">
        <f>HYPERLINK("https://www.boe.es/gazeta/dias/1808/01/29/pdfs/GMD-1808-9.pdf#page=12","Abrir facsímil")</f>
        <v>Abrir facsímil</v>
      </c>
      <c r="K1709" s="15" t="s">
        <v>23</v>
      </c>
    </row>
    <row r="1710" spans="1:11" ht="42" customHeight="1">
      <c r="A1710" s="4" t="s">
        <v>4582</v>
      </c>
      <c r="B1710" s="5" t="s">
        <v>4583</v>
      </c>
      <c r="C1710" s="5" t="s">
        <v>17</v>
      </c>
      <c r="D1710" s="5" t="s">
        <v>18</v>
      </c>
      <c r="E1710" s="5" t="s">
        <v>1385</v>
      </c>
      <c r="F1710" s="9" t="s">
        <v>1386</v>
      </c>
      <c r="G1710" s="9">
        <v>230</v>
      </c>
      <c r="H1710" s="5" t="s">
        <v>21</v>
      </c>
      <c r="I1710" s="5" t="s">
        <v>4584</v>
      </c>
      <c r="J1710" s="12" t="str">
        <f>HYPERLINK("https://www.boe.es/gazeta/dias/1808/03/04/pdfs/GMD-1808-19.pdf#page=8","Abrir facsímil")</f>
        <v>Abrir facsímil</v>
      </c>
      <c r="K1710" s="15" t="s">
        <v>23</v>
      </c>
    </row>
    <row r="1711" spans="1:11" ht="42" customHeight="1">
      <c r="A1711" s="4" t="s">
        <v>4585</v>
      </c>
      <c r="B1711" s="5" t="s">
        <v>4586</v>
      </c>
      <c r="C1711" s="5" t="s">
        <v>17</v>
      </c>
      <c r="D1711" s="5" t="s">
        <v>18</v>
      </c>
      <c r="E1711" s="5" t="s">
        <v>3791</v>
      </c>
      <c r="F1711" s="9" t="s">
        <v>3792</v>
      </c>
      <c r="G1711" s="9">
        <v>618</v>
      </c>
      <c r="H1711" s="5" t="s">
        <v>21</v>
      </c>
      <c r="I1711" s="5" t="s">
        <v>4587</v>
      </c>
      <c r="J1711" s="12" t="str">
        <f>HYPERLINK("https://www.boe.es/gazeta/dias/1808/06/21/pdfs/GMD-1808-63.pdf#page=8","Abrir facsímil")</f>
        <v>Abrir facsímil</v>
      </c>
      <c r="K1711" s="15" t="s">
        <v>23</v>
      </c>
    </row>
    <row r="1712" spans="1:11" ht="42" customHeight="1">
      <c r="A1712" s="4" t="s">
        <v>4588</v>
      </c>
      <c r="B1712" s="5" t="s">
        <v>4589</v>
      </c>
      <c r="C1712" s="5" t="s">
        <v>41</v>
      </c>
      <c r="D1712" s="5" t="s">
        <v>42</v>
      </c>
      <c r="E1712" s="5" t="s">
        <v>153</v>
      </c>
      <c r="F1712" s="9" t="s">
        <v>154</v>
      </c>
      <c r="G1712" s="9" t="s">
        <v>106</v>
      </c>
      <c r="H1712" s="5" t="s">
        <v>21</v>
      </c>
      <c r="I1712" s="5" t="s">
        <v>4590</v>
      </c>
      <c r="J1712" s="12" t="str">
        <f>HYPERLINK("https://www.boe.es/gazeta/dias/1808/09/09/pdfs/GMD-C-1808-121.pdf#page=3","Abrir facsímil")</f>
        <v>Abrir facsímil</v>
      </c>
      <c r="K1712" s="15" t="s">
        <v>23</v>
      </c>
    </row>
    <row r="1713" spans="1:11" ht="42" customHeight="1">
      <c r="A1713" s="4" t="s">
        <v>4591</v>
      </c>
      <c r="B1713" s="5" t="s">
        <v>4592</v>
      </c>
      <c r="C1713" s="5" t="s">
        <v>33</v>
      </c>
      <c r="D1713" s="5" t="s">
        <v>34</v>
      </c>
      <c r="E1713" s="5" t="s">
        <v>391</v>
      </c>
      <c r="F1713" s="9" t="s">
        <v>588</v>
      </c>
      <c r="G1713" s="9" t="s">
        <v>199</v>
      </c>
      <c r="H1713" s="5" t="s">
        <v>21</v>
      </c>
      <c r="I1713" s="5" t="s">
        <v>4593</v>
      </c>
      <c r="J1713" s="12" t="str">
        <f>HYPERLINK("https://www.boe.es/gazeta/dias/1808/09/27/pdfs/GMD-C-1808-128.pdf#page=2","Abrir facsímil")</f>
        <v>Abrir facsímil</v>
      </c>
      <c r="K1713" s="15" t="s">
        <v>23</v>
      </c>
    </row>
    <row r="1714" spans="1:11" ht="42" customHeight="1">
      <c r="A1714" s="4" t="s">
        <v>4594</v>
      </c>
      <c r="B1714" s="5" t="s">
        <v>4595</v>
      </c>
      <c r="C1714" s="5" t="s">
        <v>94</v>
      </c>
      <c r="D1714" s="5" t="s">
        <v>95</v>
      </c>
      <c r="E1714" s="5" t="s">
        <v>1361</v>
      </c>
      <c r="F1714" s="9" t="s">
        <v>1362</v>
      </c>
      <c r="G1714" s="9">
        <v>470</v>
      </c>
      <c r="H1714" s="5" t="s">
        <v>21</v>
      </c>
      <c r="I1714" s="5" t="s">
        <v>4596</v>
      </c>
      <c r="J1714" s="12" t="str">
        <f>HYPERLINK("https://www.boe.es/gazeta/dias/1808/05/17/pdfs/GMD-1808-47.pdf#page=10","Abrir facsímil")</f>
        <v>Abrir facsímil</v>
      </c>
      <c r="K1714" s="15" t="s">
        <v>23</v>
      </c>
    </row>
    <row r="1715" spans="1:11" ht="42" customHeight="1">
      <c r="A1715" s="4" t="s">
        <v>4597</v>
      </c>
      <c r="B1715" s="5" t="s">
        <v>4598</v>
      </c>
      <c r="C1715" s="5" t="s">
        <v>17</v>
      </c>
      <c r="D1715" s="5" t="s">
        <v>18</v>
      </c>
      <c r="E1715" s="5" t="s">
        <v>115</v>
      </c>
      <c r="F1715" s="9" t="s">
        <v>1650</v>
      </c>
      <c r="G1715" s="9">
        <v>1177</v>
      </c>
      <c r="H1715" s="5" t="s">
        <v>21</v>
      </c>
      <c r="I1715" s="5" t="s">
        <v>4599</v>
      </c>
      <c r="J1715" s="12" t="str">
        <f>HYPERLINK("https://www.boe.es/gazeta/dias/1808/09/16/pdfs/GMD-1808-125.pdf#page=9","Abrir facsímil")</f>
        <v>Abrir facsímil</v>
      </c>
      <c r="K1715" s="15" t="s">
        <v>23</v>
      </c>
    </row>
    <row r="1716" spans="1:11" ht="42" customHeight="1">
      <c r="A1716" s="4" t="s">
        <v>4600</v>
      </c>
      <c r="B1716" s="5" t="s">
        <v>4601</v>
      </c>
      <c r="C1716" s="5" t="s">
        <v>33</v>
      </c>
      <c r="D1716" s="5" t="s">
        <v>34</v>
      </c>
      <c r="E1716" s="5" t="s">
        <v>68</v>
      </c>
      <c r="F1716" s="9" t="s">
        <v>309</v>
      </c>
      <c r="G1716" s="9" t="s">
        <v>199</v>
      </c>
      <c r="H1716" s="5" t="s">
        <v>21</v>
      </c>
      <c r="I1716" s="5" t="s">
        <v>4602</v>
      </c>
      <c r="J1716" s="12" t="str">
        <f>HYPERLINK("https://www.boe.es/gazeta/dias/1808/10/21/pdfs/GMD-D-1808-136.pdf#page=2","Abrir facsímil")</f>
        <v>Abrir facsímil</v>
      </c>
      <c r="K1716" s="15" t="s">
        <v>23</v>
      </c>
    </row>
    <row r="1717" spans="1:11" ht="42" customHeight="1">
      <c r="A1717" s="4" t="s">
        <v>4603</v>
      </c>
      <c r="B1717" s="5" t="s">
        <v>4604</v>
      </c>
      <c r="C1717" s="5" t="s">
        <v>41</v>
      </c>
      <c r="D1717" s="5" t="s">
        <v>42</v>
      </c>
      <c r="E1717" s="5" t="s">
        <v>110</v>
      </c>
      <c r="F1717" s="9" t="s">
        <v>828</v>
      </c>
      <c r="G1717" s="9" t="s">
        <v>199</v>
      </c>
      <c r="H1717" s="5" t="s">
        <v>21</v>
      </c>
      <c r="I1717" s="5" t="s">
        <v>4605</v>
      </c>
      <c r="J1717" s="12" t="str">
        <f>HYPERLINK("https://www.boe.es/gazeta/dias/1808/10/28/pdfs/GMD-D-1808-138.pdf#page=2","Abrir facsímil")</f>
        <v>Abrir facsímil</v>
      </c>
      <c r="K1717" s="15" t="s">
        <v>23</v>
      </c>
    </row>
    <row r="1718" spans="1:11" ht="42" customHeight="1">
      <c r="A1718" s="4" t="s">
        <v>4606</v>
      </c>
      <c r="B1718" s="5" t="s">
        <v>4607</v>
      </c>
      <c r="C1718" s="5" t="s">
        <v>33</v>
      </c>
      <c r="D1718" s="5" t="s">
        <v>34</v>
      </c>
      <c r="E1718" s="5" t="s">
        <v>35</v>
      </c>
      <c r="F1718" s="9" t="s">
        <v>36</v>
      </c>
      <c r="G1718" s="9" t="s">
        <v>956</v>
      </c>
      <c r="H1718" s="5" t="s">
        <v>21</v>
      </c>
      <c r="I1718" s="5" t="s">
        <v>4608</v>
      </c>
      <c r="J1718" s="12" t="str">
        <f>HYPERLINK("https://www.boe.es/gazeta/dias/1808/04/22/pdfs/GMD-C-1808-38.pdf#page=41","Abrir facsímil")</f>
        <v>Abrir facsímil</v>
      </c>
      <c r="K1718" s="15" t="s">
        <v>23</v>
      </c>
    </row>
    <row r="1719" spans="1:11" ht="42" customHeight="1">
      <c r="A1719" s="4" t="s">
        <v>4606</v>
      </c>
      <c r="B1719" s="5" t="s">
        <v>4607</v>
      </c>
      <c r="C1719" s="5" t="s">
        <v>17</v>
      </c>
      <c r="D1719" s="5" t="s">
        <v>18</v>
      </c>
      <c r="E1719" s="5" t="s">
        <v>553</v>
      </c>
      <c r="F1719" s="9" t="s">
        <v>554</v>
      </c>
      <c r="G1719" s="9">
        <v>910</v>
      </c>
      <c r="H1719" s="5" t="s">
        <v>21</v>
      </c>
      <c r="I1719" s="5" t="s">
        <v>4609</v>
      </c>
      <c r="J1719" s="12" t="str">
        <f>HYPERLINK("https://www.boe.es/gazeta/dias/1808/07/27/pdfs/GMD-1808-99.pdf#page=8","Abrir facsímil")</f>
        <v>Abrir facsímil</v>
      </c>
      <c r="K1719" s="15" t="s">
        <v>23</v>
      </c>
    </row>
    <row r="1720" spans="1:11" ht="42" customHeight="1">
      <c r="A1720" s="4" t="s">
        <v>4606</v>
      </c>
      <c r="B1720" s="5" t="s">
        <v>4607</v>
      </c>
      <c r="C1720" s="5" t="s">
        <v>17</v>
      </c>
      <c r="D1720" s="5" t="s">
        <v>18</v>
      </c>
      <c r="E1720" s="5" t="s">
        <v>139</v>
      </c>
      <c r="F1720" s="9" t="s">
        <v>140</v>
      </c>
      <c r="G1720" s="9">
        <v>1203</v>
      </c>
      <c r="H1720" s="5" t="s">
        <v>21</v>
      </c>
      <c r="I1720" s="5" t="s">
        <v>4610</v>
      </c>
      <c r="J1720" s="12" t="str">
        <f>HYPERLINK("https://www.boe.es/gazeta/dias/1808/09/23/pdfs/GMD-1808-127.pdf#page=11","Abrir facsímil")</f>
        <v>Abrir facsímil</v>
      </c>
      <c r="K1720" s="15" t="s">
        <v>23</v>
      </c>
    </row>
    <row r="1721" spans="1:11" ht="42" customHeight="1">
      <c r="A1721" s="4" t="s">
        <v>4606</v>
      </c>
      <c r="B1721" s="5" t="s">
        <v>4607</v>
      </c>
      <c r="C1721" s="5" t="s">
        <v>17</v>
      </c>
      <c r="D1721" s="5" t="s">
        <v>18</v>
      </c>
      <c r="E1721" s="5" t="s">
        <v>719</v>
      </c>
      <c r="F1721" s="9" t="s">
        <v>720</v>
      </c>
      <c r="G1721" s="9">
        <v>1609</v>
      </c>
      <c r="H1721" s="5" t="s">
        <v>21</v>
      </c>
      <c r="I1721" s="5" t="s">
        <v>4611</v>
      </c>
      <c r="J1721" s="12" t="str">
        <f>HYPERLINK("https://www.boe.es/gazeta/dias/1808/12/16/pdfs/GMD-1808-156.pdf#page=1","Abrir facsímil")</f>
        <v>Abrir facsímil</v>
      </c>
      <c r="K1721" s="15" t="s">
        <v>23</v>
      </c>
    </row>
    <row r="1722" spans="1:11" ht="42" customHeight="1">
      <c r="A1722" s="4" t="s">
        <v>4612</v>
      </c>
      <c r="B1722" s="5" t="s">
        <v>4613</v>
      </c>
      <c r="C1722" s="5" t="s">
        <v>41</v>
      </c>
      <c r="D1722" s="5" t="s">
        <v>42</v>
      </c>
      <c r="E1722" s="5" t="s">
        <v>616</v>
      </c>
      <c r="F1722" s="9" t="s">
        <v>617</v>
      </c>
      <c r="G1722" s="9">
        <v>1046</v>
      </c>
      <c r="H1722" s="5" t="s">
        <v>21</v>
      </c>
      <c r="I1722" s="5" t="s">
        <v>4614</v>
      </c>
      <c r="J1722" s="12" t="str">
        <f>HYPERLINK("https://www.boe.es/gazeta/dias/1808/08/19/pdfs/GMD-1808-115.pdf#page=12","Abrir facsímil")</f>
        <v>Abrir facsímil</v>
      </c>
      <c r="K1722" s="15" t="s">
        <v>23</v>
      </c>
    </row>
    <row r="1723" spans="1:11" ht="42" customHeight="1">
      <c r="A1723" s="4" t="s">
        <v>4615</v>
      </c>
      <c r="B1723" s="5" t="s">
        <v>4616</v>
      </c>
      <c r="C1723" s="5" t="s">
        <v>17</v>
      </c>
      <c r="D1723" s="5" t="s">
        <v>18</v>
      </c>
      <c r="E1723" s="5" t="s">
        <v>65</v>
      </c>
      <c r="F1723" s="9" t="s">
        <v>66</v>
      </c>
      <c r="G1723" s="9">
        <v>1314</v>
      </c>
      <c r="H1723" s="5" t="s">
        <v>21</v>
      </c>
      <c r="I1723" s="5" t="s">
        <v>4617</v>
      </c>
      <c r="J1723" s="12" t="str">
        <f>HYPERLINK("https://www.boe.es/gazeta/dias/1808/10/18/pdfs/GMD-1808-135.pdf#page=14","Abrir facsímil")</f>
        <v>Abrir facsímil</v>
      </c>
      <c r="K1723" s="15" t="s">
        <v>23</v>
      </c>
    </row>
    <row r="1724" spans="1:11" ht="42" customHeight="1">
      <c r="A1724" s="4" t="s">
        <v>4618</v>
      </c>
      <c r="B1724" s="5" t="s">
        <v>4619</v>
      </c>
      <c r="C1724" s="5" t="s">
        <v>94</v>
      </c>
      <c r="D1724" s="5" t="s">
        <v>95</v>
      </c>
      <c r="E1724" s="5" t="s">
        <v>238</v>
      </c>
      <c r="F1724" s="9" t="s">
        <v>239</v>
      </c>
      <c r="G1724" s="9">
        <v>35</v>
      </c>
      <c r="H1724" s="5" t="s">
        <v>21</v>
      </c>
      <c r="I1724" s="5" t="s">
        <v>4620</v>
      </c>
      <c r="J1724" s="12" t="str">
        <f>HYPERLINK("https://www.boe.es/gazeta/dias/1808/01/08/pdfs/GMD-1808-3.pdf#page=11","Abrir facsímil")</f>
        <v>Abrir facsímil</v>
      </c>
      <c r="K1724" s="15" t="s">
        <v>23</v>
      </c>
    </row>
    <row r="1725" spans="1:11" ht="42" customHeight="1">
      <c r="A1725" s="4" t="s">
        <v>4621</v>
      </c>
      <c r="B1725" s="5" t="s">
        <v>4622</v>
      </c>
      <c r="C1725" s="5" t="s">
        <v>41</v>
      </c>
      <c r="D1725" s="5" t="s">
        <v>42</v>
      </c>
      <c r="E1725" s="5" t="s">
        <v>84</v>
      </c>
      <c r="F1725" s="9" t="s">
        <v>85</v>
      </c>
      <c r="G1725" s="9">
        <v>1162</v>
      </c>
      <c r="H1725" s="5" t="s">
        <v>21</v>
      </c>
      <c r="I1725" s="5" t="s">
        <v>4623</v>
      </c>
      <c r="J1725" s="12" t="str">
        <f>HYPERLINK("https://www.boe.es/gazeta/dias/1808/09/13/pdfs/GMD-1808-123.pdf#page=10","Abrir facsímil")</f>
        <v>Abrir facsímil</v>
      </c>
      <c r="K1725" s="15" t="s">
        <v>23</v>
      </c>
    </row>
    <row r="1726" spans="1:11" ht="42" customHeight="1">
      <c r="A1726" s="4" t="s">
        <v>4624</v>
      </c>
      <c r="B1726" s="5" t="s">
        <v>4625</v>
      </c>
      <c r="C1726" s="5" t="s">
        <v>33</v>
      </c>
      <c r="D1726" s="5" t="s">
        <v>34</v>
      </c>
      <c r="E1726" s="5" t="s">
        <v>28</v>
      </c>
      <c r="F1726" s="9" t="s">
        <v>446</v>
      </c>
      <c r="G1726" s="9" t="s">
        <v>75</v>
      </c>
      <c r="H1726" s="5" t="s">
        <v>21</v>
      </c>
      <c r="I1726" s="5" t="s">
        <v>4626</v>
      </c>
      <c r="J1726" s="12" t="str">
        <f>HYPERLINK("https://www.boe.es/gazeta/dias/1808/11/04/pdfs/GMD-D-1808-141.pdf#page=4","Abrir facsímil")</f>
        <v>Abrir facsímil</v>
      </c>
      <c r="K1726" s="15" t="s">
        <v>23</v>
      </c>
    </row>
    <row r="1727" spans="1:11" ht="42" customHeight="1">
      <c r="A1727" s="4" t="s">
        <v>4627</v>
      </c>
      <c r="B1727" s="5" t="s">
        <v>4628</v>
      </c>
      <c r="C1727" s="5" t="s">
        <v>33</v>
      </c>
      <c r="D1727" s="5" t="s">
        <v>34</v>
      </c>
      <c r="E1727" s="5" t="s">
        <v>115</v>
      </c>
      <c r="F1727" s="9" t="s">
        <v>116</v>
      </c>
      <c r="G1727" s="9" t="s">
        <v>199</v>
      </c>
      <c r="H1727" s="5" t="s">
        <v>21</v>
      </c>
      <c r="I1727" s="5" t="s">
        <v>4629</v>
      </c>
      <c r="J1727" s="12" t="str">
        <f>HYPERLINK("https://www.boe.es/gazeta/dias/1808/09/16/pdfs/GMD-C-1808-125.pdf#page=2","Abrir facsímil")</f>
        <v>Abrir facsímil</v>
      </c>
      <c r="K1727" s="15" t="s">
        <v>23</v>
      </c>
    </row>
    <row r="1728" spans="1:11" ht="42" customHeight="1">
      <c r="A1728" s="4" t="s">
        <v>4630</v>
      </c>
      <c r="B1728" s="5" t="s">
        <v>4631</v>
      </c>
      <c r="C1728" s="5" t="s">
        <v>17</v>
      </c>
      <c r="D1728" s="5" t="s">
        <v>18</v>
      </c>
      <c r="E1728" s="5" t="s">
        <v>28</v>
      </c>
      <c r="F1728" s="9" t="s">
        <v>29</v>
      </c>
      <c r="G1728" s="9">
        <v>1428</v>
      </c>
      <c r="H1728" s="5" t="s">
        <v>21</v>
      </c>
      <c r="I1728" s="5" t="s">
        <v>4632</v>
      </c>
      <c r="J1728" s="12" t="str">
        <f>HYPERLINK("https://www.boe.es/gazeta/dias/1808/11/04/pdfs/GMD-1808-141.pdf#page=10","Abrir facsímil")</f>
        <v>Abrir facsímil</v>
      </c>
      <c r="K1728" s="15" t="s">
        <v>23</v>
      </c>
    </row>
    <row r="1729" spans="1:11" ht="42" customHeight="1">
      <c r="A1729" s="4" t="s">
        <v>4633</v>
      </c>
      <c r="B1729" s="5" t="s">
        <v>4634</v>
      </c>
      <c r="C1729" s="5" t="s">
        <v>41</v>
      </c>
      <c r="D1729" s="5" t="s">
        <v>42</v>
      </c>
      <c r="E1729" s="5" t="s">
        <v>28</v>
      </c>
      <c r="F1729" s="9" t="s">
        <v>29</v>
      </c>
      <c r="G1729" s="9">
        <v>1428</v>
      </c>
      <c r="H1729" s="5" t="s">
        <v>21</v>
      </c>
      <c r="I1729" s="5" t="s">
        <v>4635</v>
      </c>
      <c r="J1729" s="12" t="str">
        <f>HYPERLINK("https://www.boe.es/gazeta/dias/1808/11/04/pdfs/GMD-1808-141.pdf#page=10","Abrir facsímil")</f>
        <v>Abrir facsímil</v>
      </c>
      <c r="K1729" s="15" t="s">
        <v>23</v>
      </c>
    </row>
    <row r="1730" spans="1:11" ht="42" customHeight="1">
      <c r="A1730" s="4" t="s">
        <v>4636</v>
      </c>
      <c r="B1730" s="5" t="s">
        <v>4637</v>
      </c>
      <c r="C1730" s="5" t="s">
        <v>642</v>
      </c>
      <c r="D1730" s="5" t="s">
        <v>643</v>
      </c>
      <c r="E1730" s="5" t="s">
        <v>2143</v>
      </c>
      <c r="F1730" s="9" t="s">
        <v>2144</v>
      </c>
      <c r="G1730" s="9">
        <v>1218</v>
      </c>
      <c r="H1730" s="5" t="s">
        <v>21</v>
      </c>
      <c r="I1730" s="5" t="s">
        <v>4638</v>
      </c>
      <c r="J1730" s="12" t="str">
        <f>HYPERLINK("https://www.boe.es/gazeta/dias/1808/09/29/pdfs/GMD-1808-129E.pdf#page=2","Abrir facsímil")</f>
        <v>Abrir facsímil</v>
      </c>
      <c r="K1730" s="15" t="s">
        <v>23</v>
      </c>
    </row>
    <row r="1731" spans="1:11" ht="42" customHeight="1">
      <c r="A1731" s="4" t="s">
        <v>4636</v>
      </c>
      <c r="B1731" s="5" t="s">
        <v>4637</v>
      </c>
      <c r="C1731" s="5" t="s">
        <v>33</v>
      </c>
      <c r="D1731" s="5" t="s">
        <v>34</v>
      </c>
      <c r="E1731" s="5" t="s">
        <v>334</v>
      </c>
      <c r="F1731" s="9" t="s">
        <v>335</v>
      </c>
      <c r="G1731" s="9">
        <v>1249</v>
      </c>
      <c r="H1731" s="5" t="s">
        <v>21</v>
      </c>
      <c r="I1731" s="5" t="s">
        <v>4639</v>
      </c>
      <c r="J1731" s="12" t="str">
        <f>HYPERLINK("https://www.boe.es/gazeta/dias/1808/10/04/pdfs/GMD-C-1808-131.pdf#page=1","Abrir facsímil")</f>
        <v>Abrir facsímil</v>
      </c>
      <c r="K1731" s="15" t="s">
        <v>23</v>
      </c>
    </row>
    <row r="1732" spans="1:11" ht="42" customHeight="1">
      <c r="A1732" s="4" t="s">
        <v>4636</v>
      </c>
      <c r="B1732" s="5" t="s">
        <v>4637</v>
      </c>
      <c r="C1732" s="5" t="s">
        <v>33</v>
      </c>
      <c r="D1732" s="5" t="s">
        <v>34</v>
      </c>
      <c r="E1732" s="5" t="s">
        <v>334</v>
      </c>
      <c r="F1732" s="9" t="s">
        <v>335</v>
      </c>
      <c r="G1732" s="9">
        <v>1259</v>
      </c>
      <c r="H1732" s="5" t="s">
        <v>21</v>
      </c>
      <c r="I1732" s="5" t="s">
        <v>4640</v>
      </c>
      <c r="J1732" s="12" t="str">
        <f>HYPERLINK("https://www.boe.es/gazeta/dias/1808/10/04/pdfs/GMD-C-1808-131.pdf#page=11","Abrir facsímil")</f>
        <v>Abrir facsímil</v>
      </c>
      <c r="K1732" s="15" t="s">
        <v>23</v>
      </c>
    </row>
    <row r="1733" spans="1:11" ht="42" customHeight="1">
      <c r="A1733" s="4" t="s">
        <v>4636</v>
      </c>
      <c r="B1733" s="5" t="s">
        <v>4637</v>
      </c>
      <c r="C1733" s="5" t="s">
        <v>389</v>
      </c>
      <c r="D1733" s="5" t="s">
        <v>390</v>
      </c>
      <c r="E1733" s="5" t="s">
        <v>334</v>
      </c>
      <c r="F1733" s="9" t="s">
        <v>335</v>
      </c>
      <c r="G1733" s="9">
        <v>1260</v>
      </c>
      <c r="H1733" s="5" t="s">
        <v>21</v>
      </c>
      <c r="I1733" s="5" t="s">
        <v>4641</v>
      </c>
      <c r="J1733" s="12" t="str">
        <f>HYPERLINK("https://www.boe.es/gazeta/dias/1808/10/04/pdfs/GMD-C-1808-131.pdf#page=12","Abrir facsímil")</f>
        <v>Abrir facsímil</v>
      </c>
      <c r="K1733" s="15" t="s">
        <v>23</v>
      </c>
    </row>
    <row r="1734" spans="1:11" ht="42" customHeight="1">
      <c r="A1734" s="4" t="s">
        <v>4636</v>
      </c>
      <c r="B1734" s="5" t="s">
        <v>4637</v>
      </c>
      <c r="C1734" s="5" t="s">
        <v>17</v>
      </c>
      <c r="D1734" s="5" t="s">
        <v>18</v>
      </c>
      <c r="E1734" s="5" t="s">
        <v>65</v>
      </c>
      <c r="F1734" s="9" t="s">
        <v>66</v>
      </c>
      <c r="G1734" s="9">
        <v>1303</v>
      </c>
      <c r="H1734" s="5" t="s">
        <v>21</v>
      </c>
      <c r="I1734" s="5" t="s">
        <v>4642</v>
      </c>
      <c r="J1734" s="12" t="str">
        <f>HYPERLINK("https://www.boe.es/gazeta/dias/1808/10/18/pdfs/GMD-1808-135.pdf#page=3","Abrir facsímil")</f>
        <v>Abrir facsímil</v>
      </c>
      <c r="K1734" s="15" t="s">
        <v>23</v>
      </c>
    </row>
    <row r="1735" spans="1:11" ht="42" customHeight="1">
      <c r="A1735" s="4" t="s">
        <v>4636</v>
      </c>
      <c r="B1735" s="5" t="s">
        <v>4637</v>
      </c>
      <c r="C1735" s="5" t="s">
        <v>17</v>
      </c>
      <c r="D1735" s="5" t="s">
        <v>18</v>
      </c>
      <c r="E1735" s="5" t="s">
        <v>68</v>
      </c>
      <c r="F1735" s="9" t="s">
        <v>69</v>
      </c>
      <c r="G1735" s="9">
        <v>1336</v>
      </c>
      <c r="H1735" s="5" t="s">
        <v>21</v>
      </c>
      <c r="I1735" s="5" t="s">
        <v>4643</v>
      </c>
      <c r="J1735" s="12" t="str">
        <f>HYPERLINK("https://www.boe.es/gazeta/dias/1808/10/21/pdfs/GMD-1808-136.pdf#page=8","Abrir facsímil")</f>
        <v>Abrir facsímil</v>
      </c>
      <c r="K1735" s="15" t="s">
        <v>23</v>
      </c>
    </row>
    <row r="1736" spans="1:11" ht="42" customHeight="1">
      <c r="A1736" s="4" t="s">
        <v>4636</v>
      </c>
      <c r="B1736" s="5" t="s">
        <v>4637</v>
      </c>
      <c r="C1736" s="5" t="s">
        <v>33</v>
      </c>
      <c r="D1736" s="5" t="s">
        <v>34</v>
      </c>
      <c r="E1736" s="5" t="s">
        <v>197</v>
      </c>
      <c r="F1736" s="9" t="s">
        <v>2269</v>
      </c>
      <c r="G1736" s="9">
        <v>1417</v>
      </c>
      <c r="H1736" s="5" t="s">
        <v>21</v>
      </c>
      <c r="I1736" s="5" t="s">
        <v>4644</v>
      </c>
      <c r="J1736" s="12" t="str">
        <f>HYPERLINK("https://www.boe.es/gazeta/dias/1808/11/01/pdfs/GMD-C-1808-140.pdf#page=7","Abrir facsímil")</f>
        <v>Abrir facsímil</v>
      </c>
      <c r="K1736" s="15" t="s">
        <v>23</v>
      </c>
    </row>
    <row r="1737" spans="1:11" ht="42" customHeight="1">
      <c r="A1737" s="4" t="s">
        <v>4645</v>
      </c>
      <c r="B1737" s="5" t="s">
        <v>4646</v>
      </c>
      <c r="C1737" s="5" t="s">
        <v>94</v>
      </c>
      <c r="D1737" s="5" t="s">
        <v>95</v>
      </c>
      <c r="E1737" s="5" t="s">
        <v>197</v>
      </c>
      <c r="F1737" s="9" t="s">
        <v>857</v>
      </c>
      <c r="G1737" s="9">
        <v>357</v>
      </c>
      <c r="H1737" s="5" t="s">
        <v>21</v>
      </c>
      <c r="I1737" s="5" t="s">
        <v>4647</v>
      </c>
      <c r="J1737" s="12" t="str">
        <f>HYPERLINK("https://www.boe.es/gazeta/dias/1808/11/01/pdfs/GMS-1808-45.pdf#page=5","Abrir facsímil")</f>
        <v>Abrir facsímil</v>
      </c>
      <c r="K1737" s="15" t="s">
        <v>23</v>
      </c>
    </row>
    <row r="1738" spans="1:11" ht="42" customHeight="1">
      <c r="A1738" s="4" t="s">
        <v>4645</v>
      </c>
      <c r="B1738" s="5" t="s">
        <v>4646</v>
      </c>
      <c r="C1738" s="5" t="s">
        <v>389</v>
      </c>
      <c r="D1738" s="5" t="s">
        <v>390</v>
      </c>
      <c r="E1738" s="5" t="s">
        <v>2524</v>
      </c>
      <c r="F1738" s="9" t="s">
        <v>4648</v>
      </c>
      <c r="G1738" s="9">
        <v>478</v>
      </c>
      <c r="H1738" s="5" t="s">
        <v>21</v>
      </c>
      <c r="I1738" s="5" t="s">
        <v>4649</v>
      </c>
      <c r="J1738" s="12" t="str">
        <f>HYPERLINK("https://www.boe.es/gazeta/dias/1808/12/23/pdfs/GMS-1808-60.pdf#page=6","Abrir facsímil")</f>
        <v>Abrir facsímil</v>
      </c>
      <c r="K1738" s="15" t="s">
        <v>23</v>
      </c>
    </row>
    <row r="1739" spans="1:11" ht="42" customHeight="1">
      <c r="A1739" s="4" t="s">
        <v>4650</v>
      </c>
      <c r="B1739" s="5" t="s">
        <v>4651</v>
      </c>
      <c r="C1739" s="5" t="s">
        <v>33</v>
      </c>
      <c r="D1739" s="5" t="s">
        <v>34</v>
      </c>
      <c r="E1739" s="5" t="s">
        <v>363</v>
      </c>
      <c r="F1739" s="9" t="s">
        <v>364</v>
      </c>
      <c r="G1739" s="9" t="s">
        <v>106</v>
      </c>
      <c r="H1739" s="5" t="s">
        <v>21</v>
      </c>
      <c r="I1739" s="5" t="s">
        <v>4652</v>
      </c>
      <c r="J1739" s="12" t="str">
        <f>HYPERLINK("https://www.boe.es/gazeta/dias/1808/09/20/pdfs/GMD-C-1808-126.pdf#page=3","Abrir facsímil")</f>
        <v>Abrir facsímil</v>
      </c>
      <c r="K1739" s="15" t="s">
        <v>23</v>
      </c>
    </row>
    <row r="1740" spans="1:11" ht="42" customHeight="1">
      <c r="A1740" s="4" t="s">
        <v>4653</v>
      </c>
      <c r="B1740" s="5" t="s">
        <v>4654</v>
      </c>
      <c r="C1740" s="5" t="s">
        <v>33</v>
      </c>
      <c r="D1740" s="5" t="s">
        <v>34</v>
      </c>
      <c r="E1740" s="5" t="s">
        <v>110</v>
      </c>
      <c r="F1740" s="9" t="s">
        <v>828</v>
      </c>
      <c r="G1740" s="9" t="s">
        <v>106</v>
      </c>
      <c r="H1740" s="5" t="s">
        <v>21</v>
      </c>
      <c r="I1740" s="5" t="s">
        <v>4655</v>
      </c>
      <c r="J1740" s="12" t="str">
        <f>HYPERLINK("https://www.boe.es/gazeta/dias/1808/10/28/pdfs/GMD-D-1808-138.pdf#page=3","Abrir facsímil")</f>
        <v>Abrir facsímil</v>
      </c>
      <c r="K1740" s="15" t="s">
        <v>23</v>
      </c>
    </row>
    <row r="1741" spans="1:11" ht="42" customHeight="1">
      <c r="A1741" s="4" t="s">
        <v>4656</v>
      </c>
      <c r="B1741" s="5" t="s">
        <v>4657</v>
      </c>
      <c r="C1741" s="5" t="s">
        <v>41</v>
      </c>
      <c r="D1741" s="5" t="s">
        <v>42</v>
      </c>
      <c r="E1741" s="5" t="s">
        <v>35</v>
      </c>
      <c r="F1741" s="9" t="s">
        <v>36</v>
      </c>
      <c r="G1741" s="9" t="s">
        <v>37</v>
      </c>
      <c r="H1741" s="5" t="s">
        <v>21</v>
      </c>
      <c r="I1741" s="5" t="s">
        <v>4658</v>
      </c>
      <c r="J1741" s="12" t="str">
        <f>HYPERLINK("https://www.boe.es/gazeta/dias/1808/04/22/pdfs/GMD-C-1808-38.pdf#page=33","Abrir facsímil")</f>
        <v>Abrir facsímil</v>
      </c>
      <c r="K1741" s="15" t="s">
        <v>23</v>
      </c>
    </row>
    <row r="1742" spans="1:11" ht="42" customHeight="1">
      <c r="A1742" s="4" t="s">
        <v>4659</v>
      </c>
      <c r="B1742" s="5" t="s">
        <v>4660</v>
      </c>
      <c r="C1742" s="5" t="s">
        <v>41</v>
      </c>
      <c r="D1742" s="5" t="s">
        <v>42</v>
      </c>
      <c r="E1742" s="5" t="s">
        <v>287</v>
      </c>
      <c r="F1742" s="9" t="s">
        <v>489</v>
      </c>
      <c r="G1742" s="9">
        <v>1003</v>
      </c>
      <c r="H1742" s="5" t="s">
        <v>21</v>
      </c>
      <c r="I1742" s="5" t="s">
        <v>4661</v>
      </c>
      <c r="J1742" s="12" t="str">
        <f>HYPERLINK("https://www.boe.es/gazeta/dias/1808/08/12/pdfs/GMD-1808-112.pdf#page=7","Abrir facsímil")</f>
        <v>Abrir facsímil</v>
      </c>
      <c r="K1742" s="15" t="s">
        <v>23</v>
      </c>
    </row>
    <row r="1743" spans="1:11" ht="42" customHeight="1">
      <c r="A1743" s="4" t="s">
        <v>4662</v>
      </c>
      <c r="B1743" s="5" t="s">
        <v>4663</v>
      </c>
      <c r="C1743" s="5" t="s">
        <v>389</v>
      </c>
      <c r="D1743" s="5" t="s">
        <v>390</v>
      </c>
      <c r="E1743" s="5" t="s">
        <v>115</v>
      </c>
      <c r="F1743" s="9" t="s">
        <v>116</v>
      </c>
      <c r="G1743" s="9" t="s">
        <v>199</v>
      </c>
      <c r="H1743" s="5" t="s">
        <v>21</v>
      </c>
      <c r="I1743" s="5" t="s">
        <v>4664</v>
      </c>
      <c r="J1743" s="12" t="str">
        <f>HYPERLINK("https://www.boe.es/gazeta/dias/1808/09/16/pdfs/GMD-C-1808-125.pdf#page=2","Abrir facsímil")</f>
        <v>Abrir facsímil</v>
      </c>
      <c r="K1743" s="15" t="s">
        <v>23</v>
      </c>
    </row>
    <row r="1744" spans="1:11" ht="42" customHeight="1">
      <c r="A1744" s="4" t="s">
        <v>4662</v>
      </c>
      <c r="B1744" s="5" t="s">
        <v>4663</v>
      </c>
      <c r="C1744" s="5" t="s">
        <v>17</v>
      </c>
      <c r="D1744" s="5" t="s">
        <v>18</v>
      </c>
      <c r="E1744" s="5" t="s">
        <v>456</v>
      </c>
      <c r="F1744" s="9" t="s">
        <v>457</v>
      </c>
      <c r="G1744" s="9">
        <v>1299</v>
      </c>
      <c r="H1744" s="5" t="s">
        <v>21</v>
      </c>
      <c r="I1744" s="5" t="s">
        <v>4665</v>
      </c>
      <c r="J1744" s="12" t="str">
        <f>HYPERLINK("https://www.boe.es/gazeta/dias/1808/10/14/pdfs/GMD-1808-134.pdf#page=11","Abrir facsímil")</f>
        <v>Abrir facsímil</v>
      </c>
      <c r="K1744" s="15" t="s">
        <v>23</v>
      </c>
    </row>
    <row r="1745" spans="1:11" ht="42" customHeight="1">
      <c r="A1745" s="4" t="s">
        <v>4666</v>
      </c>
      <c r="B1745" s="5" t="s">
        <v>4667</v>
      </c>
      <c r="C1745" s="5" t="s">
        <v>41</v>
      </c>
      <c r="D1745" s="5" t="s">
        <v>42</v>
      </c>
      <c r="E1745" s="5" t="s">
        <v>418</v>
      </c>
      <c r="F1745" s="9" t="s">
        <v>419</v>
      </c>
      <c r="G1745" s="9">
        <v>1141</v>
      </c>
      <c r="H1745" s="5" t="s">
        <v>21</v>
      </c>
      <c r="I1745" s="5" t="s">
        <v>4668</v>
      </c>
      <c r="J1745" s="12" t="str">
        <f>HYPERLINK("https://www.boe.es/gazeta/dias/1808/09/06/pdfs/GMD-C-1808-120.pdf#page=15","Abrir facsímil")</f>
        <v>Abrir facsímil</v>
      </c>
      <c r="K1745" s="15" t="s">
        <v>23</v>
      </c>
    </row>
    <row r="1746" spans="1:11" ht="42" customHeight="1">
      <c r="A1746" s="4" t="s">
        <v>4669</v>
      </c>
      <c r="B1746" s="5" t="s">
        <v>4670</v>
      </c>
      <c r="C1746" s="5" t="s">
        <v>389</v>
      </c>
      <c r="D1746" s="5" t="s">
        <v>390</v>
      </c>
      <c r="E1746" s="5" t="s">
        <v>418</v>
      </c>
      <c r="F1746" s="9" t="s">
        <v>419</v>
      </c>
      <c r="G1746" s="9">
        <v>1141</v>
      </c>
      <c r="H1746" s="5" t="s">
        <v>21</v>
      </c>
      <c r="I1746" s="5" t="s">
        <v>4671</v>
      </c>
      <c r="J1746" s="12" t="str">
        <f>HYPERLINK("https://www.boe.es/gazeta/dias/1808/09/06/pdfs/GMD-C-1808-120.pdf#page=15","Abrir facsímil")</f>
        <v>Abrir facsímil</v>
      </c>
      <c r="K1746" s="15" t="s">
        <v>23</v>
      </c>
    </row>
    <row r="1747" spans="1:11" ht="42" customHeight="1">
      <c r="A1747" s="4" t="s">
        <v>4672</v>
      </c>
      <c r="B1747" s="5" t="s">
        <v>4673</v>
      </c>
      <c r="C1747" s="5" t="s">
        <v>94</v>
      </c>
      <c r="D1747" s="5" t="s">
        <v>95</v>
      </c>
      <c r="E1747" s="5" t="s">
        <v>68</v>
      </c>
      <c r="F1747" s="9" t="s">
        <v>849</v>
      </c>
      <c r="G1747" s="9">
        <v>1349</v>
      </c>
      <c r="H1747" s="5" t="s">
        <v>21</v>
      </c>
      <c r="I1747" s="5" t="s">
        <v>4674</v>
      </c>
      <c r="J1747" s="12" t="str">
        <f>HYPERLINK("https://www.boe.es/gazeta/dias/1808/10/21/pdfs/GMD-C-1808-136.pdf#page=9","Abrir facsímil")</f>
        <v>Abrir facsímil</v>
      </c>
      <c r="K1747" s="15" t="s">
        <v>23</v>
      </c>
    </row>
    <row r="1748" spans="1:11" ht="42" customHeight="1">
      <c r="A1748" s="4" t="s">
        <v>4675</v>
      </c>
      <c r="B1748" s="5" t="s">
        <v>4676</v>
      </c>
      <c r="C1748" s="5" t="s">
        <v>41</v>
      </c>
      <c r="D1748" s="5" t="s">
        <v>42</v>
      </c>
      <c r="E1748" s="5" t="s">
        <v>130</v>
      </c>
      <c r="F1748" s="9" t="s">
        <v>131</v>
      </c>
      <c r="G1748" s="9">
        <v>1603</v>
      </c>
      <c r="H1748" s="5" t="s">
        <v>21</v>
      </c>
      <c r="I1748" s="5" t="s">
        <v>4677</v>
      </c>
      <c r="J1748" s="12" t="str">
        <f>HYPERLINK("https://www.boe.es/gazeta/dias/1808/12/15/pdfs/GMD-1808-155.pdf#page=7","Abrir facsímil")</f>
        <v>Abrir facsímil</v>
      </c>
      <c r="K1748" s="15" t="s">
        <v>23</v>
      </c>
    </row>
    <row r="1749" spans="1:11" ht="42" customHeight="1">
      <c r="A1749" s="4" t="s">
        <v>4678</v>
      </c>
      <c r="B1749" s="5" t="s">
        <v>4679</v>
      </c>
      <c r="C1749" s="5" t="s">
        <v>642</v>
      </c>
      <c r="D1749" s="5" t="s">
        <v>643</v>
      </c>
      <c r="E1749" s="5" t="s">
        <v>35</v>
      </c>
      <c r="F1749" s="9" t="s">
        <v>4680</v>
      </c>
      <c r="G1749" s="9">
        <v>405</v>
      </c>
      <c r="H1749" s="5" t="s">
        <v>21</v>
      </c>
      <c r="I1749" s="5" t="s">
        <v>4681</v>
      </c>
      <c r="J1749" s="12" t="str">
        <f>HYPERLINK("https://www.boe.es/gazeta/dias/1808/04/22/pdfs/GMD-1808-39E.pdf#page=1","Abrir facsímil")</f>
        <v>Abrir facsímil</v>
      </c>
      <c r="K1749" s="15" t="s">
        <v>23</v>
      </c>
    </row>
    <row r="1750" spans="1:11" ht="42" customHeight="1">
      <c r="A1750" s="4" t="s">
        <v>4678</v>
      </c>
      <c r="B1750" s="5" t="s">
        <v>4679</v>
      </c>
      <c r="C1750" s="5" t="s">
        <v>17</v>
      </c>
      <c r="D1750" s="5" t="s">
        <v>18</v>
      </c>
      <c r="E1750" s="5" t="s">
        <v>290</v>
      </c>
      <c r="F1750" s="9" t="s">
        <v>291</v>
      </c>
      <c r="G1750" s="9">
        <v>1063</v>
      </c>
      <c r="H1750" s="5" t="s">
        <v>21</v>
      </c>
      <c r="I1750" s="5" t="s">
        <v>4682</v>
      </c>
      <c r="J1750" s="12" t="str">
        <f>HYPERLINK("https://www.boe.es/gazeta/dias/1808/08/23/pdfs/GMD-1808-116.pdf#page=9","Abrir facsímil")</f>
        <v>Abrir facsímil</v>
      </c>
      <c r="K1750" s="15" t="s">
        <v>23</v>
      </c>
    </row>
    <row r="1751" spans="1:11" ht="42" customHeight="1">
      <c r="A1751" s="4" t="s">
        <v>4678</v>
      </c>
      <c r="B1751" s="5" t="s">
        <v>4679</v>
      </c>
      <c r="C1751" s="5" t="s">
        <v>41</v>
      </c>
      <c r="D1751" s="5" t="s">
        <v>42</v>
      </c>
      <c r="E1751" s="5" t="s">
        <v>290</v>
      </c>
      <c r="F1751" s="9" t="s">
        <v>4683</v>
      </c>
      <c r="G1751" s="9">
        <v>1067</v>
      </c>
      <c r="H1751" s="5" t="s">
        <v>21</v>
      </c>
      <c r="I1751" s="5" t="s">
        <v>4684</v>
      </c>
      <c r="J1751" s="12" t="str">
        <f>HYPERLINK("https://www.boe.es/gazeta/dias/1808/08/23/pdfs/GMD-C-1808-116.pdf#page=1","Abrir facsímil")</f>
        <v>Abrir facsímil</v>
      </c>
      <c r="K1751" s="15" t="s">
        <v>23</v>
      </c>
    </row>
    <row r="1752" spans="1:11" ht="42" customHeight="1">
      <c r="A1752" s="4" t="s">
        <v>4685</v>
      </c>
      <c r="B1752" s="5" t="s">
        <v>4686</v>
      </c>
      <c r="C1752" s="5" t="s">
        <v>41</v>
      </c>
      <c r="D1752" s="5" t="s">
        <v>42</v>
      </c>
      <c r="E1752" s="5" t="s">
        <v>185</v>
      </c>
      <c r="F1752" s="9" t="s">
        <v>186</v>
      </c>
      <c r="G1752" s="9">
        <v>1104</v>
      </c>
      <c r="H1752" s="5" t="s">
        <v>21</v>
      </c>
      <c r="I1752" s="5" t="s">
        <v>4687</v>
      </c>
      <c r="J1752" s="12" t="str">
        <f>HYPERLINK("https://www.boe.es/gazeta/dias/1808/08/30/pdfs/GMD-1808-118.pdf#page=10","Abrir facsímil")</f>
        <v>Abrir facsímil</v>
      </c>
      <c r="K1752" s="15" t="s">
        <v>23</v>
      </c>
    </row>
    <row r="1753" spans="1:11" ht="42" customHeight="1">
      <c r="A1753" s="4" t="s">
        <v>4688</v>
      </c>
      <c r="B1753" s="5" t="s">
        <v>4689</v>
      </c>
      <c r="C1753" s="5" t="s">
        <v>17</v>
      </c>
      <c r="D1753" s="5" t="s">
        <v>18</v>
      </c>
      <c r="E1753" s="5" t="s">
        <v>334</v>
      </c>
      <c r="F1753" s="9" t="s">
        <v>1814</v>
      </c>
      <c r="G1753" s="9">
        <v>1247</v>
      </c>
      <c r="H1753" s="5" t="s">
        <v>21</v>
      </c>
      <c r="I1753" s="5" t="s">
        <v>4690</v>
      </c>
      <c r="J1753" s="12" t="str">
        <f>HYPERLINK("https://www.boe.es/gazeta/dias/1808/10/04/pdfs/GMD-1808-131.pdf#page=15","Abrir facsímil")</f>
        <v>Abrir facsímil</v>
      </c>
      <c r="K1753" s="15" t="s">
        <v>23</v>
      </c>
    </row>
    <row r="1754" spans="1:11" ht="42" customHeight="1">
      <c r="A1754" s="4" t="s">
        <v>4691</v>
      </c>
      <c r="B1754" s="5" t="s">
        <v>4692</v>
      </c>
      <c r="C1754" s="5" t="s">
        <v>41</v>
      </c>
      <c r="D1754" s="5" t="s">
        <v>42</v>
      </c>
      <c r="E1754" s="5" t="s">
        <v>334</v>
      </c>
      <c r="F1754" s="9" t="s">
        <v>1814</v>
      </c>
      <c r="G1754" s="9">
        <v>1248</v>
      </c>
      <c r="H1754" s="5" t="s">
        <v>21</v>
      </c>
      <c r="I1754" s="5" t="s">
        <v>4693</v>
      </c>
      <c r="J1754" s="12" t="str">
        <f>HYPERLINK("https://www.boe.es/gazeta/dias/1808/10/04/pdfs/GMD-1808-131.pdf#page=16","Abrir facsímil")</f>
        <v>Abrir facsímil</v>
      </c>
      <c r="K1754" s="15" t="s">
        <v>23</v>
      </c>
    </row>
    <row r="1755" spans="1:11" ht="42" customHeight="1">
      <c r="A1755" s="4" t="s">
        <v>4694</v>
      </c>
      <c r="B1755" s="5" t="s">
        <v>4695</v>
      </c>
      <c r="C1755" s="5" t="s">
        <v>41</v>
      </c>
      <c r="D1755" s="5" t="s">
        <v>42</v>
      </c>
      <c r="E1755" s="5" t="s">
        <v>334</v>
      </c>
      <c r="F1755" s="9" t="s">
        <v>1814</v>
      </c>
      <c r="G1755" s="9">
        <v>1248</v>
      </c>
      <c r="H1755" s="5" t="s">
        <v>21</v>
      </c>
      <c r="I1755" s="5" t="s">
        <v>4696</v>
      </c>
      <c r="J1755" s="12" t="str">
        <f>HYPERLINK("https://www.boe.es/gazeta/dias/1808/10/04/pdfs/GMD-1808-131.pdf#page=16","Abrir facsímil")</f>
        <v>Abrir facsímil</v>
      </c>
      <c r="K1755" s="15" t="s">
        <v>23</v>
      </c>
    </row>
    <row r="1756" spans="1:11" ht="42" customHeight="1">
      <c r="A1756" s="4" t="s">
        <v>4697</v>
      </c>
      <c r="B1756" s="5" t="s">
        <v>4698</v>
      </c>
      <c r="C1756" s="5" t="s">
        <v>33</v>
      </c>
      <c r="D1756" s="5" t="s">
        <v>34</v>
      </c>
      <c r="E1756" s="5" t="s">
        <v>35</v>
      </c>
      <c r="F1756" s="9" t="s">
        <v>36</v>
      </c>
      <c r="G1756" s="9" t="s">
        <v>135</v>
      </c>
      <c r="H1756" s="5" t="s">
        <v>21</v>
      </c>
      <c r="I1756" s="5" t="s">
        <v>4699</v>
      </c>
      <c r="J1756" s="12" t="str">
        <f>HYPERLINK("https://www.boe.es/gazeta/dias/1808/04/22/pdfs/GMD-C-1808-38.pdf#page=26","Abrir facsímil")</f>
        <v>Abrir facsímil</v>
      </c>
      <c r="K1756" s="15" t="s">
        <v>23</v>
      </c>
    </row>
    <row r="1757" spans="1:11" ht="42" customHeight="1">
      <c r="A1757" s="4" t="s">
        <v>4700</v>
      </c>
      <c r="B1757" s="5" t="s">
        <v>4701</v>
      </c>
      <c r="C1757" s="5" t="s">
        <v>33</v>
      </c>
      <c r="D1757" s="5" t="s">
        <v>34</v>
      </c>
      <c r="E1757" s="5" t="s">
        <v>35</v>
      </c>
      <c r="F1757" s="9" t="s">
        <v>36</v>
      </c>
      <c r="G1757" s="9" t="s">
        <v>837</v>
      </c>
      <c r="H1757" s="5" t="s">
        <v>21</v>
      </c>
      <c r="I1757" s="5" t="s">
        <v>4702</v>
      </c>
      <c r="J1757" s="12" t="str">
        <f>HYPERLINK("https://www.boe.es/gazeta/dias/1808/04/22/pdfs/GMD-C-1808-38.pdf#page=10","Abrir facsímil")</f>
        <v>Abrir facsímil</v>
      </c>
      <c r="K1757" s="15" t="s">
        <v>23</v>
      </c>
    </row>
    <row r="1758" spans="1:11" ht="42" customHeight="1">
      <c r="A1758" s="4" t="s">
        <v>4703</v>
      </c>
      <c r="B1758" s="5" t="s">
        <v>4704</v>
      </c>
      <c r="C1758" s="5" t="s">
        <v>260</v>
      </c>
      <c r="D1758" s="5" t="s">
        <v>42</v>
      </c>
      <c r="E1758" s="5" t="s">
        <v>493</v>
      </c>
      <c r="F1758" s="9" t="s">
        <v>494</v>
      </c>
      <c r="G1758" s="9">
        <v>45</v>
      </c>
      <c r="H1758" s="5" t="s">
        <v>21</v>
      </c>
      <c r="I1758" s="5" t="s">
        <v>4705</v>
      </c>
      <c r="J1758" s="12" t="str">
        <f>HYPERLINK("https://www.boe.es/gazeta/dias/1808/01/12/pdfs/GMD-1808-4.pdf#page=9","Abrir facsímil")</f>
        <v>Abrir facsímil</v>
      </c>
      <c r="K1758" s="15" t="s">
        <v>23</v>
      </c>
    </row>
    <row r="1759" spans="1:11" ht="42" customHeight="1">
      <c r="A1759" s="4" t="s">
        <v>4706</v>
      </c>
      <c r="B1759" s="5" t="s">
        <v>4707</v>
      </c>
      <c r="C1759" s="5" t="s">
        <v>94</v>
      </c>
      <c r="D1759" s="5" t="s">
        <v>95</v>
      </c>
      <c r="E1759" s="5" t="s">
        <v>513</v>
      </c>
      <c r="F1759" s="9" t="s">
        <v>514</v>
      </c>
      <c r="G1759" s="9">
        <v>286</v>
      </c>
      <c r="H1759" s="5" t="s">
        <v>21</v>
      </c>
      <c r="I1759" s="5" t="s">
        <v>4708</v>
      </c>
      <c r="J1759" s="12" t="str">
        <f>HYPERLINK("https://www.boe.es/gazeta/dias/1808/03/22/pdfs/GMD-1808-24.pdf#page=8","Abrir facsímil")</f>
        <v>Abrir facsímil</v>
      </c>
      <c r="K1759" s="15" t="s">
        <v>23</v>
      </c>
    </row>
    <row r="1760" spans="1:11" ht="42" customHeight="1">
      <c r="A1760" s="4" t="s">
        <v>4709</v>
      </c>
      <c r="B1760" s="5" t="s">
        <v>4710</v>
      </c>
      <c r="C1760" s="5" t="s">
        <v>33</v>
      </c>
      <c r="D1760" s="5" t="s">
        <v>34</v>
      </c>
      <c r="E1760" s="5" t="s">
        <v>35</v>
      </c>
      <c r="F1760" s="9" t="s">
        <v>36</v>
      </c>
      <c r="G1760" s="9" t="s">
        <v>322</v>
      </c>
      <c r="H1760" s="5" t="s">
        <v>21</v>
      </c>
      <c r="I1760" s="5" t="s">
        <v>4711</v>
      </c>
      <c r="J1760" s="12" t="str">
        <f>HYPERLINK("https://www.boe.es/gazeta/dias/1808/04/22/pdfs/GMD-C-1808-38.pdf#page=15","Abrir facsímil")</f>
        <v>Abrir facsímil</v>
      </c>
      <c r="K1760" s="15" t="s">
        <v>23</v>
      </c>
    </row>
    <row r="1761" spans="1:11" ht="42" customHeight="1">
      <c r="A1761" s="4" t="s">
        <v>4712</v>
      </c>
      <c r="B1761" s="5" t="s">
        <v>4713</v>
      </c>
      <c r="C1761" s="5" t="s">
        <v>33</v>
      </c>
      <c r="D1761" s="5" t="s">
        <v>34</v>
      </c>
      <c r="E1761" s="5" t="s">
        <v>35</v>
      </c>
      <c r="F1761" s="9" t="s">
        <v>36</v>
      </c>
      <c r="G1761" s="9" t="s">
        <v>47</v>
      </c>
      <c r="H1761" s="5" t="s">
        <v>21</v>
      </c>
      <c r="I1761" s="5" t="s">
        <v>4714</v>
      </c>
      <c r="J1761" s="12" t="str">
        <f>HYPERLINK("https://www.boe.es/gazeta/dias/1808/04/22/pdfs/GMD-C-1808-38.pdf#page=13","Abrir facsímil")</f>
        <v>Abrir facsímil</v>
      </c>
      <c r="K1761" s="15" t="s">
        <v>23</v>
      </c>
    </row>
    <row r="1762" spans="1:11" ht="42" customHeight="1">
      <c r="A1762" s="4" t="s">
        <v>4715</v>
      </c>
      <c r="B1762" s="5" t="s">
        <v>4716</v>
      </c>
      <c r="C1762" s="5" t="s">
        <v>17</v>
      </c>
      <c r="D1762" s="5" t="s">
        <v>18</v>
      </c>
      <c r="E1762" s="5" t="s">
        <v>51</v>
      </c>
      <c r="F1762" s="9" t="s">
        <v>52</v>
      </c>
      <c r="G1762" s="9">
        <v>991</v>
      </c>
      <c r="H1762" s="5" t="s">
        <v>21</v>
      </c>
      <c r="I1762" s="5" t="s">
        <v>4717</v>
      </c>
      <c r="J1762" s="12" t="str">
        <f>HYPERLINK("https://www.boe.es/gazeta/dias/1808/08/09/pdfs/GMD-1808-111.pdf#page=7","Abrir facsímil")</f>
        <v>Abrir facsímil</v>
      </c>
      <c r="K1762" s="15" t="s">
        <v>23</v>
      </c>
    </row>
    <row r="1763" spans="1:11" ht="42" customHeight="1">
      <c r="A1763" s="4" t="s">
        <v>4715</v>
      </c>
      <c r="B1763" s="5" t="s">
        <v>4716</v>
      </c>
      <c r="C1763" s="5" t="s">
        <v>17</v>
      </c>
      <c r="D1763" s="5" t="s">
        <v>18</v>
      </c>
      <c r="E1763" s="5" t="s">
        <v>290</v>
      </c>
      <c r="F1763" s="9" t="s">
        <v>3150</v>
      </c>
      <c r="G1763" s="9">
        <v>198</v>
      </c>
      <c r="H1763" s="5" t="s">
        <v>21</v>
      </c>
      <c r="I1763" s="5" t="s">
        <v>4718</v>
      </c>
      <c r="J1763" s="12" t="str">
        <f>HYPERLINK("https://www.boe.es/gazeta/dias/1808/08/23/pdfs/GMS-1808-25.pdf#page=6","Abrir facsímil")</f>
        <v>Abrir facsímil</v>
      </c>
      <c r="K1763" s="15" t="s">
        <v>23</v>
      </c>
    </row>
    <row r="1764" spans="1:11" ht="42" customHeight="1">
      <c r="A1764" s="4" t="s">
        <v>4719</v>
      </c>
      <c r="B1764" s="5" t="s">
        <v>4720</v>
      </c>
      <c r="C1764" s="5" t="s">
        <v>33</v>
      </c>
      <c r="D1764" s="5" t="s">
        <v>34</v>
      </c>
      <c r="E1764" s="5" t="s">
        <v>35</v>
      </c>
      <c r="F1764" s="9" t="s">
        <v>36</v>
      </c>
      <c r="G1764" s="9" t="s">
        <v>814</v>
      </c>
      <c r="H1764" s="5" t="s">
        <v>21</v>
      </c>
      <c r="I1764" s="5" t="s">
        <v>4721</v>
      </c>
      <c r="J1764" s="12" t="str">
        <f>HYPERLINK("https://www.boe.es/gazeta/dias/1808/04/22/pdfs/GMD-C-1808-38.pdf#page=25","Abrir facsímil")</f>
        <v>Abrir facsímil</v>
      </c>
      <c r="K1764" s="15" t="s">
        <v>23</v>
      </c>
    </row>
    <row r="1765" spans="1:11" ht="42" customHeight="1">
      <c r="A1765" s="4" t="s">
        <v>4722</v>
      </c>
      <c r="B1765" s="5" t="s">
        <v>4723</v>
      </c>
      <c r="C1765" s="5" t="s">
        <v>33</v>
      </c>
      <c r="D1765" s="5" t="s">
        <v>34</v>
      </c>
      <c r="E1765" s="5" t="s">
        <v>35</v>
      </c>
      <c r="F1765" s="9" t="s">
        <v>36</v>
      </c>
      <c r="G1765" s="9" t="s">
        <v>162</v>
      </c>
      <c r="H1765" s="5" t="s">
        <v>21</v>
      </c>
      <c r="I1765" s="5" t="s">
        <v>4724</v>
      </c>
      <c r="J1765" s="12" t="str">
        <f>HYPERLINK("https://www.boe.es/gazeta/dias/1808/04/22/pdfs/GMD-C-1808-38.pdf#page=31","Abrir facsímil")</f>
        <v>Abrir facsímil</v>
      </c>
      <c r="K1765" s="15" t="s">
        <v>23</v>
      </c>
    </row>
    <row r="1766" spans="1:11" ht="42" customHeight="1">
      <c r="A1766" s="4" t="s">
        <v>4725</v>
      </c>
      <c r="B1766" s="5" t="s">
        <v>4726</v>
      </c>
      <c r="C1766" s="5" t="s">
        <v>33</v>
      </c>
      <c r="D1766" s="5" t="s">
        <v>34</v>
      </c>
      <c r="E1766" s="5" t="s">
        <v>139</v>
      </c>
      <c r="F1766" s="9" t="s">
        <v>1089</v>
      </c>
      <c r="G1766" s="9" t="s">
        <v>75</v>
      </c>
      <c r="H1766" s="5" t="s">
        <v>21</v>
      </c>
      <c r="I1766" s="5" t="s">
        <v>4727</v>
      </c>
      <c r="J1766" s="12" t="str">
        <f>HYPERLINK("https://www.boe.es/gazeta/dias/1808/09/23/pdfs/GMD-C-1808-127.pdf#page=4","Abrir facsímil")</f>
        <v>Abrir facsímil</v>
      </c>
      <c r="K1766" s="15" t="s">
        <v>23</v>
      </c>
    </row>
    <row r="1767" spans="1:11" ht="42" customHeight="1">
      <c r="A1767" s="4" t="s">
        <v>4728</v>
      </c>
      <c r="B1767" s="5" t="s">
        <v>4729</v>
      </c>
      <c r="C1767" s="5" t="s">
        <v>260</v>
      </c>
      <c r="D1767" s="5" t="s">
        <v>42</v>
      </c>
      <c r="E1767" s="5" t="s">
        <v>269</v>
      </c>
      <c r="F1767" s="9" t="s">
        <v>270</v>
      </c>
      <c r="G1767" s="9">
        <v>69</v>
      </c>
      <c r="H1767" s="5" t="s">
        <v>21</v>
      </c>
      <c r="I1767" s="5" t="s">
        <v>4730</v>
      </c>
      <c r="J1767" s="12" t="str">
        <f>HYPERLINK("https://www.boe.es/gazeta/dias/1808/01/19/pdfs/GMD-1808-6.pdf#page=9","Abrir facsímil")</f>
        <v>Abrir facsímil</v>
      </c>
      <c r="K1767" s="15" t="s">
        <v>23</v>
      </c>
    </row>
    <row r="1768" spans="1:11" ht="42" customHeight="1">
      <c r="A1768" s="4" t="s">
        <v>4731</v>
      </c>
      <c r="B1768" s="5" t="s">
        <v>4732</v>
      </c>
      <c r="C1768" s="5" t="s">
        <v>33</v>
      </c>
      <c r="D1768" s="5" t="s">
        <v>34</v>
      </c>
      <c r="E1768" s="5" t="s">
        <v>180</v>
      </c>
      <c r="F1768" s="9" t="s">
        <v>768</v>
      </c>
      <c r="G1768" s="9" t="s">
        <v>75</v>
      </c>
      <c r="H1768" s="5" t="s">
        <v>21</v>
      </c>
      <c r="I1768" s="5" t="s">
        <v>4733</v>
      </c>
      <c r="J1768" s="12" t="str">
        <f>HYPERLINK("https://www.boe.es/gazeta/dias/1808/11/15/pdfs/GMD-D-1808-144.pdf#page=4","Abrir facsímil")</f>
        <v>Abrir facsímil</v>
      </c>
      <c r="K1768" s="15" t="s">
        <v>23</v>
      </c>
    </row>
    <row r="1769" spans="1:11" ht="42" customHeight="1">
      <c r="A1769" s="4" t="s">
        <v>4734</v>
      </c>
      <c r="B1769" s="5" t="s">
        <v>4735</v>
      </c>
      <c r="C1769" s="5" t="s">
        <v>17</v>
      </c>
      <c r="D1769" s="5" t="s">
        <v>18</v>
      </c>
      <c r="E1769" s="5" t="s">
        <v>2639</v>
      </c>
      <c r="F1769" s="9" t="s">
        <v>2640</v>
      </c>
      <c r="G1769" s="9">
        <v>119</v>
      </c>
      <c r="H1769" s="5" t="s">
        <v>21</v>
      </c>
      <c r="I1769" s="5" t="s">
        <v>4736</v>
      </c>
      <c r="J1769" s="12" t="str">
        <f>HYPERLINK("https://www.boe.es/gazeta/dias/1808/07/20/pdfs/GMS-1808-15.pdf#page=7","Abrir facsímil")</f>
        <v>Abrir facsímil</v>
      </c>
      <c r="K1769" s="15" t="s">
        <v>23</v>
      </c>
    </row>
    <row r="1770" spans="1:11" ht="42" customHeight="1">
      <c r="A1770" s="4" t="s">
        <v>4734</v>
      </c>
      <c r="B1770" s="5" t="s">
        <v>4735</v>
      </c>
      <c r="C1770" s="5" t="s">
        <v>94</v>
      </c>
      <c r="D1770" s="5" t="s">
        <v>95</v>
      </c>
      <c r="E1770" s="5" t="s">
        <v>110</v>
      </c>
      <c r="F1770" s="9" t="s">
        <v>4354</v>
      </c>
      <c r="G1770" s="9">
        <v>1392</v>
      </c>
      <c r="H1770" s="5" t="s">
        <v>21</v>
      </c>
      <c r="I1770" s="5" t="s">
        <v>4737</v>
      </c>
      <c r="J1770" s="12" t="str">
        <f>HYPERLINK("https://www.boe.es/gazeta/dias/1808/10/28/pdfs/GMD-C-1808-138.pdf#page=6","Abrir facsímil")</f>
        <v>Abrir facsímil</v>
      </c>
      <c r="K1770" s="15" t="s">
        <v>23</v>
      </c>
    </row>
    <row r="1771" spans="1:11" ht="42" customHeight="1">
      <c r="A1771" s="4" t="s">
        <v>4738</v>
      </c>
      <c r="B1771" s="5" t="s">
        <v>4739</v>
      </c>
      <c r="C1771" s="5" t="s">
        <v>33</v>
      </c>
      <c r="D1771" s="5" t="s">
        <v>34</v>
      </c>
      <c r="E1771" s="5" t="s">
        <v>461</v>
      </c>
      <c r="F1771" s="9" t="s">
        <v>462</v>
      </c>
      <c r="G1771" s="9" t="s">
        <v>106</v>
      </c>
      <c r="H1771" s="5" t="s">
        <v>21</v>
      </c>
      <c r="I1771" s="5" t="s">
        <v>4740</v>
      </c>
      <c r="J1771" s="12" t="str">
        <f>HYPERLINK("https://www.boe.es/gazeta/dias/1808/11/08/pdfs/GMD-D-1808-142.pdf#page=3","Abrir facsímil")</f>
        <v>Abrir facsímil</v>
      </c>
      <c r="K1771" s="15" t="s">
        <v>23</v>
      </c>
    </row>
    <row r="1772" spans="1:11" ht="42" customHeight="1">
      <c r="A1772" s="4" t="s">
        <v>4741</v>
      </c>
      <c r="B1772" s="5" t="s">
        <v>4742</v>
      </c>
      <c r="C1772" s="5" t="s">
        <v>33</v>
      </c>
      <c r="D1772" s="5" t="s">
        <v>34</v>
      </c>
      <c r="E1772" s="5" t="s">
        <v>197</v>
      </c>
      <c r="F1772" s="9" t="s">
        <v>2269</v>
      </c>
      <c r="G1772" s="9">
        <v>1418</v>
      </c>
      <c r="H1772" s="5" t="s">
        <v>21</v>
      </c>
      <c r="I1772" s="5" t="s">
        <v>4743</v>
      </c>
      <c r="J1772" s="12" t="str">
        <f>HYPERLINK("https://www.boe.es/gazeta/dias/1808/11/01/pdfs/GMD-C-1808-140.pdf#page=8","Abrir facsímil")</f>
        <v>Abrir facsímil</v>
      </c>
      <c r="K1772" s="15" t="s">
        <v>23</v>
      </c>
    </row>
    <row r="1773" spans="1:11" ht="42" customHeight="1">
      <c r="A1773" s="4" t="s">
        <v>4741</v>
      </c>
      <c r="B1773" s="5" t="s">
        <v>4742</v>
      </c>
      <c r="C1773" s="5" t="s">
        <v>33</v>
      </c>
      <c r="D1773" s="5" t="s">
        <v>34</v>
      </c>
      <c r="E1773" s="5" t="s">
        <v>73</v>
      </c>
      <c r="F1773" s="9" t="s">
        <v>1570</v>
      </c>
      <c r="G1773" s="9">
        <v>1475</v>
      </c>
      <c r="H1773" s="5" t="s">
        <v>21</v>
      </c>
      <c r="I1773" s="5" t="s">
        <v>4744</v>
      </c>
      <c r="J1773" s="12" t="str">
        <f>HYPERLINK("https://www.boe.es/gazeta/dias/1808/11/11/pdfs/GMD-C-1808-143.pdf#page=5","Abrir facsímil")</f>
        <v>Abrir facsímil</v>
      </c>
      <c r="K1773" s="15" t="s">
        <v>23</v>
      </c>
    </row>
    <row r="1774" spans="1:11" ht="42" customHeight="1">
      <c r="A1774" s="4" t="s">
        <v>4745</v>
      </c>
      <c r="B1774" s="5" t="s">
        <v>4746</v>
      </c>
      <c r="C1774" s="5" t="s">
        <v>17</v>
      </c>
      <c r="D1774" s="5" t="s">
        <v>18</v>
      </c>
      <c r="E1774" s="5" t="s">
        <v>89</v>
      </c>
      <c r="F1774" s="9" t="s">
        <v>90</v>
      </c>
      <c r="G1774" s="9">
        <v>1363</v>
      </c>
      <c r="H1774" s="5" t="s">
        <v>21</v>
      </c>
      <c r="I1774" s="5" t="s">
        <v>4747</v>
      </c>
      <c r="J1774" s="12" t="str">
        <f>HYPERLINK("https://www.boe.es/gazeta/dias/1808/10/25/pdfs/GMD-1808-137.pdf#page=11","Abrir facsímil")</f>
        <v>Abrir facsímil</v>
      </c>
      <c r="K1774" s="15" t="s">
        <v>23</v>
      </c>
    </row>
    <row r="1775" spans="1:11" ht="42" customHeight="1">
      <c r="A1775" s="4" t="s">
        <v>4748</v>
      </c>
      <c r="B1775" s="5" t="s">
        <v>4749</v>
      </c>
      <c r="C1775" s="5" t="s">
        <v>17</v>
      </c>
      <c r="D1775" s="5" t="s">
        <v>18</v>
      </c>
      <c r="E1775" s="5" t="s">
        <v>368</v>
      </c>
      <c r="F1775" s="9" t="s">
        <v>369</v>
      </c>
      <c r="G1775" s="9">
        <v>166</v>
      </c>
      <c r="H1775" s="5" t="s">
        <v>21</v>
      </c>
      <c r="I1775" s="5" t="s">
        <v>4750</v>
      </c>
      <c r="J1775" s="12" t="str">
        <f>HYPERLINK("https://www.boe.es/gazeta/dias/1808/02/16/pdfs/GMD-1808-14.pdf#page=8","Abrir facsímil")</f>
        <v>Abrir facsímil</v>
      </c>
      <c r="K1775" s="15" t="s">
        <v>23</v>
      </c>
    </row>
    <row r="1776" spans="1:11" ht="42" customHeight="1">
      <c r="A1776" s="4" t="s">
        <v>4751</v>
      </c>
      <c r="B1776" s="5" t="s">
        <v>4752</v>
      </c>
      <c r="C1776" s="5" t="s">
        <v>33</v>
      </c>
      <c r="D1776" s="5" t="s">
        <v>34</v>
      </c>
      <c r="E1776" s="5" t="s">
        <v>35</v>
      </c>
      <c r="F1776" s="9" t="s">
        <v>36</v>
      </c>
      <c r="G1776" s="9" t="s">
        <v>924</v>
      </c>
      <c r="H1776" s="5" t="s">
        <v>21</v>
      </c>
      <c r="I1776" s="5" t="s">
        <v>4753</v>
      </c>
      <c r="J1776" s="12" t="str">
        <f>HYPERLINK("https://www.boe.es/gazeta/dias/1808/04/22/pdfs/GMD-C-1808-38.pdf#page=27","Abrir facsímil")</f>
        <v>Abrir facsímil</v>
      </c>
      <c r="K1776" s="15" t="s">
        <v>23</v>
      </c>
    </row>
    <row r="1777" spans="1:11" ht="42" customHeight="1">
      <c r="A1777" s="4" t="s">
        <v>4754</v>
      </c>
      <c r="B1777" s="5" t="s">
        <v>4755</v>
      </c>
      <c r="C1777" s="5" t="s">
        <v>17</v>
      </c>
      <c r="D1777" s="5" t="s">
        <v>18</v>
      </c>
      <c r="E1777" s="5" t="s">
        <v>61</v>
      </c>
      <c r="F1777" s="9" t="s">
        <v>62</v>
      </c>
      <c r="G1777" s="9">
        <v>1286</v>
      </c>
      <c r="H1777" s="5" t="s">
        <v>21</v>
      </c>
      <c r="I1777" s="5" t="s">
        <v>4756</v>
      </c>
      <c r="J1777" s="12" t="str">
        <f>HYPERLINK("https://www.boe.es/gazeta/dias/1808/10/11/pdfs/GMD-1808-133.pdf#page=14","Abrir facsímil")</f>
        <v>Abrir facsímil</v>
      </c>
      <c r="K1777" s="15" t="s">
        <v>23</v>
      </c>
    </row>
    <row r="1778" spans="1:11" ht="42" customHeight="1">
      <c r="A1778" s="4" t="s">
        <v>4757</v>
      </c>
      <c r="B1778" s="5" t="s">
        <v>4758</v>
      </c>
      <c r="C1778" s="5" t="s">
        <v>17</v>
      </c>
      <c r="D1778" s="5" t="s">
        <v>18</v>
      </c>
      <c r="E1778" s="5" t="s">
        <v>89</v>
      </c>
      <c r="F1778" s="9" t="s">
        <v>90</v>
      </c>
      <c r="G1778" s="9">
        <v>1363</v>
      </c>
      <c r="H1778" s="5" t="s">
        <v>21</v>
      </c>
      <c r="I1778" s="5" t="s">
        <v>4759</v>
      </c>
      <c r="J1778" s="12" t="str">
        <f>HYPERLINK("https://www.boe.es/gazeta/dias/1808/10/25/pdfs/GMD-1808-137.pdf#page=11","Abrir facsímil")</f>
        <v>Abrir facsímil</v>
      </c>
      <c r="K1778" s="15" t="s">
        <v>23</v>
      </c>
    </row>
    <row r="1779" spans="1:11" ht="42" customHeight="1">
      <c r="A1779" s="4" t="s">
        <v>4760</v>
      </c>
      <c r="B1779" s="5" t="s">
        <v>4761</v>
      </c>
      <c r="C1779" s="5" t="s">
        <v>17</v>
      </c>
      <c r="D1779" s="5" t="s">
        <v>18</v>
      </c>
      <c r="E1779" s="5" t="s">
        <v>391</v>
      </c>
      <c r="F1779" s="9" t="s">
        <v>392</v>
      </c>
      <c r="G1779" s="9">
        <v>1210</v>
      </c>
      <c r="H1779" s="5" t="s">
        <v>21</v>
      </c>
      <c r="I1779" s="5" t="s">
        <v>4762</v>
      </c>
      <c r="J1779" s="12" t="str">
        <f>HYPERLINK("https://www.boe.es/gazeta/dias/1808/09/27/pdfs/GMD-1808-128.pdf#page=6","Abrir facsímil")</f>
        <v>Abrir facsímil</v>
      </c>
      <c r="K1779" s="15" t="s">
        <v>23</v>
      </c>
    </row>
    <row r="1780" spans="1:11" ht="42" customHeight="1">
      <c r="A1780" s="4" t="s">
        <v>4763</v>
      </c>
      <c r="B1780" s="5" t="s">
        <v>4764</v>
      </c>
      <c r="C1780" s="5" t="s">
        <v>389</v>
      </c>
      <c r="D1780" s="5" t="s">
        <v>390</v>
      </c>
      <c r="E1780" s="5" t="s">
        <v>35</v>
      </c>
      <c r="F1780" s="9" t="s">
        <v>3452</v>
      </c>
      <c r="G1780" s="9">
        <v>404</v>
      </c>
      <c r="H1780" s="5" t="s">
        <v>21</v>
      </c>
      <c r="I1780" s="5" t="s">
        <v>4765</v>
      </c>
      <c r="J1780" s="12" t="str">
        <f>HYPERLINK("https://www.boe.es/gazeta/dias/1808/04/22/pdfs/GMD-1808-38.pdf#page=12","Abrir facsímil")</f>
        <v>Abrir facsímil</v>
      </c>
      <c r="K1780" s="15" t="s">
        <v>23</v>
      </c>
    </row>
    <row r="1781" spans="1:11" ht="42" customHeight="1">
      <c r="A1781" s="4" t="s">
        <v>4766</v>
      </c>
      <c r="B1781" s="5" t="s">
        <v>4767</v>
      </c>
      <c r="C1781" s="5" t="s">
        <v>17</v>
      </c>
      <c r="D1781" s="5" t="s">
        <v>18</v>
      </c>
      <c r="E1781" s="5" t="s">
        <v>139</v>
      </c>
      <c r="F1781" s="9" t="s">
        <v>140</v>
      </c>
      <c r="G1781" s="9">
        <v>1204</v>
      </c>
      <c r="H1781" s="5" t="s">
        <v>21</v>
      </c>
      <c r="I1781" s="5" t="s">
        <v>4768</v>
      </c>
      <c r="J1781" s="12" t="str">
        <f>HYPERLINK("https://www.boe.es/gazeta/dias/1808/09/23/pdfs/GMD-1808-127.pdf#page=12","Abrir facsímil")</f>
        <v>Abrir facsímil</v>
      </c>
      <c r="K1781" s="15" t="s">
        <v>23</v>
      </c>
    </row>
    <row r="1782" spans="1:11" ht="42" customHeight="1">
      <c r="A1782" s="4" t="s">
        <v>4769</v>
      </c>
      <c r="B1782" s="5" t="s">
        <v>4770</v>
      </c>
      <c r="C1782" s="5" t="s">
        <v>17</v>
      </c>
      <c r="D1782" s="5" t="s">
        <v>18</v>
      </c>
      <c r="E1782" s="5" t="s">
        <v>130</v>
      </c>
      <c r="F1782" s="9" t="s">
        <v>131</v>
      </c>
      <c r="G1782" s="9">
        <v>1604</v>
      </c>
      <c r="H1782" s="5" t="s">
        <v>21</v>
      </c>
      <c r="I1782" s="5" t="s">
        <v>4771</v>
      </c>
      <c r="J1782" s="12" t="str">
        <f>HYPERLINK("https://www.boe.es/gazeta/dias/1808/12/15/pdfs/GMD-1808-155.pdf#page=8","Abrir facsímil")</f>
        <v>Abrir facsímil</v>
      </c>
      <c r="K1782" s="15" t="s">
        <v>23</v>
      </c>
    </row>
    <row r="1783" spans="1:11" ht="42" customHeight="1">
      <c r="A1783" s="4" t="s">
        <v>4772</v>
      </c>
      <c r="B1783" s="5" t="s">
        <v>4773</v>
      </c>
      <c r="C1783" s="5" t="s">
        <v>17</v>
      </c>
      <c r="D1783" s="5" t="s">
        <v>18</v>
      </c>
      <c r="E1783" s="5" t="s">
        <v>558</v>
      </c>
      <c r="F1783" s="9" t="s">
        <v>559</v>
      </c>
      <c r="G1783" s="9">
        <v>1545</v>
      </c>
      <c r="H1783" s="5" t="s">
        <v>21</v>
      </c>
      <c r="I1783" s="5" t="s">
        <v>4774</v>
      </c>
      <c r="J1783" s="12" t="str">
        <f>HYPERLINK("https://www.boe.es/gazeta/dias/1808/11/25/pdfs/GMD-1808-147.pdf#page=11","Abrir facsímil")</f>
        <v>Abrir facsímil</v>
      </c>
      <c r="K1783" s="15" t="s">
        <v>23</v>
      </c>
    </row>
    <row r="1784" spans="1:11" ht="42" customHeight="1">
      <c r="A1784" s="4" t="s">
        <v>4775</v>
      </c>
      <c r="B1784" s="5" t="s">
        <v>4776</v>
      </c>
      <c r="C1784" s="5" t="s">
        <v>17</v>
      </c>
      <c r="D1784" s="5" t="s">
        <v>18</v>
      </c>
      <c r="E1784" s="5" t="s">
        <v>180</v>
      </c>
      <c r="F1784" s="9" t="s">
        <v>2568</v>
      </c>
      <c r="G1784" s="9">
        <v>1496</v>
      </c>
      <c r="H1784" s="5" t="s">
        <v>21</v>
      </c>
      <c r="I1784" s="5" t="s">
        <v>4777</v>
      </c>
      <c r="J1784" s="12" t="str">
        <f>HYPERLINK("https://www.boe.es/gazeta/dias/1808/11/15/pdfs/GMD-1808-144.pdf#page=10","Abrir facsímil")</f>
        <v>Abrir facsímil</v>
      </c>
      <c r="K1784" s="15" t="s">
        <v>23</v>
      </c>
    </row>
    <row r="1785" spans="1:11" ht="42" customHeight="1">
      <c r="A1785" s="4" t="s">
        <v>4778</v>
      </c>
      <c r="B1785" s="5" t="s">
        <v>4779</v>
      </c>
      <c r="C1785" s="5" t="s">
        <v>41</v>
      </c>
      <c r="D1785" s="5" t="s">
        <v>42</v>
      </c>
      <c r="E1785" s="5" t="s">
        <v>35</v>
      </c>
      <c r="F1785" s="9" t="s">
        <v>36</v>
      </c>
      <c r="G1785" s="9" t="s">
        <v>43</v>
      </c>
      <c r="H1785" s="5" t="s">
        <v>21</v>
      </c>
      <c r="I1785" s="5" t="s">
        <v>4780</v>
      </c>
      <c r="J1785" s="12" t="str">
        <f>HYPERLINK("https://www.boe.es/gazeta/dias/1808/04/22/pdfs/GMD-C-1808-38.pdf#page=30","Abrir facsímil")</f>
        <v>Abrir facsímil</v>
      </c>
      <c r="K1785" s="15" t="s">
        <v>23</v>
      </c>
    </row>
    <row r="1786" spans="1:11" ht="42" customHeight="1">
      <c r="A1786" s="4" t="s">
        <v>4781</v>
      </c>
      <c r="B1786" s="5" t="s">
        <v>4782</v>
      </c>
      <c r="C1786" s="5" t="s">
        <v>33</v>
      </c>
      <c r="D1786" s="5" t="s">
        <v>34</v>
      </c>
      <c r="E1786" s="5" t="s">
        <v>35</v>
      </c>
      <c r="F1786" s="9" t="s">
        <v>36</v>
      </c>
      <c r="G1786" s="9" t="s">
        <v>4783</v>
      </c>
      <c r="H1786" s="5" t="s">
        <v>21</v>
      </c>
      <c r="I1786" s="5" t="s">
        <v>4784</v>
      </c>
      <c r="J1786" s="12" t="str">
        <f>HYPERLINK("https://www.boe.es/gazeta/dias/1808/04/22/pdfs/GMD-C-1808-38.pdf#page=36","Abrir facsímil")</f>
        <v>Abrir facsímil</v>
      </c>
      <c r="K1786" s="15" t="s">
        <v>23</v>
      </c>
    </row>
    <row r="1787" spans="1:11" ht="42" customHeight="1">
      <c r="A1787" s="4" t="s">
        <v>4785</v>
      </c>
      <c r="B1787" s="5" t="s">
        <v>4786</v>
      </c>
      <c r="C1787" s="5" t="s">
        <v>41</v>
      </c>
      <c r="D1787" s="5" t="s">
        <v>42</v>
      </c>
      <c r="E1787" s="5" t="s">
        <v>363</v>
      </c>
      <c r="F1787" s="9" t="s">
        <v>1224</v>
      </c>
      <c r="G1787" s="9">
        <v>1189</v>
      </c>
      <c r="H1787" s="5" t="s">
        <v>21</v>
      </c>
      <c r="I1787" s="5" t="s">
        <v>4787</v>
      </c>
      <c r="J1787" s="12" t="str">
        <f>HYPERLINK("https://www.boe.es/gazeta/dias/1808/09/20/pdfs/GMD-1808-126.pdf#page=9","Abrir facsímil")</f>
        <v>Abrir facsímil</v>
      </c>
      <c r="K1787" s="15" t="s">
        <v>23</v>
      </c>
    </row>
    <row r="1788" spans="1:11" ht="42" customHeight="1">
      <c r="A1788" s="4" t="s">
        <v>4785</v>
      </c>
      <c r="B1788" s="5" t="s">
        <v>4786</v>
      </c>
      <c r="C1788" s="5" t="s">
        <v>41</v>
      </c>
      <c r="D1788" s="5" t="s">
        <v>42</v>
      </c>
      <c r="E1788" s="5" t="s">
        <v>461</v>
      </c>
      <c r="F1788" s="9" t="s">
        <v>733</v>
      </c>
      <c r="G1788" s="9">
        <v>1447</v>
      </c>
      <c r="H1788" s="5" t="s">
        <v>21</v>
      </c>
      <c r="I1788" s="5" t="s">
        <v>4788</v>
      </c>
      <c r="J1788" s="12" t="str">
        <f>HYPERLINK("https://www.boe.es/gazeta/dias/1808/11/08/pdfs/GMD-1808-142.pdf#page=9","Abrir facsímil")</f>
        <v>Abrir facsímil</v>
      </c>
      <c r="K1788" s="15" t="s">
        <v>23</v>
      </c>
    </row>
    <row r="1789" spans="1:11" ht="42" customHeight="1">
      <c r="A1789" s="4" t="s">
        <v>4785</v>
      </c>
      <c r="B1789" s="5" t="s">
        <v>4786</v>
      </c>
      <c r="C1789" s="5" t="s">
        <v>41</v>
      </c>
      <c r="D1789" s="5" t="s">
        <v>42</v>
      </c>
      <c r="E1789" s="5" t="s">
        <v>461</v>
      </c>
      <c r="F1789" s="9" t="s">
        <v>462</v>
      </c>
      <c r="G1789" s="9" t="s">
        <v>75</v>
      </c>
      <c r="H1789" s="5" t="s">
        <v>21</v>
      </c>
      <c r="I1789" s="5" t="s">
        <v>4789</v>
      </c>
      <c r="J1789" s="12" t="str">
        <f>HYPERLINK("https://www.boe.es/gazeta/dias/1808/11/08/pdfs/GMD-D-1808-142.pdf#page=4","Abrir facsímil")</f>
        <v>Abrir facsímil</v>
      </c>
      <c r="K1789" s="15" t="s">
        <v>23</v>
      </c>
    </row>
    <row r="1790" spans="1:11" ht="42" customHeight="1">
      <c r="A1790" s="4" t="s">
        <v>4790</v>
      </c>
      <c r="B1790" s="5" t="s">
        <v>4791</v>
      </c>
      <c r="C1790" s="5" t="s">
        <v>33</v>
      </c>
      <c r="D1790" s="5" t="s">
        <v>34</v>
      </c>
      <c r="E1790" s="5" t="s">
        <v>68</v>
      </c>
      <c r="F1790" s="9" t="s">
        <v>309</v>
      </c>
      <c r="G1790" s="9" t="s">
        <v>117</v>
      </c>
      <c r="H1790" s="5" t="s">
        <v>21</v>
      </c>
      <c r="I1790" s="5" t="s">
        <v>4792</v>
      </c>
      <c r="J1790" s="12" t="str">
        <f>HYPERLINK("https://www.boe.es/gazeta/dias/1808/10/21/pdfs/GMD-D-1808-136.pdf#page=1","Abrir facsímil")</f>
        <v>Abrir facsímil</v>
      </c>
      <c r="K1790" s="15" t="s">
        <v>23</v>
      </c>
    </row>
    <row r="1791" spans="1:11" ht="42" customHeight="1">
      <c r="A1791" s="4" t="s">
        <v>4793</v>
      </c>
      <c r="B1791" s="5" t="s">
        <v>4794</v>
      </c>
      <c r="C1791" s="5" t="s">
        <v>33</v>
      </c>
      <c r="D1791" s="5" t="s">
        <v>34</v>
      </c>
      <c r="E1791" s="5" t="s">
        <v>180</v>
      </c>
      <c r="F1791" s="9" t="s">
        <v>768</v>
      </c>
      <c r="G1791" s="9" t="s">
        <v>106</v>
      </c>
      <c r="H1791" s="5" t="s">
        <v>21</v>
      </c>
      <c r="I1791" s="5" t="s">
        <v>4795</v>
      </c>
      <c r="J1791" s="12" t="str">
        <f>HYPERLINK("https://www.boe.es/gazeta/dias/1808/11/15/pdfs/GMD-D-1808-144.pdf#page=3","Abrir facsímil")</f>
        <v>Abrir facsímil</v>
      </c>
      <c r="K1791" s="15" t="s">
        <v>23</v>
      </c>
    </row>
    <row r="1792" spans="1:11" ht="42" customHeight="1">
      <c r="A1792" s="4" t="s">
        <v>4796</v>
      </c>
      <c r="B1792" s="5" t="s">
        <v>4797</v>
      </c>
      <c r="C1792" s="5" t="s">
        <v>41</v>
      </c>
      <c r="D1792" s="5" t="s">
        <v>42</v>
      </c>
      <c r="E1792" s="5" t="s">
        <v>1760</v>
      </c>
      <c r="F1792" s="9" t="s">
        <v>1761</v>
      </c>
      <c r="G1792" s="9">
        <v>432</v>
      </c>
      <c r="H1792" s="5" t="s">
        <v>21</v>
      </c>
      <c r="I1792" s="5" t="s">
        <v>4798</v>
      </c>
      <c r="J1792" s="12" t="str">
        <f>HYPERLINK("https://www.boe.es/gazeta/dias/1808/05/03/pdfs/GMD-1808-43.pdf#page=8","Abrir facsímil")</f>
        <v>Abrir facsímil</v>
      </c>
      <c r="K1792" s="15" t="s">
        <v>23</v>
      </c>
    </row>
    <row r="1793" spans="1:11" ht="42" customHeight="1">
      <c r="A1793" s="4" t="s">
        <v>4799</v>
      </c>
      <c r="B1793" s="5" t="s">
        <v>4800</v>
      </c>
      <c r="C1793" s="5" t="s">
        <v>17</v>
      </c>
      <c r="D1793" s="5" t="s">
        <v>18</v>
      </c>
      <c r="E1793" s="5" t="s">
        <v>65</v>
      </c>
      <c r="F1793" s="9" t="s">
        <v>66</v>
      </c>
      <c r="G1793" s="9">
        <v>1310</v>
      </c>
      <c r="H1793" s="5" t="s">
        <v>21</v>
      </c>
      <c r="I1793" s="5" t="s">
        <v>4801</v>
      </c>
      <c r="J1793" s="12" t="str">
        <f>HYPERLINK("https://www.boe.es/gazeta/dias/1808/10/18/pdfs/GMD-1808-135.pdf#page=10","Abrir facsímil")</f>
        <v>Abrir facsímil</v>
      </c>
      <c r="K1793" s="15" t="s">
        <v>23</v>
      </c>
    </row>
    <row r="1794" spans="1:11" ht="42" customHeight="1">
      <c r="A1794" s="4" t="s">
        <v>4802</v>
      </c>
      <c r="B1794" s="5" t="s">
        <v>4803</v>
      </c>
      <c r="C1794" s="5" t="s">
        <v>33</v>
      </c>
      <c r="D1794" s="5" t="s">
        <v>34</v>
      </c>
      <c r="E1794" s="5" t="s">
        <v>35</v>
      </c>
      <c r="F1794" s="9" t="s">
        <v>36</v>
      </c>
      <c r="G1794" s="9" t="s">
        <v>75</v>
      </c>
      <c r="H1794" s="5" t="s">
        <v>21</v>
      </c>
      <c r="I1794" s="5" t="s">
        <v>4804</v>
      </c>
      <c r="J1794" s="12" t="str">
        <f>HYPERLINK("https://www.boe.es/gazeta/dias/1808/04/22/pdfs/GMD-C-1808-38.pdf#page=4","Abrir facsímil")</f>
        <v>Abrir facsímil</v>
      </c>
      <c r="K1794" s="15" t="s">
        <v>23</v>
      </c>
    </row>
    <row r="1795" spans="1:11" ht="42" customHeight="1">
      <c r="A1795" s="4" t="s">
        <v>4805</v>
      </c>
      <c r="B1795" s="5" t="s">
        <v>4806</v>
      </c>
      <c r="C1795" s="5" t="s">
        <v>33</v>
      </c>
      <c r="D1795" s="5" t="s">
        <v>34</v>
      </c>
      <c r="E1795" s="5" t="s">
        <v>35</v>
      </c>
      <c r="F1795" s="9" t="s">
        <v>36</v>
      </c>
      <c r="G1795" s="9" t="s">
        <v>135</v>
      </c>
      <c r="H1795" s="5" t="s">
        <v>21</v>
      </c>
      <c r="I1795" s="5" t="s">
        <v>4807</v>
      </c>
      <c r="J1795" s="12" t="str">
        <f>HYPERLINK("https://www.boe.es/gazeta/dias/1808/04/22/pdfs/GMD-C-1808-38.pdf#page=26","Abrir facsímil")</f>
        <v>Abrir facsímil</v>
      </c>
      <c r="K1795" s="15" t="s">
        <v>23</v>
      </c>
    </row>
    <row r="1796" spans="1:11" ht="42" customHeight="1">
      <c r="A1796" s="4" t="s">
        <v>4808</v>
      </c>
      <c r="B1796" s="5" t="s">
        <v>4809</v>
      </c>
      <c r="C1796" s="5" t="s">
        <v>33</v>
      </c>
      <c r="D1796" s="5" t="s">
        <v>34</v>
      </c>
      <c r="E1796" s="5" t="s">
        <v>28</v>
      </c>
      <c r="F1796" s="9" t="s">
        <v>446</v>
      </c>
      <c r="G1796" s="9" t="s">
        <v>117</v>
      </c>
      <c r="H1796" s="5" t="s">
        <v>21</v>
      </c>
      <c r="I1796" s="5" t="s">
        <v>4810</v>
      </c>
      <c r="J1796" s="12" t="str">
        <f>HYPERLINK("https://www.boe.es/gazeta/dias/1808/11/04/pdfs/GMD-D-1808-141.pdf#page=1","Abrir facsímil")</f>
        <v>Abrir facsímil</v>
      </c>
      <c r="K1796" s="15" t="s">
        <v>23</v>
      </c>
    </row>
    <row r="1797" spans="1:11" ht="42" customHeight="1">
      <c r="A1797" s="4" t="s">
        <v>4811</v>
      </c>
      <c r="B1797" s="5" t="s">
        <v>4812</v>
      </c>
      <c r="C1797" s="5" t="s">
        <v>389</v>
      </c>
      <c r="D1797" s="5" t="s">
        <v>390</v>
      </c>
      <c r="E1797" s="5" t="s">
        <v>363</v>
      </c>
      <c r="F1797" s="9" t="s">
        <v>364</v>
      </c>
      <c r="G1797" s="9" t="s">
        <v>75</v>
      </c>
      <c r="H1797" s="5" t="s">
        <v>21</v>
      </c>
      <c r="I1797" s="5" t="s">
        <v>4813</v>
      </c>
      <c r="J1797" s="12" t="str">
        <f>HYPERLINK("https://www.boe.es/gazeta/dias/1808/09/20/pdfs/GMD-C-1808-126.pdf#page=4","Abrir facsímil")</f>
        <v>Abrir facsímil</v>
      </c>
      <c r="K1797" s="15" t="s">
        <v>23</v>
      </c>
    </row>
    <row r="1798" spans="1:11" ht="42" customHeight="1">
      <c r="A1798" s="4" t="s">
        <v>4814</v>
      </c>
      <c r="B1798" s="5" t="s">
        <v>4815</v>
      </c>
      <c r="C1798" s="5" t="s">
        <v>17</v>
      </c>
      <c r="D1798" s="5" t="s">
        <v>18</v>
      </c>
      <c r="E1798" s="5" t="s">
        <v>65</v>
      </c>
      <c r="F1798" s="9" t="s">
        <v>66</v>
      </c>
      <c r="G1798" s="9">
        <v>1307</v>
      </c>
      <c r="H1798" s="5" t="s">
        <v>21</v>
      </c>
      <c r="I1798" s="5" t="s">
        <v>4816</v>
      </c>
      <c r="J1798" s="12" t="str">
        <f>HYPERLINK("https://www.boe.es/gazeta/dias/1808/10/18/pdfs/GMD-1808-135.pdf#page=7","Abrir facsímil")</f>
        <v>Abrir facsímil</v>
      </c>
      <c r="K1798" s="15" t="s">
        <v>23</v>
      </c>
    </row>
    <row r="1799" spans="1:11" ht="42" customHeight="1">
      <c r="A1799" s="4" t="s">
        <v>4817</v>
      </c>
      <c r="B1799" s="5" t="s">
        <v>4818</v>
      </c>
      <c r="C1799" s="5" t="s">
        <v>94</v>
      </c>
      <c r="D1799" s="5" t="s">
        <v>95</v>
      </c>
      <c r="E1799" s="5" t="s">
        <v>203</v>
      </c>
      <c r="F1799" s="9" t="s">
        <v>204</v>
      </c>
      <c r="G1799" s="9">
        <v>141</v>
      </c>
      <c r="H1799" s="5" t="s">
        <v>21</v>
      </c>
      <c r="I1799" s="5" t="s">
        <v>4819</v>
      </c>
      <c r="J1799" s="12" t="str">
        <f>HYPERLINK("https://www.boe.es/gazeta/dias/1808/02/09/pdfs/GMD-1808-12.pdf#page=9","Abrir facsímil")</f>
        <v>Abrir facsímil</v>
      </c>
      <c r="K1799" s="15" t="s">
        <v>23</v>
      </c>
    </row>
    <row r="1800" spans="1:11" ht="42" customHeight="1">
      <c r="A1800" s="4" t="s">
        <v>4820</v>
      </c>
      <c r="B1800" s="5" t="s">
        <v>4821</v>
      </c>
      <c r="C1800" s="5" t="s">
        <v>33</v>
      </c>
      <c r="D1800" s="5" t="s">
        <v>34</v>
      </c>
      <c r="E1800" s="5" t="s">
        <v>35</v>
      </c>
      <c r="F1800" s="9" t="s">
        <v>36</v>
      </c>
      <c r="G1800" s="9" t="s">
        <v>1294</v>
      </c>
      <c r="H1800" s="5" t="s">
        <v>21</v>
      </c>
      <c r="I1800" s="5" t="s">
        <v>4822</v>
      </c>
      <c r="J1800" s="12" t="str">
        <f>HYPERLINK("https://www.boe.es/gazeta/dias/1808/04/22/pdfs/GMD-C-1808-38.pdf#page=8","Abrir facsímil")</f>
        <v>Abrir facsímil</v>
      </c>
      <c r="K1800" s="15" t="s">
        <v>23</v>
      </c>
    </row>
    <row r="1801" spans="1:11" ht="42" customHeight="1">
      <c r="A1801" s="4" t="s">
        <v>4823</v>
      </c>
      <c r="B1801" s="5" t="s">
        <v>4824</v>
      </c>
      <c r="C1801" s="5" t="s">
        <v>17</v>
      </c>
      <c r="D1801" s="5" t="s">
        <v>18</v>
      </c>
      <c r="E1801" s="5" t="s">
        <v>269</v>
      </c>
      <c r="F1801" s="9" t="s">
        <v>270</v>
      </c>
      <c r="G1801" s="9">
        <v>71</v>
      </c>
      <c r="H1801" s="5" t="s">
        <v>21</v>
      </c>
      <c r="I1801" s="5" t="s">
        <v>4825</v>
      </c>
      <c r="J1801" s="12" t="str">
        <f>HYPERLINK("https://www.boe.es/gazeta/dias/1808/01/19/pdfs/GMD-1808-6.pdf#page=11","Abrir facsímil")</f>
        <v>Abrir facsímil</v>
      </c>
      <c r="K1801" s="15" t="s">
        <v>23</v>
      </c>
    </row>
    <row r="1802" spans="1:11" ht="42" customHeight="1">
      <c r="A1802" s="4" t="s">
        <v>4823</v>
      </c>
      <c r="B1802" s="5" t="s">
        <v>4824</v>
      </c>
      <c r="C1802" s="5" t="s">
        <v>41</v>
      </c>
      <c r="D1802" s="5" t="s">
        <v>42</v>
      </c>
      <c r="E1802" s="5" t="s">
        <v>19</v>
      </c>
      <c r="F1802" s="9" t="s">
        <v>949</v>
      </c>
      <c r="G1802" s="9" t="s">
        <v>199</v>
      </c>
      <c r="H1802" s="5" t="s">
        <v>21</v>
      </c>
      <c r="I1802" s="5" t="s">
        <v>4826</v>
      </c>
      <c r="J1802" s="12" t="str">
        <f>HYPERLINK("https://www.boe.es/gazeta/dias/1808/09/30/pdfs/GMD-C-1808-130.pdf#page=2","Abrir facsímil")</f>
        <v>Abrir facsímil</v>
      </c>
      <c r="K1802" s="15" t="s">
        <v>23</v>
      </c>
    </row>
    <row r="1803" spans="1:11" ht="42" customHeight="1">
      <c r="A1803" s="4" t="s">
        <v>4823</v>
      </c>
      <c r="B1803" s="5" t="s">
        <v>4824</v>
      </c>
      <c r="C1803" s="5" t="s">
        <v>17</v>
      </c>
      <c r="D1803" s="5" t="s">
        <v>18</v>
      </c>
      <c r="E1803" s="5" t="s">
        <v>110</v>
      </c>
      <c r="F1803" s="9" t="s">
        <v>111</v>
      </c>
      <c r="G1803" s="9">
        <v>1384</v>
      </c>
      <c r="H1803" s="5" t="s">
        <v>21</v>
      </c>
      <c r="I1803" s="5" t="s">
        <v>4827</v>
      </c>
      <c r="J1803" s="12" t="str">
        <f>HYPERLINK("https://www.boe.es/gazeta/dias/1808/10/28/pdfs/GMD-1808-138.pdf#page=10","Abrir facsímil")</f>
        <v>Abrir facsímil</v>
      </c>
      <c r="K1803" s="15" t="s">
        <v>23</v>
      </c>
    </row>
    <row r="1804" spans="1:11" ht="42" customHeight="1">
      <c r="A1804" s="4" t="s">
        <v>4828</v>
      </c>
      <c r="B1804" s="5" t="s">
        <v>4829</v>
      </c>
      <c r="C1804" s="5" t="s">
        <v>26</v>
      </c>
      <c r="D1804" s="5" t="s">
        <v>27</v>
      </c>
      <c r="E1804" s="5" t="s">
        <v>115</v>
      </c>
      <c r="F1804" s="9" t="s">
        <v>1650</v>
      </c>
      <c r="G1804" s="9">
        <v>1177</v>
      </c>
      <c r="H1804" s="5" t="s">
        <v>21</v>
      </c>
      <c r="I1804" s="5" t="s">
        <v>4830</v>
      </c>
      <c r="J1804" s="12" t="str">
        <f>HYPERLINK("https://www.boe.es/gazeta/dias/1808/09/16/pdfs/GMD-1808-125.pdf#page=9","Abrir facsímil")</f>
        <v>Abrir facsímil</v>
      </c>
      <c r="K1804" s="15" t="s">
        <v>23</v>
      </c>
    </row>
    <row r="1805" spans="1:11" ht="42" customHeight="1">
      <c r="A1805" s="4" t="s">
        <v>4831</v>
      </c>
      <c r="B1805" s="5" t="s">
        <v>4832</v>
      </c>
      <c r="C1805" s="5" t="s">
        <v>33</v>
      </c>
      <c r="D1805" s="5" t="s">
        <v>34</v>
      </c>
      <c r="E1805" s="5" t="s">
        <v>139</v>
      </c>
      <c r="F1805" s="9" t="s">
        <v>1089</v>
      </c>
      <c r="G1805" s="9" t="s">
        <v>117</v>
      </c>
      <c r="H1805" s="5" t="s">
        <v>21</v>
      </c>
      <c r="I1805" s="5" t="s">
        <v>4833</v>
      </c>
      <c r="J1805" s="12" t="str">
        <f>HYPERLINK("https://www.boe.es/gazeta/dias/1808/09/23/pdfs/GMD-C-1808-127.pdf#page=1","Abrir facsímil")</f>
        <v>Abrir facsímil</v>
      </c>
      <c r="K1805" s="15" t="s">
        <v>23</v>
      </c>
    </row>
    <row r="1806" spans="1:11" ht="42" customHeight="1">
      <c r="A1806" s="4" t="s">
        <v>4834</v>
      </c>
      <c r="B1806" s="5" t="s">
        <v>4835</v>
      </c>
      <c r="C1806" s="5" t="s">
        <v>41</v>
      </c>
      <c r="D1806" s="5" t="s">
        <v>42</v>
      </c>
      <c r="E1806" s="5" t="s">
        <v>139</v>
      </c>
      <c r="F1806" s="9" t="s">
        <v>140</v>
      </c>
      <c r="G1806" s="9">
        <v>1202</v>
      </c>
      <c r="H1806" s="5" t="s">
        <v>21</v>
      </c>
      <c r="I1806" s="5" t="s">
        <v>4836</v>
      </c>
      <c r="J1806" s="12" t="str">
        <f>HYPERLINK("https://www.boe.es/gazeta/dias/1808/09/23/pdfs/GMD-1808-127.pdf#page=10","Abrir facsímil")</f>
        <v>Abrir facsímil</v>
      </c>
      <c r="K1806" s="15" t="s">
        <v>23</v>
      </c>
    </row>
    <row r="1807" spans="1:11" ht="42" customHeight="1">
      <c r="A1807" s="4" t="s">
        <v>4837</v>
      </c>
      <c r="B1807" s="5" t="s">
        <v>4838</v>
      </c>
      <c r="C1807" s="5" t="s">
        <v>94</v>
      </c>
      <c r="D1807" s="5" t="s">
        <v>95</v>
      </c>
      <c r="E1807" s="5" t="s">
        <v>35</v>
      </c>
      <c r="F1807" s="9" t="s">
        <v>36</v>
      </c>
      <c r="G1807" s="9" t="s">
        <v>414</v>
      </c>
      <c r="H1807" s="5" t="s">
        <v>21</v>
      </c>
      <c r="I1807" s="5" t="s">
        <v>4839</v>
      </c>
      <c r="J1807" s="12" t="str">
        <f>HYPERLINK("https://www.boe.es/gazeta/dias/1808/04/22/pdfs/GMD-C-1808-38.pdf#page=20","Abrir facsímil")</f>
        <v>Abrir facsímil</v>
      </c>
      <c r="K1807" s="15" t="s">
        <v>23</v>
      </c>
    </row>
    <row r="1808" spans="1:11" ht="42" customHeight="1">
      <c r="A1808" s="4" t="s">
        <v>4840</v>
      </c>
      <c r="B1808" s="5" t="s">
        <v>4841</v>
      </c>
      <c r="C1808" s="5" t="s">
        <v>33</v>
      </c>
      <c r="D1808" s="5" t="s">
        <v>34</v>
      </c>
      <c r="E1808" s="5" t="s">
        <v>115</v>
      </c>
      <c r="F1808" s="9" t="s">
        <v>116</v>
      </c>
      <c r="G1808" s="9" t="s">
        <v>117</v>
      </c>
      <c r="H1808" s="5" t="s">
        <v>21</v>
      </c>
      <c r="I1808" s="5" t="s">
        <v>4842</v>
      </c>
      <c r="J1808" s="12" t="str">
        <f>HYPERLINK("https://www.boe.es/gazeta/dias/1808/09/16/pdfs/GMD-C-1808-125.pdf#page=1","Abrir facsímil")</f>
        <v>Abrir facsímil</v>
      </c>
      <c r="K1808" s="15" t="s">
        <v>23</v>
      </c>
    </row>
    <row r="1809" spans="1:11" ht="42" customHeight="1">
      <c r="A1809" s="4" t="s">
        <v>4843</v>
      </c>
      <c r="B1809" s="5" t="s">
        <v>4844</v>
      </c>
      <c r="C1809" s="5" t="s">
        <v>17</v>
      </c>
      <c r="D1809" s="5" t="s">
        <v>18</v>
      </c>
      <c r="E1809" s="5" t="s">
        <v>616</v>
      </c>
      <c r="F1809" s="9" t="s">
        <v>617</v>
      </c>
      <c r="G1809" s="9">
        <v>1042</v>
      </c>
      <c r="H1809" s="5" t="s">
        <v>21</v>
      </c>
      <c r="I1809" s="5" t="s">
        <v>4845</v>
      </c>
      <c r="J1809" s="12" t="str">
        <f>HYPERLINK("https://www.boe.es/gazeta/dias/1808/08/19/pdfs/GMD-1808-115.pdf#page=8","Abrir facsímil")</f>
        <v>Abrir facsímil</v>
      </c>
      <c r="K1809" s="15" t="s">
        <v>23</v>
      </c>
    </row>
    <row r="1810" spans="1:11" ht="42" customHeight="1">
      <c r="A1810" s="4" t="s">
        <v>4846</v>
      </c>
      <c r="B1810" s="5" t="s">
        <v>4847</v>
      </c>
      <c r="C1810" s="5" t="s">
        <v>33</v>
      </c>
      <c r="D1810" s="5" t="s">
        <v>34</v>
      </c>
      <c r="E1810" s="5" t="s">
        <v>35</v>
      </c>
      <c r="F1810" s="9" t="s">
        <v>36</v>
      </c>
      <c r="G1810" s="9" t="s">
        <v>299</v>
      </c>
      <c r="H1810" s="5" t="s">
        <v>21</v>
      </c>
      <c r="I1810" s="5" t="s">
        <v>4848</v>
      </c>
      <c r="J1810" s="12" t="str">
        <f>HYPERLINK("https://www.boe.es/gazeta/dias/1808/04/22/pdfs/GMD-C-1808-38.pdf#page=14","Abrir facsímil")</f>
        <v>Abrir facsímil</v>
      </c>
      <c r="K1810" s="15" t="s">
        <v>23</v>
      </c>
    </row>
    <row r="1811" spans="1:11" ht="42" customHeight="1">
      <c r="A1811" s="4" t="s">
        <v>4849</v>
      </c>
      <c r="B1811" s="5" t="s">
        <v>4850</v>
      </c>
      <c r="C1811" s="5" t="s">
        <v>33</v>
      </c>
      <c r="D1811" s="5" t="s">
        <v>34</v>
      </c>
      <c r="E1811" s="5" t="s">
        <v>65</v>
      </c>
      <c r="F1811" s="9" t="s">
        <v>105</v>
      </c>
      <c r="G1811" s="9" t="s">
        <v>106</v>
      </c>
      <c r="H1811" s="5" t="s">
        <v>21</v>
      </c>
      <c r="I1811" s="5" t="s">
        <v>4851</v>
      </c>
      <c r="J1811" s="12" t="str">
        <f>HYPERLINK("https://www.boe.es/gazeta/dias/1808/10/18/pdfs/GMD-D-1808-135.pdf#page=3","Abrir facsímil")</f>
        <v>Abrir facsímil</v>
      </c>
      <c r="K1811" s="15" t="s">
        <v>23</v>
      </c>
    </row>
    <row r="1812" spans="1:11" ht="42" customHeight="1">
      <c r="A1812" s="4" t="s">
        <v>4852</v>
      </c>
      <c r="B1812" s="5" t="s">
        <v>4853</v>
      </c>
      <c r="C1812" s="5" t="s">
        <v>41</v>
      </c>
      <c r="D1812" s="5" t="s">
        <v>42</v>
      </c>
      <c r="E1812" s="5" t="s">
        <v>35</v>
      </c>
      <c r="F1812" s="9" t="s">
        <v>36</v>
      </c>
      <c r="G1812" s="9" t="s">
        <v>144</v>
      </c>
      <c r="H1812" s="5" t="s">
        <v>21</v>
      </c>
      <c r="I1812" s="5" t="s">
        <v>4854</v>
      </c>
      <c r="J1812" s="12" t="str">
        <f>HYPERLINK("https://www.boe.es/gazeta/dias/1808/04/22/pdfs/GMD-C-1808-38.pdf#page=40","Abrir facsímil")</f>
        <v>Abrir facsímil</v>
      </c>
      <c r="K1812" s="15" t="s">
        <v>23</v>
      </c>
    </row>
    <row r="1813" spans="1:11" ht="42" customHeight="1">
      <c r="A1813" s="4" t="s">
        <v>4855</v>
      </c>
      <c r="B1813" s="5" t="s">
        <v>4856</v>
      </c>
      <c r="C1813" s="5" t="s">
        <v>41</v>
      </c>
      <c r="D1813" s="5" t="s">
        <v>42</v>
      </c>
      <c r="E1813" s="5" t="s">
        <v>35</v>
      </c>
      <c r="F1813" s="9" t="s">
        <v>36</v>
      </c>
      <c r="G1813" s="9" t="s">
        <v>281</v>
      </c>
      <c r="H1813" s="5" t="s">
        <v>21</v>
      </c>
      <c r="I1813" s="5" t="s">
        <v>4857</v>
      </c>
      <c r="J1813" s="12" t="str">
        <f>HYPERLINK("https://www.boe.es/gazeta/dias/1808/04/22/pdfs/GMD-C-1808-38.pdf#page=47","Abrir facsímil")</f>
        <v>Abrir facsímil</v>
      </c>
      <c r="K1813" s="15" t="s">
        <v>23</v>
      </c>
    </row>
    <row r="1814" spans="1:11" ht="42" customHeight="1">
      <c r="A1814" s="4" t="s">
        <v>4858</v>
      </c>
      <c r="B1814" s="5" t="s">
        <v>4859</v>
      </c>
      <c r="C1814" s="5" t="s">
        <v>33</v>
      </c>
      <c r="D1814" s="5" t="s">
        <v>34</v>
      </c>
      <c r="E1814" s="5" t="s">
        <v>35</v>
      </c>
      <c r="F1814" s="9" t="s">
        <v>36</v>
      </c>
      <c r="G1814" s="9" t="s">
        <v>117</v>
      </c>
      <c r="H1814" s="5" t="s">
        <v>21</v>
      </c>
      <c r="I1814" s="5" t="s">
        <v>4860</v>
      </c>
      <c r="J1814" s="12" t="str">
        <f>HYPERLINK("https://www.boe.es/gazeta/dias/1808/04/22/pdfs/GMD-C-1808-38.pdf#page=1","Abrir facsímil")</f>
        <v>Abrir facsímil</v>
      </c>
      <c r="K1814" s="15" t="s">
        <v>23</v>
      </c>
    </row>
    <row r="1815" spans="1:11" ht="42" customHeight="1">
      <c r="A1815" s="4" t="s">
        <v>4861</v>
      </c>
      <c r="B1815" s="5" t="s">
        <v>4862</v>
      </c>
      <c r="C1815" s="5" t="s">
        <v>17</v>
      </c>
      <c r="D1815" s="5" t="s">
        <v>18</v>
      </c>
      <c r="E1815" s="5" t="s">
        <v>1821</v>
      </c>
      <c r="F1815" s="9" t="s">
        <v>1874</v>
      </c>
      <c r="G1815" s="9">
        <v>630</v>
      </c>
      <c r="H1815" s="5" t="s">
        <v>21</v>
      </c>
      <c r="I1815" s="5" t="s">
        <v>4863</v>
      </c>
      <c r="J1815" s="12" t="str">
        <f>HYPERLINK("https://www.boe.es/gazeta/dias/1808/06/22/pdfs/GMD-1808-64.pdf#page=8","Abrir facsímil")</f>
        <v>Abrir facsímil</v>
      </c>
      <c r="K1815" s="15" t="s">
        <v>23</v>
      </c>
    </row>
    <row r="1816" spans="1:11" ht="42" customHeight="1">
      <c r="A1816" s="4" t="s">
        <v>4864</v>
      </c>
      <c r="B1816" s="5" t="s">
        <v>4865</v>
      </c>
      <c r="C1816" s="5" t="s">
        <v>41</v>
      </c>
      <c r="D1816" s="5" t="s">
        <v>42</v>
      </c>
      <c r="E1816" s="5" t="s">
        <v>456</v>
      </c>
      <c r="F1816" s="9" t="s">
        <v>748</v>
      </c>
      <c r="G1816" s="9" t="s">
        <v>117</v>
      </c>
      <c r="H1816" s="5" t="s">
        <v>21</v>
      </c>
      <c r="I1816" s="5" t="s">
        <v>4866</v>
      </c>
      <c r="J1816" s="12" t="str">
        <f>HYPERLINK("https://www.boe.es/gazeta/dias/1808/10/14/pdfs/GMD-C-1808-134.pdf#page=1","Abrir facsímil")</f>
        <v>Abrir facsímil</v>
      </c>
      <c r="K1816" s="15" t="s">
        <v>23</v>
      </c>
    </row>
    <row r="1817" spans="1:11" ht="42" customHeight="1">
      <c r="A1817" s="4" t="s">
        <v>4867</v>
      </c>
      <c r="B1817" s="5" t="s">
        <v>4868</v>
      </c>
      <c r="C1817" s="5" t="s">
        <v>33</v>
      </c>
      <c r="D1817" s="5" t="s">
        <v>34</v>
      </c>
      <c r="E1817" s="5" t="s">
        <v>391</v>
      </c>
      <c r="F1817" s="9" t="s">
        <v>588</v>
      </c>
      <c r="G1817" s="9" t="s">
        <v>106</v>
      </c>
      <c r="H1817" s="5" t="s">
        <v>21</v>
      </c>
      <c r="I1817" s="5" t="s">
        <v>4869</v>
      </c>
      <c r="J1817" s="12" t="str">
        <f>HYPERLINK("https://www.boe.es/gazeta/dias/1808/09/27/pdfs/GMD-C-1808-128.pdf#page=3","Abrir facsímil")</f>
        <v>Abrir facsímil</v>
      </c>
      <c r="K1817" s="15" t="s">
        <v>23</v>
      </c>
    </row>
    <row r="1818" spans="1:11" ht="42" customHeight="1">
      <c r="A1818" s="4" t="s">
        <v>4870</v>
      </c>
      <c r="B1818" s="5" t="s">
        <v>4871</v>
      </c>
      <c r="C1818" s="5" t="s">
        <v>17</v>
      </c>
      <c r="D1818" s="5" t="s">
        <v>18</v>
      </c>
      <c r="E1818" s="5" t="s">
        <v>719</v>
      </c>
      <c r="F1818" s="9" t="s">
        <v>720</v>
      </c>
      <c r="G1818" s="9">
        <v>1610</v>
      </c>
      <c r="H1818" s="5" t="s">
        <v>21</v>
      </c>
      <c r="I1818" s="5" t="s">
        <v>4872</v>
      </c>
      <c r="J1818" s="12" t="str">
        <f>HYPERLINK("https://www.boe.es/gazeta/dias/1808/12/16/pdfs/GMD-1808-156.pdf#page=2","Abrir facsímil")</f>
        <v>Abrir facsímil</v>
      </c>
      <c r="K1818" s="15" t="s">
        <v>23</v>
      </c>
    </row>
    <row r="1819" spans="1:11" ht="42" customHeight="1">
      <c r="A1819" s="4" t="s">
        <v>4873</v>
      </c>
      <c r="B1819" s="5" t="s">
        <v>4874</v>
      </c>
      <c r="C1819" s="5" t="s">
        <v>33</v>
      </c>
      <c r="D1819" s="5" t="s">
        <v>34</v>
      </c>
      <c r="E1819" s="5" t="s">
        <v>35</v>
      </c>
      <c r="F1819" s="9" t="s">
        <v>36</v>
      </c>
      <c r="G1819" s="9" t="s">
        <v>443</v>
      </c>
      <c r="H1819" s="5" t="s">
        <v>21</v>
      </c>
      <c r="I1819" s="5" t="s">
        <v>4875</v>
      </c>
      <c r="J1819" s="12" t="str">
        <f>HYPERLINK("https://www.boe.es/gazeta/dias/1808/04/22/pdfs/GMD-C-1808-38.pdf#page=16","Abrir facsímil")</f>
        <v>Abrir facsímil</v>
      </c>
      <c r="K1819" s="15" t="s">
        <v>23</v>
      </c>
    </row>
    <row r="1820" spans="1:11" ht="42" customHeight="1">
      <c r="A1820" s="4" t="s">
        <v>4873</v>
      </c>
      <c r="B1820" s="5" t="s">
        <v>4874</v>
      </c>
      <c r="C1820" s="5" t="s">
        <v>41</v>
      </c>
      <c r="D1820" s="5" t="s">
        <v>42</v>
      </c>
      <c r="E1820" s="5" t="s">
        <v>35</v>
      </c>
      <c r="F1820" s="9" t="s">
        <v>36</v>
      </c>
      <c r="G1820" s="9" t="s">
        <v>37</v>
      </c>
      <c r="H1820" s="5" t="s">
        <v>21</v>
      </c>
      <c r="I1820" s="5" t="s">
        <v>4876</v>
      </c>
      <c r="J1820" s="12" t="str">
        <f>HYPERLINK("https://www.boe.es/gazeta/dias/1808/04/22/pdfs/GMD-C-1808-38.pdf#page=33","Abrir facsímil")</f>
        <v>Abrir facsímil</v>
      </c>
      <c r="K1820" s="15" t="s">
        <v>23</v>
      </c>
    </row>
    <row r="1821" spans="1:11" ht="42" customHeight="1">
      <c r="A1821" s="4" t="s">
        <v>4873</v>
      </c>
      <c r="B1821" s="5" t="s">
        <v>4874</v>
      </c>
      <c r="C1821" s="5" t="s">
        <v>41</v>
      </c>
      <c r="D1821" s="5" t="s">
        <v>42</v>
      </c>
      <c r="E1821" s="5" t="s">
        <v>35</v>
      </c>
      <c r="F1821" s="9" t="s">
        <v>36</v>
      </c>
      <c r="G1821" s="9" t="s">
        <v>4783</v>
      </c>
      <c r="H1821" s="5" t="s">
        <v>21</v>
      </c>
      <c r="I1821" s="5" t="s">
        <v>4877</v>
      </c>
      <c r="J1821" s="12" t="str">
        <f>HYPERLINK("https://www.boe.es/gazeta/dias/1808/04/22/pdfs/GMD-C-1808-38.pdf#page=36","Abrir facsímil")</f>
        <v>Abrir facsímil</v>
      </c>
      <c r="K1821" s="15" t="s">
        <v>23</v>
      </c>
    </row>
    <row r="1822" spans="1:11" ht="42" customHeight="1">
      <c r="A1822" s="4" t="s">
        <v>4873</v>
      </c>
      <c r="B1822" s="5" t="s">
        <v>4874</v>
      </c>
      <c r="C1822" s="5" t="s">
        <v>33</v>
      </c>
      <c r="D1822" s="5" t="s">
        <v>34</v>
      </c>
      <c r="E1822" s="5" t="s">
        <v>35</v>
      </c>
      <c r="F1822" s="9" t="s">
        <v>36</v>
      </c>
      <c r="G1822" s="9" t="s">
        <v>279</v>
      </c>
      <c r="H1822" s="5" t="s">
        <v>21</v>
      </c>
      <c r="I1822" s="5" t="s">
        <v>4878</v>
      </c>
      <c r="J1822" s="12" t="str">
        <f>HYPERLINK("https://www.boe.es/gazeta/dias/1808/04/22/pdfs/GMD-C-1808-38.pdf#page=44","Abrir facsímil")</f>
        <v>Abrir facsímil</v>
      </c>
      <c r="K1822" s="15" t="s">
        <v>23</v>
      </c>
    </row>
    <row r="1823" spans="1:11" ht="42" customHeight="1">
      <c r="A1823" s="4" t="s">
        <v>4873</v>
      </c>
      <c r="B1823" s="5" t="s">
        <v>4874</v>
      </c>
      <c r="C1823" s="5" t="s">
        <v>33</v>
      </c>
      <c r="D1823" s="5" t="s">
        <v>34</v>
      </c>
      <c r="E1823" s="5" t="s">
        <v>115</v>
      </c>
      <c r="F1823" s="9" t="s">
        <v>116</v>
      </c>
      <c r="G1823" s="9" t="s">
        <v>75</v>
      </c>
      <c r="H1823" s="5" t="s">
        <v>21</v>
      </c>
      <c r="I1823" s="5" t="s">
        <v>4879</v>
      </c>
      <c r="J1823" s="12" t="str">
        <f>HYPERLINK("https://www.boe.es/gazeta/dias/1808/09/16/pdfs/GMD-C-1808-125.pdf#page=4","Abrir facsímil")</f>
        <v>Abrir facsímil</v>
      </c>
      <c r="K1823" s="15" t="s">
        <v>23</v>
      </c>
    </row>
    <row r="1824" spans="1:11" ht="42" customHeight="1">
      <c r="A1824" s="4" t="s">
        <v>4873</v>
      </c>
      <c r="B1824" s="5" t="s">
        <v>4874</v>
      </c>
      <c r="C1824" s="5" t="s">
        <v>17</v>
      </c>
      <c r="D1824" s="5" t="s">
        <v>18</v>
      </c>
      <c r="E1824" s="5" t="s">
        <v>19</v>
      </c>
      <c r="F1824" s="9" t="s">
        <v>59</v>
      </c>
      <c r="G1824" s="9">
        <v>1230</v>
      </c>
      <c r="H1824" s="5" t="s">
        <v>21</v>
      </c>
      <c r="I1824" s="5" t="s">
        <v>4880</v>
      </c>
      <c r="J1824" s="12" t="str">
        <f>HYPERLINK("https://www.boe.es/gazeta/dias/1808/09/30/pdfs/GMD-1808-130.pdf#page=10","Abrir facsímil")</f>
        <v>Abrir facsímil</v>
      </c>
      <c r="K1824" s="15" t="s">
        <v>23</v>
      </c>
    </row>
    <row r="1825" spans="1:11" ht="42" customHeight="1">
      <c r="A1825" s="4" t="s">
        <v>4881</v>
      </c>
      <c r="B1825" s="5" t="s">
        <v>4882</v>
      </c>
      <c r="C1825" s="5" t="s">
        <v>17</v>
      </c>
      <c r="D1825" s="5" t="s">
        <v>18</v>
      </c>
      <c r="E1825" s="5" t="s">
        <v>719</v>
      </c>
      <c r="F1825" s="9" t="s">
        <v>720</v>
      </c>
      <c r="G1825" s="9">
        <v>1613</v>
      </c>
      <c r="H1825" s="5" t="s">
        <v>21</v>
      </c>
      <c r="I1825" s="5" t="s">
        <v>4883</v>
      </c>
      <c r="J1825" s="12" t="str">
        <f>HYPERLINK("https://www.boe.es/gazeta/dias/1808/12/16/pdfs/GMD-1808-156.pdf#page=5","Abrir facsímil")</f>
        <v>Abrir facsímil</v>
      </c>
      <c r="K1825" s="15" t="s">
        <v>23</v>
      </c>
    </row>
    <row r="1826" spans="1:11" ht="42" customHeight="1">
      <c r="A1826" s="4" t="s">
        <v>4884</v>
      </c>
      <c r="B1826" s="5" t="s">
        <v>4885</v>
      </c>
      <c r="C1826" s="5" t="s">
        <v>94</v>
      </c>
      <c r="D1826" s="5" t="s">
        <v>95</v>
      </c>
      <c r="E1826" s="5" t="s">
        <v>478</v>
      </c>
      <c r="F1826" s="9" t="s">
        <v>479</v>
      </c>
      <c r="G1826" s="9">
        <v>240</v>
      </c>
      <c r="H1826" s="5" t="s">
        <v>21</v>
      </c>
      <c r="I1826" s="5" t="s">
        <v>4886</v>
      </c>
      <c r="J1826" s="12" t="str">
        <f>HYPERLINK("https://www.boe.es/gazeta/dias/1808/03/08/pdfs/GMD-1808-20.pdf#page=6","Abrir facsímil")</f>
        <v>Abrir facsímil</v>
      </c>
      <c r="K1826" s="15" t="s">
        <v>23</v>
      </c>
    </row>
    <row r="1827" spans="1:11" ht="42" customHeight="1">
      <c r="A1827" s="4" t="s">
        <v>4887</v>
      </c>
      <c r="B1827" s="5" t="s">
        <v>4888</v>
      </c>
      <c r="C1827" s="5" t="s">
        <v>94</v>
      </c>
      <c r="D1827" s="5" t="s">
        <v>95</v>
      </c>
      <c r="E1827" s="5" t="s">
        <v>3097</v>
      </c>
      <c r="F1827" s="9" t="s">
        <v>3098</v>
      </c>
      <c r="G1827" s="9">
        <v>826</v>
      </c>
      <c r="H1827" s="5" t="s">
        <v>21</v>
      </c>
      <c r="I1827" s="5" t="s">
        <v>4889</v>
      </c>
      <c r="J1827" s="12" t="str">
        <f>HYPERLINK("https://www.boe.es/gazeta/dias/1808/07/17/pdfs/GMD-1808-89.pdf#page=4","Abrir facsímil")</f>
        <v>Abrir facsímil</v>
      </c>
      <c r="K1827" s="15" t="s">
        <v>23</v>
      </c>
    </row>
    <row r="1828" spans="1:11" ht="42" customHeight="1">
      <c r="A1828" s="4" t="s">
        <v>4890</v>
      </c>
      <c r="B1828" s="5" t="s">
        <v>4891</v>
      </c>
      <c r="C1828" s="5" t="s">
        <v>41</v>
      </c>
      <c r="D1828" s="5" t="s">
        <v>42</v>
      </c>
      <c r="E1828" s="5" t="s">
        <v>264</v>
      </c>
      <c r="F1828" s="9" t="s">
        <v>318</v>
      </c>
      <c r="G1828" s="9" t="s">
        <v>75</v>
      </c>
      <c r="H1828" s="5" t="s">
        <v>21</v>
      </c>
      <c r="I1828" s="5" t="s">
        <v>4892</v>
      </c>
      <c r="J1828" s="12" t="str">
        <f>HYPERLINK("https://www.boe.es/gazeta/dias/1808/11/29/pdfs/GMD-C-1808-148.pdf#page=4","Abrir facsímil")</f>
        <v>Abrir facsímil</v>
      </c>
      <c r="K1828" s="15" t="s">
        <v>23</v>
      </c>
    </row>
    <row r="1829" spans="1:11" ht="42" customHeight="1">
      <c r="A1829" s="4" t="s">
        <v>4893</v>
      </c>
      <c r="B1829" s="5" t="s">
        <v>4894</v>
      </c>
      <c r="C1829" s="5" t="s">
        <v>33</v>
      </c>
      <c r="D1829" s="5" t="s">
        <v>34</v>
      </c>
      <c r="E1829" s="5" t="s">
        <v>153</v>
      </c>
      <c r="F1829" s="9" t="s">
        <v>154</v>
      </c>
      <c r="G1829" s="9" t="s">
        <v>117</v>
      </c>
      <c r="H1829" s="5" t="s">
        <v>21</v>
      </c>
      <c r="I1829" s="5" t="s">
        <v>4895</v>
      </c>
      <c r="J1829" s="12" t="str">
        <f>HYPERLINK("https://www.boe.es/gazeta/dias/1808/09/09/pdfs/GMD-C-1808-121.pdf#page=1","Abrir facsímil")</f>
        <v>Abrir facsímil</v>
      </c>
      <c r="K1829" s="15" t="s">
        <v>23</v>
      </c>
    </row>
    <row r="1830" spans="1:11" ht="42" customHeight="1">
      <c r="A1830" s="4" t="s">
        <v>4896</v>
      </c>
      <c r="B1830" s="5" t="s">
        <v>4897</v>
      </c>
      <c r="C1830" s="5" t="s">
        <v>33</v>
      </c>
      <c r="D1830" s="5" t="s">
        <v>34</v>
      </c>
      <c r="E1830" s="5" t="s">
        <v>391</v>
      </c>
      <c r="F1830" s="9" t="s">
        <v>588</v>
      </c>
      <c r="G1830" s="9" t="s">
        <v>199</v>
      </c>
      <c r="H1830" s="5" t="s">
        <v>21</v>
      </c>
      <c r="I1830" s="5" t="s">
        <v>4898</v>
      </c>
      <c r="J1830" s="12" t="str">
        <f>HYPERLINK("https://www.boe.es/gazeta/dias/1808/09/27/pdfs/GMD-C-1808-128.pdf#page=2","Abrir facsímil")</f>
        <v>Abrir facsímil</v>
      </c>
      <c r="K1830" s="15" t="s">
        <v>23</v>
      </c>
    </row>
    <row r="1831" spans="1:11" ht="42" customHeight="1">
      <c r="A1831" s="4" t="s">
        <v>4899</v>
      </c>
      <c r="B1831" s="5" t="s">
        <v>4900</v>
      </c>
      <c r="C1831" s="5" t="s">
        <v>33</v>
      </c>
      <c r="D1831" s="5" t="s">
        <v>34</v>
      </c>
      <c r="E1831" s="5" t="s">
        <v>35</v>
      </c>
      <c r="F1831" s="9" t="s">
        <v>36</v>
      </c>
      <c r="G1831" s="9" t="s">
        <v>284</v>
      </c>
      <c r="H1831" s="5" t="s">
        <v>21</v>
      </c>
      <c r="I1831" s="5" t="s">
        <v>4901</v>
      </c>
      <c r="J1831" s="12" t="str">
        <f>HYPERLINK("https://www.boe.es/gazeta/dias/1808/04/22/pdfs/GMD-C-1808-38.pdf#page=35","Abrir facsímil")</f>
        <v>Abrir facsímil</v>
      </c>
      <c r="K1831" s="15" t="s">
        <v>23</v>
      </c>
    </row>
    <row r="1832" spans="1:11" ht="42" customHeight="1">
      <c r="A1832" s="4" t="s">
        <v>4902</v>
      </c>
      <c r="B1832" s="5" t="s">
        <v>4903</v>
      </c>
      <c r="C1832" s="5" t="s">
        <v>33</v>
      </c>
      <c r="D1832" s="5" t="s">
        <v>34</v>
      </c>
      <c r="E1832" s="5" t="s">
        <v>35</v>
      </c>
      <c r="F1832" s="9" t="s">
        <v>36</v>
      </c>
      <c r="G1832" s="9" t="s">
        <v>501</v>
      </c>
      <c r="H1832" s="5" t="s">
        <v>21</v>
      </c>
      <c r="I1832" s="5" t="s">
        <v>4904</v>
      </c>
      <c r="J1832" s="12" t="str">
        <f>HYPERLINK("https://www.boe.es/gazeta/dias/1808/04/22/pdfs/GMD-C-1808-38.pdf#page=5","Abrir facsímil")</f>
        <v>Abrir facsímil</v>
      </c>
      <c r="K1832" s="15" t="s">
        <v>23</v>
      </c>
    </row>
    <row r="1833" spans="1:11" ht="42" customHeight="1">
      <c r="A1833" s="4" t="s">
        <v>4905</v>
      </c>
      <c r="B1833" s="5" t="s">
        <v>4906</v>
      </c>
      <c r="C1833" s="5" t="s">
        <v>41</v>
      </c>
      <c r="D1833" s="5" t="s">
        <v>42</v>
      </c>
      <c r="E1833" s="5" t="s">
        <v>264</v>
      </c>
      <c r="F1833" s="9" t="s">
        <v>318</v>
      </c>
      <c r="G1833" s="9" t="s">
        <v>75</v>
      </c>
      <c r="H1833" s="5" t="s">
        <v>21</v>
      </c>
      <c r="I1833" s="5" t="s">
        <v>4907</v>
      </c>
      <c r="J1833" s="12" t="str">
        <f>HYPERLINK("https://www.boe.es/gazeta/dias/1808/11/29/pdfs/GMD-C-1808-148.pdf#page=4","Abrir facsímil")</f>
        <v>Abrir facsímil</v>
      </c>
      <c r="K1833" s="15" t="s">
        <v>23</v>
      </c>
    </row>
    <row r="1834" spans="1:11" ht="42" customHeight="1">
      <c r="A1834" s="4" t="s">
        <v>4908</v>
      </c>
      <c r="B1834" s="5" t="s">
        <v>4909</v>
      </c>
      <c r="C1834" s="5" t="s">
        <v>33</v>
      </c>
      <c r="D1834" s="5" t="s">
        <v>34</v>
      </c>
      <c r="E1834" s="5" t="s">
        <v>391</v>
      </c>
      <c r="F1834" s="9" t="s">
        <v>588</v>
      </c>
      <c r="G1834" s="9" t="s">
        <v>117</v>
      </c>
      <c r="H1834" s="5" t="s">
        <v>21</v>
      </c>
      <c r="I1834" s="5" t="s">
        <v>4910</v>
      </c>
      <c r="J1834" s="12" t="str">
        <f>HYPERLINK("https://www.boe.es/gazeta/dias/1808/09/27/pdfs/GMD-C-1808-128.pdf#page=1","Abrir facsímil")</f>
        <v>Abrir facsímil</v>
      </c>
      <c r="K1834" s="15" t="s">
        <v>23</v>
      </c>
    </row>
    <row r="1835" spans="1:11" ht="42" customHeight="1">
      <c r="A1835" s="4" t="s">
        <v>4911</v>
      </c>
      <c r="B1835" s="5" t="s">
        <v>4912</v>
      </c>
      <c r="C1835" s="5" t="s">
        <v>33</v>
      </c>
      <c r="D1835" s="5" t="s">
        <v>34</v>
      </c>
      <c r="E1835" s="5" t="s">
        <v>35</v>
      </c>
      <c r="F1835" s="9" t="s">
        <v>36</v>
      </c>
      <c r="G1835" s="9" t="s">
        <v>414</v>
      </c>
      <c r="H1835" s="5" t="s">
        <v>21</v>
      </c>
      <c r="I1835" s="5" t="s">
        <v>4913</v>
      </c>
      <c r="J1835" s="12" t="str">
        <f>HYPERLINK("https://www.boe.es/gazeta/dias/1808/04/22/pdfs/GMD-C-1808-38.pdf#page=20","Abrir facsímil")</f>
        <v>Abrir facsímil</v>
      </c>
      <c r="K1835" s="15" t="s">
        <v>23</v>
      </c>
    </row>
    <row r="1836" spans="1:11" ht="42" customHeight="1">
      <c r="A1836" s="4" t="s">
        <v>4914</v>
      </c>
      <c r="B1836" s="5" t="s">
        <v>4915</v>
      </c>
      <c r="C1836" s="5" t="s">
        <v>642</v>
      </c>
      <c r="D1836" s="5" t="s">
        <v>643</v>
      </c>
      <c r="E1836" s="5" t="s">
        <v>644</v>
      </c>
      <c r="F1836" s="9" t="s">
        <v>645</v>
      </c>
      <c r="G1836" s="9">
        <v>320</v>
      </c>
      <c r="H1836" s="5" t="s">
        <v>21</v>
      </c>
      <c r="I1836" s="5" t="s">
        <v>4916</v>
      </c>
      <c r="J1836" s="12" t="str">
        <f>HYPERLINK("https://www.boe.es/gazeta/dias/1808/03/31/pdfs/GMD-1808-28E.pdf#page=4","Abrir facsímil")</f>
        <v>Abrir facsímil</v>
      </c>
      <c r="K1836" s="15" t="s">
        <v>23</v>
      </c>
    </row>
    <row r="1837" spans="1:11" ht="42" customHeight="1">
      <c r="A1837" s="4" t="s">
        <v>4917</v>
      </c>
      <c r="B1837" s="5" t="s">
        <v>4918</v>
      </c>
      <c r="C1837" s="5" t="s">
        <v>33</v>
      </c>
      <c r="D1837" s="5" t="s">
        <v>34</v>
      </c>
      <c r="E1837" s="5" t="s">
        <v>35</v>
      </c>
      <c r="F1837" s="9" t="s">
        <v>36</v>
      </c>
      <c r="G1837" s="9" t="s">
        <v>199</v>
      </c>
      <c r="H1837" s="5" t="s">
        <v>21</v>
      </c>
      <c r="I1837" s="5" t="s">
        <v>4919</v>
      </c>
      <c r="J1837" s="12" t="str">
        <f>HYPERLINK("https://www.boe.es/gazeta/dias/1808/04/22/pdfs/GMD-C-1808-38.pdf#page=2","Abrir facsímil")</f>
        <v>Abrir facsímil</v>
      </c>
      <c r="K1837" s="15" t="s">
        <v>23</v>
      </c>
    </row>
    <row r="1838" spans="1:11" ht="42" customHeight="1">
      <c r="A1838" s="4" t="s">
        <v>4920</v>
      </c>
      <c r="B1838" s="5" t="s">
        <v>4921</v>
      </c>
      <c r="C1838" s="5" t="s">
        <v>94</v>
      </c>
      <c r="D1838" s="5" t="s">
        <v>95</v>
      </c>
      <c r="E1838" s="5" t="s">
        <v>2143</v>
      </c>
      <c r="F1838" s="9" t="s">
        <v>2144</v>
      </c>
      <c r="G1838" s="9">
        <v>1218</v>
      </c>
      <c r="H1838" s="5" t="s">
        <v>21</v>
      </c>
      <c r="I1838" s="5" t="s">
        <v>4922</v>
      </c>
      <c r="J1838" s="12" t="str">
        <f>HYPERLINK("https://www.boe.es/gazeta/dias/1808/09/29/pdfs/GMD-1808-129E.pdf#page=2","Abrir facsímil")</f>
        <v>Abrir facsímil</v>
      </c>
      <c r="K1838" s="15" t="s">
        <v>23</v>
      </c>
    </row>
    <row r="1839" spans="1:11" ht="42" customHeight="1">
      <c r="A1839" s="4" t="s">
        <v>4923</v>
      </c>
      <c r="B1839" s="5" t="s">
        <v>4924</v>
      </c>
      <c r="C1839" s="5" t="s">
        <v>17</v>
      </c>
      <c r="D1839" s="5" t="s">
        <v>18</v>
      </c>
      <c r="E1839" s="5" t="s">
        <v>197</v>
      </c>
      <c r="F1839" s="9" t="s">
        <v>857</v>
      </c>
      <c r="G1839" s="9">
        <v>356</v>
      </c>
      <c r="H1839" s="5" t="s">
        <v>21</v>
      </c>
      <c r="I1839" s="5" t="s">
        <v>4925</v>
      </c>
      <c r="J1839" s="12" t="str">
        <f>HYPERLINK("https://www.boe.es/gazeta/dias/1808/11/01/pdfs/GMS-1808-45.pdf#page=4","Abrir facsímil")</f>
        <v>Abrir facsímil</v>
      </c>
      <c r="K1839" s="15" t="s">
        <v>23</v>
      </c>
    </row>
    <row r="1840" spans="1:11" ht="42" customHeight="1">
      <c r="A1840" s="4" t="s">
        <v>4926</v>
      </c>
      <c r="B1840" s="5" t="s">
        <v>4927</v>
      </c>
      <c r="C1840" s="5" t="s">
        <v>17</v>
      </c>
      <c r="D1840" s="5" t="s">
        <v>18</v>
      </c>
      <c r="E1840" s="5" t="s">
        <v>1182</v>
      </c>
      <c r="F1840" s="9" t="s">
        <v>1183</v>
      </c>
      <c r="G1840" s="9">
        <v>59</v>
      </c>
      <c r="H1840" s="5" t="s">
        <v>21</v>
      </c>
      <c r="I1840" s="5" t="s">
        <v>4928</v>
      </c>
      <c r="J1840" s="12" t="str">
        <f>HYPERLINK("https://www.boe.es/gazeta/dias/1808/06/26/pdfs/GMS-1808-8.pdf#page=3","Abrir facsímil")</f>
        <v>Abrir facsímil</v>
      </c>
      <c r="K1840" s="15" t="s">
        <v>23</v>
      </c>
    </row>
    <row r="1841" spans="1:11" ht="42" customHeight="1">
      <c r="A1841" s="4" t="s">
        <v>4926</v>
      </c>
      <c r="B1841" s="5" t="s">
        <v>4927</v>
      </c>
      <c r="C1841" s="5" t="s">
        <v>94</v>
      </c>
      <c r="D1841" s="5" t="s">
        <v>95</v>
      </c>
      <c r="E1841" s="5" t="s">
        <v>1702</v>
      </c>
      <c r="F1841" s="9" t="s">
        <v>3079</v>
      </c>
      <c r="G1841" s="9">
        <v>797</v>
      </c>
      <c r="H1841" s="5" t="s">
        <v>21</v>
      </c>
      <c r="I1841" s="5" t="s">
        <v>4929</v>
      </c>
      <c r="J1841" s="12" t="str">
        <f>HYPERLINK("https://www.boe.es/gazeta/dias/1808/07/13/pdfs/GMD-1808-85.pdf#page=7","Abrir facsímil")</f>
        <v>Abrir facsímil</v>
      </c>
      <c r="K1841" s="15" t="s">
        <v>23</v>
      </c>
    </row>
    <row r="1842" spans="1:11" ht="42" customHeight="1">
      <c r="A1842" s="4" t="s">
        <v>4930</v>
      </c>
      <c r="B1842" s="5" t="s">
        <v>4931</v>
      </c>
      <c r="C1842" s="5" t="s">
        <v>17</v>
      </c>
      <c r="D1842" s="5" t="s">
        <v>18</v>
      </c>
      <c r="E1842" s="5" t="s">
        <v>65</v>
      </c>
      <c r="F1842" s="9" t="s">
        <v>66</v>
      </c>
      <c r="G1842" s="9">
        <v>1312</v>
      </c>
      <c r="H1842" s="5" t="s">
        <v>21</v>
      </c>
      <c r="I1842" s="5" t="s">
        <v>4932</v>
      </c>
      <c r="J1842" s="12" t="str">
        <f>HYPERLINK("https://www.boe.es/gazeta/dias/1808/10/18/pdfs/GMD-1808-135.pdf#page=12","Abrir facsímil")</f>
        <v>Abrir facsímil</v>
      </c>
      <c r="K1842" s="15" t="s">
        <v>23</v>
      </c>
    </row>
    <row r="1843" spans="1:11" ht="42" customHeight="1">
      <c r="A1843" s="4" t="s">
        <v>4933</v>
      </c>
      <c r="B1843" s="5" t="s">
        <v>4934</v>
      </c>
      <c r="C1843" s="5" t="s">
        <v>94</v>
      </c>
      <c r="D1843" s="5" t="s">
        <v>95</v>
      </c>
      <c r="E1843" s="5" t="s">
        <v>68</v>
      </c>
      <c r="F1843" s="9" t="s">
        <v>849</v>
      </c>
      <c r="G1843" s="9">
        <v>1348</v>
      </c>
      <c r="H1843" s="5" t="s">
        <v>21</v>
      </c>
      <c r="I1843" s="5" t="s">
        <v>4935</v>
      </c>
      <c r="J1843" s="12" t="str">
        <f>HYPERLINK("https://www.boe.es/gazeta/dias/1808/10/21/pdfs/GMD-C-1808-136.pdf#page=8","Abrir facsímil")</f>
        <v>Abrir facsímil</v>
      </c>
      <c r="K1843" s="15" t="s">
        <v>23</v>
      </c>
    </row>
    <row r="1844" spans="1:11" ht="42" customHeight="1">
      <c r="A1844" s="4" t="s">
        <v>4936</v>
      </c>
      <c r="B1844" s="5" t="s">
        <v>4937</v>
      </c>
      <c r="C1844" s="5" t="s">
        <v>41</v>
      </c>
      <c r="D1844" s="5" t="s">
        <v>42</v>
      </c>
      <c r="E1844" s="5" t="s">
        <v>572</v>
      </c>
      <c r="F1844" s="9" t="s">
        <v>573</v>
      </c>
      <c r="G1844" s="9">
        <v>21</v>
      </c>
      <c r="H1844" s="5" t="s">
        <v>21</v>
      </c>
      <c r="I1844" s="5" t="s">
        <v>4938</v>
      </c>
      <c r="J1844" s="12" t="str">
        <f>HYPERLINK("https://www.boe.es/gazeta/dias/1808/01/05/pdfs/GMD-1808-2.pdf#page=9","Abrir facsímil")</f>
        <v>Abrir facsímil</v>
      </c>
      <c r="K1844" s="15" t="s">
        <v>23</v>
      </c>
    </row>
    <row r="1845" spans="1:11" ht="42" customHeight="1">
      <c r="A1845" s="4" t="s">
        <v>4939</v>
      </c>
      <c r="B1845" s="5" t="s">
        <v>4940</v>
      </c>
      <c r="C1845" s="5" t="s">
        <v>17</v>
      </c>
      <c r="D1845" s="5" t="s">
        <v>18</v>
      </c>
      <c r="E1845" s="5" t="s">
        <v>89</v>
      </c>
      <c r="F1845" s="9" t="s">
        <v>90</v>
      </c>
      <c r="G1845" s="9">
        <v>1363</v>
      </c>
      <c r="H1845" s="5" t="s">
        <v>21</v>
      </c>
      <c r="I1845" s="5" t="s">
        <v>4941</v>
      </c>
      <c r="J1845" s="12" t="str">
        <f>HYPERLINK("https://www.boe.es/gazeta/dias/1808/10/25/pdfs/GMD-1808-137.pdf#page=11","Abrir facsímil")</f>
        <v>Abrir facsímil</v>
      </c>
      <c r="K1845" s="15" t="s">
        <v>23</v>
      </c>
    </row>
    <row r="1846" spans="1:11" ht="42" customHeight="1">
      <c r="A1846" s="4" t="s">
        <v>4942</v>
      </c>
      <c r="B1846" s="5" t="s">
        <v>4943</v>
      </c>
      <c r="C1846" s="5" t="s">
        <v>33</v>
      </c>
      <c r="D1846" s="5" t="s">
        <v>34</v>
      </c>
      <c r="E1846" s="5" t="s">
        <v>35</v>
      </c>
      <c r="F1846" s="9" t="s">
        <v>36</v>
      </c>
      <c r="G1846" s="9" t="s">
        <v>414</v>
      </c>
      <c r="H1846" s="5" t="s">
        <v>21</v>
      </c>
      <c r="I1846" s="5" t="s">
        <v>4944</v>
      </c>
      <c r="J1846" s="12" t="str">
        <f>HYPERLINK("https://www.boe.es/gazeta/dias/1808/04/22/pdfs/GMD-C-1808-38.pdf#page=20","Abrir facsímil")</f>
        <v>Abrir facsímil</v>
      </c>
      <c r="K1846" s="15" t="s">
        <v>23</v>
      </c>
    </row>
    <row r="1847" spans="1:11" ht="42" customHeight="1">
      <c r="A1847" s="4" t="s">
        <v>4945</v>
      </c>
      <c r="B1847" s="5" t="s">
        <v>4946</v>
      </c>
      <c r="C1847" s="5" t="s">
        <v>17</v>
      </c>
      <c r="D1847" s="5" t="s">
        <v>18</v>
      </c>
      <c r="E1847" s="5" t="s">
        <v>68</v>
      </c>
      <c r="F1847" s="9" t="s">
        <v>69</v>
      </c>
      <c r="G1847" s="9">
        <v>1338</v>
      </c>
      <c r="H1847" s="5" t="s">
        <v>21</v>
      </c>
      <c r="I1847" s="5" t="s">
        <v>4947</v>
      </c>
      <c r="J1847" s="12" t="str">
        <f>HYPERLINK("https://www.boe.es/gazeta/dias/1808/10/21/pdfs/GMD-1808-136.pdf#page=10","Abrir facsímil")</f>
        <v>Abrir facsímil</v>
      </c>
      <c r="K1847" s="15" t="s">
        <v>23</v>
      </c>
    </row>
    <row r="1848" spans="1:11" ht="42" customHeight="1">
      <c r="A1848" s="4" t="s">
        <v>4948</v>
      </c>
      <c r="B1848" s="5" t="s">
        <v>4949</v>
      </c>
      <c r="C1848" s="5" t="s">
        <v>41</v>
      </c>
      <c r="D1848" s="5" t="s">
        <v>42</v>
      </c>
      <c r="E1848" s="5" t="s">
        <v>35</v>
      </c>
      <c r="F1848" s="9" t="s">
        <v>36</v>
      </c>
      <c r="G1848" s="9" t="s">
        <v>75</v>
      </c>
      <c r="H1848" s="5" t="s">
        <v>21</v>
      </c>
      <c r="I1848" s="5" t="s">
        <v>4950</v>
      </c>
      <c r="J1848" s="12" t="str">
        <f>HYPERLINK("https://www.boe.es/gazeta/dias/1808/04/22/pdfs/GMD-C-1808-38.pdf#page=4","Abrir facsímil")</f>
        <v>Abrir facsímil</v>
      </c>
      <c r="K1848" s="15" t="s">
        <v>23</v>
      </c>
    </row>
    <row r="1849" spans="1:11" ht="42" customHeight="1">
      <c r="A1849" s="4" t="s">
        <v>4951</v>
      </c>
      <c r="B1849" s="5" t="s">
        <v>4952</v>
      </c>
      <c r="C1849" s="5" t="s">
        <v>33</v>
      </c>
      <c r="D1849" s="5" t="s">
        <v>34</v>
      </c>
      <c r="E1849" s="5" t="s">
        <v>197</v>
      </c>
      <c r="F1849" s="9" t="s">
        <v>198</v>
      </c>
      <c r="G1849" s="9" t="s">
        <v>117</v>
      </c>
      <c r="H1849" s="5" t="s">
        <v>21</v>
      </c>
      <c r="I1849" s="5" t="s">
        <v>4953</v>
      </c>
      <c r="J1849" s="12" t="str">
        <f>HYPERLINK("https://www.boe.es/gazeta/dias/1808/11/01/pdfs/GMD-D-1808-140.pdf#page=1","Abrir facsímil")</f>
        <v>Abrir facsímil</v>
      </c>
      <c r="K1849" s="15" t="s">
        <v>23</v>
      </c>
    </row>
    <row r="1850" spans="1:11" ht="42" customHeight="1">
      <c r="A1850" s="4" t="s">
        <v>4954</v>
      </c>
      <c r="B1850" s="5" t="s">
        <v>4955</v>
      </c>
      <c r="C1850" s="5" t="s">
        <v>17</v>
      </c>
      <c r="D1850" s="5" t="s">
        <v>18</v>
      </c>
      <c r="E1850" s="5" t="s">
        <v>1258</v>
      </c>
      <c r="F1850" s="9" t="s">
        <v>1259</v>
      </c>
      <c r="G1850" s="9">
        <v>890</v>
      </c>
      <c r="H1850" s="5" t="s">
        <v>21</v>
      </c>
      <c r="I1850" s="5" t="s">
        <v>4956</v>
      </c>
      <c r="J1850" s="12" t="str">
        <f>HYPERLINK("https://www.boe.es/gazeta/dias/1808/07/25/pdfs/GMD-1808-97.pdf#page=4","Abrir facsímil")</f>
        <v>Abrir facsímil</v>
      </c>
      <c r="K1850" s="15" t="s">
        <v>23</v>
      </c>
    </row>
    <row r="1851" spans="1:11" ht="42" customHeight="1">
      <c r="A1851" s="4" t="s">
        <v>4957</v>
      </c>
      <c r="B1851" s="5" t="s">
        <v>4958</v>
      </c>
      <c r="C1851" s="5" t="s">
        <v>33</v>
      </c>
      <c r="D1851" s="5" t="s">
        <v>34</v>
      </c>
      <c r="E1851" s="5" t="s">
        <v>197</v>
      </c>
      <c r="F1851" s="9" t="s">
        <v>198</v>
      </c>
      <c r="G1851" s="9" t="s">
        <v>199</v>
      </c>
      <c r="H1851" s="5" t="s">
        <v>21</v>
      </c>
      <c r="I1851" s="5" t="s">
        <v>4959</v>
      </c>
      <c r="J1851" s="12" t="str">
        <f>HYPERLINK("https://www.boe.es/gazeta/dias/1808/11/01/pdfs/GMD-D-1808-140.pdf#page=2","Abrir facsímil")</f>
        <v>Abrir facsímil</v>
      </c>
      <c r="K1851" s="15" t="s">
        <v>23</v>
      </c>
    </row>
    <row r="1852" spans="1:11" ht="42" customHeight="1">
      <c r="A1852" s="4" t="s">
        <v>4960</v>
      </c>
      <c r="B1852" s="5" t="s">
        <v>4961</v>
      </c>
      <c r="C1852" s="5" t="s">
        <v>33</v>
      </c>
      <c r="D1852" s="5" t="s">
        <v>34</v>
      </c>
      <c r="E1852" s="5" t="s">
        <v>68</v>
      </c>
      <c r="F1852" s="9" t="s">
        <v>309</v>
      </c>
      <c r="G1852" s="9" t="s">
        <v>199</v>
      </c>
      <c r="H1852" s="5" t="s">
        <v>21</v>
      </c>
      <c r="I1852" s="5" t="s">
        <v>4962</v>
      </c>
      <c r="J1852" s="12" t="str">
        <f>HYPERLINK("https://www.boe.es/gazeta/dias/1808/10/21/pdfs/GMD-D-1808-136.pdf#page=2","Abrir facsímil")</f>
        <v>Abrir facsímil</v>
      </c>
      <c r="K1852" s="15" t="s">
        <v>23</v>
      </c>
    </row>
    <row r="1853" spans="1:11" ht="42" customHeight="1">
      <c r="A1853" s="4" t="s">
        <v>4963</v>
      </c>
      <c r="B1853" s="5" t="s">
        <v>4964</v>
      </c>
      <c r="C1853" s="5" t="s">
        <v>33</v>
      </c>
      <c r="D1853" s="5" t="s">
        <v>34</v>
      </c>
      <c r="E1853" s="5" t="s">
        <v>264</v>
      </c>
      <c r="F1853" s="9" t="s">
        <v>318</v>
      </c>
      <c r="G1853" s="9" t="s">
        <v>75</v>
      </c>
      <c r="H1853" s="5" t="s">
        <v>21</v>
      </c>
      <c r="I1853" s="5" t="s">
        <v>4965</v>
      </c>
      <c r="J1853" s="12" t="str">
        <f>HYPERLINK("https://www.boe.es/gazeta/dias/1808/11/29/pdfs/GMD-C-1808-148.pdf#page=4","Abrir facsímil")</f>
        <v>Abrir facsímil</v>
      </c>
      <c r="K1853" s="15" t="s">
        <v>23</v>
      </c>
    </row>
    <row r="1854" spans="1:11" ht="42" customHeight="1">
      <c r="A1854" s="4" t="s">
        <v>4966</v>
      </c>
      <c r="B1854" s="5" t="s">
        <v>4967</v>
      </c>
      <c r="C1854" s="5" t="s">
        <v>17</v>
      </c>
      <c r="D1854" s="5" t="s">
        <v>18</v>
      </c>
      <c r="E1854" s="5" t="s">
        <v>1258</v>
      </c>
      <c r="F1854" s="9" t="s">
        <v>1259</v>
      </c>
      <c r="G1854" s="9">
        <v>890</v>
      </c>
      <c r="H1854" s="5" t="s">
        <v>21</v>
      </c>
      <c r="I1854" s="5" t="s">
        <v>4968</v>
      </c>
      <c r="J1854" s="12" t="str">
        <f>HYPERLINK("https://www.boe.es/gazeta/dias/1808/07/25/pdfs/GMD-1808-97.pdf#page=4","Abrir facsímil")</f>
        <v>Abrir facsímil</v>
      </c>
      <c r="K1854" s="15" t="s">
        <v>23</v>
      </c>
    </row>
    <row r="1855" spans="1:11" ht="42" customHeight="1">
      <c r="A1855" s="4" t="s">
        <v>4969</v>
      </c>
      <c r="B1855" s="5" t="s">
        <v>4970</v>
      </c>
      <c r="C1855" s="5" t="s">
        <v>41</v>
      </c>
      <c r="D1855" s="5" t="s">
        <v>42</v>
      </c>
      <c r="E1855" s="5" t="s">
        <v>493</v>
      </c>
      <c r="F1855" s="9" t="s">
        <v>494</v>
      </c>
      <c r="G1855" s="9">
        <v>47</v>
      </c>
      <c r="H1855" s="5" t="s">
        <v>21</v>
      </c>
      <c r="I1855" s="5" t="s">
        <v>4971</v>
      </c>
      <c r="J1855" s="12" t="str">
        <f>HYPERLINK("https://www.boe.es/gazeta/dias/1808/01/12/pdfs/GMD-1808-4.pdf#page=11","Abrir facsímil")</f>
        <v>Abrir facsímil</v>
      </c>
      <c r="K1855" s="15" t="s">
        <v>23</v>
      </c>
    </row>
    <row r="1856" spans="1:11" ht="42" customHeight="1">
      <c r="A1856" s="4" t="s">
        <v>4969</v>
      </c>
      <c r="B1856" s="5" t="s">
        <v>4970</v>
      </c>
      <c r="C1856" s="5" t="s">
        <v>389</v>
      </c>
      <c r="D1856" s="5" t="s">
        <v>390</v>
      </c>
      <c r="E1856" s="5" t="s">
        <v>513</v>
      </c>
      <c r="F1856" s="9" t="s">
        <v>514</v>
      </c>
      <c r="G1856" s="9">
        <v>290</v>
      </c>
      <c r="H1856" s="5" t="s">
        <v>21</v>
      </c>
      <c r="I1856" s="5" t="s">
        <v>4972</v>
      </c>
      <c r="J1856" s="12" t="str">
        <f>HYPERLINK("https://www.boe.es/gazeta/dias/1808/03/22/pdfs/GMD-1808-24.pdf#page=12","Abrir facsímil")</f>
        <v>Abrir facsímil</v>
      </c>
      <c r="K1856" s="15" t="s">
        <v>23</v>
      </c>
    </row>
    <row r="1857" spans="1:11" ht="42" customHeight="1">
      <c r="A1857" s="4" t="s">
        <v>4973</v>
      </c>
      <c r="B1857" s="5" t="s">
        <v>4974</v>
      </c>
      <c r="C1857" s="5" t="s">
        <v>41</v>
      </c>
      <c r="D1857" s="5" t="s">
        <v>42</v>
      </c>
      <c r="E1857" s="5" t="s">
        <v>877</v>
      </c>
      <c r="F1857" s="9" t="s">
        <v>878</v>
      </c>
      <c r="G1857" s="9">
        <v>119</v>
      </c>
      <c r="H1857" s="5" t="s">
        <v>21</v>
      </c>
      <c r="I1857" s="5" t="s">
        <v>4975</v>
      </c>
      <c r="J1857" s="12" t="str">
        <f>HYPERLINK("https://www.boe.es/gazeta/dias/1808/02/02/pdfs/GMD-1808-10.pdf#page=11","Abrir facsímil")</f>
        <v>Abrir facsímil</v>
      </c>
      <c r="K1857" s="15" t="s">
        <v>23</v>
      </c>
    </row>
    <row r="1858" spans="1:11" ht="42" customHeight="1">
      <c r="A1858" s="4" t="s">
        <v>4973</v>
      </c>
      <c r="B1858" s="5" t="s">
        <v>4974</v>
      </c>
      <c r="C1858" s="5" t="s">
        <v>41</v>
      </c>
      <c r="D1858" s="5" t="s">
        <v>42</v>
      </c>
      <c r="E1858" s="5" t="s">
        <v>96</v>
      </c>
      <c r="F1858" s="9" t="s">
        <v>97</v>
      </c>
      <c r="G1858" s="9">
        <v>268</v>
      </c>
      <c r="H1858" s="5" t="s">
        <v>21</v>
      </c>
      <c r="I1858" s="5" t="s">
        <v>4976</v>
      </c>
      <c r="J1858" s="12" t="str">
        <f>HYPERLINK("https://www.boe.es/gazeta/dias/1808/03/15/pdfs/GMD-1808-22.pdf#page=10","Abrir facsímil")</f>
        <v>Abrir facsímil</v>
      </c>
      <c r="K1858" s="15" t="s">
        <v>23</v>
      </c>
    </row>
    <row r="1859" spans="1:11" ht="42" customHeight="1">
      <c r="A1859" s="4" t="s">
        <v>4973</v>
      </c>
      <c r="B1859" s="5" t="s">
        <v>4974</v>
      </c>
      <c r="C1859" s="5" t="s">
        <v>389</v>
      </c>
      <c r="D1859" s="5" t="s">
        <v>390</v>
      </c>
      <c r="E1859" s="5" t="s">
        <v>539</v>
      </c>
      <c r="F1859" s="9" t="s">
        <v>540</v>
      </c>
      <c r="G1859" s="9">
        <v>1117</v>
      </c>
      <c r="H1859" s="5" t="s">
        <v>21</v>
      </c>
      <c r="I1859" s="5" t="s">
        <v>4977</v>
      </c>
      <c r="J1859" s="12" t="str">
        <f>HYPERLINK("https://www.boe.es/gazeta/dias/1808/09/02/pdfs/GMD-1808-119.pdf#page=11","Abrir facsímil")</f>
        <v>Abrir facsímil</v>
      </c>
      <c r="K1859" s="15" t="s">
        <v>23</v>
      </c>
    </row>
    <row r="1860" spans="1:11" ht="42" customHeight="1">
      <c r="A1860" s="4" t="s">
        <v>4973</v>
      </c>
      <c r="B1860" s="5" t="s">
        <v>4974</v>
      </c>
      <c r="C1860" s="5" t="s">
        <v>389</v>
      </c>
      <c r="D1860" s="5" t="s">
        <v>390</v>
      </c>
      <c r="E1860" s="5" t="s">
        <v>68</v>
      </c>
      <c r="F1860" s="9" t="s">
        <v>69</v>
      </c>
      <c r="G1860" s="9">
        <v>1340</v>
      </c>
      <c r="H1860" s="5" t="s">
        <v>21</v>
      </c>
      <c r="I1860" s="5" t="s">
        <v>4978</v>
      </c>
      <c r="J1860" s="12" t="str">
        <f>HYPERLINK("https://www.boe.es/gazeta/dias/1808/10/21/pdfs/GMD-1808-136.pdf#page=12","Abrir facsímil")</f>
        <v>Abrir facsímil</v>
      </c>
      <c r="K1860" s="15" t="s">
        <v>23</v>
      </c>
    </row>
    <row r="1861" spans="1:11" ht="42" customHeight="1">
      <c r="A1861" s="4" t="s">
        <v>4973</v>
      </c>
      <c r="B1861" s="5" t="s">
        <v>4974</v>
      </c>
      <c r="C1861" s="5" t="s">
        <v>41</v>
      </c>
      <c r="D1861" s="5" t="s">
        <v>42</v>
      </c>
      <c r="E1861" s="5" t="s">
        <v>28</v>
      </c>
      <c r="F1861" s="9" t="s">
        <v>29</v>
      </c>
      <c r="G1861" s="9">
        <v>1430</v>
      </c>
      <c r="H1861" s="5" t="s">
        <v>21</v>
      </c>
      <c r="I1861" s="5" t="s">
        <v>4979</v>
      </c>
      <c r="J1861" s="12" t="str">
        <f>HYPERLINK("https://www.boe.es/gazeta/dias/1808/11/04/pdfs/GMD-1808-141.pdf#page=12","Abrir facsímil")</f>
        <v>Abrir facsímil</v>
      </c>
      <c r="K1861" s="15" t="s">
        <v>23</v>
      </c>
    </row>
    <row r="1862" spans="1:11" ht="42" customHeight="1">
      <c r="A1862" s="4" t="s">
        <v>4980</v>
      </c>
      <c r="B1862" s="5" t="s">
        <v>4981</v>
      </c>
      <c r="C1862" s="5" t="s">
        <v>17</v>
      </c>
      <c r="D1862" s="5" t="s">
        <v>18</v>
      </c>
      <c r="E1862" s="5" t="s">
        <v>3365</v>
      </c>
      <c r="F1862" s="9" t="s">
        <v>3366</v>
      </c>
      <c r="G1862" s="9">
        <v>126</v>
      </c>
      <c r="H1862" s="5" t="s">
        <v>21</v>
      </c>
      <c r="I1862" s="5" t="s">
        <v>4982</v>
      </c>
      <c r="J1862" s="12" t="str">
        <f>HYPERLINK("https://www.boe.es/gazeta/dias/1808/07/23/pdfs/GMS-1808-16.pdf#page=6","Abrir facsímil")</f>
        <v>Abrir facsímil</v>
      </c>
      <c r="K1862" s="15" t="s">
        <v>23</v>
      </c>
    </row>
    <row r="1863" spans="1:11" ht="42" customHeight="1">
      <c r="A1863" s="4" t="s">
        <v>4983</v>
      </c>
      <c r="B1863" s="5" t="s">
        <v>4984</v>
      </c>
      <c r="C1863" s="5" t="s">
        <v>41</v>
      </c>
      <c r="D1863" s="5" t="s">
        <v>42</v>
      </c>
      <c r="E1863" s="5" t="s">
        <v>73</v>
      </c>
      <c r="F1863" s="9" t="s">
        <v>1570</v>
      </c>
      <c r="G1863" s="9">
        <v>1473</v>
      </c>
      <c r="H1863" s="5" t="s">
        <v>21</v>
      </c>
      <c r="I1863" s="5" t="s">
        <v>4985</v>
      </c>
      <c r="J1863" s="12" t="str">
        <f>HYPERLINK("https://www.boe.es/gazeta/dias/1808/11/11/pdfs/GMD-C-1808-143.pdf#page=3","Abrir facsímil")</f>
        <v>Abrir facsímil</v>
      </c>
      <c r="K1863" s="15" t="s">
        <v>23</v>
      </c>
    </row>
    <row r="1864" spans="1:11" ht="42" customHeight="1">
      <c r="A1864" s="4" t="s">
        <v>4983</v>
      </c>
      <c r="B1864" s="5" t="s">
        <v>4984</v>
      </c>
      <c r="C1864" s="5" t="s">
        <v>94</v>
      </c>
      <c r="D1864" s="5" t="s">
        <v>95</v>
      </c>
      <c r="E1864" s="5" t="s">
        <v>73</v>
      </c>
      <c r="F1864" s="9" t="s">
        <v>1570</v>
      </c>
      <c r="G1864" s="9">
        <v>1475</v>
      </c>
      <c r="H1864" s="5" t="s">
        <v>21</v>
      </c>
      <c r="I1864" s="5" t="s">
        <v>4986</v>
      </c>
      <c r="J1864" s="12" t="str">
        <f>HYPERLINK("https://www.boe.es/gazeta/dias/1808/11/11/pdfs/GMD-C-1808-143.pdf#page=5","Abrir facsímil")</f>
        <v>Abrir facsímil</v>
      </c>
      <c r="K1864" s="15" t="s">
        <v>23</v>
      </c>
    </row>
    <row r="1865" spans="1:11" ht="42" customHeight="1">
      <c r="A1865" s="4" t="s">
        <v>4983</v>
      </c>
      <c r="B1865" s="5" t="s">
        <v>4984</v>
      </c>
      <c r="C1865" s="5" t="s">
        <v>33</v>
      </c>
      <c r="D1865" s="5" t="s">
        <v>34</v>
      </c>
      <c r="E1865" s="5" t="s">
        <v>73</v>
      </c>
      <c r="F1865" s="9" t="s">
        <v>1570</v>
      </c>
      <c r="G1865" s="9">
        <v>1477</v>
      </c>
      <c r="H1865" s="5" t="s">
        <v>21</v>
      </c>
      <c r="I1865" s="5" t="s">
        <v>4987</v>
      </c>
      <c r="J1865" s="12" t="str">
        <f>HYPERLINK("https://www.boe.es/gazeta/dias/1808/11/11/pdfs/GMD-C-1808-143.pdf#page=7","Abrir facsímil")</f>
        <v>Abrir facsímil</v>
      </c>
      <c r="K1865" s="15" t="s">
        <v>23</v>
      </c>
    </row>
    <row r="1866" spans="1:11" ht="42" customHeight="1">
      <c r="A1866" s="4" t="s">
        <v>4983</v>
      </c>
      <c r="B1866" s="5" t="s">
        <v>4984</v>
      </c>
      <c r="C1866" s="5" t="s">
        <v>33</v>
      </c>
      <c r="D1866" s="5" t="s">
        <v>34</v>
      </c>
      <c r="E1866" s="5" t="s">
        <v>73</v>
      </c>
      <c r="F1866" s="9" t="s">
        <v>1570</v>
      </c>
      <c r="G1866" s="9">
        <v>1478</v>
      </c>
      <c r="H1866" s="5" t="s">
        <v>21</v>
      </c>
      <c r="I1866" s="5" t="s">
        <v>4988</v>
      </c>
      <c r="J1866" s="12" t="str">
        <f>HYPERLINK("https://www.boe.es/gazeta/dias/1808/11/11/pdfs/GMD-C-1808-143.pdf#page=8","Abrir facsímil")</f>
        <v>Abrir facsímil</v>
      </c>
      <c r="K1866" s="15" t="s">
        <v>23</v>
      </c>
    </row>
    <row r="1867" spans="1:11" ht="42" customHeight="1">
      <c r="A1867" s="4" t="s">
        <v>4983</v>
      </c>
      <c r="B1867" s="5" t="s">
        <v>4984</v>
      </c>
      <c r="C1867" s="5" t="s">
        <v>94</v>
      </c>
      <c r="D1867" s="5" t="s">
        <v>95</v>
      </c>
      <c r="E1867" s="5" t="s">
        <v>73</v>
      </c>
      <c r="F1867" s="9" t="s">
        <v>1570</v>
      </c>
      <c r="G1867" s="9">
        <v>1481</v>
      </c>
      <c r="H1867" s="5" t="s">
        <v>21</v>
      </c>
      <c r="I1867" s="5" t="s">
        <v>4989</v>
      </c>
      <c r="J1867" s="12" t="str">
        <f>HYPERLINK("https://www.boe.es/gazeta/dias/1808/11/11/pdfs/GMD-C-1808-143.pdf#page=11","Abrir facsímil")</f>
        <v>Abrir facsímil</v>
      </c>
      <c r="K1867" s="15" t="s">
        <v>23</v>
      </c>
    </row>
    <row r="1868" spans="1:11" ht="42" customHeight="1">
      <c r="A1868" s="4" t="s">
        <v>4983</v>
      </c>
      <c r="B1868" s="5" t="s">
        <v>4984</v>
      </c>
      <c r="C1868" s="5" t="s">
        <v>94</v>
      </c>
      <c r="D1868" s="5" t="s">
        <v>95</v>
      </c>
      <c r="E1868" s="5" t="s">
        <v>73</v>
      </c>
      <c r="F1868" s="9" t="s">
        <v>1570</v>
      </c>
      <c r="G1868" s="9">
        <v>1482</v>
      </c>
      <c r="H1868" s="5" t="s">
        <v>21</v>
      </c>
      <c r="I1868" s="5" t="s">
        <v>4990</v>
      </c>
      <c r="J1868" s="12" t="str">
        <f>HYPERLINK("https://www.boe.es/gazeta/dias/1808/11/11/pdfs/GMD-C-1808-143.pdf#page=12","Abrir facsímil")</f>
        <v>Abrir facsímil</v>
      </c>
      <c r="K1868" s="15" t="s">
        <v>23</v>
      </c>
    </row>
    <row r="1869" spans="1:11" ht="42" customHeight="1">
      <c r="A1869" s="4" t="s">
        <v>4991</v>
      </c>
      <c r="B1869" s="5" t="s">
        <v>4992</v>
      </c>
      <c r="C1869" s="5" t="s">
        <v>33</v>
      </c>
      <c r="D1869" s="5" t="s">
        <v>34</v>
      </c>
      <c r="E1869" s="5" t="s">
        <v>68</v>
      </c>
      <c r="F1869" s="9" t="s">
        <v>309</v>
      </c>
      <c r="G1869" s="9" t="s">
        <v>199</v>
      </c>
      <c r="H1869" s="5" t="s">
        <v>21</v>
      </c>
      <c r="I1869" s="5" t="s">
        <v>4993</v>
      </c>
      <c r="J1869" s="12" t="str">
        <f>HYPERLINK("https://www.boe.es/gazeta/dias/1808/10/21/pdfs/GMD-D-1808-136.pdf#page=2","Abrir facsímil")</f>
        <v>Abrir facsímil</v>
      </c>
      <c r="K1869" s="15" t="s">
        <v>23</v>
      </c>
    </row>
    <row r="1870" spans="1:11" ht="42" customHeight="1">
      <c r="A1870" s="4" t="s">
        <v>4994</v>
      </c>
      <c r="B1870" s="5" t="s">
        <v>4995</v>
      </c>
      <c r="C1870" s="5" t="s">
        <v>94</v>
      </c>
      <c r="D1870" s="5" t="s">
        <v>95</v>
      </c>
      <c r="E1870" s="5" t="s">
        <v>290</v>
      </c>
      <c r="F1870" s="9" t="s">
        <v>3150</v>
      </c>
      <c r="G1870" s="9">
        <v>199</v>
      </c>
      <c r="H1870" s="5" t="s">
        <v>21</v>
      </c>
      <c r="I1870" s="5" t="s">
        <v>4996</v>
      </c>
      <c r="J1870" s="12" t="str">
        <f>HYPERLINK("https://www.boe.es/gazeta/dias/1808/08/23/pdfs/GMS-1808-25.pdf#page=7","Abrir facsímil")</f>
        <v>Abrir facsímil</v>
      </c>
      <c r="K1870" s="15" t="s">
        <v>23</v>
      </c>
    </row>
    <row r="1871" spans="1:11" ht="42" customHeight="1">
      <c r="A1871" s="4" t="s">
        <v>4994</v>
      </c>
      <c r="B1871" s="5" t="s">
        <v>4995</v>
      </c>
      <c r="C1871" s="5" t="s">
        <v>94</v>
      </c>
      <c r="D1871" s="5" t="s">
        <v>95</v>
      </c>
      <c r="E1871" s="5" t="s">
        <v>54</v>
      </c>
      <c r="F1871" s="9" t="s">
        <v>55</v>
      </c>
      <c r="G1871" s="9">
        <v>1084</v>
      </c>
      <c r="H1871" s="5" t="s">
        <v>21</v>
      </c>
      <c r="I1871" s="5" t="s">
        <v>4997</v>
      </c>
      <c r="J1871" s="12" t="str">
        <f>HYPERLINK("https://www.boe.es/gazeta/dias/1808/08/26/pdfs/GMD-1808-117.pdf#page=6","Abrir facsímil")</f>
        <v>Abrir facsímil</v>
      </c>
      <c r="K1871" s="15" t="s">
        <v>23</v>
      </c>
    </row>
    <row r="1872" spans="1:11" ht="42" customHeight="1">
      <c r="A1872" s="4" t="s">
        <v>4994</v>
      </c>
      <c r="B1872" s="5" t="s">
        <v>4995</v>
      </c>
      <c r="C1872" s="5" t="s">
        <v>33</v>
      </c>
      <c r="D1872" s="5" t="s">
        <v>34</v>
      </c>
      <c r="E1872" s="5" t="s">
        <v>73</v>
      </c>
      <c r="F1872" s="9" t="s">
        <v>1570</v>
      </c>
      <c r="G1872" s="9">
        <v>1481</v>
      </c>
      <c r="H1872" s="5" t="s">
        <v>21</v>
      </c>
      <c r="I1872" s="5" t="s">
        <v>4998</v>
      </c>
      <c r="J1872" s="12" t="str">
        <f>HYPERLINK("https://www.boe.es/gazeta/dias/1808/11/11/pdfs/GMD-C-1808-143.pdf#page=11","Abrir facsímil")</f>
        <v>Abrir facsímil</v>
      </c>
      <c r="K1872" s="15" t="s">
        <v>23</v>
      </c>
    </row>
    <row r="1873" spans="1:11" ht="42" customHeight="1">
      <c r="A1873" s="4" t="s">
        <v>4994</v>
      </c>
      <c r="B1873" s="5" t="s">
        <v>4995</v>
      </c>
      <c r="C1873" s="5" t="s">
        <v>41</v>
      </c>
      <c r="D1873" s="5" t="s">
        <v>42</v>
      </c>
      <c r="E1873" s="5" t="s">
        <v>73</v>
      </c>
      <c r="F1873" s="9" t="s">
        <v>1570</v>
      </c>
      <c r="G1873" s="9">
        <v>1482</v>
      </c>
      <c r="H1873" s="5" t="s">
        <v>21</v>
      </c>
      <c r="I1873" s="5" t="s">
        <v>4999</v>
      </c>
      <c r="J1873" s="12" t="str">
        <f>HYPERLINK("https://www.boe.es/gazeta/dias/1808/11/11/pdfs/GMD-C-1808-143.pdf#page=12","Abrir facsímil")</f>
        <v>Abrir facsímil</v>
      </c>
      <c r="K1873" s="15" t="s">
        <v>23</v>
      </c>
    </row>
    <row r="1874" spans="1:11" ht="42" customHeight="1">
      <c r="A1874" s="4" t="s">
        <v>4994</v>
      </c>
      <c r="B1874" s="5" t="s">
        <v>4995</v>
      </c>
      <c r="C1874" s="5" t="s">
        <v>41</v>
      </c>
      <c r="D1874" s="5" t="s">
        <v>42</v>
      </c>
      <c r="E1874" s="5" t="s">
        <v>73</v>
      </c>
      <c r="F1874" s="9" t="s">
        <v>2883</v>
      </c>
      <c r="G1874" s="9">
        <v>382</v>
      </c>
      <c r="H1874" s="5" t="s">
        <v>21</v>
      </c>
      <c r="I1874" s="5" t="s">
        <v>5000</v>
      </c>
      <c r="J1874" s="12" t="str">
        <f>HYPERLINK("https://www.boe.es/gazeta/dias/1808/11/11/pdfs/GMS-1808-48.pdf#page=6","Abrir facsímil")</f>
        <v>Abrir facsímil</v>
      </c>
      <c r="K1874" s="15" t="s">
        <v>23</v>
      </c>
    </row>
    <row r="1875" spans="1:11" ht="42" customHeight="1">
      <c r="A1875" s="4" t="s">
        <v>4994</v>
      </c>
      <c r="B1875" s="5" t="s">
        <v>4995</v>
      </c>
      <c r="C1875" s="5" t="s">
        <v>94</v>
      </c>
      <c r="D1875" s="5" t="s">
        <v>95</v>
      </c>
      <c r="E1875" s="5" t="s">
        <v>180</v>
      </c>
      <c r="F1875" s="9" t="s">
        <v>2568</v>
      </c>
      <c r="G1875" s="9">
        <v>1494</v>
      </c>
      <c r="H1875" s="5" t="s">
        <v>21</v>
      </c>
      <c r="I1875" s="5" t="s">
        <v>5001</v>
      </c>
      <c r="J1875" s="12" t="str">
        <f>HYPERLINK("https://www.boe.es/gazeta/dias/1808/11/15/pdfs/GMD-1808-144.pdf#page=8","Abrir facsímil")</f>
        <v>Abrir facsímil</v>
      </c>
      <c r="K1875" s="15" t="s">
        <v>23</v>
      </c>
    </row>
    <row r="1876" spans="1:11" ht="42" customHeight="1">
      <c r="A1876" s="4" t="s">
        <v>5002</v>
      </c>
      <c r="B1876" s="5" t="s">
        <v>5003</v>
      </c>
      <c r="C1876" s="5" t="s">
        <v>94</v>
      </c>
      <c r="D1876" s="5" t="s">
        <v>95</v>
      </c>
      <c r="E1876" s="5" t="s">
        <v>215</v>
      </c>
      <c r="F1876" s="9" t="s">
        <v>216</v>
      </c>
      <c r="G1876" s="9">
        <v>300</v>
      </c>
      <c r="H1876" s="5" t="s">
        <v>21</v>
      </c>
      <c r="I1876" s="5" t="s">
        <v>5004</v>
      </c>
      <c r="J1876" s="12" t="str">
        <f>HYPERLINK("https://www.boe.es/gazeta/dias/1808/03/25/pdfs/GMD-1808-25.pdf#page=10","Abrir facsímil")</f>
        <v>Abrir facsímil</v>
      </c>
      <c r="K1876" s="15" t="s">
        <v>23</v>
      </c>
    </row>
    <row r="1877" spans="1:11" ht="42" customHeight="1">
      <c r="A1877" s="4" t="s">
        <v>5005</v>
      </c>
      <c r="B1877" s="5" t="s">
        <v>5006</v>
      </c>
      <c r="C1877" s="5" t="s">
        <v>17</v>
      </c>
      <c r="D1877" s="5" t="s">
        <v>18</v>
      </c>
      <c r="E1877" s="5" t="s">
        <v>968</v>
      </c>
      <c r="F1877" s="9" t="s">
        <v>969</v>
      </c>
      <c r="G1877" s="9">
        <v>899</v>
      </c>
      <c r="H1877" s="5" t="s">
        <v>21</v>
      </c>
      <c r="I1877" s="5" t="s">
        <v>5007</v>
      </c>
      <c r="J1877" s="12" t="str">
        <f>HYPERLINK("https://www.boe.es/gazeta/dias/1808/07/26/pdfs/GMD-1808-98.pdf#page=5","Abrir facsímil")</f>
        <v>Abrir facsímil</v>
      </c>
      <c r="K1877" s="15" t="s">
        <v>23</v>
      </c>
    </row>
    <row r="1878" spans="1:11" ht="42" customHeight="1">
      <c r="A1878" s="4" t="s">
        <v>5008</v>
      </c>
      <c r="B1878" s="5" t="s">
        <v>5009</v>
      </c>
      <c r="C1878" s="5" t="s">
        <v>41</v>
      </c>
      <c r="D1878" s="5" t="s">
        <v>42</v>
      </c>
      <c r="E1878" s="5" t="s">
        <v>478</v>
      </c>
      <c r="F1878" s="9" t="s">
        <v>479</v>
      </c>
      <c r="G1878" s="9">
        <v>242</v>
      </c>
      <c r="H1878" s="5" t="s">
        <v>21</v>
      </c>
      <c r="I1878" s="5" t="s">
        <v>5010</v>
      </c>
      <c r="J1878" s="12" t="str">
        <f>HYPERLINK("https://www.boe.es/gazeta/dias/1808/03/08/pdfs/GMD-1808-20.pdf#page=8","Abrir facsímil")</f>
        <v>Abrir facsímil</v>
      </c>
      <c r="K1878" s="15" t="s">
        <v>23</v>
      </c>
    </row>
    <row r="1879" spans="1:11" ht="42" customHeight="1">
      <c r="A1879" s="4" t="s">
        <v>5008</v>
      </c>
      <c r="B1879" s="5" t="s">
        <v>5009</v>
      </c>
      <c r="C1879" s="5" t="s">
        <v>26</v>
      </c>
      <c r="D1879" s="5" t="s">
        <v>27</v>
      </c>
      <c r="E1879" s="5" t="s">
        <v>65</v>
      </c>
      <c r="F1879" s="9" t="s">
        <v>105</v>
      </c>
      <c r="G1879" s="9" t="s">
        <v>106</v>
      </c>
      <c r="H1879" s="5" t="s">
        <v>21</v>
      </c>
      <c r="I1879" s="5" t="s">
        <v>5011</v>
      </c>
      <c r="J1879" s="12" t="str">
        <f>HYPERLINK("https://www.boe.es/gazeta/dias/1808/10/18/pdfs/GMD-D-1808-135.pdf#page=3","Abrir facsímil")</f>
        <v>Abrir facsímil</v>
      </c>
      <c r="K1879" s="15" t="s">
        <v>23</v>
      </c>
    </row>
    <row r="1880" spans="1:11" ht="42" customHeight="1">
      <c r="A1880" s="4" t="s">
        <v>5012</v>
      </c>
      <c r="B1880" s="5" t="s">
        <v>5013</v>
      </c>
      <c r="C1880" s="5" t="s">
        <v>33</v>
      </c>
      <c r="D1880" s="5" t="s">
        <v>34</v>
      </c>
      <c r="E1880" s="5" t="s">
        <v>139</v>
      </c>
      <c r="F1880" s="9" t="s">
        <v>1089</v>
      </c>
      <c r="G1880" s="9" t="s">
        <v>117</v>
      </c>
      <c r="H1880" s="5" t="s">
        <v>21</v>
      </c>
      <c r="I1880" s="5" t="s">
        <v>5014</v>
      </c>
      <c r="J1880" s="12" t="str">
        <f>HYPERLINK("https://www.boe.es/gazeta/dias/1808/09/23/pdfs/GMD-C-1808-127.pdf#page=1","Abrir facsímil")</f>
        <v>Abrir facsímil</v>
      </c>
      <c r="K1880" s="15" t="s">
        <v>23</v>
      </c>
    </row>
    <row r="1881" spans="1:11" ht="42" customHeight="1">
      <c r="A1881" s="4" t="s">
        <v>5015</v>
      </c>
      <c r="B1881" s="5" t="s">
        <v>5016</v>
      </c>
      <c r="C1881" s="5" t="s">
        <v>94</v>
      </c>
      <c r="D1881" s="5" t="s">
        <v>95</v>
      </c>
      <c r="E1881" s="5" t="s">
        <v>1182</v>
      </c>
      <c r="F1881" s="9" t="s">
        <v>1183</v>
      </c>
      <c r="G1881" s="9">
        <v>61</v>
      </c>
      <c r="H1881" s="5" t="s">
        <v>21</v>
      </c>
      <c r="I1881" s="5" t="s">
        <v>5017</v>
      </c>
      <c r="J1881" s="12" t="str">
        <f>HYPERLINK("https://www.boe.es/gazeta/dias/1808/06/26/pdfs/GMS-1808-8.pdf#page=5","Abrir facsímil")</f>
        <v>Abrir facsímil</v>
      </c>
      <c r="K1881" s="15" t="s">
        <v>23</v>
      </c>
    </row>
    <row r="1882" spans="1:11" ht="42" customHeight="1">
      <c r="A1882" s="4" t="s">
        <v>5015</v>
      </c>
      <c r="B1882" s="5" t="s">
        <v>5016</v>
      </c>
      <c r="C1882" s="5" t="s">
        <v>94</v>
      </c>
      <c r="D1882" s="5" t="s">
        <v>95</v>
      </c>
      <c r="E1882" s="5" t="s">
        <v>2639</v>
      </c>
      <c r="F1882" s="9" t="s">
        <v>5018</v>
      </c>
      <c r="G1882" s="9">
        <v>847</v>
      </c>
      <c r="H1882" s="5" t="s">
        <v>21</v>
      </c>
      <c r="I1882" s="5" t="s">
        <v>5019</v>
      </c>
      <c r="J1882" s="12" t="str">
        <f>HYPERLINK("https://www.boe.es/gazeta/dias/1808/07/20/pdfs/GMD-1808-92.pdf#page=1","Abrir facsímil")</f>
        <v>Abrir facsímil</v>
      </c>
      <c r="K1882" s="15" t="s">
        <v>23</v>
      </c>
    </row>
    <row r="1883" spans="1:11" ht="42" customHeight="1">
      <c r="A1883" s="4" t="s">
        <v>5015</v>
      </c>
      <c r="B1883" s="5" t="s">
        <v>5016</v>
      </c>
      <c r="C1883" s="5" t="s">
        <v>389</v>
      </c>
      <c r="D1883" s="5" t="s">
        <v>390</v>
      </c>
      <c r="E1883" s="5" t="s">
        <v>508</v>
      </c>
      <c r="F1883" s="9" t="s">
        <v>509</v>
      </c>
      <c r="G1883" s="9">
        <v>1020</v>
      </c>
      <c r="H1883" s="5" t="s">
        <v>21</v>
      </c>
      <c r="I1883" s="5" t="s">
        <v>5020</v>
      </c>
      <c r="J1883" s="12" t="str">
        <f>HYPERLINK("https://www.boe.es/gazeta/dias/1808/08/16/pdfs/GMD-1808-113.pdf#page=12","Abrir facsímil")</f>
        <v>Abrir facsímil</v>
      </c>
      <c r="K1883" s="15" t="s">
        <v>23</v>
      </c>
    </row>
    <row r="1884" spans="1:11" ht="42" customHeight="1">
      <c r="A1884" s="4" t="s">
        <v>5015</v>
      </c>
      <c r="B1884" s="5" t="s">
        <v>5016</v>
      </c>
      <c r="C1884" s="5" t="s">
        <v>17</v>
      </c>
      <c r="D1884" s="5" t="s">
        <v>18</v>
      </c>
      <c r="E1884" s="5" t="s">
        <v>185</v>
      </c>
      <c r="F1884" s="9" t="s">
        <v>186</v>
      </c>
      <c r="G1884" s="9">
        <v>1098</v>
      </c>
      <c r="H1884" s="5" t="s">
        <v>21</v>
      </c>
      <c r="I1884" s="5" t="s">
        <v>5021</v>
      </c>
      <c r="J1884" s="12" t="str">
        <f>HYPERLINK("https://www.boe.es/gazeta/dias/1808/08/30/pdfs/GMD-1808-118.pdf#page=4","Abrir facsímil")</f>
        <v>Abrir facsímil</v>
      </c>
      <c r="K1884" s="15" t="s">
        <v>23</v>
      </c>
    </row>
    <row r="1885" spans="1:11" ht="42" customHeight="1">
      <c r="A1885" s="4" t="s">
        <v>5015</v>
      </c>
      <c r="B1885" s="5" t="s">
        <v>5016</v>
      </c>
      <c r="C1885" s="5" t="s">
        <v>17</v>
      </c>
      <c r="D1885" s="5" t="s">
        <v>18</v>
      </c>
      <c r="E1885" s="5" t="s">
        <v>84</v>
      </c>
      <c r="F1885" s="9" t="s">
        <v>85</v>
      </c>
      <c r="G1885" s="9">
        <v>1160</v>
      </c>
      <c r="H1885" s="5" t="s">
        <v>21</v>
      </c>
      <c r="I1885" s="5" t="s">
        <v>5022</v>
      </c>
      <c r="J1885" s="12" t="str">
        <f>HYPERLINK("https://www.boe.es/gazeta/dias/1808/09/13/pdfs/GMD-1808-123.pdf#page=8","Abrir facsímil")</f>
        <v>Abrir facsímil</v>
      </c>
      <c r="K1885" s="15" t="s">
        <v>23</v>
      </c>
    </row>
    <row r="1886" spans="1:11" ht="42" customHeight="1">
      <c r="A1886" s="4" t="s">
        <v>5015</v>
      </c>
      <c r="B1886" s="5" t="s">
        <v>5016</v>
      </c>
      <c r="C1886" s="5" t="s">
        <v>389</v>
      </c>
      <c r="D1886" s="5" t="s">
        <v>390</v>
      </c>
      <c r="E1886" s="5" t="s">
        <v>84</v>
      </c>
      <c r="F1886" s="9" t="s">
        <v>85</v>
      </c>
      <c r="G1886" s="9">
        <v>1164</v>
      </c>
      <c r="H1886" s="5" t="s">
        <v>21</v>
      </c>
      <c r="I1886" s="5" t="s">
        <v>5023</v>
      </c>
      <c r="J1886" s="12" t="str">
        <f>HYPERLINK("https://www.boe.es/gazeta/dias/1808/09/13/pdfs/GMD-1808-123.pdf#page=12","Abrir facsímil")</f>
        <v>Abrir facsímil</v>
      </c>
      <c r="K1886" s="15" t="s">
        <v>23</v>
      </c>
    </row>
    <row r="1887" spans="1:11" ht="42" customHeight="1">
      <c r="A1887" s="4" t="s">
        <v>5015</v>
      </c>
      <c r="B1887" s="5" t="s">
        <v>5016</v>
      </c>
      <c r="C1887" s="5" t="s">
        <v>41</v>
      </c>
      <c r="D1887" s="5" t="s">
        <v>42</v>
      </c>
      <c r="E1887" s="5" t="s">
        <v>363</v>
      </c>
      <c r="F1887" s="9" t="s">
        <v>1224</v>
      </c>
      <c r="G1887" s="9">
        <v>1189</v>
      </c>
      <c r="H1887" s="5" t="s">
        <v>21</v>
      </c>
      <c r="I1887" s="5" t="s">
        <v>5024</v>
      </c>
      <c r="J1887" s="12" t="str">
        <f>HYPERLINK("https://www.boe.es/gazeta/dias/1808/09/20/pdfs/GMD-1808-126.pdf#page=9","Abrir facsímil")</f>
        <v>Abrir facsímil</v>
      </c>
      <c r="K1887" s="15" t="s">
        <v>23</v>
      </c>
    </row>
    <row r="1888" spans="1:11" ht="42" customHeight="1">
      <c r="A1888" s="4" t="s">
        <v>5015</v>
      </c>
      <c r="B1888" s="5" t="s">
        <v>5016</v>
      </c>
      <c r="C1888" s="5" t="s">
        <v>17</v>
      </c>
      <c r="D1888" s="5" t="s">
        <v>18</v>
      </c>
      <c r="E1888" s="5" t="s">
        <v>65</v>
      </c>
      <c r="F1888" s="9" t="s">
        <v>66</v>
      </c>
      <c r="G1888" s="9">
        <v>1309</v>
      </c>
      <c r="H1888" s="5" t="s">
        <v>21</v>
      </c>
      <c r="I1888" s="5" t="s">
        <v>5025</v>
      </c>
      <c r="J1888" s="12" t="str">
        <f>HYPERLINK("https://www.boe.es/gazeta/dias/1808/10/18/pdfs/GMD-1808-135.pdf#page=9","Abrir facsímil")</f>
        <v>Abrir facsímil</v>
      </c>
      <c r="K1888" s="15" t="s">
        <v>23</v>
      </c>
    </row>
    <row r="1889" spans="1:11" ht="42" customHeight="1">
      <c r="A1889" s="4" t="s">
        <v>5015</v>
      </c>
      <c r="B1889" s="5" t="s">
        <v>5016</v>
      </c>
      <c r="C1889" s="5" t="s">
        <v>17</v>
      </c>
      <c r="D1889" s="5" t="s">
        <v>18</v>
      </c>
      <c r="E1889" s="5" t="s">
        <v>461</v>
      </c>
      <c r="F1889" s="9" t="s">
        <v>733</v>
      </c>
      <c r="G1889" s="9">
        <v>1445</v>
      </c>
      <c r="H1889" s="5" t="s">
        <v>21</v>
      </c>
      <c r="I1889" s="5" t="s">
        <v>5026</v>
      </c>
      <c r="J1889" s="12" t="str">
        <f>HYPERLINK("https://www.boe.es/gazeta/dias/1808/11/08/pdfs/GMD-1808-142.pdf#page=7","Abrir facsímil")</f>
        <v>Abrir facsímil</v>
      </c>
      <c r="K1889" s="15" t="s">
        <v>23</v>
      </c>
    </row>
    <row r="1890" spans="1:11" ht="42" customHeight="1">
      <c r="A1890" s="4" t="s">
        <v>5015</v>
      </c>
      <c r="B1890" s="5" t="s">
        <v>5016</v>
      </c>
      <c r="C1890" s="5" t="s">
        <v>17</v>
      </c>
      <c r="D1890" s="5" t="s">
        <v>18</v>
      </c>
      <c r="E1890" s="5" t="s">
        <v>461</v>
      </c>
      <c r="F1890" s="9" t="s">
        <v>733</v>
      </c>
      <c r="G1890" s="9">
        <v>1446</v>
      </c>
      <c r="H1890" s="5" t="s">
        <v>21</v>
      </c>
      <c r="I1890" s="5" t="s">
        <v>5027</v>
      </c>
      <c r="J1890" s="12" t="str">
        <f>HYPERLINK("https://www.boe.es/gazeta/dias/1808/11/08/pdfs/GMD-1808-142.pdf#page=8","Abrir facsímil")</f>
        <v>Abrir facsímil</v>
      </c>
      <c r="K1890" s="15" t="s">
        <v>23</v>
      </c>
    </row>
    <row r="1891" spans="1:11" ht="42" customHeight="1">
      <c r="A1891" s="4" t="s">
        <v>5015</v>
      </c>
      <c r="B1891" s="5" t="s">
        <v>5016</v>
      </c>
      <c r="C1891" s="5" t="s">
        <v>17</v>
      </c>
      <c r="D1891" s="5" t="s">
        <v>18</v>
      </c>
      <c r="E1891" s="5" t="s">
        <v>166</v>
      </c>
      <c r="F1891" s="9" t="s">
        <v>5028</v>
      </c>
      <c r="G1891" s="9">
        <v>400</v>
      </c>
      <c r="H1891" s="5" t="s">
        <v>21</v>
      </c>
      <c r="I1891" s="5" t="s">
        <v>5029</v>
      </c>
      <c r="J1891" s="12" t="str">
        <f>HYPERLINK("https://www.boe.es/gazeta/dias/1808/11/18/pdfs/GMS-1808-50.pdf#page=8","Abrir facsímil")</f>
        <v>Abrir facsímil</v>
      </c>
      <c r="K1891" s="15" t="s">
        <v>23</v>
      </c>
    </row>
    <row r="1892" spans="1:11" ht="42" customHeight="1">
      <c r="A1892" s="4" t="s">
        <v>5030</v>
      </c>
      <c r="B1892" s="5" t="s">
        <v>5031</v>
      </c>
      <c r="C1892" s="5" t="s">
        <v>33</v>
      </c>
      <c r="D1892" s="5" t="s">
        <v>34</v>
      </c>
      <c r="E1892" s="5" t="s">
        <v>35</v>
      </c>
      <c r="F1892" s="9" t="s">
        <v>36</v>
      </c>
      <c r="G1892" s="9" t="s">
        <v>814</v>
      </c>
      <c r="H1892" s="5" t="s">
        <v>21</v>
      </c>
      <c r="I1892" s="5" t="s">
        <v>5032</v>
      </c>
      <c r="J1892" s="12" t="str">
        <f>HYPERLINK("https://www.boe.es/gazeta/dias/1808/04/22/pdfs/GMD-C-1808-38.pdf#page=25","Abrir facsímil")</f>
        <v>Abrir facsímil</v>
      </c>
      <c r="K1892" s="15" t="s">
        <v>23</v>
      </c>
    </row>
    <row r="1893" spans="1:11" ht="42" customHeight="1">
      <c r="A1893" s="4" t="s">
        <v>5033</v>
      </c>
      <c r="B1893" s="5" t="s">
        <v>5034</v>
      </c>
      <c r="C1893" s="5" t="s">
        <v>94</v>
      </c>
      <c r="D1893" s="5" t="s">
        <v>95</v>
      </c>
      <c r="E1893" s="5" t="s">
        <v>222</v>
      </c>
      <c r="F1893" s="9" t="s">
        <v>223</v>
      </c>
      <c r="G1893" s="9">
        <v>355</v>
      </c>
      <c r="H1893" s="5" t="s">
        <v>21</v>
      </c>
      <c r="I1893" s="5" t="s">
        <v>5035</v>
      </c>
      <c r="J1893" s="12" t="str">
        <f>HYPERLINK("https://www.boe.es/gazeta/dias/1808/04/08/pdfs/GMD-1808-32.pdf#page=9","Abrir facsímil")</f>
        <v>Abrir facsímil</v>
      </c>
      <c r="K1893" s="15" t="s">
        <v>23</v>
      </c>
    </row>
    <row r="1894" spans="1:11" ht="42" customHeight="1">
      <c r="A1894" s="4" t="s">
        <v>5036</v>
      </c>
      <c r="B1894" s="5" t="s">
        <v>5037</v>
      </c>
      <c r="C1894" s="5" t="s">
        <v>94</v>
      </c>
      <c r="D1894" s="5" t="s">
        <v>95</v>
      </c>
      <c r="E1894" s="5" t="s">
        <v>19</v>
      </c>
      <c r="F1894" s="9" t="s">
        <v>949</v>
      </c>
      <c r="G1894" s="9" t="s">
        <v>75</v>
      </c>
      <c r="H1894" s="5" t="s">
        <v>21</v>
      </c>
      <c r="I1894" s="5" t="s">
        <v>5038</v>
      </c>
      <c r="J1894" s="12" t="str">
        <f>HYPERLINK("https://www.boe.es/gazeta/dias/1808/09/30/pdfs/GMD-C-1808-130.pdf#page=4","Abrir facsímil")</f>
        <v>Abrir facsímil</v>
      </c>
      <c r="K1894" s="15" t="s">
        <v>23</v>
      </c>
    </row>
    <row r="1895" spans="1:11" ht="42" customHeight="1">
      <c r="A1895" s="4" t="s">
        <v>5039</v>
      </c>
      <c r="B1895" s="5" t="s">
        <v>5040</v>
      </c>
      <c r="C1895" s="5" t="s">
        <v>33</v>
      </c>
      <c r="D1895" s="5" t="s">
        <v>34</v>
      </c>
      <c r="E1895" s="5" t="s">
        <v>35</v>
      </c>
      <c r="F1895" s="9" t="s">
        <v>36</v>
      </c>
      <c r="G1895" s="9" t="s">
        <v>148</v>
      </c>
      <c r="H1895" s="5" t="s">
        <v>21</v>
      </c>
      <c r="I1895" s="5" t="s">
        <v>5041</v>
      </c>
      <c r="J1895" s="12" t="str">
        <f>HYPERLINK("https://www.boe.es/gazeta/dias/1808/04/22/pdfs/GMD-C-1808-38.pdf#page=38","Abrir facsímil")</f>
        <v>Abrir facsímil</v>
      </c>
      <c r="K1895" s="15" t="s">
        <v>23</v>
      </c>
    </row>
    <row r="1896" spans="1:11" ht="42" customHeight="1">
      <c r="A1896" s="4" t="s">
        <v>5042</v>
      </c>
      <c r="B1896" s="5" t="s">
        <v>5043</v>
      </c>
      <c r="C1896" s="5" t="s">
        <v>33</v>
      </c>
      <c r="D1896" s="5" t="s">
        <v>34</v>
      </c>
      <c r="E1896" s="5" t="s">
        <v>65</v>
      </c>
      <c r="F1896" s="9" t="s">
        <v>105</v>
      </c>
      <c r="G1896" s="9" t="s">
        <v>117</v>
      </c>
      <c r="H1896" s="5" t="s">
        <v>21</v>
      </c>
      <c r="I1896" s="5" t="s">
        <v>5044</v>
      </c>
      <c r="J1896" s="12" t="str">
        <f>HYPERLINK("https://www.boe.es/gazeta/dias/1808/10/18/pdfs/GMD-D-1808-135.pdf#page=1","Abrir facsímil")</f>
        <v>Abrir facsímil</v>
      </c>
      <c r="K1896" s="15" t="s">
        <v>23</v>
      </c>
    </row>
    <row r="1897" spans="1:11" ht="42" customHeight="1">
      <c r="A1897" s="4" t="s">
        <v>5045</v>
      </c>
      <c r="B1897" s="5" t="s">
        <v>5046</v>
      </c>
      <c r="C1897" s="5" t="s">
        <v>33</v>
      </c>
      <c r="D1897" s="5" t="s">
        <v>34</v>
      </c>
      <c r="E1897" s="5" t="s">
        <v>89</v>
      </c>
      <c r="F1897" s="9" t="s">
        <v>563</v>
      </c>
      <c r="G1897" s="9" t="s">
        <v>117</v>
      </c>
      <c r="H1897" s="5" t="s">
        <v>21</v>
      </c>
      <c r="I1897" s="5" t="s">
        <v>5047</v>
      </c>
      <c r="J1897" s="12" t="str">
        <f>HYPERLINK("https://www.boe.es/gazeta/dias/1808/10/25/pdfs/GMD-D-1808-137.pdf#page=1","Abrir facsímil")</f>
        <v>Abrir facsímil</v>
      </c>
      <c r="K1897" s="15" t="s">
        <v>23</v>
      </c>
    </row>
    <row r="1898" spans="1:11" ht="42" customHeight="1">
      <c r="A1898" s="4" t="s">
        <v>5048</v>
      </c>
      <c r="B1898" s="5" t="s">
        <v>5049</v>
      </c>
      <c r="C1898" s="5" t="s">
        <v>33</v>
      </c>
      <c r="D1898" s="5" t="s">
        <v>34</v>
      </c>
      <c r="E1898" s="5" t="s">
        <v>35</v>
      </c>
      <c r="F1898" s="9" t="s">
        <v>36</v>
      </c>
      <c r="G1898" s="9" t="s">
        <v>80</v>
      </c>
      <c r="H1898" s="5" t="s">
        <v>21</v>
      </c>
      <c r="I1898" s="5" t="s">
        <v>5050</v>
      </c>
      <c r="J1898" s="12" t="str">
        <f>HYPERLINK("https://www.boe.es/gazeta/dias/1808/04/22/pdfs/GMD-C-1808-38.pdf#page=18","Abrir facsímil")</f>
        <v>Abrir facsímil</v>
      </c>
      <c r="K1898" s="15" t="s">
        <v>23</v>
      </c>
    </row>
    <row r="1899" spans="1:11" ht="42" customHeight="1">
      <c r="A1899" s="4" t="s">
        <v>5051</v>
      </c>
      <c r="B1899" s="5" t="s">
        <v>5052</v>
      </c>
      <c r="C1899" s="5" t="s">
        <v>41</v>
      </c>
      <c r="D1899" s="5" t="s">
        <v>42</v>
      </c>
      <c r="E1899" s="5" t="s">
        <v>1466</v>
      </c>
      <c r="F1899" s="9" t="s">
        <v>1467</v>
      </c>
      <c r="G1899" s="9">
        <v>58</v>
      </c>
      <c r="H1899" s="5" t="s">
        <v>21</v>
      </c>
      <c r="I1899" s="5" t="s">
        <v>5053</v>
      </c>
      <c r="J1899" s="12" t="str">
        <f>HYPERLINK("https://www.boe.es/gazeta/dias/1808/01/15/pdfs/GMD-1808-5.pdf#page=10","Abrir facsímil")</f>
        <v>Abrir facsímil</v>
      </c>
      <c r="K1899" s="15" t="s">
        <v>23</v>
      </c>
    </row>
    <row r="1900" spans="1:11" ht="42" customHeight="1">
      <c r="A1900" s="4" t="s">
        <v>5054</v>
      </c>
      <c r="B1900" s="5" t="s">
        <v>5055</v>
      </c>
      <c r="C1900" s="5" t="s">
        <v>41</v>
      </c>
      <c r="D1900" s="5" t="s">
        <v>42</v>
      </c>
      <c r="E1900" s="5" t="s">
        <v>478</v>
      </c>
      <c r="F1900" s="9" t="s">
        <v>479</v>
      </c>
      <c r="G1900" s="9">
        <v>244</v>
      </c>
      <c r="H1900" s="5" t="s">
        <v>21</v>
      </c>
      <c r="I1900" s="5" t="s">
        <v>5056</v>
      </c>
      <c r="J1900" s="12" t="str">
        <f>HYPERLINK("https://www.boe.es/gazeta/dias/1808/03/08/pdfs/GMD-1808-20.pdf#page=10","Abrir facsímil")</f>
        <v>Abrir facsímil</v>
      </c>
      <c r="K1900" s="15" t="s">
        <v>23</v>
      </c>
    </row>
    <row r="1901" spans="1:11" ht="42" customHeight="1">
      <c r="A1901" s="4" t="s">
        <v>5057</v>
      </c>
      <c r="B1901" s="5" t="s">
        <v>5058</v>
      </c>
      <c r="C1901" s="5" t="s">
        <v>17</v>
      </c>
      <c r="D1901" s="5" t="s">
        <v>18</v>
      </c>
      <c r="E1901" s="5" t="s">
        <v>218</v>
      </c>
      <c r="F1901" s="9" t="s">
        <v>219</v>
      </c>
      <c r="G1901" s="9">
        <v>332</v>
      </c>
      <c r="H1901" s="5" t="s">
        <v>21</v>
      </c>
      <c r="I1901" s="5" t="s">
        <v>5059</v>
      </c>
      <c r="J1901" s="12" t="str">
        <f>HYPERLINK("https://www.boe.es/gazeta/dias/1808/04/01/pdfs/GMD-1808-29.pdf#page=8","Abrir facsímil")</f>
        <v>Abrir facsímil</v>
      </c>
      <c r="K1901" s="15" t="s">
        <v>23</v>
      </c>
    </row>
    <row r="1902" spans="1:11" ht="42" customHeight="1">
      <c r="A1902" s="4" t="s">
        <v>5057</v>
      </c>
      <c r="B1902" s="5" t="s">
        <v>5058</v>
      </c>
      <c r="C1902" s="5" t="s">
        <v>17</v>
      </c>
      <c r="D1902" s="5" t="s">
        <v>18</v>
      </c>
      <c r="E1902" s="5" t="s">
        <v>1791</v>
      </c>
      <c r="F1902" s="9" t="s">
        <v>2814</v>
      </c>
      <c r="G1902" s="9">
        <v>930</v>
      </c>
      <c r="H1902" s="5" t="s">
        <v>21</v>
      </c>
      <c r="I1902" s="5" t="s">
        <v>5060</v>
      </c>
      <c r="J1902" s="12" t="str">
        <f>HYPERLINK("https://www.boe.es/gazeta/dias/1808/07/30/pdfs/GMD-1808-102.pdf#page=4","Abrir facsímil")</f>
        <v>Abrir facsímil</v>
      </c>
      <c r="K1902" s="15" t="s">
        <v>23</v>
      </c>
    </row>
    <row r="1903" spans="1:11" ht="42" customHeight="1">
      <c r="A1903" s="4" t="s">
        <v>5061</v>
      </c>
      <c r="B1903" s="5" t="s">
        <v>5062</v>
      </c>
      <c r="C1903" s="5" t="s">
        <v>33</v>
      </c>
      <c r="D1903" s="5" t="s">
        <v>34</v>
      </c>
      <c r="E1903" s="5" t="s">
        <v>35</v>
      </c>
      <c r="F1903" s="9" t="s">
        <v>36</v>
      </c>
      <c r="G1903" s="9" t="s">
        <v>162</v>
      </c>
      <c r="H1903" s="5" t="s">
        <v>21</v>
      </c>
      <c r="I1903" s="5" t="s">
        <v>5063</v>
      </c>
      <c r="J1903" s="12" t="str">
        <f>HYPERLINK("https://www.boe.es/gazeta/dias/1808/04/22/pdfs/GMD-C-1808-38.pdf#page=31","Abrir facsímil")</f>
        <v>Abrir facsímil</v>
      </c>
      <c r="K1903" s="15" t="s">
        <v>23</v>
      </c>
    </row>
    <row r="1904" spans="1:11" ht="42" customHeight="1">
      <c r="A1904" s="4" t="s">
        <v>5064</v>
      </c>
      <c r="B1904" s="5" t="s">
        <v>5065</v>
      </c>
      <c r="C1904" s="5" t="s">
        <v>33</v>
      </c>
      <c r="D1904" s="5" t="s">
        <v>34</v>
      </c>
      <c r="E1904" s="5" t="s">
        <v>427</v>
      </c>
      <c r="F1904" s="9" t="s">
        <v>428</v>
      </c>
      <c r="G1904" s="9" t="s">
        <v>199</v>
      </c>
      <c r="H1904" s="5" t="s">
        <v>21</v>
      </c>
      <c r="I1904" s="5" t="s">
        <v>5066</v>
      </c>
      <c r="J1904" s="12" t="str">
        <f>HYPERLINK("https://www.boe.es/gazeta/dias/1808/11/22/pdfs/GMD-D-1808-146.pdf#page=2","Abrir facsímil")</f>
        <v>Abrir facsímil</v>
      </c>
      <c r="K1904" s="15" t="s">
        <v>23</v>
      </c>
    </row>
    <row r="1905" spans="1:11" ht="42" customHeight="1">
      <c r="A1905" s="4" t="s">
        <v>5067</v>
      </c>
      <c r="B1905" s="5" t="s">
        <v>5068</v>
      </c>
      <c r="C1905" s="5" t="s">
        <v>17</v>
      </c>
      <c r="D1905" s="5" t="s">
        <v>18</v>
      </c>
      <c r="E1905" s="5" t="s">
        <v>125</v>
      </c>
      <c r="F1905" s="9" t="s">
        <v>397</v>
      </c>
      <c r="G1905" s="9">
        <v>1270</v>
      </c>
      <c r="H1905" s="5" t="s">
        <v>21</v>
      </c>
      <c r="I1905" s="5" t="s">
        <v>5069</v>
      </c>
      <c r="J1905" s="12" t="str">
        <f>HYPERLINK("https://www.boe.es/gazeta/dias/1808/10/07/pdfs/GMD-1808-132.pdf#page=10","Abrir facsímil")</f>
        <v>Abrir facsímil</v>
      </c>
      <c r="K1905" s="15" t="s">
        <v>23</v>
      </c>
    </row>
    <row r="1906" spans="1:11" ht="42" customHeight="1">
      <c r="A1906" s="4" t="s">
        <v>5070</v>
      </c>
      <c r="B1906" s="5" t="s">
        <v>5071</v>
      </c>
      <c r="C1906" s="5" t="s">
        <v>17</v>
      </c>
      <c r="D1906" s="5" t="s">
        <v>18</v>
      </c>
      <c r="E1906" s="5" t="s">
        <v>130</v>
      </c>
      <c r="F1906" s="9" t="s">
        <v>131</v>
      </c>
      <c r="G1906" s="9">
        <v>1604</v>
      </c>
      <c r="H1906" s="5" t="s">
        <v>21</v>
      </c>
      <c r="I1906" s="5" t="s">
        <v>5072</v>
      </c>
      <c r="J1906" s="12" t="str">
        <f>HYPERLINK("https://www.boe.es/gazeta/dias/1808/12/15/pdfs/GMD-1808-155.pdf#page=8","Abrir facsímil")</f>
        <v>Abrir facsímil</v>
      </c>
      <c r="K1906" s="15" t="s">
        <v>23</v>
      </c>
    </row>
    <row r="1907" spans="1:11" ht="42" customHeight="1">
      <c r="A1907" s="4" t="s">
        <v>5073</v>
      </c>
      <c r="B1907" s="5" t="s">
        <v>5074</v>
      </c>
      <c r="C1907" s="5" t="s">
        <v>33</v>
      </c>
      <c r="D1907" s="5" t="s">
        <v>34</v>
      </c>
      <c r="E1907" s="5" t="s">
        <v>197</v>
      </c>
      <c r="F1907" s="9" t="s">
        <v>198</v>
      </c>
      <c r="G1907" s="9" t="s">
        <v>117</v>
      </c>
      <c r="H1907" s="5" t="s">
        <v>21</v>
      </c>
      <c r="I1907" s="5" t="s">
        <v>5075</v>
      </c>
      <c r="J1907" s="12" t="str">
        <f>HYPERLINK("https://www.boe.es/gazeta/dias/1808/11/01/pdfs/GMD-D-1808-140.pdf#page=1","Abrir facsímil")</f>
        <v>Abrir facsímil</v>
      </c>
      <c r="K1907" s="15" t="s">
        <v>23</v>
      </c>
    </row>
    <row r="1908" spans="1:11" ht="42" customHeight="1">
      <c r="A1908" s="4" t="s">
        <v>5076</v>
      </c>
      <c r="B1908" s="5" t="s">
        <v>5077</v>
      </c>
      <c r="C1908" s="5" t="s">
        <v>41</v>
      </c>
      <c r="D1908" s="5" t="s">
        <v>42</v>
      </c>
      <c r="E1908" s="5" t="s">
        <v>616</v>
      </c>
      <c r="F1908" s="9" t="s">
        <v>4334</v>
      </c>
      <c r="G1908" s="9">
        <v>1053</v>
      </c>
      <c r="H1908" s="5" t="s">
        <v>21</v>
      </c>
      <c r="I1908" s="5" t="s">
        <v>5078</v>
      </c>
      <c r="J1908" s="12" t="str">
        <f>HYPERLINK("https://www.boe.es/gazeta/dias/1808/08/19/pdfs/GMD-C-1808-115.pdf#page=7","Abrir facsímil")</f>
        <v>Abrir facsímil</v>
      </c>
      <c r="K1908" s="15" t="s">
        <v>23</v>
      </c>
    </row>
    <row r="1909" spans="1:11" ht="42" customHeight="1">
      <c r="A1909" s="4" t="s">
        <v>5076</v>
      </c>
      <c r="B1909" s="5" t="s">
        <v>5077</v>
      </c>
      <c r="C1909" s="5" t="s">
        <v>94</v>
      </c>
      <c r="D1909" s="5" t="s">
        <v>95</v>
      </c>
      <c r="E1909" s="5" t="s">
        <v>290</v>
      </c>
      <c r="F1909" s="9" t="s">
        <v>3150</v>
      </c>
      <c r="G1909" s="9">
        <v>198</v>
      </c>
      <c r="H1909" s="5" t="s">
        <v>21</v>
      </c>
      <c r="I1909" s="5" t="s">
        <v>5079</v>
      </c>
      <c r="J1909" s="12" t="str">
        <f>HYPERLINK("https://www.boe.es/gazeta/dias/1808/08/23/pdfs/GMS-1808-25.pdf#page=6","Abrir facsímil")</f>
        <v>Abrir facsímil</v>
      </c>
      <c r="K1909" s="15" t="s">
        <v>23</v>
      </c>
    </row>
    <row r="1910" spans="1:11" ht="42" customHeight="1">
      <c r="A1910" s="4" t="s">
        <v>5076</v>
      </c>
      <c r="B1910" s="5" t="s">
        <v>5077</v>
      </c>
      <c r="C1910" s="5" t="s">
        <v>94</v>
      </c>
      <c r="D1910" s="5" t="s">
        <v>95</v>
      </c>
      <c r="E1910" s="5" t="s">
        <v>54</v>
      </c>
      <c r="F1910" s="9" t="s">
        <v>55</v>
      </c>
      <c r="G1910" s="9">
        <v>1083</v>
      </c>
      <c r="H1910" s="5" t="s">
        <v>21</v>
      </c>
      <c r="I1910" s="5" t="s">
        <v>5080</v>
      </c>
      <c r="J1910" s="12" t="str">
        <f>HYPERLINK("https://www.boe.es/gazeta/dias/1808/08/26/pdfs/GMD-1808-117.pdf#page=5","Abrir facsímil")</f>
        <v>Abrir facsímil</v>
      </c>
      <c r="K1910" s="15" t="s">
        <v>23</v>
      </c>
    </row>
    <row r="1911" spans="1:11" ht="42" customHeight="1">
      <c r="A1911" s="4" t="s">
        <v>5076</v>
      </c>
      <c r="B1911" s="5" t="s">
        <v>5077</v>
      </c>
      <c r="C1911" s="5" t="s">
        <v>94</v>
      </c>
      <c r="D1911" s="5" t="s">
        <v>95</v>
      </c>
      <c r="E1911" s="5" t="s">
        <v>89</v>
      </c>
      <c r="F1911" s="9" t="s">
        <v>90</v>
      </c>
      <c r="G1911" s="9">
        <v>1358</v>
      </c>
      <c r="H1911" s="5" t="s">
        <v>21</v>
      </c>
      <c r="I1911" s="5" t="s">
        <v>5081</v>
      </c>
      <c r="J1911" s="12" t="str">
        <f>HYPERLINK("https://www.boe.es/gazeta/dias/1808/10/25/pdfs/GMD-1808-137.pdf#page=6","Abrir facsímil")</f>
        <v>Abrir facsímil</v>
      </c>
      <c r="K1911" s="15" t="s">
        <v>23</v>
      </c>
    </row>
    <row r="1912" spans="1:11" ht="42" customHeight="1">
      <c r="A1912" s="4" t="s">
        <v>5076</v>
      </c>
      <c r="B1912" s="5" t="s">
        <v>5077</v>
      </c>
      <c r="C1912" s="5" t="s">
        <v>94</v>
      </c>
      <c r="D1912" s="5" t="s">
        <v>95</v>
      </c>
      <c r="E1912" s="5" t="s">
        <v>73</v>
      </c>
      <c r="F1912" s="9" t="s">
        <v>1570</v>
      </c>
      <c r="G1912" s="9">
        <v>1481</v>
      </c>
      <c r="H1912" s="5" t="s">
        <v>21</v>
      </c>
      <c r="I1912" s="5" t="s">
        <v>5082</v>
      </c>
      <c r="J1912" s="12" t="str">
        <f>HYPERLINK("https://www.boe.es/gazeta/dias/1808/11/11/pdfs/GMD-C-1808-143.pdf#page=11","Abrir facsímil")</f>
        <v>Abrir facsímil</v>
      </c>
      <c r="K1912" s="15" t="s">
        <v>23</v>
      </c>
    </row>
    <row r="1913" spans="1:11" ht="42" customHeight="1">
      <c r="A1913" s="4" t="s">
        <v>5083</v>
      </c>
      <c r="B1913" s="5" t="s">
        <v>5084</v>
      </c>
      <c r="C1913" s="5" t="s">
        <v>33</v>
      </c>
      <c r="D1913" s="5" t="s">
        <v>34</v>
      </c>
      <c r="E1913" s="5" t="s">
        <v>115</v>
      </c>
      <c r="F1913" s="9" t="s">
        <v>116</v>
      </c>
      <c r="G1913" s="9" t="s">
        <v>106</v>
      </c>
      <c r="H1913" s="5" t="s">
        <v>21</v>
      </c>
      <c r="I1913" s="5" t="s">
        <v>5085</v>
      </c>
      <c r="J1913" s="12" t="str">
        <f>HYPERLINK("https://www.boe.es/gazeta/dias/1808/09/16/pdfs/GMD-C-1808-125.pdf#page=3","Abrir facsímil")</f>
        <v>Abrir facsímil</v>
      </c>
      <c r="K1913" s="15" t="s">
        <v>23</v>
      </c>
    </row>
    <row r="1914" spans="1:11" ht="42" customHeight="1">
      <c r="A1914" s="4" t="s">
        <v>5086</v>
      </c>
      <c r="B1914" s="5" t="s">
        <v>5087</v>
      </c>
      <c r="C1914" s="5" t="s">
        <v>17</v>
      </c>
      <c r="D1914" s="5" t="s">
        <v>18</v>
      </c>
      <c r="E1914" s="5" t="s">
        <v>68</v>
      </c>
      <c r="F1914" s="9" t="s">
        <v>69</v>
      </c>
      <c r="G1914" s="9">
        <v>1337</v>
      </c>
      <c r="H1914" s="5" t="s">
        <v>21</v>
      </c>
      <c r="I1914" s="5" t="s">
        <v>5088</v>
      </c>
      <c r="J1914" s="12" t="str">
        <f>HYPERLINK("https://www.boe.es/gazeta/dias/1808/10/21/pdfs/GMD-1808-136.pdf#page=9","Abrir facsímil")</f>
        <v>Abrir facsímil</v>
      </c>
      <c r="K1914" s="15" t="s">
        <v>23</v>
      </c>
    </row>
    <row r="1915" spans="1:11" ht="42" customHeight="1">
      <c r="A1915" s="4" t="s">
        <v>5089</v>
      </c>
      <c r="B1915" s="5" t="s">
        <v>5090</v>
      </c>
      <c r="C1915" s="5" t="s">
        <v>17</v>
      </c>
      <c r="D1915" s="5" t="s">
        <v>18</v>
      </c>
      <c r="E1915" s="5" t="s">
        <v>54</v>
      </c>
      <c r="F1915" s="9" t="s">
        <v>55</v>
      </c>
      <c r="G1915" s="9">
        <v>1079</v>
      </c>
      <c r="H1915" s="5" t="s">
        <v>21</v>
      </c>
      <c r="I1915" s="5" t="s">
        <v>5091</v>
      </c>
      <c r="J1915" s="12" t="str">
        <f>HYPERLINK("https://www.boe.es/gazeta/dias/1808/08/26/pdfs/GMD-1808-117.pdf#page=1","Abrir facsímil")</f>
        <v>Abrir facsímil</v>
      </c>
      <c r="K1915" s="15" t="s">
        <v>23</v>
      </c>
    </row>
    <row r="1916" spans="1:11" ht="42" customHeight="1">
      <c r="A1916" s="4" t="s">
        <v>5092</v>
      </c>
      <c r="B1916" s="5" t="s">
        <v>5093</v>
      </c>
      <c r="C1916" s="5" t="s">
        <v>17</v>
      </c>
      <c r="D1916" s="5" t="s">
        <v>18</v>
      </c>
      <c r="E1916" s="5" t="s">
        <v>427</v>
      </c>
      <c r="F1916" s="9" t="s">
        <v>1802</v>
      </c>
      <c r="G1916" s="9">
        <v>1525</v>
      </c>
      <c r="H1916" s="5" t="s">
        <v>21</v>
      </c>
      <c r="I1916" s="5" t="s">
        <v>5094</v>
      </c>
      <c r="J1916" s="12" t="str">
        <f>HYPERLINK("https://www.boe.es/gazeta/dias/1808/11/22/pdfs/GMD-1808-146.pdf#page=11","Abrir facsímil")</f>
        <v>Abrir facsímil</v>
      </c>
      <c r="K1916" s="15" t="s">
        <v>23</v>
      </c>
    </row>
    <row r="1917" spans="1:11" ht="42" customHeight="1">
      <c r="A1917" s="4" t="s">
        <v>5095</v>
      </c>
      <c r="B1917" s="5" t="s">
        <v>5096</v>
      </c>
      <c r="C1917" s="5" t="s">
        <v>33</v>
      </c>
      <c r="D1917" s="5" t="s">
        <v>34</v>
      </c>
      <c r="E1917" s="5" t="s">
        <v>35</v>
      </c>
      <c r="F1917" s="9" t="s">
        <v>36</v>
      </c>
      <c r="G1917" s="9" t="s">
        <v>75</v>
      </c>
      <c r="H1917" s="5" t="s">
        <v>21</v>
      </c>
      <c r="I1917" s="5" t="s">
        <v>5097</v>
      </c>
      <c r="J1917" s="12" t="str">
        <f>HYPERLINK("https://www.boe.es/gazeta/dias/1808/04/22/pdfs/GMD-C-1808-38.pdf#page=4","Abrir facsímil")</f>
        <v>Abrir facsímil</v>
      </c>
      <c r="K1917" s="15" t="s">
        <v>23</v>
      </c>
    </row>
    <row r="1918" spans="1:11" ht="42" customHeight="1">
      <c r="A1918" s="4" t="s">
        <v>5098</v>
      </c>
      <c r="B1918" s="5" t="s">
        <v>5099</v>
      </c>
      <c r="C1918" s="5" t="s">
        <v>17</v>
      </c>
      <c r="D1918" s="5" t="s">
        <v>18</v>
      </c>
      <c r="E1918" s="5" t="s">
        <v>218</v>
      </c>
      <c r="F1918" s="9" t="s">
        <v>219</v>
      </c>
      <c r="G1918" s="9">
        <v>331</v>
      </c>
      <c r="H1918" s="5" t="s">
        <v>21</v>
      </c>
      <c r="I1918" s="5" t="s">
        <v>5100</v>
      </c>
      <c r="J1918" s="12" t="str">
        <f>HYPERLINK("https://www.boe.es/gazeta/dias/1808/04/01/pdfs/GMD-1808-29.pdf#page=7","Abrir facsímil")</f>
        <v>Abrir facsímil</v>
      </c>
      <c r="K1918" s="15" t="s">
        <v>23</v>
      </c>
    </row>
    <row r="1919" spans="1:11" ht="42" customHeight="1">
      <c r="A1919" s="4" t="s">
        <v>5098</v>
      </c>
      <c r="B1919" s="5" t="s">
        <v>5099</v>
      </c>
      <c r="C1919" s="5" t="s">
        <v>17</v>
      </c>
      <c r="D1919" s="5" t="s">
        <v>18</v>
      </c>
      <c r="E1919" s="5" t="s">
        <v>1791</v>
      </c>
      <c r="F1919" s="9" t="s">
        <v>2814</v>
      </c>
      <c r="G1919" s="9">
        <v>930</v>
      </c>
      <c r="H1919" s="5" t="s">
        <v>21</v>
      </c>
      <c r="I1919" s="5" t="s">
        <v>5101</v>
      </c>
      <c r="J1919" s="12" t="str">
        <f>HYPERLINK("https://www.boe.es/gazeta/dias/1808/07/30/pdfs/GMD-1808-102.pdf#page=4","Abrir facsímil")</f>
        <v>Abrir facsímil</v>
      </c>
      <c r="K1919" s="15" t="s">
        <v>23</v>
      </c>
    </row>
    <row r="1920" spans="1:11" ht="42" customHeight="1">
      <c r="A1920" s="4" t="s">
        <v>5102</v>
      </c>
      <c r="B1920" s="5" t="s">
        <v>5103</v>
      </c>
      <c r="C1920" s="5" t="s">
        <v>33</v>
      </c>
      <c r="D1920" s="5" t="s">
        <v>34</v>
      </c>
      <c r="E1920" s="5" t="s">
        <v>35</v>
      </c>
      <c r="F1920" s="9" t="s">
        <v>36</v>
      </c>
      <c r="G1920" s="9" t="s">
        <v>1075</v>
      </c>
      <c r="H1920" s="5" t="s">
        <v>21</v>
      </c>
      <c r="I1920" s="5" t="s">
        <v>5104</v>
      </c>
      <c r="J1920" s="12" t="str">
        <f>HYPERLINK("https://www.boe.es/gazeta/dias/1808/04/22/pdfs/GMD-C-1808-38.pdf#page=32","Abrir facsímil")</f>
        <v>Abrir facsímil</v>
      </c>
      <c r="K1920" s="15" t="s">
        <v>23</v>
      </c>
    </row>
    <row r="1921" spans="1:11" ht="42" customHeight="1">
      <c r="A1921" s="4" t="s">
        <v>5105</v>
      </c>
      <c r="B1921" s="5" t="s">
        <v>5106</v>
      </c>
      <c r="C1921" s="5" t="s">
        <v>389</v>
      </c>
      <c r="D1921" s="5" t="s">
        <v>390</v>
      </c>
      <c r="E1921" s="5" t="s">
        <v>35</v>
      </c>
      <c r="F1921" s="9" t="s">
        <v>36</v>
      </c>
      <c r="G1921" s="9" t="s">
        <v>322</v>
      </c>
      <c r="H1921" s="5" t="s">
        <v>21</v>
      </c>
      <c r="I1921" s="5" t="s">
        <v>5107</v>
      </c>
      <c r="J1921" s="12" t="str">
        <f>HYPERLINK("https://www.boe.es/gazeta/dias/1808/04/22/pdfs/GMD-C-1808-38.pdf#page=15","Abrir facsímil")</f>
        <v>Abrir facsímil</v>
      </c>
      <c r="K1921" s="15" t="s">
        <v>23</v>
      </c>
    </row>
    <row r="1922" spans="1:11" ht="42" customHeight="1">
      <c r="A1922" s="4" t="s">
        <v>5108</v>
      </c>
      <c r="B1922" s="5" t="s">
        <v>5109</v>
      </c>
      <c r="C1922" s="5" t="s">
        <v>33</v>
      </c>
      <c r="D1922" s="5" t="s">
        <v>34</v>
      </c>
      <c r="E1922" s="5" t="s">
        <v>65</v>
      </c>
      <c r="F1922" s="9" t="s">
        <v>691</v>
      </c>
      <c r="G1922" s="9">
        <v>1327</v>
      </c>
      <c r="H1922" s="5" t="s">
        <v>21</v>
      </c>
      <c r="I1922" s="5" t="s">
        <v>5110</v>
      </c>
      <c r="J1922" s="12" t="str">
        <f>HYPERLINK("https://www.boe.es/gazeta/dias/1808/10/18/pdfs/GMD-C-1808-135.pdf#page=11","Abrir facsímil")</f>
        <v>Abrir facsímil</v>
      </c>
      <c r="K1922" s="15" t="s">
        <v>23</v>
      </c>
    </row>
    <row r="1923" spans="1:11" ht="42" customHeight="1">
      <c r="A1923" s="4" t="s">
        <v>5111</v>
      </c>
      <c r="B1923" s="5" t="s">
        <v>5112</v>
      </c>
      <c r="C1923" s="5" t="s">
        <v>33</v>
      </c>
      <c r="D1923" s="5" t="s">
        <v>34</v>
      </c>
      <c r="E1923" s="5" t="s">
        <v>197</v>
      </c>
      <c r="F1923" s="9" t="s">
        <v>198</v>
      </c>
      <c r="G1923" s="9" t="s">
        <v>75</v>
      </c>
      <c r="H1923" s="5" t="s">
        <v>21</v>
      </c>
      <c r="I1923" s="5" t="s">
        <v>5113</v>
      </c>
      <c r="J1923" s="12" t="str">
        <f>HYPERLINK("https://www.boe.es/gazeta/dias/1808/11/01/pdfs/GMD-D-1808-140.pdf#page=4","Abrir facsímil")</f>
        <v>Abrir facsímil</v>
      </c>
      <c r="K1923" s="15" t="s">
        <v>23</v>
      </c>
    </row>
    <row r="1924" spans="1:11" ht="42" customHeight="1">
      <c r="A1924" s="4" t="s">
        <v>5114</v>
      </c>
      <c r="B1924" s="5" t="s">
        <v>5115</v>
      </c>
      <c r="C1924" s="5" t="s">
        <v>94</v>
      </c>
      <c r="D1924" s="5" t="s">
        <v>95</v>
      </c>
      <c r="E1924" s="5" t="s">
        <v>51</v>
      </c>
      <c r="F1924" s="9" t="s">
        <v>52</v>
      </c>
      <c r="G1924" s="9">
        <v>990</v>
      </c>
      <c r="H1924" s="5" t="s">
        <v>21</v>
      </c>
      <c r="I1924" s="5" t="s">
        <v>5116</v>
      </c>
      <c r="J1924" s="12" t="str">
        <f>HYPERLINK("https://www.boe.es/gazeta/dias/1808/08/09/pdfs/GMD-1808-111.pdf#page=6","Abrir facsímil")</f>
        <v>Abrir facsímil</v>
      </c>
      <c r="K1924" s="15" t="s">
        <v>23</v>
      </c>
    </row>
    <row r="1925" spans="1:11" ht="42" customHeight="1">
      <c r="A1925" s="4" t="s">
        <v>5117</v>
      </c>
      <c r="B1925" s="5" t="s">
        <v>5118</v>
      </c>
      <c r="C1925" s="5" t="s">
        <v>17</v>
      </c>
      <c r="D1925" s="5" t="s">
        <v>18</v>
      </c>
      <c r="E1925" s="5" t="s">
        <v>89</v>
      </c>
      <c r="F1925" s="9" t="s">
        <v>90</v>
      </c>
      <c r="G1925" s="9">
        <v>1363</v>
      </c>
      <c r="H1925" s="5" t="s">
        <v>21</v>
      </c>
      <c r="I1925" s="5" t="s">
        <v>5119</v>
      </c>
      <c r="J1925" s="12" t="str">
        <f>HYPERLINK("https://www.boe.es/gazeta/dias/1808/10/25/pdfs/GMD-1808-137.pdf#page=11","Abrir facsímil")</f>
        <v>Abrir facsímil</v>
      </c>
      <c r="K1925" s="15" t="s">
        <v>23</v>
      </c>
    </row>
    <row r="1926" spans="1:11" ht="42" customHeight="1">
      <c r="A1926" s="4" t="s">
        <v>5117</v>
      </c>
      <c r="B1926" s="5" t="s">
        <v>5118</v>
      </c>
      <c r="C1926" s="5" t="s">
        <v>41</v>
      </c>
      <c r="D1926" s="5" t="s">
        <v>42</v>
      </c>
      <c r="E1926" s="5" t="s">
        <v>73</v>
      </c>
      <c r="F1926" s="9" t="s">
        <v>581</v>
      </c>
      <c r="G1926" s="9">
        <v>1469</v>
      </c>
      <c r="H1926" s="5" t="s">
        <v>21</v>
      </c>
      <c r="I1926" s="5" t="s">
        <v>5120</v>
      </c>
      <c r="J1926" s="12" t="str">
        <f>HYPERLINK("https://www.boe.es/gazeta/dias/1808/11/11/pdfs/GMD-1808-143.pdf#page=11","Abrir facsímil")</f>
        <v>Abrir facsímil</v>
      </c>
      <c r="K1926" s="15" t="s">
        <v>23</v>
      </c>
    </row>
    <row r="1927" spans="1:11" ht="42" customHeight="1">
      <c r="A1927" s="4" t="s">
        <v>5121</v>
      </c>
      <c r="B1927" s="5" t="s">
        <v>5122</v>
      </c>
      <c r="C1927" s="5" t="s">
        <v>33</v>
      </c>
      <c r="D1927" s="5" t="s">
        <v>34</v>
      </c>
      <c r="E1927" s="5" t="s">
        <v>35</v>
      </c>
      <c r="F1927" s="9" t="s">
        <v>36</v>
      </c>
      <c r="G1927" s="9" t="s">
        <v>956</v>
      </c>
      <c r="H1927" s="5" t="s">
        <v>21</v>
      </c>
      <c r="I1927" s="5" t="s">
        <v>5123</v>
      </c>
      <c r="J1927" s="12" t="str">
        <f>HYPERLINK("https://www.boe.es/gazeta/dias/1808/04/22/pdfs/GMD-C-1808-38.pdf#page=41","Abrir facsímil")</f>
        <v>Abrir facsímil</v>
      </c>
      <c r="K1927" s="15" t="s">
        <v>23</v>
      </c>
    </row>
    <row r="1928" spans="1:11" ht="42" customHeight="1">
      <c r="A1928" s="4" t="s">
        <v>5124</v>
      </c>
      <c r="B1928" s="5" t="s">
        <v>5125</v>
      </c>
      <c r="C1928" s="5" t="s">
        <v>33</v>
      </c>
      <c r="D1928" s="5" t="s">
        <v>34</v>
      </c>
      <c r="E1928" s="5" t="s">
        <v>197</v>
      </c>
      <c r="F1928" s="9" t="s">
        <v>198</v>
      </c>
      <c r="G1928" s="9" t="s">
        <v>117</v>
      </c>
      <c r="H1928" s="5" t="s">
        <v>21</v>
      </c>
      <c r="I1928" s="5" t="s">
        <v>5126</v>
      </c>
      <c r="J1928" s="12" t="str">
        <f>HYPERLINK("https://www.boe.es/gazeta/dias/1808/11/01/pdfs/GMD-D-1808-140.pdf#page=1","Abrir facsímil")</f>
        <v>Abrir facsímil</v>
      </c>
      <c r="K1928" s="15" t="s">
        <v>23</v>
      </c>
    </row>
    <row r="1929" spans="1:11" ht="42" customHeight="1">
      <c r="A1929" s="4" t="s">
        <v>5127</v>
      </c>
      <c r="B1929" s="5" t="s">
        <v>5128</v>
      </c>
      <c r="C1929" s="5" t="s">
        <v>33</v>
      </c>
      <c r="D1929" s="5" t="s">
        <v>34</v>
      </c>
      <c r="E1929" s="5" t="s">
        <v>28</v>
      </c>
      <c r="F1929" s="9" t="s">
        <v>446</v>
      </c>
      <c r="G1929" s="9" t="s">
        <v>199</v>
      </c>
      <c r="H1929" s="5" t="s">
        <v>21</v>
      </c>
      <c r="I1929" s="5" t="s">
        <v>5129</v>
      </c>
      <c r="J1929" s="12" t="str">
        <f>HYPERLINK("https://www.boe.es/gazeta/dias/1808/11/04/pdfs/GMD-D-1808-141.pdf#page=2","Abrir facsímil")</f>
        <v>Abrir facsímil</v>
      </c>
      <c r="K1929" s="15" t="s">
        <v>23</v>
      </c>
    </row>
    <row r="1930" spans="1:11" ht="42" customHeight="1">
      <c r="A1930" s="4" t="s">
        <v>5130</v>
      </c>
      <c r="B1930" s="5" t="s">
        <v>5131</v>
      </c>
      <c r="C1930" s="5" t="s">
        <v>41</v>
      </c>
      <c r="D1930" s="5" t="s">
        <v>42</v>
      </c>
      <c r="E1930" s="5" t="s">
        <v>153</v>
      </c>
      <c r="F1930" s="9" t="s">
        <v>154</v>
      </c>
      <c r="G1930" s="9" t="s">
        <v>117</v>
      </c>
      <c r="H1930" s="5" t="s">
        <v>21</v>
      </c>
      <c r="I1930" s="5" t="s">
        <v>5132</v>
      </c>
      <c r="J1930" s="12" t="str">
        <f>HYPERLINK("https://www.boe.es/gazeta/dias/1808/09/09/pdfs/GMD-C-1808-121.pdf#page=1","Abrir facsímil")</f>
        <v>Abrir facsímil</v>
      </c>
      <c r="K1930" s="15" t="s">
        <v>23</v>
      </c>
    </row>
    <row r="1931" spans="1:11" ht="42" customHeight="1">
      <c r="A1931" s="4" t="s">
        <v>5133</v>
      </c>
      <c r="B1931" s="5" t="s">
        <v>5134</v>
      </c>
      <c r="C1931" s="5" t="s">
        <v>33</v>
      </c>
      <c r="D1931" s="5" t="s">
        <v>34</v>
      </c>
      <c r="E1931" s="5" t="s">
        <v>35</v>
      </c>
      <c r="F1931" s="9" t="s">
        <v>36</v>
      </c>
      <c r="G1931" s="9" t="s">
        <v>501</v>
      </c>
      <c r="H1931" s="5" t="s">
        <v>21</v>
      </c>
      <c r="I1931" s="5" t="s">
        <v>5135</v>
      </c>
      <c r="J1931" s="12" t="str">
        <f>HYPERLINK("https://www.boe.es/gazeta/dias/1808/04/22/pdfs/GMD-C-1808-38.pdf#page=5","Abrir facsímil")</f>
        <v>Abrir facsímil</v>
      </c>
      <c r="K1931" s="15" t="s">
        <v>23</v>
      </c>
    </row>
    <row r="1932" spans="1:11" ht="42" customHeight="1">
      <c r="A1932" s="4" t="s">
        <v>5136</v>
      </c>
      <c r="B1932" s="5" t="s">
        <v>5137</v>
      </c>
      <c r="C1932" s="5" t="s">
        <v>41</v>
      </c>
      <c r="D1932" s="5" t="s">
        <v>42</v>
      </c>
      <c r="E1932" s="5" t="s">
        <v>427</v>
      </c>
      <c r="F1932" s="9" t="s">
        <v>428</v>
      </c>
      <c r="G1932" s="9" t="s">
        <v>199</v>
      </c>
      <c r="H1932" s="5" t="s">
        <v>21</v>
      </c>
      <c r="I1932" s="5" t="s">
        <v>5138</v>
      </c>
      <c r="J1932" s="12" t="str">
        <f>HYPERLINK("https://www.boe.es/gazeta/dias/1808/11/22/pdfs/GMD-D-1808-146.pdf#page=2","Abrir facsímil")</f>
        <v>Abrir facsímil</v>
      </c>
      <c r="K1932" s="15" t="s">
        <v>23</v>
      </c>
    </row>
    <row r="1933" spans="1:11" ht="42" customHeight="1">
      <c r="A1933" s="4" t="s">
        <v>5139</v>
      </c>
      <c r="B1933" s="5" t="s">
        <v>5140</v>
      </c>
      <c r="C1933" s="5" t="s">
        <v>33</v>
      </c>
      <c r="D1933" s="5" t="s">
        <v>34</v>
      </c>
      <c r="E1933" s="5" t="s">
        <v>35</v>
      </c>
      <c r="F1933" s="9" t="s">
        <v>36</v>
      </c>
      <c r="G1933" s="9" t="s">
        <v>867</v>
      </c>
      <c r="H1933" s="5" t="s">
        <v>21</v>
      </c>
      <c r="I1933" s="5" t="s">
        <v>5141</v>
      </c>
      <c r="J1933" s="12" t="str">
        <f>HYPERLINK("https://www.boe.es/gazeta/dias/1808/04/22/pdfs/GMD-C-1808-38.pdf#page=19","Abrir facsímil")</f>
        <v>Abrir facsímil</v>
      </c>
      <c r="K1933" s="15" t="s">
        <v>23</v>
      </c>
    </row>
    <row r="1934" spans="1:11" ht="42" customHeight="1">
      <c r="A1934" s="4" t="s">
        <v>5142</v>
      </c>
      <c r="B1934" s="5" t="s">
        <v>5143</v>
      </c>
      <c r="C1934" s="5" t="s">
        <v>33</v>
      </c>
      <c r="D1934" s="5" t="s">
        <v>34</v>
      </c>
      <c r="E1934" s="5" t="s">
        <v>19</v>
      </c>
      <c r="F1934" s="9" t="s">
        <v>949</v>
      </c>
      <c r="G1934" s="9" t="s">
        <v>106</v>
      </c>
      <c r="H1934" s="5" t="s">
        <v>21</v>
      </c>
      <c r="I1934" s="5" t="s">
        <v>5144</v>
      </c>
      <c r="J1934" s="12" t="str">
        <f>HYPERLINK("https://www.boe.es/gazeta/dias/1808/09/30/pdfs/GMD-C-1808-130.pdf#page=3","Abrir facsímil")</f>
        <v>Abrir facsímil</v>
      </c>
      <c r="K1934" s="15" t="s">
        <v>23</v>
      </c>
    </row>
    <row r="1935" spans="1:11" ht="42" customHeight="1">
      <c r="A1935" s="4" t="s">
        <v>5145</v>
      </c>
      <c r="B1935" s="5" t="s">
        <v>5146</v>
      </c>
      <c r="C1935" s="5" t="s">
        <v>33</v>
      </c>
      <c r="D1935" s="5" t="s">
        <v>34</v>
      </c>
      <c r="E1935" s="5" t="s">
        <v>35</v>
      </c>
      <c r="F1935" s="9" t="s">
        <v>36</v>
      </c>
      <c r="G1935" s="9" t="s">
        <v>443</v>
      </c>
      <c r="H1935" s="5" t="s">
        <v>21</v>
      </c>
      <c r="I1935" s="5" t="s">
        <v>5147</v>
      </c>
      <c r="J1935" s="12" t="str">
        <f>HYPERLINK("https://www.boe.es/gazeta/dias/1808/04/22/pdfs/GMD-C-1808-38.pdf#page=16","Abrir facsímil")</f>
        <v>Abrir facsímil</v>
      </c>
      <c r="K1935" s="15" t="s">
        <v>23</v>
      </c>
    </row>
    <row r="1936" spans="1:11" ht="42" customHeight="1">
      <c r="A1936" s="4" t="s">
        <v>5148</v>
      </c>
      <c r="B1936" s="5" t="s">
        <v>5149</v>
      </c>
      <c r="C1936" s="5" t="s">
        <v>17</v>
      </c>
      <c r="D1936" s="5" t="s">
        <v>18</v>
      </c>
      <c r="E1936" s="5" t="s">
        <v>461</v>
      </c>
      <c r="F1936" s="9" t="s">
        <v>733</v>
      </c>
      <c r="G1936" s="9">
        <v>1447</v>
      </c>
      <c r="H1936" s="5" t="s">
        <v>21</v>
      </c>
      <c r="I1936" s="5" t="s">
        <v>5150</v>
      </c>
      <c r="J1936" s="12" t="str">
        <f>HYPERLINK("https://www.boe.es/gazeta/dias/1808/11/08/pdfs/GMD-1808-142.pdf#page=9","Abrir facsímil")</f>
        <v>Abrir facsímil</v>
      </c>
      <c r="K1936" s="15" t="s">
        <v>23</v>
      </c>
    </row>
    <row r="1937" spans="1:11" ht="42" customHeight="1">
      <c r="A1937" s="4" t="s">
        <v>5151</v>
      </c>
      <c r="B1937" s="5" t="s">
        <v>5152</v>
      </c>
      <c r="C1937" s="5" t="s">
        <v>260</v>
      </c>
      <c r="D1937" s="5" t="s">
        <v>42</v>
      </c>
      <c r="E1937" s="5" t="s">
        <v>3381</v>
      </c>
      <c r="F1937" s="9" t="s">
        <v>3382</v>
      </c>
      <c r="G1937" s="9">
        <v>367</v>
      </c>
      <c r="H1937" s="5" t="s">
        <v>21</v>
      </c>
      <c r="I1937" s="5" t="s">
        <v>5153</v>
      </c>
      <c r="J1937" s="12" t="str">
        <f>HYPERLINK("https://www.boe.es/gazeta/dias/1808/04/12/pdfs/GMD-1808-34.pdf#page=5","Abrir facsímil")</f>
        <v>Abrir facsímil</v>
      </c>
      <c r="K1937" s="15" t="s">
        <v>23</v>
      </c>
    </row>
    <row r="1938" spans="1:11" ht="42" customHeight="1">
      <c r="A1938" s="4" t="s">
        <v>5154</v>
      </c>
      <c r="B1938" s="5" t="s">
        <v>5155</v>
      </c>
      <c r="C1938" s="5" t="s">
        <v>26</v>
      </c>
      <c r="D1938" s="5" t="s">
        <v>27</v>
      </c>
      <c r="E1938" s="5" t="s">
        <v>89</v>
      </c>
      <c r="F1938" s="9" t="s">
        <v>563</v>
      </c>
      <c r="G1938" s="9" t="s">
        <v>117</v>
      </c>
      <c r="H1938" s="5" t="s">
        <v>21</v>
      </c>
      <c r="I1938" s="5" t="s">
        <v>5156</v>
      </c>
      <c r="J1938" s="12" t="str">
        <f>HYPERLINK("https://www.boe.es/gazeta/dias/1808/10/25/pdfs/GMD-D-1808-137.pdf#page=1","Abrir facsímil")</f>
        <v>Abrir facsímil</v>
      </c>
      <c r="K1938" s="15" t="s">
        <v>23</v>
      </c>
    </row>
    <row r="1939" spans="1:11" ht="42" customHeight="1">
      <c r="A1939" s="4" t="s">
        <v>5157</v>
      </c>
      <c r="B1939" s="5" t="s">
        <v>5158</v>
      </c>
      <c r="C1939" s="5" t="s">
        <v>33</v>
      </c>
      <c r="D1939" s="5" t="s">
        <v>34</v>
      </c>
      <c r="E1939" s="5" t="s">
        <v>558</v>
      </c>
      <c r="F1939" s="9" t="s">
        <v>758</v>
      </c>
      <c r="G1939" s="9" t="s">
        <v>199</v>
      </c>
      <c r="H1939" s="5" t="s">
        <v>21</v>
      </c>
      <c r="I1939" s="5" t="s">
        <v>5159</v>
      </c>
      <c r="J1939" s="12" t="str">
        <f>HYPERLINK("https://www.boe.es/gazeta/dias/1808/11/25/pdfs/GMD-E-1808-147.pdf#page=2","Abrir facsímil")</f>
        <v>Abrir facsímil</v>
      </c>
      <c r="K1939" s="15" t="s">
        <v>23</v>
      </c>
    </row>
    <row r="1940" spans="1:11" ht="42" customHeight="1">
      <c r="A1940" s="4" t="s">
        <v>5160</v>
      </c>
      <c r="B1940" s="5" t="s">
        <v>5161</v>
      </c>
      <c r="C1940" s="5" t="s">
        <v>17</v>
      </c>
      <c r="D1940" s="5" t="s">
        <v>18</v>
      </c>
      <c r="E1940" s="5" t="s">
        <v>185</v>
      </c>
      <c r="F1940" s="9" t="s">
        <v>186</v>
      </c>
      <c r="G1940" s="9">
        <v>1103</v>
      </c>
      <c r="H1940" s="5" t="s">
        <v>21</v>
      </c>
      <c r="I1940" s="5" t="s">
        <v>5162</v>
      </c>
      <c r="J1940" s="12" t="str">
        <f>HYPERLINK("https://www.boe.es/gazeta/dias/1808/08/30/pdfs/GMD-1808-118.pdf#page=9","Abrir facsímil")</f>
        <v>Abrir facsímil</v>
      </c>
      <c r="K1940" s="15" t="s">
        <v>23</v>
      </c>
    </row>
    <row r="1941" spans="1:11" ht="42" customHeight="1">
      <c r="A1941" s="4" t="s">
        <v>5163</v>
      </c>
      <c r="B1941" s="5" t="s">
        <v>5164</v>
      </c>
      <c r="C1941" s="5" t="s">
        <v>33</v>
      </c>
      <c r="D1941" s="5" t="s">
        <v>34</v>
      </c>
      <c r="E1941" s="5" t="s">
        <v>391</v>
      </c>
      <c r="F1941" s="9" t="s">
        <v>588</v>
      </c>
      <c r="G1941" s="9" t="s">
        <v>117</v>
      </c>
      <c r="H1941" s="5" t="s">
        <v>21</v>
      </c>
      <c r="I1941" s="5" t="s">
        <v>5165</v>
      </c>
      <c r="J1941" s="12" t="str">
        <f>HYPERLINK("https://www.boe.es/gazeta/dias/1808/09/27/pdfs/GMD-C-1808-128.pdf#page=1","Abrir facsímil")</f>
        <v>Abrir facsímil</v>
      </c>
      <c r="K1941" s="15" t="s">
        <v>23</v>
      </c>
    </row>
    <row r="1942" spans="1:11" ht="42" customHeight="1">
      <c r="A1942" s="4" t="s">
        <v>5166</v>
      </c>
      <c r="B1942" s="5" t="s">
        <v>5167</v>
      </c>
      <c r="C1942" s="5" t="s">
        <v>41</v>
      </c>
      <c r="D1942" s="5" t="s">
        <v>42</v>
      </c>
      <c r="E1942" s="5" t="s">
        <v>130</v>
      </c>
      <c r="F1942" s="9" t="s">
        <v>131</v>
      </c>
      <c r="G1942" s="9">
        <v>1603</v>
      </c>
      <c r="H1942" s="5" t="s">
        <v>21</v>
      </c>
      <c r="I1942" s="5" t="s">
        <v>5168</v>
      </c>
      <c r="J1942" s="12" t="str">
        <f>HYPERLINK("https://www.boe.es/gazeta/dias/1808/12/15/pdfs/GMD-1808-155.pdf#page=7","Abrir facsímil")</f>
        <v>Abrir facsímil</v>
      </c>
      <c r="K1942" s="15" t="s">
        <v>23</v>
      </c>
    </row>
    <row r="1943" spans="1:11" ht="42" customHeight="1">
      <c r="A1943" s="4" t="s">
        <v>5169</v>
      </c>
      <c r="B1943" s="5" t="s">
        <v>5170</v>
      </c>
      <c r="C1943" s="5" t="s">
        <v>94</v>
      </c>
      <c r="D1943" s="5" t="s">
        <v>95</v>
      </c>
      <c r="E1943" s="5" t="s">
        <v>719</v>
      </c>
      <c r="F1943" s="9" t="s">
        <v>720</v>
      </c>
      <c r="G1943" s="9">
        <v>1611</v>
      </c>
      <c r="H1943" s="5" t="s">
        <v>21</v>
      </c>
      <c r="I1943" s="5" t="s">
        <v>5171</v>
      </c>
      <c r="J1943" s="12" t="str">
        <f>HYPERLINK("https://www.boe.es/gazeta/dias/1808/12/16/pdfs/GMD-1808-156.pdf#page=3","Abrir facsímil")</f>
        <v>Abrir facsímil</v>
      </c>
      <c r="K1943" s="15" t="s">
        <v>23</v>
      </c>
    </row>
    <row r="1944" spans="1:11" ht="42" customHeight="1">
      <c r="A1944" s="4" t="s">
        <v>5172</v>
      </c>
      <c r="B1944" s="5" t="s">
        <v>5173</v>
      </c>
      <c r="C1944" s="5" t="s">
        <v>33</v>
      </c>
      <c r="D1944" s="5" t="s">
        <v>34</v>
      </c>
      <c r="E1944" s="5" t="s">
        <v>19</v>
      </c>
      <c r="F1944" s="9" t="s">
        <v>949</v>
      </c>
      <c r="G1944" s="9" t="s">
        <v>117</v>
      </c>
      <c r="H1944" s="5" t="s">
        <v>21</v>
      </c>
      <c r="I1944" s="5" t="s">
        <v>5174</v>
      </c>
      <c r="J1944" s="12" t="str">
        <f>HYPERLINK("https://www.boe.es/gazeta/dias/1808/09/30/pdfs/GMD-C-1808-130.pdf#page=1","Abrir facsímil")</f>
        <v>Abrir facsímil</v>
      </c>
      <c r="K1944" s="15" t="s">
        <v>23</v>
      </c>
    </row>
    <row r="1945" spans="1:11" ht="42" customHeight="1">
      <c r="A1945" s="4" t="s">
        <v>5175</v>
      </c>
      <c r="B1945" s="5" t="s">
        <v>5176</v>
      </c>
      <c r="C1945" s="5" t="s">
        <v>41</v>
      </c>
      <c r="D1945" s="5" t="s">
        <v>42</v>
      </c>
      <c r="E1945" s="5" t="s">
        <v>139</v>
      </c>
      <c r="F1945" s="9" t="s">
        <v>3587</v>
      </c>
      <c r="G1945" s="9">
        <v>272</v>
      </c>
      <c r="H1945" s="5" t="s">
        <v>21</v>
      </c>
      <c r="I1945" s="5" t="s">
        <v>5177</v>
      </c>
      <c r="J1945" s="12" t="str">
        <f>HYPERLINK("https://www.boe.es/gazeta/dias/1808/09/23/pdfs/GMS-1808-34.pdf#page=8","Abrir facsímil")</f>
        <v>Abrir facsímil</v>
      </c>
      <c r="K1945" s="15" t="s">
        <v>23</v>
      </c>
    </row>
    <row r="1946" spans="1:11" ht="42" customHeight="1">
      <c r="A1946" s="4" t="s">
        <v>5178</v>
      </c>
      <c r="B1946" s="5" t="s">
        <v>5179</v>
      </c>
      <c r="C1946" s="5" t="s">
        <v>33</v>
      </c>
      <c r="D1946" s="5" t="s">
        <v>34</v>
      </c>
      <c r="E1946" s="5" t="s">
        <v>73</v>
      </c>
      <c r="F1946" s="9" t="s">
        <v>74</v>
      </c>
      <c r="G1946" s="9" t="s">
        <v>117</v>
      </c>
      <c r="H1946" s="5" t="s">
        <v>21</v>
      </c>
      <c r="I1946" s="5" t="s">
        <v>5180</v>
      </c>
      <c r="J1946" s="12" t="str">
        <f>HYPERLINK("https://www.boe.es/gazeta/dias/1808/11/11/pdfs/GMD-D-1808-143.pdf#page=1","Abrir facsímil")</f>
        <v>Abrir facsímil</v>
      </c>
      <c r="K1946" s="15" t="s">
        <v>23</v>
      </c>
    </row>
    <row r="1947" spans="1:11" ht="42" customHeight="1">
      <c r="A1947" s="4" t="s">
        <v>5181</v>
      </c>
      <c r="B1947" s="5" t="s">
        <v>5182</v>
      </c>
      <c r="C1947" s="5" t="s">
        <v>26</v>
      </c>
      <c r="D1947" s="5" t="s">
        <v>27</v>
      </c>
      <c r="E1947" s="5" t="s">
        <v>558</v>
      </c>
      <c r="F1947" s="9" t="s">
        <v>559</v>
      </c>
      <c r="G1947" s="9">
        <v>1543</v>
      </c>
      <c r="H1947" s="5" t="s">
        <v>21</v>
      </c>
      <c r="I1947" s="5" t="s">
        <v>5183</v>
      </c>
      <c r="J1947" s="12" t="str">
        <f>HYPERLINK("https://www.boe.es/gazeta/dias/1808/11/25/pdfs/GMD-1808-147.pdf#page=9","Abrir facsímil")</f>
        <v>Abrir facsímil</v>
      </c>
      <c r="K1947" s="15" t="s">
        <v>23</v>
      </c>
    </row>
    <row r="1948" spans="1:11" ht="42" customHeight="1">
      <c r="A1948" s="4" t="s">
        <v>5184</v>
      </c>
      <c r="B1948" s="5" t="s">
        <v>5185</v>
      </c>
      <c r="C1948" s="5" t="s">
        <v>17</v>
      </c>
      <c r="D1948" s="5" t="s">
        <v>18</v>
      </c>
      <c r="E1948" s="5" t="s">
        <v>1258</v>
      </c>
      <c r="F1948" s="9" t="s">
        <v>1259</v>
      </c>
      <c r="G1948" s="9">
        <v>890</v>
      </c>
      <c r="H1948" s="5" t="s">
        <v>21</v>
      </c>
      <c r="I1948" s="5" t="s">
        <v>5186</v>
      </c>
      <c r="J1948" s="12" t="str">
        <f>HYPERLINK("https://www.boe.es/gazeta/dias/1808/07/25/pdfs/GMD-1808-97.pdf#page=4","Abrir facsímil")</f>
        <v>Abrir facsímil</v>
      </c>
      <c r="K1948" s="15" t="s">
        <v>23</v>
      </c>
    </row>
    <row r="1949" spans="1:11" ht="42" customHeight="1">
      <c r="A1949" s="4" t="s">
        <v>5187</v>
      </c>
      <c r="B1949" s="5" t="s">
        <v>5188</v>
      </c>
      <c r="C1949" s="5" t="s">
        <v>33</v>
      </c>
      <c r="D1949" s="5" t="s">
        <v>34</v>
      </c>
      <c r="E1949" s="5" t="s">
        <v>125</v>
      </c>
      <c r="F1949" s="9" t="s">
        <v>126</v>
      </c>
      <c r="G1949" s="9" t="s">
        <v>75</v>
      </c>
      <c r="H1949" s="5" t="s">
        <v>21</v>
      </c>
      <c r="I1949" s="5" t="s">
        <v>5189</v>
      </c>
      <c r="J1949" s="12" t="str">
        <f>HYPERLINK("https://www.boe.es/gazeta/dias/1808/10/07/pdfs/GMD-C-1808-132.pdf#page=4","Abrir facsímil")</f>
        <v>Abrir facsímil</v>
      </c>
      <c r="K1949" s="15" t="s">
        <v>23</v>
      </c>
    </row>
    <row r="1950" spans="1:11" ht="42" customHeight="1">
      <c r="A1950" s="4" t="s">
        <v>5190</v>
      </c>
      <c r="B1950" s="5" t="s">
        <v>5191</v>
      </c>
      <c r="C1950" s="5" t="s">
        <v>17</v>
      </c>
      <c r="D1950" s="5" t="s">
        <v>18</v>
      </c>
      <c r="E1950" s="5" t="s">
        <v>1345</v>
      </c>
      <c r="F1950" s="9" t="s">
        <v>1346</v>
      </c>
      <c r="G1950" s="9">
        <v>83</v>
      </c>
      <c r="H1950" s="5" t="s">
        <v>21</v>
      </c>
      <c r="I1950" s="5" t="s">
        <v>5192</v>
      </c>
      <c r="J1950" s="12" t="str">
        <f>HYPERLINK("https://www.boe.es/gazeta/dias/1808/07/06/pdfs/GMS-1808-11.pdf#page=3","Abrir facsímil")</f>
        <v>Abrir facsímil</v>
      </c>
      <c r="K1950" s="15" t="s">
        <v>23</v>
      </c>
    </row>
    <row r="1951" spans="1:11" ht="42" customHeight="1">
      <c r="A1951" s="4" t="s">
        <v>5190</v>
      </c>
      <c r="B1951" s="5" t="s">
        <v>5191</v>
      </c>
      <c r="C1951" s="5" t="s">
        <v>17</v>
      </c>
      <c r="D1951" s="5" t="s">
        <v>18</v>
      </c>
      <c r="E1951" s="5" t="s">
        <v>714</v>
      </c>
      <c r="F1951" s="9" t="s">
        <v>715</v>
      </c>
      <c r="G1951" s="9">
        <v>106</v>
      </c>
      <c r="H1951" s="5" t="s">
        <v>21</v>
      </c>
      <c r="I1951" s="5" t="s">
        <v>5193</v>
      </c>
      <c r="J1951" s="12" t="str">
        <f>HYPERLINK("https://www.boe.es/gazeta/dias/1808/07/16/pdfs/GMS-1808-14.pdf#page=2","Abrir facsímil")</f>
        <v>Abrir facsímil</v>
      </c>
      <c r="K1951" s="15" t="s">
        <v>23</v>
      </c>
    </row>
    <row r="1952" spans="1:11" ht="42" customHeight="1">
      <c r="A1952" s="4" t="s">
        <v>5194</v>
      </c>
      <c r="B1952" s="5" t="s">
        <v>5195</v>
      </c>
      <c r="C1952" s="5" t="s">
        <v>17</v>
      </c>
      <c r="D1952" s="5" t="s">
        <v>18</v>
      </c>
      <c r="E1952" s="5" t="s">
        <v>68</v>
      </c>
      <c r="F1952" s="9" t="s">
        <v>69</v>
      </c>
      <c r="G1952" s="9">
        <v>1338</v>
      </c>
      <c r="H1952" s="5" t="s">
        <v>21</v>
      </c>
      <c r="I1952" s="5" t="s">
        <v>5196</v>
      </c>
      <c r="J1952" s="12" t="str">
        <f>HYPERLINK("https://www.boe.es/gazeta/dias/1808/10/21/pdfs/GMD-1808-136.pdf#page=10","Abrir facsímil")</f>
        <v>Abrir facsímil</v>
      </c>
      <c r="K1952" s="15" t="s">
        <v>23</v>
      </c>
    </row>
    <row r="1953" spans="1:11" ht="42" customHeight="1">
      <c r="A1953" s="4" t="s">
        <v>5197</v>
      </c>
      <c r="B1953" s="5" t="s">
        <v>5198</v>
      </c>
      <c r="C1953" s="5" t="s">
        <v>94</v>
      </c>
      <c r="D1953" s="5" t="s">
        <v>95</v>
      </c>
      <c r="E1953" s="5" t="s">
        <v>68</v>
      </c>
      <c r="F1953" s="9" t="s">
        <v>849</v>
      </c>
      <c r="G1953" s="9">
        <v>1344</v>
      </c>
      <c r="H1953" s="5" t="s">
        <v>21</v>
      </c>
      <c r="I1953" s="5" t="s">
        <v>5199</v>
      </c>
      <c r="J1953" s="12" t="str">
        <f>HYPERLINK("https://www.boe.es/gazeta/dias/1808/10/21/pdfs/GMD-C-1808-136.pdf#page=4","Abrir facsímil")</f>
        <v>Abrir facsímil</v>
      </c>
      <c r="K1953" s="15" t="s">
        <v>23</v>
      </c>
    </row>
    <row r="1954" spans="1:11" ht="42" customHeight="1">
      <c r="A1954" s="4" t="s">
        <v>5200</v>
      </c>
      <c r="B1954" s="5" t="s">
        <v>5201</v>
      </c>
      <c r="C1954" s="5" t="s">
        <v>33</v>
      </c>
      <c r="D1954" s="5" t="s">
        <v>34</v>
      </c>
      <c r="E1954" s="5" t="s">
        <v>89</v>
      </c>
      <c r="F1954" s="9" t="s">
        <v>563</v>
      </c>
      <c r="G1954" s="9" t="s">
        <v>117</v>
      </c>
      <c r="H1954" s="5" t="s">
        <v>21</v>
      </c>
      <c r="I1954" s="5" t="s">
        <v>5202</v>
      </c>
      <c r="J1954" s="12" t="str">
        <f>HYPERLINK("https://www.boe.es/gazeta/dias/1808/10/25/pdfs/GMD-D-1808-137.pdf#page=1","Abrir facsímil")</f>
        <v>Abrir facsímil</v>
      </c>
      <c r="K1954" s="15" t="s">
        <v>23</v>
      </c>
    </row>
    <row r="1955" spans="1:11" ht="42" customHeight="1">
      <c r="A1955" s="4" t="s">
        <v>5203</v>
      </c>
      <c r="B1955" s="5" t="s">
        <v>5204</v>
      </c>
      <c r="C1955" s="5" t="s">
        <v>94</v>
      </c>
      <c r="D1955" s="5" t="s">
        <v>95</v>
      </c>
      <c r="E1955" s="5" t="s">
        <v>203</v>
      </c>
      <c r="F1955" s="9" t="s">
        <v>204</v>
      </c>
      <c r="G1955" s="9">
        <v>142</v>
      </c>
      <c r="H1955" s="5" t="s">
        <v>21</v>
      </c>
      <c r="I1955" s="5" t="s">
        <v>5205</v>
      </c>
      <c r="J1955" s="12" t="str">
        <f>HYPERLINK("https://www.boe.es/gazeta/dias/1808/02/09/pdfs/GMD-1808-12.pdf#page=10","Abrir facsímil")</f>
        <v>Abrir facsímil</v>
      </c>
      <c r="K1955" s="15" t="s">
        <v>23</v>
      </c>
    </row>
    <row r="1956" spans="1:11" ht="42" customHeight="1">
      <c r="A1956" s="4" t="s">
        <v>5206</v>
      </c>
      <c r="B1956" s="5" t="s">
        <v>5207</v>
      </c>
      <c r="C1956" s="5" t="s">
        <v>94</v>
      </c>
      <c r="D1956" s="5" t="s">
        <v>95</v>
      </c>
      <c r="E1956" s="5" t="s">
        <v>469</v>
      </c>
      <c r="F1956" s="9" t="s">
        <v>470</v>
      </c>
      <c r="G1956" s="9">
        <v>153</v>
      </c>
      <c r="H1956" s="5" t="s">
        <v>21</v>
      </c>
      <c r="I1956" s="5" t="s">
        <v>5208</v>
      </c>
      <c r="J1956" s="12" t="str">
        <f>HYPERLINK("https://www.boe.es/gazeta/dias/1808/02/12/pdfs/GMD-1808-13.pdf#page=9","Abrir facsímil")</f>
        <v>Abrir facsímil</v>
      </c>
      <c r="K1956" s="15" t="s">
        <v>23</v>
      </c>
    </row>
    <row r="1957" spans="1:11" ht="42" customHeight="1">
      <c r="A1957" s="4" t="s">
        <v>5209</v>
      </c>
      <c r="B1957" s="5" t="s">
        <v>5210</v>
      </c>
      <c r="C1957" s="5" t="s">
        <v>41</v>
      </c>
      <c r="D1957" s="5" t="s">
        <v>42</v>
      </c>
      <c r="E1957" s="5" t="s">
        <v>391</v>
      </c>
      <c r="F1957" s="9" t="s">
        <v>588</v>
      </c>
      <c r="G1957" s="9" t="s">
        <v>75</v>
      </c>
      <c r="H1957" s="5" t="s">
        <v>21</v>
      </c>
      <c r="I1957" s="5" t="s">
        <v>5211</v>
      </c>
      <c r="J1957" s="12" t="str">
        <f>HYPERLINK("https://www.boe.es/gazeta/dias/1808/09/27/pdfs/GMD-C-1808-128.pdf#page=4","Abrir facsímil")</f>
        <v>Abrir facsímil</v>
      </c>
      <c r="K1957" s="15" t="s">
        <v>23</v>
      </c>
    </row>
    <row r="1958" spans="1:11" ht="42" customHeight="1">
      <c r="A1958" s="4" t="s">
        <v>5212</v>
      </c>
      <c r="B1958" s="5" t="s">
        <v>5213</v>
      </c>
      <c r="C1958" s="5" t="s">
        <v>33</v>
      </c>
      <c r="D1958" s="5" t="s">
        <v>34</v>
      </c>
      <c r="E1958" s="5" t="s">
        <v>65</v>
      </c>
      <c r="F1958" s="9" t="s">
        <v>105</v>
      </c>
      <c r="G1958" s="9" t="s">
        <v>106</v>
      </c>
      <c r="H1958" s="5" t="s">
        <v>21</v>
      </c>
      <c r="I1958" s="5" t="s">
        <v>5214</v>
      </c>
      <c r="J1958" s="12" t="str">
        <f>HYPERLINK("https://www.boe.es/gazeta/dias/1808/10/18/pdfs/GMD-D-1808-135.pdf#page=3","Abrir facsímil")</f>
        <v>Abrir facsímil</v>
      </c>
      <c r="K1958" s="15" t="s">
        <v>23</v>
      </c>
    </row>
    <row r="1959" spans="1:11" ht="42" customHeight="1">
      <c r="A1959" s="4" t="s">
        <v>5215</v>
      </c>
      <c r="B1959" s="5" t="s">
        <v>5216</v>
      </c>
      <c r="C1959" s="5" t="s">
        <v>41</v>
      </c>
      <c r="D1959" s="5" t="s">
        <v>42</v>
      </c>
      <c r="E1959" s="5" t="s">
        <v>35</v>
      </c>
      <c r="F1959" s="9" t="s">
        <v>36</v>
      </c>
      <c r="G1959" s="9" t="s">
        <v>924</v>
      </c>
      <c r="H1959" s="5" t="s">
        <v>21</v>
      </c>
      <c r="I1959" s="5" t="s">
        <v>5217</v>
      </c>
      <c r="J1959" s="12" t="str">
        <f>HYPERLINK("https://www.boe.es/gazeta/dias/1808/04/22/pdfs/GMD-C-1808-38.pdf#page=27","Abrir facsímil")</f>
        <v>Abrir facsímil</v>
      </c>
      <c r="K1959" s="15" t="s">
        <v>23</v>
      </c>
    </row>
    <row r="1960" spans="1:11" ht="42" customHeight="1">
      <c r="A1960" s="4" t="s">
        <v>5215</v>
      </c>
      <c r="B1960" s="5" t="s">
        <v>5216</v>
      </c>
      <c r="C1960" s="5" t="s">
        <v>33</v>
      </c>
      <c r="D1960" s="5" t="s">
        <v>34</v>
      </c>
      <c r="E1960" s="5" t="s">
        <v>35</v>
      </c>
      <c r="F1960" s="9" t="s">
        <v>36</v>
      </c>
      <c r="G1960" s="9" t="s">
        <v>655</v>
      </c>
      <c r="H1960" s="5" t="s">
        <v>21</v>
      </c>
      <c r="I1960" s="5" t="s">
        <v>5218</v>
      </c>
      <c r="J1960" s="12" t="str">
        <f>HYPERLINK("https://www.boe.es/gazeta/dias/1808/04/22/pdfs/GMD-C-1808-38.pdf#page=43","Abrir facsímil")</f>
        <v>Abrir facsímil</v>
      </c>
      <c r="K1960" s="15" t="s">
        <v>23</v>
      </c>
    </row>
    <row r="1961" spans="1:11" ht="42" customHeight="1">
      <c r="A1961" s="4" t="s">
        <v>5219</v>
      </c>
      <c r="B1961" s="5" t="s">
        <v>5220</v>
      </c>
      <c r="C1961" s="5" t="s">
        <v>33</v>
      </c>
      <c r="D1961" s="5" t="s">
        <v>34</v>
      </c>
      <c r="E1961" s="5" t="s">
        <v>197</v>
      </c>
      <c r="F1961" s="9" t="s">
        <v>2269</v>
      </c>
      <c r="G1961" s="9">
        <v>1415</v>
      </c>
      <c r="H1961" s="5" t="s">
        <v>21</v>
      </c>
      <c r="I1961" s="5" t="s">
        <v>5221</v>
      </c>
      <c r="J1961" s="12" t="str">
        <f>HYPERLINK("https://www.boe.es/gazeta/dias/1808/11/01/pdfs/GMD-C-1808-140.pdf#page=5","Abrir facsímil")</f>
        <v>Abrir facsímil</v>
      </c>
      <c r="K1961" s="15" t="s">
        <v>23</v>
      </c>
    </row>
    <row r="1962" spans="1:11" ht="42" customHeight="1">
      <c r="A1962" s="4" t="s">
        <v>5222</v>
      </c>
      <c r="B1962" s="5" t="s">
        <v>5223</v>
      </c>
      <c r="C1962" s="5" t="s">
        <v>41</v>
      </c>
      <c r="D1962" s="5" t="s">
        <v>42</v>
      </c>
      <c r="E1962" s="5" t="s">
        <v>180</v>
      </c>
      <c r="F1962" s="9" t="s">
        <v>768</v>
      </c>
      <c r="G1962" s="9" t="s">
        <v>199</v>
      </c>
      <c r="H1962" s="5" t="s">
        <v>21</v>
      </c>
      <c r="I1962" s="5" t="s">
        <v>5224</v>
      </c>
      <c r="J1962" s="12" t="str">
        <f>HYPERLINK("https://www.boe.es/gazeta/dias/1808/11/15/pdfs/GMD-D-1808-144.pdf#page=2","Abrir facsímil")</f>
        <v>Abrir facsímil</v>
      </c>
      <c r="K1962" s="15" t="s">
        <v>23</v>
      </c>
    </row>
    <row r="1963" spans="1:11" ht="42" customHeight="1">
      <c r="A1963" s="4" t="s">
        <v>5225</v>
      </c>
      <c r="B1963" s="5" t="s">
        <v>5226</v>
      </c>
      <c r="C1963" s="5" t="s">
        <v>33</v>
      </c>
      <c r="D1963" s="5" t="s">
        <v>34</v>
      </c>
      <c r="E1963" s="5" t="s">
        <v>73</v>
      </c>
      <c r="F1963" s="9" t="s">
        <v>74</v>
      </c>
      <c r="G1963" s="9" t="s">
        <v>117</v>
      </c>
      <c r="H1963" s="5" t="s">
        <v>21</v>
      </c>
      <c r="I1963" s="5" t="s">
        <v>5227</v>
      </c>
      <c r="J1963" s="12" t="str">
        <f>HYPERLINK("https://www.boe.es/gazeta/dias/1808/11/11/pdfs/GMD-D-1808-143.pdf#page=1","Abrir facsímil")</f>
        <v>Abrir facsímil</v>
      </c>
      <c r="K1963" s="15" t="s">
        <v>23</v>
      </c>
    </row>
    <row r="1964" spans="1:11" ht="42" customHeight="1">
      <c r="A1964" s="4" t="s">
        <v>5228</v>
      </c>
      <c r="B1964" s="5" t="s">
        <v>5229</v>
      </c>
      <c r="C1964" s="5" t="s">
        <v>33</v>
      </c>
      <c r="D1964" s="5" t="s">
        <v>34</v>
      </c>
      <c r="E1964" s="5" t="s">
        <v>35</v>
      </c>
      <c r="F1964" s="9" t="s">
        <v>36</v>
      </c>
      <c r="G1964" s="9" t="s">
        <v>279</v>
      </c>
      <c r="H1964" s="5" t="s">
        <v>21</v>
      </c>
      <c r="I1964" s="5" t="s">
        <v>5230</v>
      </c>
      <c r="J1964" s="12" t="str">
        <f>HYPERLINK("https://www.boe.es/gazeta/dias/1808/04/22/pdfs/GMD-C-1808-38.pdf#page=44","Abrir facsímil")</f>
        <v>Abrir facsímil</v>
      </c>
      <c r="K1964" s="15" t="s">
        <v>23</v>
      </c>
    </row>
    <row r="1965" spans="1:11" ht="42" customHeight="1">
      <c r="A1965" s="4" t="s">
        <v>5231</v>
      </c>
      <c r="B1965" s="5" t="s">
        <v>5232</v>
      </c>
      <c r="C1965" s="5" t="s">
        <v>94</v>
      </c>
      <c r="D1965" s="5" t="s">
        <v>95</v>
      </c>
      <c r="E1965" s="5" t="s">
        <v>54</v>
      </c>
      <c r="F1965" s="9" t="s">
        <v>55</v>
      </c>
      <c r="G1965" s="9">
        <v>1089</v>
      </c>
      <c r="H1965" s="5" t="s">
        <v>21</v>
      </c>
      <c r="I1965" s="5" t="s">
        <v>5233</v>
      </c>
      <c r="J1965" s="12" t="str">
        <f>HYPERLINK("https://www.boe.es/gazeta/dias/1808/08/26/pdfs/GMD-1808-117.pdf#page=11","Abrir facsímil")</f>
        <v>Abrir facsímil</v>
      </c>
      <c r="K1965" s="15" t="s">
        <v>23</v>
      </c>
    </row>
    <row r="1966" spans="1:11" ht="42" customHeight="1">
      <c r="A1966" s="4" t="s">
        <v>5234</v>
      </c>
      <c r="B1966" s="5" t="s">
        <v>5235</v>
      </c>
      <c r="C1966" s="5" t="s">
        <v>17</v>
      </c>
      <c r="D1966" s="5" t="s">
        <v>18</v>
      </c>
      <c r="E1966" s="5" t="s">
        <v>558</v>
      </c>
      <c r="F1966" s="9" t="s">
        <v>559</v>
      </c>
      <c r="G1966" s="9">
        <v>1544</v>
      </c>
      <c r="H1966" s="5" t="s">
        <v>21</v>
      </c>
      <c r="I1966" s="5" t="s">
        <v>5236</v>
      </c>
      <c r="J1966" s="12" t="str">
        <f>HYPERLINK("https://www.boe.es/gazeta/dias/1808/11/25/pdfs/GMD-1808-147.pdf#page=10","Abrir facsímil")</f>
        <v>Abrir facsímil</v>
      </c>
      <c r="K1966" s="15" t="s">
        <v>23</v>
      </c>
    </row>
    <row r="1967" spans="1:11" ht="42" customHeight="1">
      <c r="A1967" s="4" t="s">
        <v>5237</v>
      </c>
      <c r="B1967" s="5" t="s">
        <v>5238</v>
      </c>
      <c r="C1967" s="5" t="s">
        <v>33</v>
      </c>
      <c r="D1967" s="5" t="s">
        <v>34</v>
      </c>
      <c r="E1967" s="5" t="s">
        <v>35</v>
      </c>
      <c r="F1967" s="9" t="s">
        <v>36</v>
      </c>
      <c r="G1967" s="9" t="s">
        <v>924</v>
      </c>
      <c r="H1967" s="5" t="s">
        <v>21</v>
      </c>
      <c r="I1967" s="5" t="s">
        <v>5239</v>
      </c>
      <c r="J1967" s="12" t="str">
        <f>HYPERLINK("https://www.boe.es/gazeta/dias/1808/04/22/pdfs/GMD-C-1808-38.pdf#page=27","Abrir facsímil")</f>
        <v>Abrir facsímil</v>
      </c>
      <c r="K1967" s="15" t="s">
        <v>23</v>
      </c>
    </row>
    <row r="1968" spans="1:11" ht="42" customHeight="1">
      <c r="A1968" s="4" t="s">
        <v>5240</v>
      </c>
      <c r="B1968" s="5" t="s">
        <v>5241</v>
      </c>
      <c r="C1968" s="5" t="s">
        <v>33</v>
      </c>
      <c r="D1968" s="5" t="s">
        <v>34</v>
      </c>
      <c r="E1968" s="5" t="s">
        <v>35</v>
      </c>
      <c r="F1968" s="9" t="s">
        <v>36</v>
      </c>
      <c r="G1968" s="9" t="s">
        <v>501</v>
      </c>
      <c r="H1968" s="5" t="s">
        <v>21</v>
      </c>
      <c r="I1968" s="5" t="s">
        <v>5242</v>
      </c>
      <c r="J1968" s="12" t="str">
        <f>HYPERLINK("https://www.boe.es/gazeta/dias/1808/04/22/pdfs/GMD-C-1808-38.pdf#page=5","Abrir facsímil")</f>
        <v>Abrir facsímil</v>
      </c>
      <c r="K1968" s="15" t="s">
        <v>23</v>
      </c>
    </row>
    <row r="1969" spans="1:11" ht="42" customHeight="1">
      <c r="A1969" s="4" t="s">
        <v>5243</v>
      </c>
      <c r="B1969" s="5" t="s">
        <v>5244</v>
      </c>
      <c r="C1969" s="5" t="s">
        <v>33</v>
      </c>
      <c r="D1969" s="5" t="s">
        <v>34</v>
      </c>
      <c r="E1969" s="5" t="s">
        <v>35</v>
      </c>
      <c r="F1969" s="9" t="s">
        <v>36</v>
      </c>
      <c r="G1969" s="9" t="s">
        <v>144</v>
      </c>
      <c r="H1969" s="5" t="s">
        <v>21</v>
      </c>
      <c r="I1969" s="5" t="s">
        <v>5245</v>
      </c>
      <c r="J1969" s="12" t="str">
        <f>HYPERLINK("https://www.boe.es/gazeta/dias/1808/04/22/pdfs/GMD-C-1808-38.pdf#page=40","Abrir facsímil")</f>
        <v>Abrir facsímil</v>
      </c>
      <c r="K1969" s="15" t="s">
        <v>23</v>
      </c>
    </row>
    <row r="1970" spans="1:11" ht="42" customHeight="1">
      <c r="A1970" s="4" t="s">
        <v>5246</v>
      </c>
      <c r="B1970" s="5" t="s">
        <v>5247</v>
      </c>
      <c r="C1970" s="5" t="s">
        <v>33</v>
      </c>
      <c r="D1970" s="5" t="s">
        <v>34</v>
      </c>
      <c r="E1970" s="5" t="s">
        <v>35</v>
      </c>
      <c r="F1970" s="9" t="s">
        <v>36</v>
      </c>
      <c r="G1970" s="9" t="s">
        <v>4783</v>
      </c>
      <c r="H1970" s="5" t="s">
        <v>21</v>
      </c>
      <c r="I1970" s="5" t="s">
        <v>5248</v>
      </c>
      <c r="J1970" s="12" t="str">
        <f>HYPERLINK("https://www.boe.es/gazeta/dias/1808/04/22/pdfs/GMD-C-1808-38.pdf#page=36","Abrir facsímil")</f>
        <v>Abrir facsímil</v>
      </c>
      <c r="K1970" s="15" t="s">
        <v>23</v>
      </c>
    </row>
    <row r="1971" spans="1:11" ht="42" customHeight="1">
      <c r="A1971" s="4" t="s">
        <v>5249</v>
      </c>
      <c r="B1971" s="5" t="s">
        <v>5250</v>
      </c>
      <c r="C1971" s="5" t="s">
        <v>33</v>
      </c>
      <c r="D1971" s="5" t="s">
        <v>34</v>
      </c>
      <c r="E1971" s="5" t="s">
        <v>35</v>
      </c>
      <c r="F1971" s="9" t="s">
        <v>36</v>
      </c>
      <c r="G1971" s="9" t="s">
        <v>324</v>
      </c>
      <c r="H1971" s="5" t="s">
        <v>21</v>
      </c>
      <c r="I1971" s="5" t="s">
        <v>5251</v>
      </c>
      <c r="J1971" s="12" t="str">
        <f>HYPERLINK("https://www.boe.es/gazeta/dias/1808/04/22/pdfs/GMD-C-1808-38.pdf#page=24","Abrir facsímil")</f>
        <v>Abrir facsímil</v>
      </c>
      <c r="K1971" s="15" t="s">
        <v>23</v>
      </c>
    </row>
    <row r="1972" spans="1:11" ht="42" customHeight="1">
      <c r="A1972" s="4" t="s">
        <v>5252</v>
      </c>
      <c r="B1972" s="5" t="s">
        <v>5253</v>
      </c>
      <c r="C1972" s="5" t="s">
        <v>33</v>
      </c>
      <c r="D1972" s="5" t="s">
        <v>34</v>
      </c>
      <c r="E1972" s="5" t="s">
        <v>35</v>
      </c>
      <c r="F1972" s="9" t="s">
        <v>36</v>
      </c>
      <c r="G1972" s="9" t="s">
        <v>273</v>
      </c>
      <c r="H1972" s="5" t="s">
        <v>21</v>
      </c>
      <c r="I1972" s="5" t="s">
        <v>5254</v>
      </c>
      <c r="J1972" s="12" t="str">
        <f>HYPERLINK("https://www.boe.es/gazeta/dias/1808/04/22/pdfs/GMD-C-1808-38.pdf#page=12","Abrir facsímil")</f>
        <v>Abrir facsímil</v>
      </c>
      <c r="K1972" s="15" t="s">
        <v>23</v>
      </c>
    </row>
    <row r="1973" spans="1:11" ht="42" customHeight="1">
      <c r="A1973" s="4" t="s">
        <v>5252</v>
      </c>
      <c r="B1973" s="5" t="s">
        <v>5253</v>
      </c>
      <c r="C1973" s="5" t="s">
        <v>33</v>
      </c>
      <c r="D1973" s="5" t="s">
        <v>34</v>
      </c>
      <c r="E1973" s="5" t="s">
        <v>35</v>
      </c>
      <c r="F1973" s="9" t="s">
        <v>36</v>
      </c>
      <c r="G1973" s="9" t="s">
        <v>299</v>
      </c>
      <c r="H1973" s="5" t="s">
        <v>21</v>
      </c>
      <c r="I1973" s="5" t="s">
        <v>5255</v>
      </c>
      <c r="J1973" s="12" t="str">
        <f>HYPERLINK("https://www.boe.es/gazeta/dias/1808/04/22/pdfs/GMD-C-1808-38.pdf#page=14","Abrir facsímil")</f>
        <v>Abrir facsímil</v>
      </c>
      <c r="K1973" s="15" t="s">
        <v>23</v>
      </c>
    </row>
    <row r="1974" spans="1:11" ht="42" customHeight="1">
      <c r="A1974" s="4" t="s">
        <v>5256</v>
      </c>
      <c r="B1974" s="5" t="s">
        <v>5257</v>
      </c>
      <c r="C1974" s="5" t="s">
        <v>41</v>
      </c>
      <c r="D1974" s="5" t="s">
        <v>42</v>
      </c>
      <c r="E1974" s="5" t="s">
        <v>35</v>
      </c>
      <c r="F1974" s="9" t="s">
        <v>36</v>
      </c>
      <c r="G1974" s="9" t="s">
        <v>414</v>
      </c>
      <c r="H1974" s="5" t="s">
        <v>21</v>
      </c>
      <c r="I1974" s="5" t="s">
        <v>5258</v>
      </c>
      <c r="J1974" s="12" t="str">
        <f>HYPERLINK("https://www.boe.es/gazeta/dias/1808/04/22/pdfs/GMD-C-1808-38.pdf#page=20","Abrir facsímil")</f>
        <v>Abrir facsímil</v>
      </c>
      <c r="K1974" s="15" t="s">
        <v>23</v>
      </c>
    </row>
    <row r="1975" spans="1:11" ht="42" customHeight="1">
      <c r="A1975" s="4" t="s">
        <v>5259</v>
      </c>
      <c r="B1975" s="5" t="s">
        <v>5260</v>
      </c>
      <c r="C1975" s="5" t="s">
        <v>94</v>
      </c>
      <c r="D1975" s="5" t="s">
        <v>95</v>
      </c>
      <c r="E1975" s="5" t="s">
        <v>539</v>
      </c>
      <c r="F1975" s="9" t="s">
        <v>540</v>
      </c>
      <c r="G1975" s="9">
        <v>1112</v>
      </c>
      <c r="H1975" s="5" t="s">
        <v>21</v>
      </c>
      <c r="I1975" s="5" t="s">
        <v>5261</v>
      </c>
      <c r="J1975" s="12" t="str">
        <f>HYPERLINK("https://www.boe.es/gazeta/dias/1808/09/02/pdfs/GMD-1808-119.pdf#page=6","Abrir facsímil")</f>
        <v>Abrir facsímil</v>
      </c>
      <c r="K1975" s="15" t="s">
        <v>23</v>
      </c>
    </row>
    <row r="1976" spans="1:11" ht="42" customHeight="1">
      <c r="A1976" s="4" t="s">
        <v>5262</v>
      </c>
      <c r="B1976" s="5" t="s">
        <v>5263</v>
      </c>
      <c r="C1976" s="5" t="s">
        <v>17</v>
      </c>
      <c r="D1976" s="5" t="s">
        <v>18</v>
      </c>
      <c r="E1976" s="5" t="s">
        <v>65</v>
      </c>
      <c r="F1976" s="9" t="s">
        <v>66</v>
      </c>
      <c r="G1976" s="9">
        <v>1307</v>
      </c>
      <c r="H1976" s="5" t="s">
        <v>21</v>
      </c>
      <c r="I1976" s="5" t="s">
        <v>5264</v>
      </c>
      <c r="J1976" s="12" t="str">
        <f>HYPERLINK("https://www.boe.es/gazeta/dias/1808/10/18/pdfs/GMD-1808-135.pdf#page=7","Abrir facsímil")</f>
        <v>Abrir facsímil</v>
      </c>
      <c r="K1976" s="15" t="s">
        <v>23</v>
      </c>
    </row>
    <row r="1977" spans="1:11" ht="42" customHeight="1">
      <c r="A1977" s="4" t="s">
        <v>5265</v>
      </c>
      <c r="B1977" s="5" t="s">
        <v>5266</v>
      </c>
      <c r="C1977" s="5" t="s">
        <v>17</v>
      </c>
      <c r="D1977" s="5" t="s">
        <v>18</v>
      </c>
      <c r="E1977" s="5" t="s">
        <v>968</v>
      </c>
      <c r="F1977" s="9" t="s">
        <v>969</v>
      </c>
      <c r="G1977" s="9">
        <v>899</v>
      </c>
      <c r="H1977" s="5" t="s">
        <v>21</v>
      </c>
      <c r="I1977" s="5" t="s">
        <v>5267</v>
      </c>
      <c r="J1977" s="12" t="str">
        <f>HYPERLINK("https://www.boe.es/gazeta/dias/1808/07/26/pdfs/GMD-1808-98.pdf#page=5","Abrir facsímil")</f>
        <v>Abrir facsímil</v>
      </c>
      <c r="K1977" s="15" t="s">
        <v>23</v>
      </c>
    </row>
    <row r="1978" spans="1:11" ht="42" customHeight="1">
      <c r="A1978" s="4" t="s">
        <v>5268</v>
      </c>
      <c r="B1978" s="5" t="s">
        <v>5269</v>
      </c>
      <c r="C1978" s="5" t="s">
        <v>33</v>
      </c>
      <c r="D1978" s="5" t="s">
        <v>34</v>
      </c>
      <c r="E1978" s="5" t="s">
        <v>153</v>
      </c>
      <c r="F1978" s="9" t="s">
        <v>154</v>
      </c>
      <c r="G1978" s="9" t="s">
        <v>199</v>
      </c>
      <c r="H1978" s="5" t="s">
        <v>21</v>
      </c>
      <c r="I1978" s="5" t="s">
        <v>5270</v>
      </c>
      <c r="J1978" s="12" t="str">
        <f>HYPERLINK("https://www.boe.es/gazeta/dias/1808/09/09/pdfs/GMD-C-1808-121.pdf#page=2","Abrir facsímil")</f>
        <v>Abrir facsímil</v>
      </c>
      <c r="K1978" s="15" t="s">
        <v>23</v>
      </c>
    </row>
    <row r="1979" spans="1:11" ht="42" customHeight="1">
      <c r="A1979" s="4" t="s">
        <v>5271</v>
      </c>
      <c r="B1979" s="5" t="s">
        <v>5272</v>
      </c>
      <c r="C1979" s="5" t="s">
        <v>33</v>
      </c>
      <c r="D1979" s="5" t="s">
        <v>34</v>
      </c>
      <c r="E1979" s="5" t="s">
        <v>35</v>
      </c>
      <c r="F1979" s="9" t="s">
        <v>36</v>
      </c>
      <c r="G1979" s="9" t="s">
        <v>837</v>
      </c>
      <c r="H1979" s="5" t="s">
        <v>21</v>
      </c>
      <c r="I1979" s="5" t="s">
        <v>5273</v>
      </c>
      <c r="J1979" s="12" t="str">
        <f>HYPERLINK("https://www.boe.es/gazeta/dias/1808/04/22/pdfs/GMD-C-1808-38.pdf#page=10","Abrir facsímil")</f>
        <v>Abrir facsímil</v>
      </c>
      <c r="K1979" s="15" t="s">
        <v>23</v>
      </c>
    </row>
    <row r="1980" spans="1:11" ht="42" customHeight="1">
      <c r="A1980" s="4" t="s">
        <v>5274</v>
      </c>
      <c r="B1980" s="5" t="s">
        <v>5275</v>
      </c>
      <c r="C1980" s="5" t="s">
        <v>41</v>
      </c>
      <c r="D1980" s="5" t="s">
        <v>42</v>
      </c>
      <c r="E1980" s="5" t="s">
        <v>1466</v>
      </c>
      <c r="F1980" s="9" t="s">
        <v>1467</v>
      </c>
      <c r="G1980" s="9">
        <v>58</v>
      </c>
      <c r="H1980" s="5" t="s">
        <v>21</v>
      </c>
      <c r="I1980" s="5" t="s">
        <v>5276</v>
      </c>
      <c r="J1980" s="12" t="str">
        <f>HYPERLINK("https://www.boe.es/gazeta/dias/1808/01/15/pdfs/GMD-1808-5.pdf#page=10","Abrir facsímil")</f>
        <v>Abrir facsímil</v>
      </c>
      <c r="K1980" s="15" t="s">
        <v>23</v>
      </c>
    </row>
    <row r="1981" spans="1:11" ht="42" customHeight="1">
      <c r="A1981" s="4" t="s">
        <v>5274</v>
      </c>
      <c r="B1981" s="5" t="s">
        <v>5275</v>
      </c>
      <c r="C1981" s="5" t="s">
        <v>41</v>
      </c>
      <c r="D1981" s="5" t="s">
        <v>42</v>
      </c>
      <c r="E1981" s="5" t="s">
        <v>2555</v>
      </c>
      <c r="F1981" s="9" t="s">
        <v>2556</v>
      </c>
      <c r="G1981" s="9">
        <v>131</v>
      </c>
      <c r="H1981" s="5" t="s">
        <v>21</v>
      </c>
      <c r="I1981" s="5" t="s">
        <v>5277</v>
      </c>
      <c r="J1981" s="12" t="str">
        <f>HYPERLINK("https://www.boe.es/gazeta/dias/1808/02/05/pdfs/GMD-1808-11.pdf#page=11","Abrir facsímil")</f>
        <v>Abrir facsímil</v>
      </c>
      <c r="K1981" s="15" t="s">
        <v>23</v>
      </c>
    </row>
    <row r="1982" spans="1:11" ht="42" customHeight="1">
      <c r="A1982" s="4" t="s">
        <v>5278</v>
      </c>
      <c r="B1982" s="5" t="s">
        <v>5279</v>
      </c>
      <c r="C1982" s="5" t="s">
        <v>33</v>
      </c>
      <c r="D1982" s="5" t="s">
        <v>34</v>
      </c>
      <c r="E1982" s="5" t="s">
        <v>35</v>
      </c>
      <c r="F1982" s="9" t="s">
        <v>36</v>
      </c>
      <c r="G1982" s="9" t="s">
        <v>322</v>
      </c>
      <c r="H1982" s="5" t="s">
        <v>21</v>
      </c>
      <c r="I1982" s="5" t="s">
        <v>5280</v>
      </c>
      <c r="J1982" s="12" t="str">
        <f>HYPERLINK("https://www.boe.es/gazeta/dias/1808/04/22/pdfs/GMD-C-1808-38.pdf#page=15","Abrir facsímil")</f>
        <v>Abrir facsímil</v>
      </c>
      <c r="K1982" s="15" t="s">
        <v>23</v>
      </c>
    </row>
    <row r="1983" spans="1:11" ht="42" customHeight="1">
      <c r="A1983" s="4" t="s">
        <v>5278</v>
      </c>
      <c r="B1983" s="5" t="s">
        <v>5279</v>
      </c>
      <c r="C1983" s="5" t="s">
        <v>41</v>
      </c>
      <c r="D1983" s="5" t="s">
        <v>42</v>
      </c>
      <c r="E1983" s="5" t="s">
        <v>35</v>
      </c>
      <c r="F1983" s="9" t="s">
        <v>36</v>
      </c>
      <c r="G1983" s="9" t="s">
        <v>37</v>
      </c>
      <c r="H1983" s="5" t="s">
        <v>21</v>
      </c>
      <c r="I1983" s="5" t="s">
        <v>5281</v>
      </c>
      <c r="J1983" s="12" t="str">
        <f>HYPERLINK("https://www.boe.es/gazeta/dias/1808/04/22/pdfs/GMD-C-1808-38.pdf#page=33","Abrir facsímil")</f>
        <v>Abrir facsímil</v>
      </c>
      <c r="K1983" s="15" t="s">
        <v>23</v>
      </c>
    </row>
    <row r="1984" spans="1:11" ht="42" customHeight="1">
      <c r="A1984" s="4" t="s">
        <v>5282</v>
      </c>
      <c r="B1984" s="5" t="s">
        <v>5283</v>
      </c>
      <c r="C1984" s="5" t="s">
        <v>17</v>
      </c>
      <c r="D1984" s="5" t="s">
        <v>18</v>
      </c>
      <c r="E1984" s="5" t="s">
        <v>719</v>
      </c>
      <c r="F1984" s="9" t="s">
        <v>720</v>
      </c>
      <c r="G1984" s="9">
        <v>1609</v>
      </c>
      <c r="H1984" s="5" t="s">
        <v>21</v>
      </c>
      <c r="I1984" s="5" t="s">
        <v>5284</v>
      </c>
      <c r="J1984" s="12" t="str">
        <f>HYPERLINK("https://www.boe.es/gazeta/dias/1808/12/16/pdfs/GMD-1808-156.pdf#page=1","Abrir facsímil")</f>
        <v>Abrir facsímil</v>
      </c>
      <c r="K1984" s="15" t="s">
        <v>23</v>
      </c>
    </row>
    <row r="1985" spans="1:11" ht="42" customHeight="1">
      <c r="A1985" s="4" t="s">
        <v>5285</v>
      </c>
      <c r="B1985" s="5" t="s">
        <v>5286</v>
      </c>
      <c r="C1985" s="5" t="s">
        <v>33</v>
      </c>
      <c r="D1985" s="5" t="s">
        <v>34</v>
      </c>
      <c r="E1985" s="5" t="s">
        <v>35</v>
      </c>
      <c r="F1985" s="9" t="s">
        <v>36</v>
      </c>
      <c r="G1985" s="9" t="s">
        <v>75</v>
      </c>
      <c r="H1985" s="5" t="s">
        <v>21</v>
      </c>
      <c r="I1985" s="5" t="s">
        <v>5287</v>
      </c>
      <c r="J1985" s="12" t="str">
        <f>HYPERLINK("https://www.boe.es/gazeta/dias/1808/04/22/pdfs/GMD-C-1808-38.pdf#page=4","Abrir facsímil")</f>
        <v>Abrir facsímil</v>
      </c>
      <c r="K1985" s="15" t="s">
        <v>23</v>
      </c>
    </row>
    <row r="1986" spans="1:11" ht="42" customHeight="1">
      <c r="A1986" s="4" t="s">
        <v>5288</v>
      </c>
      <c r="B1986" s="5" t="s">
        <v>5289</v>
      </c>
      <c r="C1986" s="5" t="s">
        <v>17</v>
      </c>
      <c r="D1986" s="5" t="s">
        <v>18</v>
      </c>
      <c r="E1986" s="5" t="s">
        <v>61</v>
      </c>
      <c r="F1986" s="9" t="s">
        <v>62</v>
      </c>
      <c r="G1986" s="9">
        <v>1284</v>
      </c>
      <c r="H1986" s="5" t="s">
        <v>21</v>
      </c>
      <c r="I1986" s="5" t="s">
        <v>5290</v>
      </c>
      <c r="J1986" s="12" t="str">
        <f>HYPERLINK("https://www.boe.es/gazeta/dias/1808/10/11/pdfs/GMD-1808-133.pdf#page=12","Abrir facsímil")</f>
        <v>Abrir facsímil</v>
      </c>
      <c r="K1986" s="15" t="s">
        <v>23</v>
      </c>
    </row>
    <row r="1987" spans="1:11" ht="42" customHeight="1">
      <c r="A1987" s="4" t="s">
        <v>5288</v>
      </c>
      <c r="B1987" s="5" t="s">
        <v>5289</v>
      </c>
      <c r="C1987" s="5" t="s">
        <v>17</v>
      </c>
      <c r="D1987" s="5" t="s">
        <v>18</v>
      </c>
      <c r="E1987" s="5" t="s">
        <v>61</v>
      </c>
      <c r="F1987" s="9" t="s">
        <v>62</v>
      </c>
      <c r="G1987" s="9">
        <v>1285</v>
      </c>
      <c r="H1987" s="5" t="s">
        <v>21</v>
      </c>
      <c r="I1987" s="5" t="s">
        <v>5291</v>
      </c>
      <c r="J1987" s="12" t="str">
        <f>HYPERLINK("https://www.boe.es/gazeta/dias/1808/10/11/pdfs/GMD-1808-133.pdf#page=13","Abrir facsímil")</f>
        <v>Abrir facsímil</v>
      </c>
      <c r="K1987" s="15" t="s">
        <v>23</v>
      </c>
    </row>
    <row r="1988" spans="1:11" ht="42" customHeight="1">
      <c r="A1988" s="4" t="s">
        <v>5292</v>
      </c>
      <c r="B1988" s="5" t="s">
        <v>5293</v>
      </c>
      <c r="C1988" s="5" t="s">
        <v>41</v>
      </c>
      <c r="D1988" s="5" t="s">
        <v>42</v>
      </c>
      <c r="E1988" s="5" t="s">
        <v>89</v>
      </c>
      <c r="F1988" s="9" t="s">
        <v>563</v>
      </c>
      <c r="G1988" s="9" t="s">
        <v>75</v>
      </c>
      <c r="H1988" s="5" t="s">
        <v>21</v>
      </c>
      <c r="I1988" s="5" t="s">
        <v>5294</v>
      </c>
      <c r="J1988" s="12" t="str">
        <f>HYPERLINK("https://www.boe.es/gazeta/dias/1808/10/25/pdfs/GMD-D-1808-137.pdf#page=4","Abrir facsímil")</f>
        <v>Abrir facsímil</v>
      </c>
      <c r="K1988" s="15" t="s">
        <v>23</v>
      </c>
    </row>
    <row r="1989" spans="1:11" ht="42" customHeight="1">
      <c r="A1989" s="4" t="s">
        <v>5295</v>
      </c>
      <c r="B1989" s="5" t="s">
        <v>5296</v>
      </c>
      <c r="C1989" s="5" t="s">
        <v>41</v>
      </c>
      <c r="D1989" s="5" t="s">
        <v>42</v>
      </c>
      <c r="E1989" s="5" t="s">
        <v>35</v>
      </c>
      <c r="F1989" s="9" t="s">
        <v>36</v>
      </c>
      <c r="G1989" s="9" t="s">
        <v>1517</v>
      </c>
      <c r="H1989" s="5" t="s">
        <v>21</v>
      </c>
      <c r="I1989" s="5" t="s">
        <v>5297</v>
      </c>
      <c r="J1989" s="12" t="str">
        <f>HYPERLINK("https://www.boe.es/gazeta/dias/1808/04/22/pdfs/GMD-C-1808-38.pdf#page=23","Abrir facsímil")</f>
        <v>Abrir facsímil</v>
      </c>
      <c r="K1989" s="15" t="s">
        <v>23</v>
      </c>
    </row>
    <row r="1990" spans="1:11" ht="42" customHeight="1">
      <c r="A1990" s="4" t="s">
        <v>5298</v>
      </c>
      <c r="B1990" s="5" t="s">
        <v>5299</v>
      </c>
      <c r="C1990" s="5" t="s">
        <v>41</v>
      </c>
      <c r="D1990" s="5" t="s">
        <v>42</v>
      </c>
      <c r="E1990" s="5" t="s">
        <v>35</v>
      </c>
      <c r="F1990" s="9" t="s">
        <v>36</v>
      </c>
      <c r="G1990" s="9" t="s">
        <v>299</v>
      </c>
      <c r="H1990" s="5" t="s">
        <v>21</v>
      </c>
      <c r="I1990" s="5" t="s">
        <v>5300</v>
      </c>
      <c r="J1990" s="12" t="str">
        <f>HYPERLINK("https://www.boe.es/gazeta/dias/1808/04/22/pdfs/GMD-C-1808-38.pdf#page=14","Abrir facsímil")</f>
        <v>Abrir facsímil</v>
      </c>
      <c r="K1990" s="15" t="s">
        <v>23</v>
      </c>
    </row>
    <row r="1991" spans="1:11" ht="42" customHeight="1">
      <c r="A1991" s="4" t="s">
        <v>5301</v>
      </c>
      <c r="B1991" s="5" t="s">
        <v>5302</v>
      </c>
      <c r="C1991" s="5" t="s">
        <v>33</v>
      </c>
      <c r="D1991" s="5" t="s">
        <v>34</v>
      </c>
      <c r="E1991" s="5" t="s">
        <v>456</v>
      </c>
      <c r="F1991" s="9" t="s">
        <v>748</v>
      </c>
      <c r="G1991" s="9" t="s">
        <v>117</v>
      </c>
      <c r="H1991" s="5" t="s">
        <v>21</v>
      </c>
      <c r="I1991" s="5" t="s">
        <v>5303</v>
      </c>
      <c r="J1991" s="12" t="str">
        <f>HYPERLINK("https://www.boe.es/gazeta/dias/1808/10/14/pdfs/GMD-C-1808-134.pdf#page=1","Abrir facsímil")</f>
        <v>Abrir facsímil</v>
      </c>
      <c r="K1991" s="15" t="s">
        <v>23</v>
      </c>
    </row>
    <row r="1992" spans="1:11" ht="42" customHeight="1">
      <c r="A1992" s="4" t="s">
        <v>5304</v>
      </c>
      <c r="B1992" s="5" t="s">
        <v>5305</v>
      </c>
      <c r="C1992" s="5" t="s">
        <v>41</v>
      </c>
      <c r="D1992" s="5" t="s">
        <v>42</v>
      </c>
      <c r="E1992" s="5" t="s">
        <v>35</v>
      </c>
      <c r="F1992" s="9" t="s">
        <v>36</v>
      </c>
      <c r="G1992" s="9" t="s">
        <v>37</v>
      </c>
      <c r="H1992" s="5" t="s">
        <v>21</v>
      </c>
      <c r="I1992" s="5" t="s">
        <v>5306</v>
      </c>
      <c r="J1992" s="12" t="str">
        <f>HYPERLINK("https://www.boe.es/gazeta/dias/1808/04/22/pdfs/GMD-C-1808-38.pdf#page=33","Abrir facsímil")</f>
        <v>Abrir facsímil</v>
      </c>
      <c r="K1992" s="15" t="s">
        <v>23</v>
      </c>
    </row>
    <row r="1993" spans="1:11" ht="42" customHeight="1">
      <c r="A1993" s="4" t="s">
        <v>5307</v>
      </c>
      <c r="B1993" s="5" t="s">
        <v>5308</v>
      </c>
      <c r="C1993" s="5" t="s">
        <v>41</v>
      </c>
      <c r="D1993" s="5" t="s">
        <v>42</v>
      </c>
      <c r="E1993" s="5" t="s">
        <v>35</v>
      </c>
      <c r="F1993" s="9" t="s">
        <v>36</v>
      </c>
      <c r="G1993" s="9" t="s">
        <v>414</v>
      </c>
      <c r="H1993" s="5" t="s">
        <v>21</v>
      </c>
      <c r="I1993" s="5" t="s">
        <v>5309</v>
      </c>
      <c r="J1993" s="12" t="str">
        <f>HYPERLINK("https://www.boe.es/gazeta/dias/1808/04/22/pdfs/GMD-C-1808-38.pdf#page=20","Abrir facsímil")</f>
        <v>Abrir facsímil</v>
      </c>
      <c r="K1993" s="15" t="s">
        <v>23</v>
      </c>
    </row>
    <row r="1994" spans="1:11" ht="42" customHeight="1">
      <c r="A1994" s="4" t="s">
        <v>5310</v>
      </c>
      <c r="B1994" s="5" t="s">
        <v>5311</v>
      </c>
      <c r="C1994" s="5" t="s">
        <v>33</v>
      </c>
      <c r="D1994" s="5" t="s">
        <v>34</v>
      </c>
      <c r="E1994" s="5" t="s">
        <v>35</v>
      </c>
      <c r="F1994" s="9" t="s">
        <v>36</v>
      </c>
      <c r="G1994" s="9" t="s">
        <v>867</v>
      </c>
      <c r="H1994" s="5" t="s">
        <v>21</v>
      </c>
      <c r="I1994" s="5" t="s">
        <v>5312</v>
      </c>
      <c r="J1994" s="12" t="str">
        <f>HYPERLINK("https://www.boe.es/gazeta/dias/1808/04/22/pdfs/GMD-C-1808-38.pdf#page=19","Abrir facsímil")</f>
        <v>Abrir facsímil</v>
      </c>
      <c r="K1994" s="15" t="s">
        <v>23</v>
      </c>
    </row>
    <row r="1995" spans="1:11" ht="42" customHeight="1">
      <c r="A1995" s="4" t="s">
        <v>5313</v>
      </c>
      <c r="B1995" s="5" t="s">
        <v>5314</v>
      </c>
      <c r="C1995" s="5" t="s">
        <v>33</v>
      </c>
      <c r="D1995" s="5" t="s">
        <v>34</v>
      </c>
      <c r="E1995" s="5" t="s">
        <v>461</v>
      </c>
      <c r="F1995" s="9" t="s">
        <v>1404</v>
      </c>
      <c r="G1995" s="9">
        <v>1454</v>
      </c>
      <c r="H1995" s="5" t="s">
        <v>21</v>
      </c>
      <c r="I1995" s="5" t="s">
        <v>5315</v>
      </c>
      <c r="J1995" s="12" t="str">
        <f>HYPERLINK("https://www.boe.es/gazeta/dias/1808/11/08/pdfs/GMD-C-1808-142.pdf#page=4","Abrir facsímil")</f>
        <v>Abrir facsímil</v>
      </c>
      <c r="K1995" s="15" t="s">
        <v>23</v>
      </c>
    </row>
    <row r="1996" spans="1:11" ht="42" customHeight="1">
      <c r="A1996" s="4" t="s">
        <v>5316</v>
      </c>
      <c r="B1996" s="5" t="s">
        <v>5317</v>
      </c>
      <c r="C1996" s="5" t="s">
        <v>17</v>
      </c>
      <c r="D1996" s="5" t="s">
        <v>18</v>
      </c>
      <c r="E1996" s="5" t="s">
        <v>166</v>
      </c>
      <c r="F1996" s="9" t="s">
        <v>356</v>
      </c>
      <c r="G1996" s="9">
        <v>1509</v>
      </c>
      <c r="H1996" s="5" t="s">
        <v>21</v>
      </c>
      <c r="I1996" s="5" t="s">
        <v>5318</v>
      </c>
      <c r="J1996" s="12" t="str">
        <f>HYPERLINK("https://www.boe.es/gazeta/dias/1808/11/18/pdfs/GMD-1808-145.pdf#page=7","Abrir facsímil")</f>
        <v>Abrir facsímil</v>
      </c>
      <c r="K1996" s="15" t="s">
        <v>23</v>
      </c>
    </row>
    <row r="1997" spans="1:11" ht="42" customHeight="1">
      <c r="A1997" s="4" t="s">
        <v>5319</v>
      </c>
      <c r="B1997" s="5" t="s">
        <v>5320</v>
      </c>
      <c r="C1997" s="5" t="s">
        <v>41</v>
      </c>
      <c r="D1997" s="5" t="s">
        <v>42</v>
      </c>
      <c r="E1997" s="5" t="s">
        <v>35</v>
      </c>
      <c r="F1997" s="9" t="s">
        <v>36</v>
      </c>
      <c r="G1997" s="9" t="s">
        <v>324</v>
      </c>
      <c r="H1997" s="5" t="s">
        <v>21</v>
      </c>
      <c r="I1997" s="5" t="s">
        <v>5321</v>
      </c>
      <c r="J1997" s="12" t="str">
        <f>HYPERLINK("https://www.boe.es/gazeta/dias/1808/04/22/pdfs/GMD-C-1808-38.pdf#page=24","Abrir facsímil")</f>
        <v>Abrir facsímil</v>
      </c>
      <c r="K1997" s="15" t="s">
        <v>23</v>
      </c>
    </row>
    <row r="1998" spans="1:11" ht="42" customHeight="1">
      <c r="A1998" s="4" t="s">
        <v>5322</v>
      </c>
      <c r="B1998" s="5" t="s">
        <v>5323</v>
      </c>
      <c r="C1998" s="5" t="s">
        <v>17</v>
      </c>
      <c r="D1998" s="5" t="s">
        <v>18</v>
      </c>
      <c r="E1998" s="5" t="s">
        <v>130</v>
      </c>
      <c r="F1998" s="9" t="s">
        <v>131</v>
      </c>
      <c r="G1998" s="9">
        <v>1602</v>
      </c>
      <c r="H1998" s="5" t="s">
        <v>21</v>
      </c>
      <c r="I1998" s="5" t="s">
        <v>5324</v>
      </c>
      <c r="J1998" s="12" t="str">
        <f>HYPERLINK("https://www.boe.es/gazeta/dias/1808/12/15/pdfs/GMD-1808-155.pdf#page=6","Abrir facsímil")</f>
        <v>Abrir facsímil</v>
      </c>
      <c r="K1998" s="15" t="s">
        <v>23</v>
      </c>
    </row>
    <row r="1999" spans="1:11" ht="42" customHeight="1">
      <c r="A1999" s="4" t="s">
        <v>5325</v>
      </c>
      <c r="B1999" s="5" t="s">
        <v>5326</v>
      </c>
      <c r="C1999" s="5" t="s">
        <v>17</v>
      </c>
      <c r="D1999" s="5" t="s">
        <v>18</v>
      </c>
      <c r="E1999" s="5" t="s">
        <v>130</v>
      </c>
      <c r="F1999" s="9" t="s">
        <v>131</v>
      </c>
      <c r="G1999" s="9">
        <v>1602</v>
      </c>
      <c r="H1999" s="5" t="s">
        <v>21</v>
      </c>
      <c r="I1999" s="5" t="s">
        <v>5327</v>
      </c>
      <c r="J1999" s="12" t="str">
        <f>HYPERLINK("https://www.boe.es/gazeta/dias/1808/12/15/pdfs/GMD-1808-155.pdf#page=6","Abrir facsímil")</f>
        <v>Abrir facsímil</v>
      </c>
      <c r="K1999" s="15" t="s">
        <v>23</v>
      </c>
    </row>
    <row r="2000" spans="1:11" ht="42" customHeight="1">
      <c r="A2000" s="4" t="s">
        <v>5328</v>
      </c>
      <c r="B2000" s="5" t="s">
        <v>5329</v>
      </c>
      <c r="C2000" s="5" t="s">
        <v>41</v>
      </c>
      <c r="D2000" s="5" t="s">
        <v>42</v>
      </c>
      <c r="E2000" s="5" t="s">
        <v>166</v>
      </c>
      <c r="F2000" s="9" t="s">
        <v>400</v>
      </c>
      <c r="G2000" s="9" t="s">
        <v>199</v>
      </c>
      <c r="H2000" s="5" t="s">
        <v>21</v>
      </c>
      <c r="I2000" s="5" t="s">
        <v>5330</v>
      </c>
      <c r="J2000" s="12" t="str">
        <f>HYPERLINK("https://www.boe.es/gazeta/dias/1808/11/18/pdfs/D00069-00072.pdf#page=2","Abrir facsímil")</f>
        <v>Abrir facsímil</v>
      </c>
      <c r="K2000" s="15" t="s">
        <v>23</v>
      </c>
    </row>
    <row r="2001" spans="1:11" ht="42" customHeight="1">
      <c r="A2001" s="4" t="s">
        <v>5331</v>
      </c>
      <c r="B2001" s="5" t="s">
        <v>5332</v>
      </c>
      <c r="C2001" s="5" t="s">
        <v>33</v>
      </c>
      <c r="D2001" s="5" t="s">
        <v>34</v>
      </c>
      <c r="E2001" s="5" t="s">
        <v>125</v>
      </c>
      <c r="F2001" s="9" t="s">
        <v>126</v>
      </c>
      <c r="G2001" s="9" t="s">
        <v>106</v>
      </c>
      <c r="H2001" s="5" t="s">
        <v>21</v>
      </c>
      <c r="I2001" s="5" t="s">
        <v>5333</v>
      </c>
      <c r="J2001" s="12" t="str">
        <f>HYPERLINK("https://www.boe.es/gazeta/dias/1808/10/07/pdfs/GMD-C-1808-132.pdf#page=3","Abrir facsímil")</f>
        <v>Abrir facsímil</v>
      </c>
      <c r="K2001" s="15" t="s">
        <v>23</v>
      </c>
    </row>
    <row r="2002" spans="1:11" ht="42" customHeight="1">
      <c r="A2002" s="4" t="s">
        <v>5334</v>
      </c>
      <c r="B2002" s="5" t="s">
        <v>5335</v>
      </c>
      <c r="C2002" s="5" t="s">
        <v>41</v>
      </c>
      <c r="D2002" s="5" t="s">
        <v>42</v>
      </c>
      <c r="E2002" s="5" t="s">
        <v>1472</v>
      </c>
      <c r="F2002" s="9" t="s">
        <v>1473</v>
      </c>
      <c r="G2002" s="9">
        <v>94</v>
      </c>
      <c r="H2002" s="5" t="s">
        <v>21</v>
      </c>
      <c r="I2002" s="5" t="s">
        <v>5336</v>
      </c>
      <c r="J2002" s="12" t="str">
        <f>HYPERLINK("https://www.boe.es/gazeta/dias/1808/01/26/pdfs/GMD-1808-8.pdf#page=10","Abrir facsímil")</f>
        <v>Abrir facsímil</v>
      </c>
      <c r="K2002" s="15" t="s">
        <v>23</v>
      </c>
    </row>
    <row r="2003" spans="1:11" ht="42" customHeight="1">
      <c r="A2003" s="4" t="s">
        <v>5337</v>
      </c>
      <c r="B2003" s="5" t="s">
        <v>5338</v>
      </c>
      <c r="C2003" s="5" t="s">
        <v>94</v>
      </c>
      <c r="D2003" s="5" t="s">
        <v>95</v>
      </c>
      <c r="E2003" s="5" t="s">
        <v>469</v>
      </c>
      <c r="F2003" s="9" t="s">
        <v>470</v>
      </c>
      <c r="G2003" s="9">
        <v>152</v>
      </c>
      <c r="H2003" s="5" t="s">
        <v>21</v>
      </c>
      <c r="I2003" s="5" t="s">
        <v>5339</v>
      </c>
      <c r="J2003" s="12" t="str">
        <f>HYPERLINK("https://www.boe.es/gazeta/dias/1808/02/12/pdfs/GMD-1808-13.pdf#page=8","Abrir facsímil")</f>
        <v>Abrir facsímil</v>
      </c>
      <c r="K2003" s="15" t="s">
        <v>23</v>
      </c>
    </row>
    <row r="2004" spans="1:11" ht="42" customHeight="1">
      <c r="A2004" s="4" t="s">
        <v>5340</v>
      </c>
      <c r="B2004" s="5" t="s">
        <v>5341</v>
      </c>
      <c r="C2004" s="5" t="s">
        <v>33</v>
      </c>
      <c r="D2004" s="5" t="s">
        <v>34</v>
      </c>
      <c r="E2004" s="5" t="s">
        <v>197</v>
      </c>
      <c r="F2004" s="9" t="s">
        <v>198</v>
      </c>
      <c r="G2004" s="9" t="s">
        <v>117</v>
      </c>
      <c r="H2004" s="5" t="s">
        <v>21</v>
      </c>
      <c r="I2004" s="5" t="s">
        <v>5342</v>
      </c>
      <c r="J2004" s="12" t="str">
        <f>HYPERLINK("https://www.boe.es/gazeta/dias/1808/11/01/pdfs/GMD-D-1808-140.pdf#page=1","Abrir facsímil")</f>
        <v>Abrir facsímil</v>
      </c>
      <c r="K2004" s="15" t="s">
        <v>23</v>
      </c>
    </row>
    <row r="2005" spans="1:11" ht="42" customHeight="1">
      <c r="A2005" s="4" t="s">
        <v>5343</v>
      </c>
      <c r="B2005" s="5" t="s">
        <v>5344</v>
      </c>
      <c r="C2005" s="5" t="s">
        <v>17</v>
      </c>
      <c r="D2005" s="5" t="s">
        <v>18</v>
      </c>
      <c r="E2005" s="5" t="s">
        <v>456</v>
      </c>
      <c r="F2005" s="9" t="s">
        <v>2825</v>
      </c>
      <c r="G2005" s="9">
        <v>319</v>
      </c>
      <c r="H2005" s="5" t="s">
        <v>21</v>
      </c>
      <c r="I2005" s="5" t="s">
        <v>5345</v>
      </c>
      <c r="J2005" s="12" t="str">
        <f>HYPERLINK("https://www.boe.es/gazeta/dias/1808/10/14/pdfs/GMS-1808-40.pdf#page=7","Abrir facsímil")</f>
        <v>Abrir facsímil</v>
      </c>
      <c r="K2005" s="15" t="s">
        <v>23</v>
      </c>
    </row>
    <row r="2006" spans="1:11" ht="42" customHeight="1">
      <c r="A2006" s="4" t="s">
        <v>5346</v>
      </c>
      <c r="B2006" s="5" t="s">
        <v>5347</v>
      </c>
      <c r="C2006" s="5" t="s">
        <v>94</v>
      </c>
      <c r="D2006" s="5" t="s">
        <v>95</v>
      </c>
      <c r="E2006" s="5" t="s">
        <v>185</v>
      </c>
      <c r="F2006" s="9" t="s">
        <v>186</v>
      </c>
      <c r="G2006" s="9">
        <v>1101</v>
      </c>
      <c r="H2006" s="5" t="s">
        <v>21</v>
      </c>
      <c r="I2006" s="5" t="s">
        <v>5348</v>
      </c>
      <c r="J2006" s="12" t="str">
        <f>HYPERLINK("https://www.boe.es/gazeta/dias/1808/08/30/pdfs/GMD-1808-118.pdf#page=7","Abrir facsímil")</f>
        <v>Abrir facsímil</v>
      </c>
      <c r="K2006" s="15" t="s">
        <v>23</v>
      </c>
    </row>
    <row r="2007" spans="1:11" ht="42" customHeight="1">
      <c r="A2007" s="4" t="s">
        <v>5349</v>
      </c>
      <c r="B2007" s="5" t="s">
        <v>5350</v>
      </c>
      <c r="C2007" s="5" t="s">
        <v>33</v>
      </c>
      <c r="D2007" s="5" t="s">
        <v>34</v>
      </c>
      <c r="E2007" s="5" t="s">
        <v>35</v>
      </c>
      <c r="F2007" s="9" t="s">
        <v>36</v>
      </c>
      <c r="G2007" s="9" t="s">
        <v>443</v>
      </c>
      <c r="H2007" s="5" t="s">
        <v>21</v>
      </c>
      <c r="I2007" s="5" t="s">
        <v>5351</v>
      </c>
      <c r="J2007" s="12" t="str">
        <f>HYPERLINK("https://www.boe.es/gazeta/dias/1808/04/22/pdfs/GMD-C-1808-38.pdf#page=16","Abrir facsímil")</f>
        <v>Abrir facsímil</v>
      </c>
      <c r="K2007" s="15" t="s">
        <v>23</v>
      </c>
    </row>
    <row r="2008" spans="1:11" ht="42" customHeight="1">
      <c r="A2008" s="4" t="s">
        <v>5349</v>
      </c>
      <c r="B2008" s="5" t="s">
        <v>5350</v>
      </c>
      <c r="C2008" s="5" t="s">
        <v>41</v>
      </c>
      <c r="D2008" s="5" t="s">
        <v>42</v>
      </c>
      <c r="E2008" s="5" t="s">
        <v>35</v>
      </c>
      <c r="F2008" s="9" t="s">
        <v>36</v>
      </c>
      <c r="G2008" s="9" t="s">
        <v>144</v>
      </c>
      <c r="H2008" s="5" t="s">
        <v>21</v>
      </c>
      <c r="I2008" s="5" t="s">
        <v>5352</v>
      </c>
      <c r="J2008" s="12" t="str">
        <f>HYPERLINK("https://www.boe.es/gazeta/dias/1808/04/22/pdfs/GMD-C-1808-38.pdf#page=40","Abrir facsímil")</f>
        <v>Abrir facsímil</v>
      </c>
      <c r="K2008" s="15" t="s">
        <v>23</v>
      </c>
    </row>
    <row r="2009" spans="1:11" ht="42" customHeight="1">
      <c r="A2009" s="4" t="s">
        <v>5353</v>
      </c>
      <c r="B2009" s="5" t="s">
        <v>5354</v>
      </c>
      <c r="C2009" s="5" t="s">
        <v>33</v>
      </c>
      <c r="D2009" s="5" t="s">
        <v>34</v>
      </c>
      <c r="E2009" s="5" t="s">
        <v>35</v>
      </c>
      <c r="F2009" s="9" t="s">
        <v>36</v>
      </c>
      <c r="G2009" s="9" t="s">
        <v>273</v>
      </c>
      <c r="H2009" s="5" t="s">
        <v>21</v>
      </c>
      <c r="I2009" s="5" t="s">
        <v>5355</v>
      </c>
      <c r="J2009" s="12" t="str">
        <f>HYPERLINK("https://www.boe.es/gazeta/dias/1808/04/22/pdfs/GMD-C-1808-38.pdf#page=12","Abrir facsímil")</f>
        <v>Abrir facsímil</v>
      </c>
      <c r="K2009" s="15" t="s">
        <v>23</v>
      </c>
    </row>
    <row r="2010" spans="1:11" ht="42" customHeight="1">
      <c r="A2010" s="4" t="s">
        <v>5353</v>
      </c>
      <c r="B2010" s="5" t="s">
        <v>5354</v>
      </c>
      <c r="C2010" s="5" t="s">
        <v>33</v>
      </c>
      <c r="D2010" s="5" t="s">
        <v>34</v>
      </c>
      <c r="E2010" s="5" t="s">
        <v>35</v>
      </c>
      <c r="F2010" s="9" t="s">
        <v>36</v>
      </c>
      <c r="G2010" s="9" t="s">
        <v>162</v>
      </c>
      <c r="H2010" s="5" t="s">
        <v>21</v>
      </c>
      <c r="I2010" s="5" t="s">
        <v>5356</v>
      </c>
      <c r="J2010" s="12" t="str">
        <f>HYPERLINK("https://www.boe.es/gazeta/dias/1808/04/22/pdfs/GMD-C-1808-38.pdf#page=31","Abrir facsímil")</f>
        <v>Abrir facsímil</v>
      </c>
      <c r="K2010" s="15" t="s">
        <v>23</v>
      </c>
    </row>
    <row r="2011" spans="1:11" ht="42" customHeight="1">
      <c r="A2011" s="4" t="s">
        <v>5357</v>
      </c>
      <c r="B2011" s="5" t="s">
        <v>5358</v>
      </c>
      <c r="C2011" s="5" t="s">
        <v>41</v>
      </c>
      <c r="D2011" s="5" t="s">
        <v>42</v>
      </c>
      <c r="E2011" s="5" t="s">
        <v>35</v>
      </c>
      <c r="F2011" s="9" t="s">
        <v>36</v>
      </c>
      <c r="G2011" s="9" t="s">
        <v>75</v>
      </c>
      <c r="H2011" s="5" t="s">
        <v>21</v>
      </c>
      <c r="I2011" s="5" t="s">
        <v>5359</v>
      </c>
      <c r="J2011" s="12" t="str">
        <f>HYPERLINK("https://www.boe.es/gazeta/dias/1808/04/22/pdfs/GMD-C-1808-38.pdf#page=4","Abrir facsímil")</f>
        <v>Abrir facsímil</v>
      </c>
      <c r="K2011" s="15" t="s">
        <v>23</v>
      </c>
    </row>
    <row r="2012" spans="1:11" ht="42" customHeight="1">
      <c r="A2012" s="4" t="s">
        <v>5360</v>
      </c>
      <c r="B2012" s="5" t="s">
        <v>5361</v>
      </c>
      <c r="C2012" s="5" t="s">
        <v>17</v>
      </c>
      <c r="D2012" s="5" t="s">
        <v>18</v>
      </c>
      <c r="E2012" s="5" t="s">
        <v>218</v>
      </c>
      <c r="F2012" s="9" t="s">
        <v>219</v>
      </c>
      <c r="G2012" s="9">
        <v>331</v>
      </c>
      <c r="H2012" s="5" t="s">
        <v>21</v>
      </c>
      <c r="I2012" s="5" t="s">
        <v>5362</v>
      </c>
      <c r="J2012" s="12" t="str">
        <f>HYPERLINK("https://www.boe.es/gazeta/dias/1808/04/01/pdfs/GMD-1808-29.pdf#page=7","Abrir facsímil")</f>
        <v>Abrir facsímil</v>
      </c>
      <c r="K2012" s="15" t="s">
        <v>23</v>
      </c>
    </row>
    <row r="2013" spans="1:11" ht="42" customHeight="1">
      <c r="A2013" s="4" t="s">
        <v>5360</v>
      </c>
      <c r="B2013" s="5" t="s">
        <v>5361</v>
      </c>
      <c r="C2013" s="5" t="s">
        <v>17</v>
      </c>
      <c r="D2013" s="5" t="s">
        <v>18</v>
      </c>
      <c r="E2013" s="5" t="s">
        <v>1791</v>
      </c>
      <c r="F2013" s="9" t="s">
        <v>2814</v>
      </c>
      <c r="G2013" s="9">
        <v>930</v>
      </c>
      <c r="H2013" s="5" t="s">
        <v>21</v>
      </c>
      <c r="I2013" s="5" t="s">
        <v>5363</v>
      </c>
      <c r="J2013" s="12" t="str">
        <f>HYPERLINK("https://www.boe.es/gazeta/dias/1808/07/30/pdfs/GMD-1808-102.pdf#page=4","Abrir facsímil")</f>
        <v>Abrir facsímil</v>
      </c>
      <c r="K2013" s="15" t="s">
        <v>23</v>
      </c>
    </row>
    <row r="2014" spans="1:11" ht="42" customHeight="1">
      <c r="A2014" s="4" t="s">
        <v>5360</v>
      </c>
      <c r="B2014" s="5" t="s">
        <v>5361</v>
      </c>
      <c r="C2014" s="5" t="s">
        <v>17</v>
      </c>
      <c r="D2014" s="5" t="s">
        <v>18</v>
      </c>
      <c r="E2014" s="5" t="s">
        <v>427</v>
      </c>
      <c r="F2014" s="9" t="s">
        <v>1802</v>
      </c>
      <c r="G2014" s="9">
        <v>1525</v>
      </c>
      <c r="H2014" s="5" t="s">
        <v>21</v>
      </c>
      <c r="I2014" s="5" t="s">
        <v>5364</v>
      </c>
      <c r="J2014" s="12" t="str">
        <f>HYPERLINK("https://www.boe.es/gazeta/dias/1808/11/22/pdfs/GMD-1808-146.pdf#page=11","Abrir facsímil")</f>
        <v>Abrir facsímil</v>
      </c>
      <c r="K2014" s="15" t="s">
        <v>23</v>
      </c>
    </row>
    <row r="2015" spans="1:11" ht="42" customHeight="1">
      <c r="A2015" s="4" t="s">
        <v>5365</v>
      </c>
      <c r="B2015" s="5" t="s">
        <v>5366</v>
      </c>
      <c r="C2015" s="5" t="s">
        <v>26</v>
      </c>
      <c r="D2015" s="5" t="s">
        <v>27</v>
      </c>
      <c r="E2015" s="5" t="s">
        <v>197</v>
      </c>
      <c r="F2015" s="9" t="s">
        <v>198</v>
      </c>
      <c r="G2015" s="9" t="s">
        <v>106</v>
      </c>
      <c r="H2015" s="5" t="s">
        <v>21</v>
      </c>
      <c r="I2015" s="5" t="s">
        <v>5367</v>
      </c>
      <c r="J2015" s="12" t="str">
        <f>HYPERLINK("https://www.boe.es/gazeta/dias/1808/11/01/pdfs/GMD-D-1808-140.pdf#page=3","Abrir facsímil")</f>
        <v>Abrir facsímil</v>
      </c>
      <c r="K2015" s="15" t="s">
        <v>23</v>
      </c>
    </row>
    <row r="2016" spans="1:11" ht="42" customHeight="1">
      <c r="A2016" s="4" t="s">
        <v>5368</v>
      </c>
      <c r="B2016" s="5" t="s">
        <v>5369</v>
      </c>
      <c r="C2016" s="5" t="s">
        <v>33</v>
      </c>
      <c r="D2016" s="5" t="s">
        <v>34</v>
      </c>
      <c r="E2016" s="5" t="s">
        <v>558</v>
      </c>
      <c r="F2016" s="9" t="s">
        <v>758</v>
      </c>
      <c r="G2016" s="9" t="s">
        <v>75</v>
      </c>
      <c r="H2016" s="5" t="s">
        <v>21</v>
      </c>
      <c r="I2016" s="5" t="s">
        <v>5370</v>
      </c>
      <c r="J2016" s="12" t="str">
        <f>HYPERLINK("https://www.boe.es/gazeta/dias/1808/11/25/pdfs/GMD-E-1808-147.pdf#page=4","Abrir facsímil")</f>
        <v>Abrir facsímil</v>
      </c>
      <c r="K2016" s="15" t="s">
        <v>23</v>
      </c>
    </row>
    <row r="2017" spans="1:11" ht="42" customHeight="1">
      <c r="A2017" s="4" t="s">
        <v>5371</v>
      </c>
      <c r="B2017" s="5" t="s">
        <v>5372</v>
      </c>
      <c r="C2017" s="5" t="s">
        <v>17</v>
      </c>
      <c r="D2017" s="5" t="s">
        <v>18</v>
      </c>
      <c r="E2017" s="5" t="s">
        <v>522</v>
      </c>
      <c r="F2017" s="9" t="s">
        <v>523</v>
      </c>
      <c r="G2017" s="9">
        <v>984</v>
      </c>
      <c r="H2017" s="5" t="s">
        <v>21</v>
      </c>
      <c r="I2017" s="5" t="s">
        <v>5373</v>
      </c>
      <c r="J2017" s="12" t="str">
        <f>HYPERLINK("https://www.boe.es/gazeta/dias/1808/08/07/pdfs/GMD-1808-110.pdf#page=6","Abrir facsímil")</f>
        <v>Abrir facsímil</v>
      </c>
      <c r="K2017" s="15" t="s">
        <v>23</v>
      </c>
    </row>
    <row r="2018" spans="1:11" ht="42" customHeight="1">
      <c r="A2018" s="4" t="s">
        <v>5371</v>
      </c>
      <c r="B2018" s="5" t="s">
        <v>5372</v>
      </c>
      <c r="C2018" s="5" t="s">
        <v>17</v>
      </c>
      <c r="D2018" s="5" t="s">
        <v>18</v>
      </c>
      <c r="E2018" s="5" t="s">
        <v>130</v>
      </c>
      <c r="F2018" s="9" t="s">
        <v>131</v>
      </c>
      <c r="G2018" s="9">
        <v>1601</v>
      </c>
      <c r="H2018" s="5" t="s">
        <v>21</v>
      </c>
      <c r="I2018" s="5" t="s">
        <v>5374</v>
      </c>
      <c r="J2018" s="12" t="str">
        <f>HYPERLINK("https://www.boe.es/gazeta/dias/1808/12/15/pdfs/GMD-1808-155.pdf#page=5","Abrir facsímil")</f>
        <v>Abrir facsímil</v>
      </c>
      <c r="K2018" s="15" t="s">
        <v>23</v>
      </c>
    </row>
    <row r="2019" spans="1:11" ht="42" customHeight="1">
      <c r="A2019" s="4" t="s">
        <v>5375</v>
      </c>
      <c r="B2019" s="5" t="s">
        <v>5376</v>
      </c>
      <c r="C2019" s="5" t="s">
        <v>94</v>
      </c>
      <c r="D2019" s="5" t="s">
        <v>95</v>
      </c>
      <c r="E2019" s="5" t="s">
        <v>877</v>
      </c>
      <c r="F2019" s="9" t="s">
        <v>878</v>
      </c>
      <c r="G2019" s="9">
        <v>118</v>
      </c>
      <c r="H2019" s="5" t="s">
        <v>21</v>
      </c>
      <c r="I2019" s="5" t="s">
        <v>5377</v>
      </c>
      <c r="J2019" s="12" t="str">
        <f>HYPERLINK("https://www.boe.es/gazeta/dias/1808/02/02/pdfs/GMD-1808-10.pdf#page=10","Abrir facsímil")</f>
        <v>Abrir facsímil</v>
      </c>
      <c r="K2019" s="15" t="s">
        <v>23</v>
      </c>
    </row>
    <row r="2020" spans="1:11" ht="42" customHeight="1">
      <c r="A2020" s="4" t="s">
        <v>5378</v>
      </c>
      <c r="B2020" s="5" t="s">
        <v>5379</v>
      </c>
      <c r="C2020" s="5" t="s">
        <v>94</v>
      </c>
      <c r="D2020" s="5" t="s">
        <v>95</v>
      </c>
      <c r="E2020" s="5" t="s">
        <v>203</v>
      </c>
      <c r="F2020" s="9" t="s">
        <v>204</v>
      </c>
      <c r="G2020" s="9">
        <v>141</v>
      </c>
      <c r="H2020" s="5" t="s">
        <v>21</v>
      </c>
      <c r="I2020" s="5" t="s">
        <v>5380</v>
      </c>
      <c r="J2020" s="12" t="str">
        <f>HYPERLINK("https://www.boe.es/gazeta/dias/1808/02/09/pdfs/GMD-1808-12.pdf#page=9","Abrir facsímil")</f>
        <v>Abrir facsímil</v>
      </c>
      <c r="K2020" s="15" t="s">
        <v>23</v>
      </c>
    </row>
    <row r="2021" spans="1:11" ht="42" customHeight="1">
      <c r="A2021" s="4" t="s">
        <v>5381</v>
      </c>
      <c r="B2021" s="5" t="s">
        <v>5382</v>
      </c>
      <c r="C2021" s="5" t="s">
        <v>94</v>
      </c>
      <c r="D2021" s="5" t="s">
        <v>95</v>
      </c>
      <c r="E2021" s="5" t="s">
        <v>203</v>
      </c>
      <c r="F2021" s="9" t="s">
        <v>204</v>
      </c>
      <c r="G2021" s="9">
        <v>142</v>
      </c>
      <c r="H2021" s="5" t="s">
        <v>21</v>
      </c>
      <c r="I2021" s="5" t="s">
        <v>5383</v>
      </c>
      <c r="J2021" s="12" t="str">
        <f>HYPERLINK("https://www.boe.es/gazeta/dias/1808/02/09/pdfs/GMD-1808-12.pdf#page=10","Abrir facsímil")</f>
        <v>Abrir facsímil</v>
      </c>
      <c r="K2021" s="15" t="s">
        <v>23</v>
      </c>
    </row>
    <row r="2022" spans="1:11" ht="42" customHeight="1">
      <c r="A2022" s="4" t="s">
        <v>5384</v>
      </c>
      <c r="B2022" s="5" t="s">
        <v>5385</v>
      </c>
      <c r="C2022" s="5" t="s">
        <v>94</v>
      </c>
      <c r="D2022" s="5" t="s">
        <v>95</v>
      </c>
      <c r="E2022" s="5" t="s">
        <v>54</v>
      </c>
      <c r="F2022" s="9" t="s">
        <v>55</v>
      </c>
      <c r="G2022" s="9">
        <v>1087</v>
      </c>
      <c r="H2022" s="5" t="s">
        <v>21</v>
      </c>
      <c r="I2022" s="5" t="s">
        <v>5386</v>
      </c>
      <c r="J2022" s="12" t="str">
        <f>HYPERLINK("https://www.boe.es/gazeta/dias/1808/08/26/pdfs/GMD-1808-117.pdf#page=9","Abrir facsímil")</f>
        <v>Abrir facsímil</v>
      </c>
      <c r="K2022" s="15" t="s">
        <v>23</v>
      </c>
    </row>
    <row r="2023" spans="1:11" ht="42" customHeight="1">
      <c r="A2023" s="4" t="s">
        <v>5387</v>
      </c>
      <c r="B2023" s="5" t="s">
        <v>5388</v>
      </c>
      <c r="C2023" s="5" t="s">
        <v>33</v>
      </c>
      <c r="D2023" s="5" t="s">
        <v>34</v>
      </c>
      <c r="E2023" s="5" t="s">
        <v>35</v>
      </c>
      <c r="F2023" s="9" t="s">
        <v>36</v>
      </c>
      <c r="G2023" s="9" t="s">
        <v>414</v>
      </c>
      <c r="H2023" s="5" t="s">
        <v>21</v>
      </c>
      <c r="I2023" s="5" t="s">
        <v>5389</v>
      </c>
      <c r="J2023" s="12" t="str">
        <f>HYPERLINK("https://www.boe.es/gazeta/dias/1808/04/22/pdfs/GMD-C-1808-38.pdf#page=20","Abrir facsímil")</f>
        <v>Abrir facsímil</v>
      </c>
      <c r="K2023" s="15" t="s">
        <v>23</v>
      </c>
    </row>
    <row r="2024" spans="1:11" ht="42" customHeight="1">
      <c r="A2024" s="4" t="s">
        <v>5390</v>
      </c>
      <c r="B2024" s="5" t="s">
        <v>5391</v>
      </c>
      <c r="C2024" s="5" t="s">
        <v>94</v>
      </c>
      <c r="D2024" s="5" t="s">
        <v>95</v>
      </c>
      <c r="E2024" s="5" t="s">
        <v>68</v>
      </c>
      <c r="F2024" s="9" t="s">
        <v>849</v>
      </c>
      <c r="G2024" s="9">
        <v>1345</v>
      </c>
      <c r="H2024" s="5" t="s">
        <v>21</v>
      </c>
      <c r="I2024" s="5" t="s">
        <v>5392</v>
      </c>
      <c r="J2024" s="12" t="str">
        <f>HYPERLINK("https://www.boe.es/gazeta/dias/1808/10/21/pdfs/GMD-C-1808-136.pdf#page=5","Abrir facsímil")</f>
        <v>Abrir facsímil</v>
      </c>
      <c r="K2024" s="15" t="s">
        <v>23</v>
      </c>
    </row>
    <row r="2025" spans="1:11" ht="42" customHeight="1">
      <c r="A2025" s="4" t="s">
        <v>5393</v>
      </c>
      <c r="B2025" s="5" t="s">
        <v>5394</v>
      </c>
      <c r="C2025" s="5" t="s">
        <v>33</v>
      </c>
      <c r="D2025" s="5" t="s">
        <v>34</v>
      </c>
      <c r="E2025" s="5" t="s">
        <v>35</v>
      </c>
      <c r="F2025" s="9" t="s">
        <v>36</v>
      </c>
      <c r="G2025" s="9" t="s">
        <v>279</v>
      </c>
      <c r="H2025" s="5" t="s">
        <v>21</v>
      </c>
      <c r="I2025" s="5" t="s">
        <v>5395</v>
      </c>
      <c r="J2025" s="12" t="str">
        <f>HYPERLINK("https://www.boe.es/gazeta/dias/1808/04/22/pdfs/GMD-C-1808-38.pdf#page=44","Abrir facsímil")</f>
        <v>Abrir facsímil</v>
      </c>
      <c r="K2025" s="15" t="s">
        <v>23</v>
      </c>
    </row>
    <row r="2026" spans="1:11" ht="42" customHeight="1">
      <c r="A2026" s="4" t="s">
        <v>5396</v>
      </c>
      <c r="B2026" s="5" t="s">
        <v>5397</v>
      </c>
      <c r="C2026" s="5" t="s">
        <v>33</v>
      </c>
      <c r="D2026" s="5" t="s">
        <v>34</v>
      </c>
      <c r="E2026" s="5" t="s">
        <v>35</v>
      </c>
      <c r="F2026" s="9" t="s">
        <v>36</v>
      </c>
      <c r="G2026" s="9" t="s">
        <v>1006</v>
      </c>
      <c r="H2026" s="5" t="s">
        <v>21</v>
      </c>
      <c r="I2026" s="5" t="s">
        <v>5398</v>
      </c>
      <c r="J2026" s="12" t="str">
        <f>HYPERLINK("https://www.boe.es/gazeta/dias/1808/04/22/pdfs/GMD-C-1808-38.pdf#page=46","Abrir facsímil")</f>
        <v>Abrir facsímil</v>
      </c>
      <c r="K2026" s="15" t="s">
        <v>23</v>
      </c>
    </row>
    <row r="2027" spans="1:11" ht="42" customHeight="1">
      <c r="A2027" s="4" t="s">
        <v>5399</v>
      </c>
      <c r="B2027" s="5" t="s">
        <v>5400</v>
      </c>
      <c r="C2027" s="5" t="s">
        <v>94</v>
      </c>
      <c r="D2027" s="5" t="s">
        <v>95</v>
      </c>
      <c r="E2027" s="5" t="s">
        <v>54</v>
      </c>
      <c r="F2027" s="9" t="s">
        <v>55</v>
      </c>
      <c r="G2027" s="9">
        <v>1089</v>
      </c>
      <c r="H2027" s="5" t="s">
        <v>21</v>
      </c>
      <c r="I2027" s="5" t="s">
        <v>5401</v>
      </c>
      <c r="J2027" s="12" t="str">
        <f>HYPERLINK("https://www.boe.es/gazeta/dias/1808/08/26/pdfs/GMD-1808-117.pdf#page=11","Abrir facsímil")</f>
        <v>Abrir facsímil</v>
      </c>
      <c r="K2027" s="15" t="s">
        <v>23</v>
      </c>
    </row>
    <row r="2028" spans="1:11" ht="42" customHeight="1">
      <c r="A2028" s="4" t="s">
        <v>5402</v>
      </c>
      <c r="B2028" s="5" t="s">
        <v>5403</v>
      </c>
      <c r="C2028" s="5" t="s">
        <v>33</v>
      </c>
      <c r="D2028" s="5" t="s">
        <v>34</v>
      </c>
      <c r="E2028" s="5" t="s">
        <v>461</v>
      </c>
      <c r="F2028" s="9" t="s">
        <v>462</v>
      </c>
      <c r="G2028" s="9" t="s">
        <v>199</v>
      </c>
      <c r="H2028" s="5" t="s">
        <v>21</v>
      </c>
      <c r="I2028" s="5" t="s">
        <v>5404</v>
      </c>
      <c r="J2028" s="12" t="str">
        <f>HYPERLINK("https://www.boe.es/gazeta/dias/1808/11/08/pdfs/GMD-D-1808-142.pdf#page=2","Abrir facsímil")</f>
        <v>Abrir facsímil</v>
      </c>
      <c r="K2028" s="15" t="s">
        <v>23</v>
      </c>
    </row>
    <row r="2029" spans="1:11" ht="42" customHeight="1">
      <c r="A2029" s="4" t="s">
        <v>5405</v>
      </c>
      <c r="B2029" s="5" t="s">
        <v>5406</v>
      </c>
      <c r="C2029" s="5" t="s">
        <v>17</v>
      </c>
      <c r="D2029" s="5" t="s">
        <v>18</v>
      </c>
      <c r="E2029" s="5" t="s">
        <v>558</v>
      </c>
      <c r="F2029" s="9" t="s">
        <v>559</v>
      </c>
      <c r="G2029" s="9">
        <v>1544</v>
      </c>
      <c r="H2029" s="5" t="s">
        <v>21</v>
      </c>
      <c r="I2029" s="5" t="s">
        <v>5407</v>
      </c>
      <c r="J2029" s="12" t="str">
        <f>HYPERLINK("https://www.boe.es/gazeta/dias/1808/11/25/pdfs/GMD-1808-147.pdf#page=10","Abrir facsímil")</f>
        <v>Abrir facsímil</v>
      </c>
      <c r="K2029" s="15" t="s">
        <v>23</v>
      </c>
    </row>
    <row r="2030" spans="1:11" ht="42" customHeight="1">
      <c r="A2030" s="4" t="s">
        <v>5408</v>
      </c>
      <c r="B2030" s="5" t="s">
        <v>5409</v>
      </c>
      <c r="C2030" s="5" t="s">
        <v>94</v>
      </c>
      <c r="D2030" s="5" t="s">
        <v>95</v>
      </c>
      <c r="E2030" s="5" t="s">
        <v>1472</v>
      </c>
      <c r="F2030" s="9" t="s">
        <v>1473</v>
      </c>
      <c r="G2030" s="9">
        <v>92</v>
      </c>
      <c r="H2030" s="5" t="s">
        <v>21</v>
      </c>
      <c r="I2030" s="5" t="s">
        <v>5410</v>
      </c>
      <c r="J2030" s="12" t="str">
        <f>HYPERLINK("https://www.boe.es/gazeta/dias/1808/01/26/pdfs/GMD-1808-8.pdf#page=8","Abrir facsímil")</f>
        <v>Abrir facsímil</v>
      </c>
      <c r="K2030" s="15" t="s">
        <v>23</v>
      </c>
    </row>
    <row r="2031" spans="1:11" ht="42" customHeight="1">
      <c r="A2031" s="4" t="s">
        <v>5411</v>
      </c>
      <c r="B2031" s="5" t="s">
        <v>5412</v>
      </c>
      <c r="C2031" s="5" t="s">
        <v>33</v>
      </c>
      <c r="D2031" s="5" t="s">
        <v>34</v>
      </c>
      <c r="E2031" s="5" t="s">
        <v>35</v>
      </c>
      <c r="F2031" s="9" t="s">
        <v>36</v>
      </c>
      <c r="G2031" s="9" t="s">
        <v>37</v>
      </c>
      <c r="H2031" s="5" t="s">
        <v>21</v>
      </c>
      <c r="I2031" s="5" t="s">
        <v>5413</v>
      </c>
      <c r="J2031" s="12" t="str">
        <f>HYPERLINK("https://www.boe.es/gazeta/dias/1808/04/22/pdfs/GMD-C-1808-38.pdf#page=33","Abrir facsímil")</f>
        <v>Abrir facsímil</v>
      </c>
      <c r="K2031" s="15" t="s">
        <v>23</v>
      </c>
    </row>
    <row r="2032" spans="1:11" ht="42" customHeight="1">
      <c r="A2032" s="4" t="s">
        <v>5414</v>
      </c>
      <c r="B2032" s="5" t="s">
        <v>5415</v>
      </c>
      <c r="C2032" s="5" t="s">
        <v>41</v>
      </c>
      <c r="D2032" s="5" t="s">
        <v>42</v>
      </c>
      <c r="E2032" s="5" t="s">
        <v>1385</v>
      </c>
      <c r="F2032" s="9" t="s">
        <v>1386</v>
      </c>
      <c r="G2032" s="9">
        <v>232</v>
      </c>
      <c r="H2032" s="5" t="s">
        <v>21</v>
      </c>
      <c r="I2032" s="5" t="s">
        <v>5416</v>
      </c>
      <c r="J2032" s="12" t="str">
        <f>HYPERLINK("https://www.boe.es/gazeta/dias/1808/03/04/pdfs/GMD-1808-19.pdf#page=10","Abrir facsímil")</f>
        <v>Abrir facsímil</v>
      </c>
      <c r="K2032" s="15" t="s">
        <v>23</v>
      </c>
    </row>
    <row r="2033" spans="1:11" ht="42" customHeight="1">
      <c r="A2033" s="4" t="s">
        <v>5417</v>
      </c>
      <c r="B2033" s="5" t="s">
        <v>5418</v>
      </c>
      <c r="C2033" s="5" t="s">
        <v>17</v>
      </c>
      <c r="D2033" s="5" t="s">
        <v>18</v>
      </c>
      <c r="E2033" s="5" t="s">
        <v>110</v>
      </c>
      <c r="F2033" s="9" t="s">
        <v>111</v>
      </c>
      <c r="G2033" s="9">
        <v>1383</v>
      </c>
      <c r="H2033" s="5" t="s">
        <v>21</v>
      </c>
      <c r="I2033" s="5" t="s">
        <v>5419</v>
      </c>
      <c r="J2033" s="12" t="str">
        <f>HYPERLINK("https://www.boe.es/gazeta/dias/1808/10/28/pdfs/GMD-1808-138.pdf#page=9","Abrir facsímil")</f>
        <v>Abrir facsímil</v>
      </c>
      <c r="K2033" s="15" t="s">
        <v>23</v>
      </c>
    </row>
    <row r="2034" spans="1:11" ht="42" customHeight="1">
      <c r="A2034" s="4" t="s">
        <v>5420</v>
      </c>
      <c r="B2034" s="5" t="s">
        <v>5421</v>
      </c>
      <c r="C2034" s="5" t="s">
        <v>17</v>
      </c>
      <c r="D2034" s="5" t="s">
        <v>18</v>
      </c>
      <c r="E2034" s="5" t="s">
        <v>719</v>
      </c>
      <c r="F2034" s="9" t="s">
        <v>720</v>
      </c>
      <c r="G2034" s="9">
        <v>1611</v>
      </c>
      <c r="H2034" s="5" t="s">
        <v>21</v>
      </c>
      <c r="I2034" s="5" t="s">
        <v>5422</v>
      </c>
      <c r="J2034" s="12" t="str">
        <f>HYPERLINK("https://www.boe.es/gazeta/dias/1808/12/16/pdfs/GMD-1808-156.pdf#page=3","Abrir facsímil")</f>
        <v>Abrir facsímil</v>
      </c>
      <c r="K2034" s="15" t="s">
        <v>23</v>
      </c>
    </row>
    <row r="2035" spans="1:11" ht="42" customHeight="1">
      <c r="A2035" s="4" t="s">
        <v>5423</v>
      </c>
      <c r="B2035" s="5" t="s">
        <v>5424</v>
      </c>
      <c r="C2035" s="5" t="s">
        <v>17</v>
      </c>
      <c r="D2035" s="5" t="s">
        <v>18</v>
      </c>
      <c r="E2035" s="5" t="s">
        <v>28</v>
      </c>
      <c r="F2035" s="9" t="s">
        <v>29</v>
      </c>
      <c r="G2035" s="9">
        <v>1428</v>
      </c>
      <c r="H2035" s="5" t="s">
        <v>21</v>
      </c>
      <c r="I2035" s="5" t="s">
        <v>5425</v>
      </c>
      <c r="J2035" s="12" t="str">
        <f>HYPERLINK("https://www.boe.es/gazeta/dias/1808/11/04/pdfs/GMD-1808-141.pdf#page=10","Abrir facsímil")</f>
        <v>Abrir facsímil</v>
      </c>
      <c r="K2035" s="15" t="s">
        <v>23</v>
      </c>
    </row>
    <row r="2036" spans="1:11" ht="42" customHeight="1">
      <c r="A2036" s="4" t="s">
        <v>5426</v>
      </c>
      <c r="B2036" s="5" t="s">
        <v>5427</v>
      </c>
      <c r="C2036" s="5" t="s">
        <v>41</v>
      </c>
      <c r="D2036" s="5" t="s">
        <v>42</v>
      </c>
      <c r="E2036" s="5" t="s">
        <v>166</v>
      </c>
      <c r="F2036" s="9" t="s">
        <v>400</v>
      </c>
      <c r="G2036" s="9" t="s">
        <v>106</v>
      </c>
      <c r="H2036" s="5" t="s">
        <v>21</v>
      </c>
      <c r="I2036" s="5" t="s">
        <v>5428</v>
      </c>
      <c r="J2036" s="12" t="str">
        <f>HYPERLINK("https://www.boe.es/gazeta/dias/1808/11/18/pdfs/D00069-00072.pdf#page=3","Abrir facsímil")</f>
        <v>Abrir facsímil</v>
      </c>
      <c r="K2036" s="15" t="s">
        <v>23</v>
      </c>
    </row>
    <row r="2037" spans="1:11" ht="42" customHeight="1">
      <c r="A2037" s="4" t="s">
        <v>5429</v>
      </c>
      <c r="B2037" s="5" t="s">
        <v>5430</v>
      </c>
      <c r="C2037" s="5" t="s">
        <v>389</v>
      </c>
      <c r="D2037" s="5" t="s">
        <v>390</v>
      </c>
      <c r="E2037" s="5" t="s">
        <v>1085</v>
      </c>
      <c r="F2037" s="9" t="s">
        <v>1086</v>
      </c>
      <c r="G2037" s="9">
        <v>108</v>
      </c>
      <c r="H2037" s="5" t="s">
        <v>21</v>
      </c>
      <c r="I2037" s="5" t="s">
        <v>5431</v>
      </c>
      <c r="J2037" s="12" t="str">
        <f>HYPERLINK("https://www.boe.es/gazeta/dias/1808/01/29/pdfs/GMD-1808-9.pdf#page=12","Abrir facsímil")</f>
        <v>Abrir facsímil</v>
      </c>
      <c r="K2037" s="15" t="s">
        <v>23</v>
      </c>
    </row>
    <row r="2038" spans="1:11" ht="42" customHeight="1">
      <c r="A2038" s="4" t="s">
        <v>5432</v>
      </c>
      <c r="B2038" s="5" t="s">
        <v>5433</v>
      </c>
      <c r="C2038" s="5" t="s">
        <v>33</v>
      </c>
      <c r="D2038" s="5" t="s">
        <v>34</v>
      </c>
      <c r="E2038" s="5" t="s">
        <v>35</v>
      </c>
      <c r="F2038" s="9" t="s">
        <v>36</v>
      </c>
      <c r="G2038" s="9" t="s">
        <v>106</v>
      </c>
      <c r="H2038" s="5" t="s">
        <v>21</v>
      </c>
      <c r="I2038" s="5" t="s">
        <v>5434</v>
      </c>
      <c r="J2038" s="12" t="str">
        <f>HYPERLINK("https://www.boe.es/gazeta/dias/1808/04/22/pdfs/GMD-C-1808-38.pdf#page=3","Abrir facsímil")</f>
        <v>Abrir facsímil</v>
      </c>
      <c r="K2038" s="15" t="s">
        <v>23</v>
      </c>
    </row>
    <row r="2039" spans="1:11" ht="42" customHeight="1">
      <c r="A2039" s="4" t="s">
        <v>5435</v>
      </c>
      <c r="B2039" s="5" t="s">
        <v>5436</v>
      </c>
      <c r="C2039" s="5" t="s">
        <v>33</v>
      </c>
      <c r="D2039" s="5" t="s">
        <v>34</v>
      </c>
      <c r="E2039" s="5" t="s">
        <v>35</v>
      </c>
      <c r="F2039" s="9" t="s">
        <v>36</v>
      </c>
      <c r="G2039" s="9" t="s">
        <v>1006</v>
      </c>
      <c r="H2039" s="5" t="s">
        <v>21</v>
      </c>
      <c r="I2039" s="5" t="s">
        <v>5437</v>
      </c>
      <c r="J2039" s="12" t="str">
        <f>HYPERLINK("https://www.boe.es/gazeta/dias/1808/04/22/pdfs/GMD-C-1808-38.pdf#page=46","Abrir facsímil")</f>
        <v>Abrir facsímil</v>
      </c>
      <c r="K2039" s="15" t="s">
        <v>23</v>
      </c>
    </row>
    <row r="2040" spans="1:11" ht="42" customHeight="1">
      <c r="A2040" s="4" t="s">
        <v>5435</v>
      </c>
      <c r="B2040" s="5" t="s">
        <v>5436</v>
      </c>
      <c r="C2040" s="5" t="s">
        <v>33</v>
      </c>
      <c r="D2040" s="5" t="s">
        <v>34</v>
      </c>
      <c r="E2040" s="5" t="s">
        <v>35</v>
      </c>
      <c r="F2040" s="9" t="s">
        <v>36</v>
      </c>
      <c r="G2040" s="9" t="s">
        <v>1178</v>
      </c>
      <c r="H2040" s="5" t="s">
        <v>21</v>
      </c>
      <c r="I2040" s="5" t="s">
        <v>5438</v>
      </c>
      <c r="J2040" s="12" t="str">
        <f>HYPERLINK("https://www.boe.es/gazeta/dias/1808/04/22/pdfs/GMD-C-1808-38.pdf#page=9","Abrir facsímil")</f>
        <v>Abrir facsímil</v>
      </c>
      <c r="K2040" s="15" t="s">
        <v>23</v>
      </c>
    </row>
    <row r="2041" spans="1:11" ht="42" customHeight="1">
      <c r="A2041" s="4" t="s">
        <v>5439</v>
      </c>
      <c r="B2041" s="5" t="s">
        <v>5440</v>
      </c>
      <c r="C2041" s="5" t="s">
        <v>94</v>
      </c>
      <c r="D2041" s="5" t="s">
        <v>95</v>
      </c>
      <c r="E2041" s="5" t="s">
        <v>478</v>
      </c>
      <c r="F2041" s="9" t="s">
        <v>479</v>
      </c>
      <c r="G2041" s="9">
        <v>241</v>
      </c>
      <c r="H2041" s="5" t="s">
        <v>21</v>
      </c>
      <c r="I2041" s="5" t="s">
        <v>5441</v>
      </c>
      <c r="J2041" s="12" t="str">
        <f>HYPERLINK("https://www.boe.es/gazeta/dias/1808/03/08/pdfs/GMD-1808-20.pdf#page=7","Abrir facsímil")</f>
        <v>Abrir facsímil</v>
      </c>
      <c r="K2041" s="15" t="s">
        <v>23</v>
      </c>
    </row>
    <row r="2042" spans="1:11" ht="42" customHeight="1">
      <c r="A2042" s="4" t="s">
        <v>5442</v>
      </c>
      <c r="B2042" s="5" t="s">
        <v>5443</v>
      </c>
      <c r="C2042" s="5" t="s">
        <v>94</v>
      </c>
      <c r="D2042" s="5" t="s">
        <v>95</v>
      </c>
      <c r="E2042" s="5" t="s">
        <v>35</v>
      </c>
      <c r="F2042" s="9" t="s">
        <v>3452</v>
      </c>
      <c r="G2042" s="9">
        <v>402</v>
      </c>
      <c r="H2042" s="5" t="s">
        <v>21</v>
      </c>
      <c r="I2042" s="5" t="s">
        <v>5444</v>
      </c>
      <c r="J2042" s="12" t="str">
        <f>HYPERLINK("https://www.boe.es/gazeta/dias/1808/04/22/pdfs/GMD-1808-38.pdf#page=10","Abrir facsímil")</f>
        <v>Abrir facsímil</v>
      </c>
      <c r="K2042" s="15" t="s">
        <v>23</v>
      </c>
    </row>
    <row r="2043" spans="1:11" ht="42" customHeight="1">
      <c r="A2043" s="4" t="s">
        <v>5445</v>
      </c>
      <c r="B2043" s="5" t="s">
        <v>5446</v>
      </c>
      <c r="C2043" s="5" t="s">
        <v>33</v>
      </c>
      <c r="D2043" s="5" t="s">
        <v>34</v>
      </c>
      <c r="E2043" s="5" t="s">
        <v>35</v>
      </c>
      <c r="F2043" s="9" t="s">
        <v>36</v>
      </c>
      <c r="G2043" s="9" t="s">
        <v>106</v>
      </c>
      <c r="H2043" s="5" t="s">
        <v>21</v>
      </c>
      <c r="I2043" s="5" t="s">
        <v>5447</v>
      </c>
      <c r="J2043" s="12" t="str">
        <f>HYPERLINK("https://www.boe.es/gazeta/dias/1808/04/22/pdfs/GMD-C-1808-38.pdf#page=3","Abrir facsímil")</f>
        <v>Abrir facsímil</v>
      </c>
      <c r="K2043" s="15" t="s">
        <v>23</v>
      </c>
    </row>
    <row r="2044" spans="1:11" ht="42" customHeight="1">
      <c r="A2044" s="4" t="s">
        <v>5448</v>
      </c>
      <c r="B2044" s="5" t="s">
        <v>5449</v>
      </c>
      <c r="C2044" s="5" t="s">
        <v>94</v>
      </c>
      <c r="D2044" s="5" t="s">
        <v>95</v>
      </c>
      <c r="E2044" s="5" t="s">
        <v>54</v>
      </c>
      <c r="F2044" s="9" t="s">
        <v>55</v>
      </c>
      <c r="G2044" s="9">
        <v>1089</v>
      </c>
      <c r="H2044" s="5" t="s">
        <v>21</v>
      </c>
      <c r="I2044" s="5" t="s">
        <v>5450</v>
      </c>
      <c r="J2044" s="12" t="str">
        <f>HYPERLINK("https://www.boe.es/gazeta/dias/1808/08/26/pdfs/GMD-1808-117.pdf#page=11","Abrir facsímil")</f>
        <v>Abrir facsímil</v>
      </c>
      <c r="K2044" s="15" t="s">
        <v>23</v>
      </c>
    </row>
    <row r="2045" spans="1:11" ht="42" customHeight="1">
      <c r="A2045" s="4" t="s">
        <v>5451</v>
      </c>
      <c r="B2045" s="5" t="s">
        <v>5452</v>
      </c>
      <c r="C2045" s="5" t="s">
        <v>94</v>
      </c>
      <c r="D2045" s="5" t="s">
        <v>95</v>
      </c>
      <c r="E2045" s="5" t="s">
        <v>2159</v>
      </c>
      <c r="F2045" s="9" t="s">
        <v>2160</v>
      </c>
      <c r="G2045" s="9">
        <v>179</v>
      </c>
      <c r="H2045" s="5" t="s">
        <v>21</v>
      </c>
      <c r="I2045" s="5" t="s">
        <v>5453</v>
      </c>
      <c r="J2045" s="12" t="str">
        <f>HYPERLINK("https://www.boe.es/gazeta/dias/1808/02/19/pdfs/GMD-1808-15.pdf#page=9","Abrir facsímil")</f>
        <v>Abrir facsímil</v>
      </c>
      <c r="K2045" s="15" t="s">
        <v>23</v>
      </c>
    </row>
    <row r="2046" spans="1:11" ht="42" customHeight="1">
      <c r="A2046" s="4" t="s">
        <v>5454</v>
      </c>
      <c r="B2046" s="5" t="s">
        <v>5455</v>
      </c>
      <c r="C2046" s="5" t="s">
        <v>94</v>
      </c>
      <c r="D2046" s="5" t="s">
        <v>95</v>
      </c>
      <c r="E2046" s="5" t="s">
        <v>139</v>
      </c>
      <c r="F2046" s="9" t="s">
        <v>3587</v>
      </c>
      <c r="G2046" s="9">
        <v>269</v>
      </c>
      <c r="H2046" s="5" t="s">
        <v>21</v>
      </c>
      <c r="I2046" s="5" t="s">
        <v>5456</v>
      </c>
      <c r="J2046" s="12" t="str">
        <f>HYPERLINK("https://www.boe.es/gazeta/dias/1808/09/23/pdfs/GMS-1808-34.pdf#page=5","Abrir facsímil")</f>
        <v>Abrir facsímil</v>
      </c>
      <c r="K2046" s="15" t="s">
        <v>23</v>
      </c>
    </row>
    <row r="2047" spans="1:11" ht="42" customHeight="1">
      <c r="A2047" s="4" t="s">
        <v>5457</v>
      </c>
      <c r="B2047" s="5" t="s">
        <v>5458</v>
      </c>
      <c r="C2047" s="5" t="s">
        <v>94</v>
      </c>
      <c r="D2047" s="5" t="s">
        <v>95</v>
      </c>
      <c r="E2047" s="5" t="s">
        <v>663</v>
      </c>
      <c r="F2047" s="9" t="s">
        <v>664</v>
      </c>
      <c r="G2047" s="9">
        <v>209</v>
      </c>
      <c r="H2047" s="5" t="s">
        <v>21</v>
      </c>
      <c r="I2047" s="5" t="s">
        <v>5459</v>
      </c>
      <c r="J2047" s="12" t="str">
        <f>HYPERLINK("https://www.boe.es/gazeta/dias/1808/02/26/pdfs/GMD-1808-17.pdf#page=11","Abrir facsímil")</f>
        <v>Abrir facsímil</v>
      </c>
      <c r="K2047" s="15" t="s">
        <v>23</v>
      </c>
    </row>
    <row r="2048" spans="1:11" ht="42" customHeight="1">
      <c r="A2048" s="4" t="s">
        <v>5460</v>
      </c>
      <c r="B2048" s="5" t="s">
        <v>5461</v>
      </c>
      <c r="C2048" s="5" t="s">
        <v>41</v>
      </c>
      <c r="D2048" s="5" t="s">
        <v>42</v>
      </c>
      <c r="E2048" s="5" t="s">
        <v>89</v>
      </c>
      <c r="F2048" s="9" t="s">
        <v>90</v>
      </c>
      <c r="G2048" s="9">
        <v>1358</v>
      </c>
      <c r="H2048" s="5" t="s">
        <v>21</v>
      </c>
      <c r="I2048" s="5" t="s">
        <v>5462</v>
      </c>
      <c r="J2048" s="12" t="str">
        <f>HYPERLINK("https://www.boe.es/gazeta/dias/1808/10/25/pdfs/GMD-1808-137.pdf#page=6","Abrir facsímil")</f>
        <v>Abrir facsímil</v>
      </c>
      <c r="K2048" s="15" t="s">
        <v>23</v>
      </c>
    </row>
    <row r="2049" spans="1:11" ht="42" customHeight="1">
      <c r="A2049" s="4" t="s">
        <v>5463</v>
      </c>
      <c r="B2049" s="5" t="s">
        <v>5464</v>
      </c>
      <c r="C2049" s="5" t="s">
        <v>94</v>
      </c>
      <c r="D2049" s="5" t="s">
        <v>95</v>
      </c>
      <c r="E2049" s="5" t="s">
        <v>139</v>
      </c>
      <c r="F2049" s="9" t="s">
        <v>3587</v>
      </c>
      <c r="G2049" s="9">
        <v>269</v>
      </c>
      <c r="H2049" s="5" t="s">
        <v>21</v>
      </c>
      <c r="I2049" s="5" t="s">
        <v>5465</v>
      </c>
      <c r="J2049" s="12" t="str">
        <f>HYPERLINK("https://www.boe.es/gazeta/dias/1808/09/23/pdfs/GMS-1808-34.pdf#page=5","Abrir facsímil")</f>
        <v>Abrir facsímil</v>
      </c>
      <c r="K2049" s="15" t="s">
        <v>23</v>
      </c>
    </row>
    <row r="2050" spans="1:11" ht="42" customHeight="1">
      <c r="A2050" s="4" t="s">
        <v>5466</v>
      </c>
      <c r="B2050" s="5" t="s">
        <v>5467</v>
      </c>
      <c r="C2050" s="5" t="s">
        <v>33</v>
      </c>
      <c r="D2050" s="5" t="s">
        <v>34</v>
      </c>
      <c r="E2050" s="5" t="s">
        <v>68</v>
      </c>
      <c r="F2050" s="9" t="s">
        <v>849</v>
      </c>
      <c r="G2050" s="9">
        <v>1342</v>
      </c>
      <c r="H2050" s="5" t="s">
        <v>21</v>
      </c>
      <c r="I2050" s="5" t="s">
        <v>5468</v>
      </c>
      <c r="J2050" s="12" t="str">
        <f>HYPERLINK("https://www.boe.es/gazeta/dias/1808/10/21/pdfs/GMD-C-1808-136.pdf#page=2","Abrir facsímil")</f>
        <v>Abrir facsímil</v>
      </c>
      <c r="K2050" s="15" t="s">
        <v>23</v>
      </c>
    </row>
    <row r="2051" spans="1:11" ht="42" customHeight="1">
      <c r="A2051" s="4" t="s">
        <v>5469</v>
      </c>
      <c r="B2051" s="5" t="s">
        <v>5470</v>
      </c>
      <c r="C2051" s="5" t="s">
        <v>33</v>
      </c>
      <c r="D2051" s="5" t="s">
        <v>34</v>
      </c>
      <c r="E2051" s="5" t="s">
        <v>180</v>
      </c>
      <c r="F2051" s="9" t="s">
        <v>768</v>
      </c>
      <c r="G2051" s="9" t="s">
        <v>199</v>
      </c>
      <c r="H2051" s="5" t="s">
        <v>21</v>
      </c>
      <c r="I2051" s="5" t="s">
        <v>5471</v>
      </c>
      <c r="J2051" s="12" t="str">
        <f>HYPERLINK("https://www.boe.es/gazeta/dias/1808/11/15/pdfs/GMD-D-1808-144.pdf#page=2","Abrir facsímil")</f>
        <v>Abrir facsímil</v>
      </c>
      <c r="K2051" s="15" t="s">
        <v>23</v>
      </c>
    </row>
    <row r="2052" spans="1:11" ht="42" customHeight="1">
      <c r="A2052" s="4" t="s">
        <v>5472</v>
      </c>
      <c r="B2052" s="5" t="s">
        <v>5473</v>
      </c>
      <c r="C2052" s="5" t="s">
        <v>41</v>
      </c>
      <c r="D2052" s="5" t="s">
        <v>42</v>
      </c>
      <c r="E2052" s="5" t="s">
        <v>185</v>
      </c>
      <c r="F2052" s="9" t="s">
        <v>186</v>
      </c>
      <c r="G2052" s="9">
        <v>1100</v>
      </c>
      <c r="H2052" s="5" t="s">
        <v>21</v>
      </c>
      <c r="I2052" s="5" t="s">
        <v>5474</v>
      </c>
      <c r="J2052" s="12" t="str">
        <f>HYPERLINK("https://www.boe.es/gazeta/dias/1808/08/30/pdfs/GMD-1808-118.pdf#page=6","Abrir facsímil")</f>
        <v>Abrir facsímil</v>
      </c>
      <c r="K2052" s="15" t="s">
        <v>23</v>
      </c>
    </row>
    <row r="2053" spans="1:11" ht="42" customHeight="1">
      <c r="A2053" s="4" t="s">
        <v>5475</v>
      </c>
      <c r="B2053" s="5" t="s">
        <v>5476</v>
      </c>
      <c r="C2053" s="5" t="s">
        <v>94</v>
      </c>
      <c r="D2053" s="5" t="s">
        <v>95</v>
      </c>
      <c r="E2053" s="5" t="s">
        <v>2639</v>
      </c>
      <c r="F2053" s="9" t="s">
        <v>2640</v>
      </c>
      <c r="G2053" s="9">
        <v>119</v>
      </c>
      <c r="H2053" s="5" t="s">
        <v>21</v>
      </c>
      <c r="I2053" s="5" t="s">
        <v>5477</v>
      </c>
      <c r="J2053" s="12" t="str">
        <f>HYPERLINK("https://www.boe.es/gazeta/dias/1808/07/20/pdfs/GMS-1808-15.pdf#page=7","Abrir facsímil")</f>
        <v>Abrir facsímil</v>
      </c>
      <c r="K2053" s="15" t="s">
        <v>23</v>
      </c>
    </row>
    <row r="2054" spans="1:11" ht="42" customHeight="1">
      <c r="A2054" s="4" t="s">
        <v>5478</v>
      </c>
      <c r="B2054" s="5" t="s">
        <v>5479</v>
      </c>
      <c r="C2054" s="5" t="s">
        <v>33</v>
      </c>
      <c r="D2054" s="5" t="s">
        <v>34</v>
      </c>
      <c r="E2054" s="5" t="s">
        <v>35</v>
      </c>
      <c r="F2054" s="9" t="s">
        <v>36</v>
      </c>
      <c r="G2054" s="9" t="s">
        <v>322</v>
      </c>
      <c r="H2054" s="5" t="s">
        <v>21</v>
      </c>
      <c r="I2054" s="5" t="s">
        <v>5480</v>
      </c>
      <c r="J2054" s="12" t="str">
        <f>HYPERLINK("https://www.boe.es/gazeta/dias/1808/04/22/pdfs/GMD-C-1808-38.pdf#page=15","Abrir facsímil")</f>
        <v>Abrir facsímil</v>
      </c>
      <c r="K2054" s="15" t="s">
        <v>23</v>
      </c>
    </row>
    <row r="2055" spans="1:11" ht="42" customHeight="1">
      <c r="A2055" s="4" t="s">
        <v>5481</v>
      </c>
      <c r="B2055" s="5" t="s">
        <v>5482</v>
      </c>
      <c r="C2055" s="5" t="s">
        <v>94</v>
      </c>
      <c r="D2055" s="5" t="s">
        <v>95</v>
      </c>
      <c r="E2055" s="5" t="s">
        <v>2204</v>
      </c>
      <c r="F2055" s="9" t="s">
        <v>2205</v>
      </c>
      <c r="G2055" s="9">
        <v>69</v>
      </c>
      <c r="H2055" s="5" t="s">
        <v>21</v>
      </c>
      <c r="I2055" s="5" t="s">
        <v>5483</v>
      </c>
      <c r="J2055" s="12" t="str">
        <f>HYPERLINK("https://www.boe.es/gazeta/dias/1808/06/29/pdfs/GMS-1808-9.pdf#page=5","Abrir facsímil")</f>
        <v>Abrir facsímil</v>
      </c>
      <c r="K2055" s="15" t="s">
        <v>23</v>
      </c>
    </row>
    <row r="2056" spans="1:11" ht="42" customHeight="1">
      <c r="A2056" s="4" t="s">
        <v>5484</v>
      </c>
      <c r="B2056" s="5" t="s">
        <v>5485</v>
      </c>
      <c r="C2056" s="5" t="s">
        <v>41</v>
      </c>
      <c r="D2056" s="5" t="s">
        <v>42</v>
      </c>
      <c r="E2056" s="5" t="s">
        <v>110</v>
      </c>
      <c r="F2056" s="9" t="s">
        <v>828</v>
      </c>
      <c r="G2056" s="9" t="s">
        <v>199</v>
      </c>
      <c r="H2056" s="5" t="s">
        <v>21</v>
      </c>
      <c r="I2056" s="5" t="s">
        <v>5486</v>
      </c>
      <c r="J2056" s="12" t="str">
        <f>HYPERLINK("https://www.boe.es/gazeta/dias/1808/10/28/pdfs/GMD-D-1808-138.pdf#page=2","Abrir facsímil")</f>
        <v>Abrir facsímil</v>
      </c>
      <c r="K2056" s="15" t="s">
        <v>23</v>
      </c>
    </row>
    <row r="2057" spans="1:11" ht="42" customHeight="1">
      <c r="A2057" s="4" t="s">
        <v>5487</v>
      </c>
      <c r="B2057" s="5" t="s">
        <v>5488</v>
      </c>
      <c r="C2057" s="5" t="s">
        <v>33</v>
      </c>
      <c r="D2057" s="5" t="s">
        <v>34</v>
      </c>
      <c r="E2057" s="5" t="s">
        <v>197</v>
      </c>
      <c r="F2057" s="9" t="s">
        <v>198</v>
      </c>
      <c r="G2057" s="9" t="s">
        <v>106</v>
      </c>
      <c r="H2057" s="5" t="s">
        <v>21</v>
      </c>
      <c r="I2057" s="5" t="s">
        <v>5489</v>
      </c>
      <c r="J2057" s="12" t="str">
        <f>HYPERLINK("https://www.boe.es/gazeta/dias/1808/11/01/pdfs/GMD-D-1808-140.pdf#page=3","Abrir facsímil")</f>
        <v>Abrir facsímil</v>
      </c>
      <c r="K2057" s="15" t="s">
        <v>23</v>
      </c>
    </row>
    <row r="2058" spans="1:11" ht="42" customHeight="1">
      <c r="A2058" s="4" t="s">
        <v>5490</v>
      </c>
      <c r="B2058" s="5" t="s">
        <v>5491</v>
      </c>
      <c r="C2058" s="5" t="s">
        <v>41</v>
      </c>
      <c r="D2058" s="5" t="s">
        <v>42</v>
      </c>
      <c r="E2058" s="5" t="s">
        <v>513</v>
      </c>
      <c r="F2058" s="9" t="s">
        <v>514</v>
      </c>
      <c r="G2058" s="9">
        <v>288</v>
      </c>
      <c r="H2058" s="5" t="s">
        <v>21</v>
      </c>
      <c r="I2058" s="5" t="s">
        <v>5492</v>
      </c>
      <c r="J2058" s="12" t="str">
        <f>HYPERLINK("https://www.boe.es/gazeta/dias/1808/03/22/pdfs/GMD-1808-24.pdf#page=10","Abrir facsímil")</f>
        <v>Abrir facsímil</v>
      </c>
      <c r="K2058" s="15" t="s">
        <v>23</v>
      </c>
    </row>
    <row r="2059" spans="1:11" ht="42" customHeight="1">
      <c r="A2059" s="4" t="s">
        <v>5493</v>
      </c>
      <c r="B2059" s="5" t="s">
        <v>5494</v>
      </c>
      <c r="C2059" s="5" t="s">
        <v>94</v>
      </c>
      <c r="D2059" s="5" t="s">
        <v>95</v>
      </c>
      <c r="E2059" s="5" t="s">
        <v>2856</v>
      </c>
      <c r="F2059" s="9" t="s">
        <v>2857</v>
      </c>
      <c r="G2059" s="9">
        <v>149</v>
      </c>
      <c r="H2059" s="5" t="s">
        <v>21</v>
      </c>
      <c r="I2059" s="5" t="s">
        <v>5495</v>
      </c>
      <c r="J2059" s="12" t="str">
        <f>HYPERLINK("https://www.boe.es/gazeta/dias/1808/08/03/pdfs/GMS-1808-19.pdf#page=5","Abrir facsímil")</f>
        <v>Abrir facsímil</v>
      </c>
      <c r="K2059" s="15" t="s">
        <v>23</v>
      </c>
    </row>
    <row r="2060" spans="1:11" ht="42" customHeight="1">
      <c r="A2060" s="4" t="s">
        <v>5493</v>
      </c>
      <c r="B2060" s="5" t="s">
        <v>5494</v>
      </c>
      <c r="C2060" s="5" t="s">
        <v>94</v>
      </c>
      <c r="D2060" s="5" t="s">
        <v>95</v>
      </c>
      <c r="E2060" s="5" t="s">
        <v>508</v>
      </c>
      <c r="F2060" s="9" t="s">
        <v>509</v>
      </c>
      <c r="G2060" s="9">
        <v>1015</v>
      </c>
      <c r="H2060" s="5" t="s">
        <v>21</v>
      </c>
      <c r="I2060" s="5" t="s">
        <v>5496</v>
      </c>
      <c r="J2060" s="12" t="str">
        <f>HYPERLINK("https://www.boe.es/gazeta/dias/1808/08/16/pdfs/GMD-1808-113.pdf#page=7","Abrir facsímil")</f>
        <v>Abrir facsímil</v>
      </c>
      <c r="K2060" s="15" t="s">
        <v>23</v>
      </c>
    </row>
    <row r="2061" spans="1:11" ht="42" customHeight="1">
      <c r="A2061" s="4" t="s">
        <v>5497</v>
      </c>
      <c r="B2061" s="5" t="s">
        <v>5498</v>
      </c>
      <c r="C2061" s="5" t="s">
        <v>33</v>
      </c>
      <c r="D2061" s="5" t="s">
        <v>34</v>
      </c>
      <c r="E2061" s="5" t="s">
        <v>68</v>
      </c>
      <c r="F2061" s="9" t="s">
        <v>309</v>
      </c>
      <c r="G2061" s="9" t="s">
        <v>106</v>
      </c>
      <c r="H2061" s="5" t="s">
        <v>21</v>
      </c>
      <c r="I2061" s="5" t="s">
        <v>5499</v>
      </c>
      <c r="J2061" s="12" t="str">
        <f>HYPERLINK("https://www.boe.es/gazeta/dias/1808/10/21/pdfs/GMD-D-1808-136.pdf#page=3","Abrir facsímil")</f>
        <v>Abrir facsímil</v>
      </c>
      <c r="K2061" s="15" t="s">
        <v>23</v>
      </c>
    </row>
    <row r="2062" spans="1:11" ht="42" customHeight="1">
      <c r="A2062" s="4" t="s">
        <v>5500</v>
      </c>
      <c r="B2062" s="5" t="s">
        <v>5501</v>
      </c>
      <c r="C2062" s="5" t="s">
        <v>33</v>
      </c>
      <c r="D2062" s="5" t="s">
        <v>34</v>
      </c>
      <c r="E2062" s="5" t="s">
        <v>139</v>
      </c>
      <c r="F2062" s="9" t="s">
        <v>1089</v>
      </c>
      <c r="G2062" s="9" t="s">
        <v>117</v>
      </c>
      <c r="H2062" s="5" t="s">
        <v>21</v>
      </c>
      <c r="I2062" s="5" t="s">
        <v>5502</v>
      </c>
      <c r="J2062" s="12" t="str">
        <f>HYPERLINK("https://www.boe.es/gazeta/dias/1808/09/23/pdfs/GMD-C-1808-127.pdf#page=1","Abrir facsímil")</f>
        <v>Abrir facsímil</v>
      </c>
      <c r="K2062" s="15" t="s">
        <v>23</v>
      </c>
    </row>
    <row r="2063" spans="1:11" ht="42" customHeight="1">
      <c r="A2063" s="4" t="s">
        <v>5503</v>
      </c>
      <c r="B2063" s="5" t="s">
        <v>5504</v>
      </c>
      <c r="C2063" s="5" t="s">
        <v>17</v>
      </c>
      <c r="D2063" s="5" t="s">
        <v>18</v>
      </c>
      <c r="E2063" s="5" t="s">
        <v>2639</v>
      </c>
      <c r="F2063" s="9" t="s">
        <v>5018</v>
      </c>
      <c r="G2063" s="9">
        <v>854</v>
      </c>
      <c r="H2063" s="5" t="s">
        <v>21</v>
      </c>
      <c r="I2063" s="5" t="s">
        <v>5505</v>
      </c>
      <c r="J2063" s="12" t="str">
        <f>HYPERLINK("https://www.boe.es/gazeta/dias/1808/07/20/pdfs/GMD-1808-92.pdf#page=8","Abrir facsímil")</f>
        <v>Abrir facsímil</v>
      </c>
      <c r="K2063" s="15" t="s">
        <v>23</v>
      </c>
    </row>
    <row r="2064" spans="1:11" ht="42" customHeight="1">
      <c r="A2064" s="4" t="s">
        <v>5503</v>
      </c>
      <c r="B2064" s="5" t="s">
        <v>5504</v>
      </c>
      <c r="C2064" s="5" t="s">
        <v>17</v>
      </c>
      <c r="D2064" s="5" t="s">
        <v>18</v>
      </c>
      <c r="E2064" s="5" t="s">
        <v>553</v>
      </c>
      <c r="F2064" s="9" t="s">
        <v>554</v>
      </c>
      <c r="G2064" s="9">
        <v>910</v>
      </c>
      <c r="H2064" s="5" t="s">
        <v>21</v>
      </c>
      <c r="I2064" s="5" t="s">
        <v>5506</v>
      </c>
      <c r="J2064" s="12" t="str">
        <f>HYPERLINK("https://www.boe.es/gazeta/dias/1808/07/27/pdfs/GMD-1808-99.pdf#page=8","Abrir facsímil")</f>
        <v>Abrir facsímil</v>
      </c>
      <c r="K2064" s="15" t="s">
        <v>23</v>
      </c>
    </row>
    <row r="2065" spans="1:11" ht="42" customHeight="1">
      <c r="A2065" s="4" t="s">
        <v>5503</v>
      </c>
      <c r="B2065" s="5" t="s">
        <v>5504</v>
      </c>
      <c r="C2065" s="5" t="s">
        <v>94</v>
      </c>
      <c r="D2065" s="5" t="s">
        <v>95</v>
      </c>
      <c r="E2065" s="5" t="s">
        <v>19</v>
      </c>
      <c r="F2065" s="9" t="s">
        <v>59</v>
      </c>
      <c r="G2065" s="9">
        <v>1229</v>
      </c>
      <c r="H2065" s="5" t="s">
        <v>21</v>
      </c>
      <c r="I2065" s="5" t="s">
        <v>5507</v>
      </c>
      <c r="J2065" s="12" t="str">
        <f>HYPERLINK("https://www.boe.es/gazeta/dias/1808/09/30/pdfs/GMD-1808-130.pdf#page=9","Abrir facsímil")</f>
        <v>Abrir facsímil</v>
      </c>
      <c r="K2065" s="15" t="s">
        <v>23</v>
      </c>
    </row>
    <row r="2066" spans="1:11" ht="42" customHeight="1">
      <c r="A2066" s="4" t="s">
        <v>5503</v>
      </c>
      <c r="B2066" s="5" t="s">
        <v>5504</v>
      </c>
      <c r="C2066" s="5" t="s">
        <v>17</v>
      </c>
      <c r="D2066" s="5" t="s">
        <v>18</v>
      </c>
      <c r="E2066" s="5" t="s">
        <v>61</v>
      </c>
      <c r="F2066" s="9" t="s">
        <v>62</v>
      </c>
      <c r="G2066" s="9">
        <v>1285</v>
      </c>
      <c r="H2066" s="5" t="s">
        <v>21</v>
      </c>
      <c r="I2066" s="5" t="s">
        <v>5508</v>
      </c>
      <c r="J2066" s="12" t="str">
        <f>HYPERLINK("https://www.boe.es/gazeta/dias/1808/10/11/pdfs/GMD-1808-133.pdf#page=13","Abrir facsímil")</f>
        <v>Abrir facsímil</v>
      </c>
      <c r="K2066" s="15" t="s">
        <v>23</v>
      </c>
    </row>
    <row r="2067" spans="1:11" ht="42" customHeight="1">
      <c r="A2067" s="4" t="s">
        <v>5503</v>
      </c>
      <c r="B2067" s="5" t="s">
        <v>5504</v>
      </c>
      <c r="C2067" s="5" t="s">
        <v>41</v>
      </c>
      <c r="D2067" s="5" t="s">
        <v>42</v>
      </c>
      <c r="E2067" s="5" t="s">
        <v>719</v>
      </c>
      <c r="F2067" s="9" t="s">
        <v>720</v>
      </c>
      <c r="G2067" s="9">
        <v>1609</v>
      </c>
      <c r="H2067" s="5" t="s">
        <v>21</v>
      </c>
      <c r="I2067" s="5" t="s">
        <v>5509</v>
      </c>
      <c r="J2067" s="12" t="str">
        <f>HYPERLINK("https://www.boe.es/gazeta/dias/1808/12/16/pdfs/GMD-1808-156.pdf#page=1","Abrir facsímil")</f>
        <v>Abrir facsímil</v>
      </c>
      <c r="K2067" s="15" t="s">
        <v>23</v>
      </c>
    </row>
    <row r="2068" spans="1:11" ht="42" customHeight="1">
      <c r="A2068" s="4" t="s">
        <v>5503</v>
      </c>
      <c r="B2068" s="5" t="s">
        <v>5504</v>
      </c>
      <c r="C2068" s="5" t="s">
        <v>17</v>
      </c>
      <c r="D2068" s="5" t="s">
        <v>18</v>
      </c>
      <c r="E2068" s="5" t="s">
        <v>719</v>
      </c>
      <c r="F2068" s="9" t="s">
        <v>720</v>
      </c>
      <c r="G2068" s="9">
        <v>1611</v>
      </c>
      <c r="H2068" s="5" t="s">
        <v>21</v>
      </c>
      <c r="I2068" s="5" t="s">
        <v>5510</v>
      </c>
      <c r="J2068" s="12" t="str">
        <f>HYPERLINK("https://www.boe.es/gazeta/dias/1808/12/16/pdfs/GMD-1808-156.pdf#page=3","Abrir facsímil")</f>
        <v>Abrir facsímil</v>
      </c>
      <c r="K2068" s="15" t="s">
        <v>23</v>
      </c>
    </row>
    <row r="2069" spans="1:11" ht="42" customHeight="1">
      <c r="A2069" s="4" t="s">
        <v>5511</v>
      </c>
      <c r="B2069" s="5" t="s">
        <v>5512</v>
      </c>
      <c r="C2069" s="5" t="s">
        <v>33</v>
      </c>
      <c r="D2069" s="5" t="s">
        <v>34</v>
      </c>
      <c r="E2069" s="5" t="s">
        <v>456</v>
      </c>
      <c r="F2069" s="9" t="s">
        <v>748</v>
      </c>
      <c r="G2069" s="9" t="s">
        <v>75</v>
      </c>
      <c r="H2069" s="5" t="s">
        <v>21</v>
      </c>
      <c r="I2069" s="5" t="s">
        <v>5513</v>
      </c>
      <c r="J2069" s="12" t="str">
        <f>HYPERLINK("https://www.boe.es/gazeta/dias/1808/10/14/pdfs/GMD-C-1808-134.pdf#page=4","Abrir facsímil")</f>
        <v>Abrir facsímil</v>
      </c>
      <c r="K2069" s="15" t="s">
        <v>23</v>
      </c>
    </row>
    <row r="2070" spans="1:11" ht="42" customHeight="1">
      <c r="A2070" s="4" t="s">
        <v>5514</v>
      </c>
      <c r="B2070" s="5" t="s">
        <v>5515</v>
      </c>
      <c r="C2070" s="5" t="s">
        <v>33</v>
      </c>
      <c r="D2070" s="5" t="s">
        <v>34</v>
      </c>
      <c r="E2070" s="5" t="s">
        <v>35</v>
      </c>
      <c r="F2070" s="9" t="s">
        <v>36</v>
      </c>
      <c r="G2070" s="9" t="s">
        <v>1128</v>
      </c>
      <c r="H2070" s="5" t="s">
        <v>21</v>
      </c>
      <c r="I2070" s="5" t="s">
        <v>5516</v>
      </c>
      <c r="J2070" s="12" t="str">
        <f>HYPERLINK("https://www.boe.es/gazeta/dias/1808/04/22/pdfs/GMD-C-1808-38.pdf#page=11","Abrir facsímil")</f>
        <v>Abrir facsímil</v>
      </c>
      <c r="K2070" s="15" t="s">
        <v>23</v>
      </c>
    </row>
    <row r="2071" spans="1:11" ht="42" customHeight="1">
      <c r="A2071" s="4" t="s">
        <v>5517</v>
      </c>
      <c r="B2071" s="5" t="s">
        <v>5518</v>
      </c>
      <c r="C2071" s="5" t="s">
        <v>41</v>
      </c>
      <c r="D2071" s="5" t="s">
        <v>42</v>
      </c>
      <c r="E2071" s="5" t="s">
        <v>2849</v>
      </c>
      <c r="F2071" s="9" t="s">
        <v>2850</v>
      </c>
      <c r="G2071" s="9">
        <v>11</v>
      </c>
      <c r="H2071" s="5" t="s">
        <v>21</v>
      </c>
      <c r="I2071" s="5" t="s">
        <v>5519</v>
      </c>
      <c r="J2071" s="12" t="str">
        <f>HYPERLINK("https://www.boe.es/gazeta/dias/1808/06/04/pdfs/GMS-1808-2.pdf#page=3","Abrir facsímil")</f>
        <v>Abrir facsímil</v>
      </c>
      <c r="K2071" s="15" t="s">
        <v>23</v>
      </c>
    </row>
    <row r="2072" spans="1:11" ht="42" customHeight="1">
      <c r="A2072" s="4" t="s">
        <v>5517</v>
      </c>
      <c r="B2072" s="5" t="s">
        <v>5518</v>
      </c>
      <c r="C2072" s="5" t="s">
        <v>17</v>
      </c>
      <c r="D2072" s="5" t="s">
        <v>18</v>
      </c>
      <c r="E2072" s="5" t="s">
        <v>2856</v>
      </c>
      <c r="F2072" s="9" t="s">
        <v>2857</v>
      </c>
      <c r="G2072" s="9">
        <v>149</v>
      </c>
      <c r="H2072" s="5" t="s">
        <v>21</v>
      </c>
      <c r="I2072" s="5" t="s">
        <v>5520</v>
      </c>
      <c r="J2072" s="12" t="str">
        <f>HYPERLINK("https://www.boe.es/gazeta/dias/1808/08/03/pdfs/GMS-1808-19.pdf#page=5","Abrir facsímil")</f>
        <v>Abrir facsímil</v>
      </c>
      <c r="K2072" s="15" t="s">
        <v>23</v>
      </c>
    </row>
    <row r="2073" spans="1:11" ht="42" customHeight="1">
      <c r="A2073" s="4" t="s">
        <v>5517</v>
      </c>
      <c r="B2073" s="5" t="s">
        <v>5518</v>
      </c>
      <c r="C2073" s="5" t="s">
        <v>17</v>
      </c>
      <c r="D2073" s="5" t="s">
        <v>18</v>
      </c>
      <c r="E2073" s="5" t="s">
        <v>51</v>
      </c>
      <c r="F2073" s="9" t="s">
        <v>1366</v>
      </c>
      <c r="G2073" s="9">
        <v>167</v>
      </c>
      <c r="H2073" s="5" t="s">
        <v>21</v>
      </c>
      <c r="I2073" s="5" t="s">
        <v>5521</v>
      </c>
      <c r="J2073" s="12" t="str">
        <f>HYPERLINK("https://www.boe.es/gazeta/dias/1808/08/09/pdfs/GMS-1808-21.pdf#page=7","Abrir facsímil")</f>
        <v>Abrir facsímil</v>
      </c>
      <c r="K2073" s="15" t="s">
        <v>23</v>
      </c>
    </row>
    <row r="2074" spans="1:11" ht="42" customHeight="1">
      <c r="A2074" s="4" t="s">
        <v>5517</v>
      </c>
      <c r="B2074" s="5" t="s">
        <v>5518</v>
      </c>
      <c r="C2074" s="5" t="s">
        <v>17</v>
      </c>
      <c r="D2074" s="5" t="s">
        <v>18</v>
      </c>
      <c r="E2074" s="5" t="s">
        <v>287</v>
      </c>
      <c r="F2074" s="9" t="s">
        <v>288</v>
      </c>
      <c r="G2074" s="9">
        <v>174</v>
      </c>
      <c r="H2074" s="5" t="s">
        <v>21</v>
      </c>
      <c r="I2074" s="5" t="s">
        <v>5522</v>
      </c>
      <c r="J2074" s="12" t="str">
        <f>HYPERLINK("https://www.boe.es/gazeta/dias/1808/08/12/pdfs/GMS-1808-22.pdf#page=6","Abrir facsímil")</f>
        <v>Abrir facsímil</v>
      </c>
      <c r="K2074" s="15" t="s">
        <v>23</v>
      </c>
    </row>
    <row r="2075" spans="1:11" ht="42" customHeight="1">
      <c r="A2075" s="4" t="s">
        <v>5517</v>
      </c>
      <c r="B2075" s="5" t="s">
        <v>5518</v>
      </c>
      <c r="C2075" s="5" t="s">
        <v>17</v>
      </c>
      <c r="D2075" s="5" t="s">
        <v>18</v>
      </c>
      <c r="E2075" s="5" t="s">
        <v>508</v>
      </c>
      <c r="F2075" s="9" t="s">
        <v>509</v>
      </c>
      <c r="G2075" s="9">
        <v>1015</v>
      </c>
      <c r="H2075" s="5" t="s">
        <v>21</v>
      </c>
      <c r="I2075" s="5" t="s">
        <v>5523</v>
      </c>
      <c r="J2075" s="12" t="str">
        <f>HYPERLINK("https://www.boe.es/gazeta/dias/1808/08/16/pdfs/GMD-1808-113.pdf#page=7","Abrir facsímil")</f>
        <v>Abrir facsímil</v>
      </c>
      <c r="K2075" s="15" t="s">
        <v>23</v>
      </c>
    </row>
    <row r="2076" spans="1:11" ht="42" customHeight="1">
      <c r="A2076" s="4" t="s">
        <v>5517</v>
      </c>
      <c r="B2076" s="5" t="s">
        <v>5518</v>
      </c>
      <c r="C2076" s="5" t="s">
        <v>17</v>
      </c>
      <c r="D2076" s="5" t="s">
        <v>18</v>
      </c>
      <c r="E2076" s="5" t="s">
        <v>89</v>
      </c>
      <c r="F2076" s="9" t="s">
        <v>2031</v>
      </c>
      <c r="G2076" s="9">
        <v>343</v>
      </c>
      <c r="H2076" s="5" t="s">
        <v>21</v>
      </c>
      <c r="I2076" s="5" t="s">
        <v>5524</v>
      </c>
      <c r="J2076" s="12" t="str">
        <f>HYPERLINK("https://www.boe.es/gazeta/dias/1808/10/25/pdfs/GMS-1808-43.pdf#page=7","Abrir facsímil")</f>
        <v>Abrir facsímil</v>
      </c>
      <c r="K2076" s="15" t="s">
        <v>23</v>
      </c>
    </row>
    <row r="2077" spans="1:11" ht="42" customHeight="1">
      <c r="A2077" s="4" t="s">
        <v>5517</v>
      </c>
      <c r="B2077" s="5" t="s">
        <v>5518</v>
      </c>
      <c r="C2077" s="5" t="s">
        <v>94</v>
      </c>
      <c r="D2077" s="5" t="s">
        <v>95</v>
      </c>
      <c r="E2077" s="5" t="s">
        <v>28</v>
      </c>
      <c r="F2077" s="9" t="s">
        <v>29</v>
      </c>
      <c r="G2077" s="9">
        <v>1426</v>
      </c>
      <c r="H2077" s="5" t="s">
        <v>21</v>
      </c>
      <c r="I2077" s="5" t="s">
        <v>5525</v>
      </c>
      <c r="J2077" s="12" t="str">
        <f>HYPERLINK("https://www.boe.es/gazeta/dias/1808/11/04/pdfs/GMD-1808-141.pdf#page=8","Abrir facsímil")</f>
        <v>Abrir facsímil</v>
      </c>
      <c r="K2077" s="15" t="s">
        <v>23</v>
      </c>
    </row>
    <row r="2078" spans="1:11" ht="42" customHeight="1">
      <c r="A2078" s="4" t="s">
        <v>5517</v>
      </c>
      <c r="B2078" s="5" t="s">
        <v>5518</v>
      </c>
      <c r="C2078" s="5" t="s">
        <v>17</v>
      </c>
      <c r="D2078" s="5" t="s">
        <v>18</v>
      </c>
      <c r="E2078" s="5" t="s">
        <v>264</v>
      </c>
      <c r="F2078" s="9" t="s">
        <v>2256</v>
      </c>
      <c r="G2078" s="9">
        <v>1557</v>
      </c>
      <c r="H2078" s="5" t="s">
        <v>21</v>
      </c>
      <c r="I2078" s="5" t="s">
        <v>5526</v>
      </c>
      <c r="J2078" s="12" t="str">
        <f>HYPERLINK("https://www.boe.es/gazeta/dias/1808/11/29/pdfs/GMD-1808-148.pdf#page=3","Abrir facsímil")</f>
        <v>Abrir facsímil</v>
      </c>
      <c r="K2078" s="15" t="s">
        <v>23</v>
      </c>
    </row>
    <row r="2079" spans="1:11" ht="42" customHeight="1">
      <c r="A2079" s="4" t="s">
        <v>5517</v>
      </c>
      <c r="B2079" s="5" t="s">
        <v>5518</v>
      </c>
      <c r="C2079" s="5" t="s">
        <v>17</v>
      </c>
      <c r="D2079" s="5" t="s">
        <v>18</v>
      </c>
      <c r="E2079" s="5" t="s">
        <v>264</v>
      </c>
      <c r="F2079" s="9" t="s">
        <v>2256</v>
      </c>
      <c r="G2079" s="9">
        <v>1558</v>
      </c>
      <c r="H2079" s="5" t="s">
        <v>21</v>
      </c>
      <c r="I2079" s="5" t="s">
        <v>5527</v>
      </c>
      <c r="J2079" s="12" t="str">
        <f>HYPERLINK("https://www.boe.es/gazeta/dias/1808/11/29/pdfs/GMD-1808-148.pdf#page=4","Abrir facsímil")</f>
        <v>Abrir facsímil</v>
      </c>
      <c r="K2079" s="15" t="s">
        <v>23</v>
      </c>
    </row>
    <row r="2080" spans="1:11" ht="42" customHeight="1">
      <c r="A2080" s="4" t="s">
        <v>5517</v>
      </c>
      <c r="B2080" s="5" t="s">
        <v>5518</v>
      </c>
      <c r="C2080" s="5" t="s">
        <v>94</v>
      </c>
      <c r="D2080" s="5" t="s">
        <v>95</v>
      </c>
      <c r="E2080" s="5" t="s">
        <v>234</v>
      </c>
      <c r="F2080" s="9" t="s">
        <v>1871</v>
      </c>
      <c r="G2080" s="9">
        <v>500</v>
      </c>
      <c r="H2080" s="5" t="s">
        <v>21</v>
      </c>
      <c r="I2080" s="5" t="s">
        <v>5528</v>
      </c>
      <c r="J2080" s="12" t="str">
        <f>HYPERLINK("https://www.boe.es/gazeta/dias/1808/12/30/pdfs/GMS-1808-62.pdf#page=8","Abrir facsímil")</f>
        <v>Abrir facsímil</v>
      </c>
      <c r="K2080" s="15" t="s">
        <v>23</v>
      </c>
    </row>
    <row r="2081" spans="1:11" ht="42" customHeight="1">
      <c r="A2081" s="4" t="s">
        <v>5529</v>
      </c>
      <c r="B2081" s="5" t="s">
        <v>5530</v>
      </c>
      <c r="C2081" s="5" t="s">
        <v>17</v>
      </c>
      <c r="D2081" s="5" t="s">
        <v>18</v>
      </c>
      <c r="E2081" s="5" t="s">
        <v>61</v>
      </c>
      <c r="F2081" s="9" t="s">
        <v>62</v>
      </c>
      <c r="G2081" s="9">
        <v>1285</v>
      </c>
      <c r="H2081" s="5" t="s">
        <v>21</v>
      </c>
      <c r="I2081" s="5" t="s">
        <v>5531</v>
      </c>
      <c r="J2081" s="12" t="str">
        <f>HYPERLINK("https://www.boe.es/gazeta/dias/1808/10/11/pdfs/GMD-1808-133.pdf#page=13","Abrir facsímil")</f>
        <v>Abrir facsímil</v>
      </c>
      <c r="K2081" s="15" t="s">
        <v>23</v>
      </c>
    </row>
    <row r="2082" spans="1:11" ht="42" customHeight="1">
      <c r="A2082" s="4" t="s">
        <v>5532</v>
      </c>
      <c r="B2082" s="5" t="s">
        <v>5533</v>
      </c>
      <c r="C2082" s="5" t="s">
        <v>33</v>
      </c>
      <c r="D2082" s="5" t="s">
        <v>34</v>
      </c>
      <c r="E2082" s="5" t="s">
        <v>89</v>
      </c>
      <c r="F2082" s="9" t="s">
        <v>563</v>
      </c>
      <c r="G2082" s="9" t="s">
        <v>106</v>
      </c>
      <c r="H2082" s="5" t="s">
        <v>21</v>
      </c>
      <c r="I2082" s="5" t="s">
        <v>5534</v>
      </c>
      <c r="J2082" s="12" t="str">
        <f>HYPERLINK("https://www.boe.es/gazeta/dias/1808/10/25/pdfs/GMD-D-1808-137.pdf#page=3","Abrir facsímil")</f>
        <v>Abrir facsímil</v>
      </c>
      <c r="K2082" s="15" t="s">
        <v>23</v>
      </c>
    </row>
    <row r="2083" spans="1:11" ht="42" customHeight="1">
      <c r="A2083" s="4" t="s">
        <v>5535</v>
      </c>
      <c r="B2083" s="5" t="s">
        <v>5536</v>
      </c>
      <c r="C2083" s="5" t="s">
        <v>17</v>
      </c>
      <c r="D2083" s="5" t="s">
        <v>18</v>
      </c>
      <c r="E2083" s="5" t="s">
        <v>719</v>
      </c>
      <c r="F2083" s="9" t="s">
        <v>720</v>
      </c>
      <c r="G2083" s="9">
        <v>1610</v>
      </c>
      <c r="H2083" s="5" t="s">
        <v>21</v>
      </c>
      <c r="I2083" s="5" t="s">
        <v>5537</v>
      </c>
      <c r="J2083" s="12" t="str">
        <f>HYPERLINK("https://www.boe.es/gazeta/dias/1808/12/16/pdfs/GMD-1808-156.pdf#page=2","Abrir facsímil")</f>
        <v>Abrir facsímil</v>
      </c>
      <c r="K2083" s="15" t="s">
        <v>23</v>
      </c>
    </row>
    <row r="2084" spans="1:11" ht="42" customHeight="1">
      <c r="A2084" s="4" t="s">
        <v>5538</v>
      </c>
      <c r="B2084" s="5" t="s">
        <v>5539</v>
      </c>
      <c r="C2084" s="5" t="s">
        <v>17</v>
      </c>
      <c r="D2084" s="5" t="s">
        <v>18</v>
      </c>
      <c r="E2084" s="5" t="s">
        <v>28</v>
      </c>
      <c r="F2084" s="9" t="s">
        <v>29</v>
      </c>
      <c r="G2084" s="9">
        <v>1427</v>
      </c>
      <c r="H2084" s="5" t="s">
        <v>21</v>
      </c>
      <c r="I2084" s="5" t="s">
        <v>5540</v>
      </c>
      <c r="J2084" s="12" t="str">
        <f>HYPERLINK("https://www.boe.es/gazeta/dias/1808/11/04/pdfs/GMD-1808-141.pdf#page=9","Abrir facsímil")</f>
        <v>Abrir facsímil</v>
      </c>
      <c r="K2084" s="15" t="s">
        <v>23</v>
      </c>
    </row>
    <row r="2085" spans="1:11" ht="42" customHeight="1">
      <c r="A2085" s="4" t="s">
        <v>5541</v>
      </c>
      <c r="B2085" s="5" t="s">
        <v>5542</v>
      </c>
      <c r="C2085" s="5" t="s">
        <v>389</v>
      </c>
      <c r="D2085" s="5" t="s">
        <v>390</v>
      </c>
      <c r="E2085" s="5" t="s">
        <v>418</v>
      </c>
      <c r="F2085" s="9" t="s">
        <v>419</v>
      </c>
      <c r="G2085" s="9">
        <v>1142</v>
      </c>
      <c r="H2085" s="5" t="s">
        <v>21</v>
      </c>
      <c r="I2085" s="5" t="s">
        <v>5543</v>
      </c>
      <c r="J2085" s="12" t="str">
        <f>HYPERLINK("https://www.boe.es/gazeta/dias/1808/09/06/pdfs/GMD-C-1808-120.pdf#page=16","Abrir facsímil")</f>
        <v>Abrir facsímil</v>
      </c>
      <c r="K2085" s="15" t="s">
        <v>23</v>
      </c>
    </row>
    <row r="2086" spans="1:11" ht="42" customHeight="1">
      <c r="A2086" s="4" t="s">
        <v>5544</v>
      </c>
      <c r="B2086" s="5" t="s">
        <v>5545</v>
      </c>
      <c r="C2086" s="5" t="s">
        <v>33</v>
      </c>
      <c r="D2086" s="5" t="s">
        <v>34</v>
      </c>
      <c r="E2086" s="5" t="s">
        <v>456</v>
      </c>
      <c r="F2086" s="9" t="s">
        <v>748</v>
      </c>
      <c r="G2086" s="9" t="s">
        <v>75</v>
      </c>
      <c r="H2086" s="5" t="s">
        <v>21</v>
      </c>
      <c r="I2086" s="5" t="s">
        <v>5546</v>
      </c>
      <c r="J2086" s="12" t="str">
        <f>HYPERLINK("https://www.boe.es/gazeta/dias/1808/10/14/pdfs/GMD-C-1808-134.pdf#page=4","Abrir facsímil")</f>
        <v>Abrir facsímil</v>
      </c>
      <c r="K2086" s="15" t="s">
        <v>23</v>
      </c>
    </row>
    <row r="2087" spans="1:11" ht="42" customHeight="1">
      <c r="A2087" s="4" t="s">
        <v>5547</v>
      </c>
      <c r="B2087" s="5" t="s">
        <v>5548</v>
      </c>
      <c r="C2087" s="5" t="s">
        <v>17</v>
      </c>
      <c r="D2087" s="5" t="s">
        <v>18</v>
      </c>
      <c r="E2087" s="5" t="s">
        <v>19</v>
      </c>
      <c r="F2087" s="9" t="s">
        <v>59</v>
      </c>
      <c r="G2087" s="9">
        <v>1230</v>
      </c>
      <c r="H2087" s="5" t="s">
        <v>21</v>
      </c>
      <c r="I2087" s="5" t="s">
        <v>5549</v>
      </c>
      <c r="J2087" s="12" t="str">
        <f>HYPERLINK("https://www.boe.es/gazeta/dias/1808/09/30/pdfs/GMD-1808-130.pdf#page=10","Abrir facsímil")</f>
        <v>Abrir facsímil</v>
      </c>
      <c r="K2087" s="15" t="s">
        <v>23</v>
      </c>
    </row>
    <row r="2088" spans="1:11" ht="42" customHeight="1">
      <c r="A2088" s="4" t="s">
        <v>5550</v>
      </c>
      <c r="B2088" s="5" t="s">
        <v>5551</v>
      </c>
      <c r="C2088" s="5" t="s">
        <v>33</v>
      </c>
      <c r="D2088" s="5" t="s">
        <v>34</v>
      </c>
      <c r="E2088" s="5" t="s">
        <v>65</v>
      </c>
      <c r="F2088" s="9" t="s">
        <v>105</v>
      </c>
      <c r="G2088" s="9" t="s">
        <v>199</v>
      </c>
      <c r="H2088" s="5" t="s">
        <v>21</v>
      </c>
      <c r="I2088" s="5" t="s">
        <v>5552</v>
      </c>
      <c r="J2088" s="12" t="str">
        <f>HYPERLINK("https://www.boe.es/gazeta/dias/1808/10/18/pdfs/GMD-D-1808-135.pdf#page=2","Abrir facsímil")</f>
        <v>Abrir facsímil</v>
      </c>
      <c r="K2088" s="15" t="s">
        <v>23</v>
      </c>
    </row>
    <row r="2089" spans="1:11" ht="42" customHeight="1">
      <c r="A2089" s="4" t="s">
        <v>5553</v>
      </c>
      <c r="B2089" s="5" t="s">
        <v>5554</v>
      </c>
      <c r="C2089" s="5" t="s">
        <v>33</v>
      </c>
      <c r="D2089" s="5" t="s">
        <v>34</v>
      </c>
      <c r="E2089" s="5" t="s">
        <v>35</v>
      </c>
      <c r="F2089" s="9" t="s">
        <v>36</v>
      </c>
      <c r="G2089" s="9" t="s">
        <v>47</v>
      </c>
      <c r="H2089" s="5" t="s">
        <v>21</v>
      </c>
      <c r="I2089" s="5" t="s">
        <v>5555</v>
      </c>
      <c r="J2089" s="12" t="str">
        <f>HYPERLINK("https://www.boe.es/gazeta/dias/1808/04/22/pdfs/GMD-C-1808-38.pdf#page=13","Abrir facsímil")</f>
        <v>Abrir facsímil</v>
      </c>
      <c r="K2089" s="15" t="s">
        <v>23</v>
      </c>
    </row>
    <row r="2090" spans="1:11" ht="42" customHeight="1">
      <c r="A2090" s="4" t="s">
        <v>5556</v>
      </c>
      <c r="B2090" s="5" t="s">
        <v>5557</v>
      </c>
      <c r="C2090" s="5" t="s">
        <v>94</v>
      </c>
      <c r="D2090" s="5" t="s">
        <v>95</v>
      </c>
      <c r="E2090" s="5" t="s">
        <v>1182</v>
      </c>
      <c r="F2090" s="9" t="s">
        <v>1183</v>
      </c>
      <c r="G2090" s="9">
        <v>59</v>
      </c>
      <c r="H2090" s="5" t="s">
        <v>21</v>
      </c>
      <c r="I2090" s="5" t="s">
        <v>5558</v>
      </c>
      <c r="J2090" s="12" t="str">
        <f>HYPERLINK("https://www.boe.es/gazeta/dias/1808/06/26/pdfs/GMS-1808-8.pdf#page=3","Abrir facsímil")</f>
        <v>Abrir facsímil</v>
      </c>
      <c r="K2090" s="15" t="s">
        <v>23</v>
      </c>
    </row>
    <row r="2091" spans="1:11" ht="42" customHeight="1">
      <c r="A2091" s="4" t="s">
        <v>5559</v>
      </c>
      <c r="B2091" s="5" t="s">
        <v>5560</v>
      </c>
      <c r="C2091" s="5" t="s">
        <v>41</v>
      </c>
      <c r="D2091" s="5" t="s">
        <v>42</v>
      </c>
      <c r="E2091" s="5" t="s">
        <v>35</v>
      </c>
      <c r="F2091" s="9" t="s">
        <v>36</v>
      </c>
      <c r="G2091" s="9" t="s">
        <v>443</v>
      </c>
      <c r="H2091" s="5" t="s">
        <v>21</v>
      </c>
      <c r="I2091" s="5" t="s">
        <v>5561</v>
      </c>
      <c r="J2091" s="12" t="str">
        <f>HYPERLINK("https://www.boe.es/gazeta/dias/1808/04/22/pdfs/GMD-C-1808-38.pdf#page=16","Abrir facsímil")</f>
        <v>Abrir facsímil</v>
      </c>
      <c r="K2091" s="15" t="s">
        <v>23</v>
      </c>
    </row>
    <row r="2092" spans="1:11" ht="42" customHeight="1">
      <c r="A2092" s="4" t="s">
        <v>5562</v>
      </c>
      <c r="B2092" s="5" t="s">
        <v>5563</v>
      </c>
      <c r="C2092" s="5" t="s">
        <v>17</v>
      </c>
      <c r="D2092" s="5" t="s">
        <v>18</v>
      </c>
      <c r="E2092" s="5" t="s">
        <v>139</v>
      </c>
      <c r="F2092" s="9" t="s">
        <v>140</v>
      </c>
      <c r="G2092" s="9">
        <v>1204</v>
      </c>
      <c r="H2092" s="5" t="s">
        <v>21</v>
      </c>
      <c r="I2092" s="5" t="s">
        <v>5564</v>
      </c>
      <c r="J2092" s="12" t="str">
        <f>HYPERLINK("https://www.boe.es/gazeta/dias/1808/09/23/pdfs/GMD-1808-127.pdf#page=12","Abrir facsímil")</f>
        <v>Abrir facsímil</v>
      </c>
      <c r="K2092" s="15" t="s">
        <v>23</v>
      </c>
    </row>
    <row r="2093" spans="1:11" ht="42" customHeight="1">
      <c r="A2093" s="4" t="s">
        <v>5562</v>
      </c>
      <c r="B2093" s="5" t="s">
        <v>5563</v>
      </c>
      <c r="C2093" s="5" t="s">
        <v>17</v>
      </c>
      <c r="D2093" s="5" t="s">
        <v>18</v>
      </c>
      <c r="E2093" s="5" t="s">
        <v>61</v>
      </c>
      <c r="F2093" s="9" t="s">
        <v>62</v>
      </c>
      <c r="G2093" s="9">
        <v>1285</v>
      </c>
      <c r="H2093" s="5" t="s">
        <v>21</v>
      </c>
      <c r="I2093" s="5" t="s">
        <v>5565</v>
      </c>
      <c r="J2093" s="12" t="str">
        <f>HYPERLINK("https://www.boe.es/gazeta/dias/1808/10/11/pdfs/GMD-1808-133.pdf#page=13","Abrir facsímil")</f>
        <v>Abrir facsímil</v>
      </c>
      <c r="K2093" s="15" t="s">
        <v>23</v>
      </c>
    </row>
    <row r="2094" spans="1:11" ht="42" customHeight="1">
      <c r="A2094" s="4" t="s">
        <v>5562</v>
      </c>
      <c r="B2094" s="5" t="s">
        <v>5563</v>
      </c>
      <c r="C2094" s="5" t="s">
        <v>41</v>
      </c>
      <c r="D2094" s="5" t="s">
        <v>42</v>
      </c>
      <c r="E2094" s="5" t="s">
        <v>461</v>
      </c>
      <c r="F2094" s="9" t="s">
        <v>462</v>
      </c>
      <c r="G2094" s="9" t="s">
        <v>117</v>
      </c>
      <c r="H2094" s="5" t="s">
        <v>21</v>
      </c>
      <c r="I2094" s="5" t="s">
        <v>5566</v>
      </c>
      <c r="J2094" s="12" t="str">
        <f>HYPERLINK("https://www.boe.es/gazeta/dias/1808/11/08/pdfs/GMD-D-1808-142.pdf#page=1","Abrir facsímil")</f>
        <v>Abrir facsímil</v>
      </c>
      <c r="K2094" s="15" t="s">
        <v>23</v>
      </c>
    </row>
    <row r="2095" spans="1:11" ht="42" customHeight="1">
      <c r="A2095" s="4" t="s">
        <v>5567</v>
      </c>
      <c r="B2095" s="5" t="s">
        <v>5568</v>
      </c>
      <c r="C2095" s="5" t="s">
        <v>41</v>
      </c>
      <c r="D2095" s="5" t="s">
        <v>42</v>
      </c>
      <c r="E2095" s="5" t="s">
        <v>456</v>
      </c>
      <c r="F2095" s="9" t="s">
        <v>748</v>
      </c>
      <c r="G2095" s="9" t="s">
        <v>117</v>
      </c>
      <c r="H2095" s="5" t="s">
        <v>21</v>
      </c>
      <c r="I2095" s="5" t="s">
        <v>5569</v>
      </c>
      <c r="J2095" s="12" t="str">
        <f>HYPERLINK("https://www.boe.es/gazeta/dias/1808/10/14/pdfs/GMD-C-1808-134.pdf#page=1","Abrir facsímil")</f>
        <v>Abrir facsímil</v>
      </c>
      <c r="K2095" s="15" t="s">
        <v>23</v>
      </c>
    </row>
    <row r="2096" spans="1:11" ht="42" customHeight="1">
      <c r="A2096" s="4" t="s">
        <v>5570</v>
      </c>
      <c r="B2096" s="5" t="s">
        <v>5571</v>
      </c>
      <c r="C2096" s="5" t="s">
        <v>17</v>
      </c>
      <c r="D2096" s="5" t="s">
        <v>18</v>
      </c>
      <c r="E2096" s="5" t="s">
        <v>719</v>
      </c>
      <c r="F2096" s="9" t="s">
        <v>720</v>
      </c>
      <c r="G2096" s="9">
        <v>1609</v>
      </c>
      <c r="H2096" s="5" t="s">
        <v>21</v>
      </c>
      <c r="I2096" s="5" t="s">
        <v>5572</v>
      </c>
      <c r="J2096" s="12" t="str">
        <f>HYPERLINK("https://www.boe.es/gazeta/dias/1808/12/16/pdfs/GMD-1808-156.pdf#page=1","Abrir facsímil")</f>
        <v>Abrir facsímil</v>
      </c>
      <c r="K2096" s="15" t="s">
        <v>23</v>
      </c>
    </row>
    <row r="2097" spans="1:11" ht="42" customHeight="1">
      <c r="A2097" s="4" t="s">
        <v>5573</v>
      </c>
      <c r="B2097" s="5" t="s">
        <v>5574</v>
      </c>
      <c r="C2097" s="5" t="s">
        <v>41</v>
      </c>
      <c r="D2097" s="5" t="s">
        <v>42</v>
      </c>
      <c r="E2097" s="5" t="s">
        <v>28</v>
      </c>
      <c r="F2097" s="9" t="s">
        <v>446</v>
      </c>
      <c r="G2097" s="9" t="s">
        <v>106</v>
      </c>
      <c r="H2097" s="5" t="s">
        <v>21</v>
      </c>
      <c r="I2097" s="5" t="s">
        <v>5575</v>
      </c>
      <c r="J2097" s="12" t="str">
        <f>HYPERLINK("https://www.boe.es/gazeta/dias/1808/11/04/pdfs/GMD-D-1808-141.pdf#page=3","Abrir facsímil")</f>
        <v>Abrir facsímil</v>
      </c>
      <c r="K2097" s="15" t="s">
        <v>23</v>
      </c>
    </row>
    <row r="2098" spans="1:11" ht="42" customHeight="1">
      <c r="A2098" s="4" t="s">
        <v>5576</v>
      </c>
      <c r="B2098" s="5" t="s">
        <v>5577</v>
      </c>
      <c r="C2098" s="5" t="s">
        <v>33</v>
      </c>
      <c r="D2098" s="5" t="s">
        <v>34</v>
      </c>
      <c r="E2098" s="5" t="s">
        <v>28</v>
      </c>
      <c r="F2098" s="9" t="s">
        <v>446</v>
      </c>
      <c r="G2098" s="9" t="s">
        <v>117</v>
      </c>
      <c r="H2098" s="5" t="s">
        <v>21</v>
      </c>
      <c r="I2098" s="5" t="s">
        <v>5578</v>
      </c>
      <c r="J2098" s="12" t="str">
        <f>HYPERLINK("https://www.boe.es/gazeta/dias/1808/11/04/pdfs/GMD-D-1808-141.pdf#page=1","Abrir facsímil")</f>
        <v>Abrir facsímil</v>
      </c>
      <c r="K2098" s="15" t="s">
        <v>23</v>
      </c>
    </row>
    <row r="2099" spans="1:11" ht="42" customHeight="1">
      <c r="A2099" s="4" t="s">
        <v>5579</v>
      </c>
      <c r="B2099" s="5" t="s">
        <v>5580</v>
      </c>
      <c r="C2099" s="5" t="s">
        <v>41</v>
      </c>
      <c r="D2099" s="5" t="s">
        <v>42</v>
      </c>
      <c r="E2099" s="5" t="s">
        <v>35</v>
      </c>
      <c r="F2099" s="9" t="s">
        <v>36</v>
      </c>
      <c r="G2099" s="9" t="s">
        <v>1128</v>
      </c>
      <c r="H2099" s="5" t="s">
        <v>21</v>
      </c>
      <c r="I2099" s="5" t="s">
        <v>5581</v>
      </c>
      <c r="J2099" s="12" t="str">
        <f>HYPERLINK("https://www.boe.es/gazeta/dias/1808/04/22/pdfs/GMD-C-1808-38.pdf#page=11","Abrir facsímil")</f>
        <v>Abrir facsímil</v>
      </c>
      <c r="K2099" s="15" t="s">
        <v>23</v>
      </c>
    </row>
    <row r="2100" spans="1:11" ht="42" customHeight="1">
      <c r="A2100" s="4" t="s">
        <v>5582</v>
      </c>
      <c r="B2100" s="5" t="s">
        <v>5583</v>
      </c>
      <c r="C2100" s="5" t="s">
        <v>33</v>
      </c>
      <c r="D2100" s="5" t="s">
        <v>34</v>
      </c>
      <c r="E2100" s="5" t="s">
        <v>28</v>
      </c>
      <c r="F2100" s="9" t="s">
        <v>446</v>
      </c>
      <c r="G2100" s="9" t="s">
        <v>117</v>
      </c>
      <c r="H2100" s="5" t="s">
        <v>21</v>
      </c>
      <c r="I2100" s="5" t="s">
        <v>5584</v>
      </c>
      <c r="J2100" s="12" t="str">
        <f>HYPERLINK("https://www.boe.es/gazeta/dias/1808/11/04/pdfs/GMD-D-1808-141.pdf#page=1","Abrir facsímil")</f>
        <v>Abrir facsímil</v>
      </c>
      <c r="K2100" s="15" t="s">
        <v>23</v>
      </c>
    </row>
    <row r="2101" spans="1:11" ht="42" customHeight="1">
      <c r="A2101" s="4" t="s">
        <v>5585</v>
      </c>
      <c r="B2101" s="5" t="s">
        <v>5586</v>
      </c>
      <c r="C2101" s="5" t="s">
        <v>17</v>
      </c>
      <c r="D2101" s="5" t="s">
        <v>18</v>
      </c>
      <c r="E2101" s="5" t="s">
        <v>19</v>
      </c>
      <c r="F2101" s="9" t="s">
        <v>59</v>
      </c>
      <c r="G2101" s="9">
        <v>1230</v>
      </c>
      <c r="H2101" s="5" t="s">
        <v>21</v>
      </c>
      <c r="I2101" s="5" t="s">
        <v>5587</v>
      </c>
      <c r="J2101" s="12" t="str">
        <f>HYPERLINK("https://www.boe.es/gazeta/dias/1808/09/30/pdfs/GMD-1808-130.pdf#page=10","Abrir facsímil")</f>
        <v>Abrir facsímil</v>
      </c>
      <c r="K2101" s="15" t="s">
        <v>23</v>
      </c>
    </row>
    <row r="2102" spans="1:11" ht="42" customHeight="1">
      <c r="A2102" s="4" t="s">
        <v>5588</v>
      </c>
      <c r="B2102" s="5" t="s">
        <v>5589</v>
      </c>
      <c r="C2102" s="5" t="s">
        <v>33</v>
      </c>
      <c r="D2102" s="5" t="s">
        <v>34</v>
      </c>
      <c r="E2102" s="5" t="s">
        <v>35</v>
      </c>
      <c r="F2102" s="9" t="s">
        <v>36</v>
      </c>
      <c r="G2102" s="9" t="s">
        <v>144</v>
      </c>
      <c r="H2102" s="5" t="s">
        <v>21</v>
      </c>
      <c r="I2102" s="5" t="s">
        <v>5590</v>
      </c>
      <c r="J2102" s="12" t="str">
        <f>HYPERLINK("https://www.boe.es/gazeta/dias/1808/04/22/pdfs/GMD-C-1808-38.pdf#page=40","Abrir facsímil")</f>
        <v>Abrir facsímil</v>
      </c>
      <c r="K2102" s="15" t="s">
        <v>23</v>
      </c>
    </row>
    <row r="2103" spans="1:11" ht="42" customHeight="1">
      <c r="A2103" s="4" t="s">
        <v>5591</v>
      </c>
      <c r="B2103" s="5" t="s">
        <v>5592</v>
      </c>
      <c r="C2103" s="5" t="s">
        <v>33</v>
      </c>
      <c r="D2103" s="5" t="s">
        <v>34</v>
      </c>
      <c r="E2103" s="5" t="s">
        <v>35</v>
      </c>
      <c r="F2103" s="9" t="s">
        <v>36</v>
      </c>
      <c r="G2103" s="9" t="s">
        <v>1178</v>
      </c>
      <c r="H2103" s="5" t="s">
        <v>21</v>
      </c>
      <c r="I2103" s="5" t="s">
        <v>5593</v>
      </c>
      <c r="J2103" s="12" t="str">
        <f>HYPERLINK("https://www.boe.es/gazeta/dias/1808/04/22/pdfs/GMD-C-1808-38.pdf#page=9","Abrir facsímil")</f>
        <v>Abrir facsímil</v>
      </c>
      <c r="K2103" s="15" t="s">
        <v>23</v>
      </c>
    </row>
    <row r="2104" spans="1:11" ht="42" customHeight="1">
      <c r="A2104" s="4" t="s">
        <v>5594</v>
      </c>
      <c r="B2104" s="5" t="s">
        <v>5595</v>
      </c>
      <c r="C2104" s="5" t="s">
        <v>41</v>
      </c>
      <c r="D2104" s="5" t="s">
        <v>42</v>
      </c>
      <c r="E2104" s="5" t="s">
        <v>125</v>
      </c>
      <c r="F2104" s="9" t="s">
        <v>126</v>
      </c>
      <c r="G2104" s="9" t="s">
        <v>117</v>
      </c>
      <c r="H2104" s="5" t="s">
        <v>21</v>
      </c>
      <c r="I2104" s="5" t="s">
        <v>5596</v>
      </c>
      <c r="J2104" s="12" t="str">
        <f>HYPERLINK("https://www.boe.es/gazeta/dias/1808/10/07/pdfs/GMD-C-1808-132.pdf#page=1","Abrir facsímil")</f>
        <v>Abrir facsímil</v>
      </c>
      <c r="K2104" s="15" t="s">
        <v>23</v>
      </c>
    </row>
    <row r="2105" spans="1:11" ht="42" customHeight="1">
      <c r="A2105" s="4" t="s">
        <v>5597</v>
      </c>
      <c r="B2105" s="5" t="s">
        <v>5598</v>
      </c>
      <c r="C2105" s="5" t="s">
        <v>94</v>
      </c>
      <c r="D2105" s="5" t="s">
        <v>95</v>
      </c>
      <c r="E2105" s="5" t="s">
        <v>2555</v>
      </c>
      <c r="F2105" s="9" t="s">
        <v>2556</v>
      </c>
      <c r="G2105" s="9">
        <v>130</v>
      </c>
      <c r="H2105" s="5" t="s">
        <v>21</v>
      </c>
      <c r="I2105" s="5" t="s">
        <v>5599</v>
      </c>
      <c r="J2105" s="12" t="str">
        <f>HYPERLINK("https://www.boe.es/gazeta/dias/1808/02/05/pdfs/GMD-1808-11.pdf#page=10","Abrir facsímil")</f>
        <v>Abrir facsímil</v>
      </c>
      <c r="K2105" s="15" t="s">
        <v>23</v>
      </c>
    </row>
    <row r="2106" spans="1:11" ht="42" customHeight="1">
      <c r="A2106" s="4" t="s">
        <v>5600</v>
      </c>
      <c r="B2106" s="5" t="s">
        <v>5601</v>
      </c>
      <c r="C2106" s="5" t="s">
        <v>33</v>
      </c>
      <c r="D2106" s="5" t="s">
        <v>34</v>
      </c>
      <c r="E2106" s="5" t="s">
        <v>35</v>
      </c>
      <c r="F2106" s="9" t="s">
        <v>36</v>
      </c>
      <c r="G2106" s="9" t="s">
        <v>284</v>
      </c>
      <c r="H2106" s="5" t="s">
        <v>21</v>
      </c>
      <c r="I2106" s="5" t="s">
        <v>5602</v>
      </c>
      <c r="J2106" s="12" t="str">
        <f>HYPERLINK("https://www.boe.es/gazeta/dias/1808/04/22/pdfs/GMD-C-1808-38.pdf#page=35","Abrir facsímil")</f>
        <v>Abrir facsímil</v>
      </c>
      <c r="K2106" s="15" t="s">
        <v>23</v>
      </c>
    </row>
    <row r="2107" spans="1:11" ht="42" customHeight="1">
      <c r="A2107" s="4" t="s">
        <v>5603</v>
      </c>
      <c r="B2107" s="5" t="s">
        <v>5604</v>
      </c>
      <c r="C2107" s="5" t="s">
        <v>33</v>
      </c>
      <c r="D2107" s="5" t="s">
        <v>34</v>
      </c>
      <c r="E2107" s="5" t="s">
        <v>35</v>
      </c>
      <c r="F2107" s="9" t="s">
        <v>36</v>
      </c>
      <c r="G2107" s="9" t="s">
        <v>144</v>
      </c>
      <c r="H2107" s="5" t="s">
        <v>21</v>
      </c>
      <c r="I2107" s="5" t="s">
        <v>5605</v>
      </c>
      <c r="J2107" s="12" t="str">
        <f>HYPERLINK("https://www.boe.es/gazeta/dias/1808/04/22/pdfs/GMD-C-1808-38.pdf#page=40","Abrir facsímil")</f>
        <v>Abrir facsímil</v>
      </c>
      <c r="K2107" s="15" t="s">
        <v>23</v>
      </c>
    </row>
    <row r="2108" spans="1:11" ht="42" customHeight="1">
      <c r="A2108" s="4" t="s">
        <v>5606</v>
      </c>
      <c r="B2108" s="5" t="s">
        <v>5607</v>
      </c>
      <c r="C2108" s="5" t="s">
        <v>33</v>
      </c>
      <c r="D2108" s="5" t="s">
        <v>34</v>
      </c>
      <c r="E2108" s="5" t="s">
        <v>19</v>
      </c>
      <c r="F2108" s="9" t="s">
        <v>949</v>
      </c>
      <c r="G2108" s="9" t="s">
        <v>117</v>
      </c>
      <c r="H2108" s="5" t="s">
        <v>21</v>
      </c>
      <c r="I2108" s="5" t="s">
        <v>5608</v>
      </c>
      <c r="J2108" s="12" t="str">
        <f>HYPERLINK("https://www.boe.es/gazeta/dias/1808/09/30/pdfs/GMD-C-1808-130.pdf#page=1","Abrir facsímil")</f>
        <v>Abrir facsímil</v>
      </c>
      <c r="K2108" s="15" t="s">
        <v>23</v>
      </c>
    </row>
    <row r="2109" spans="1:11" ht="42" customHeight="1">
      <c r="A2109" s="4" t="s">
        <v>5609</v>
      </c>
      <c r="B2109" s="5" t="s">
        <v>5610</v>
      </c>
      <c r="C2109" s="5" t="s">
        <v>41</v>
      </c>
      <c r="D2109" s="5" t="s">
        <v>42</v>
      </c>
      <c r="E2109" s="5" t="s">
        <v>203</v>
      </c>
      <c r="F2109" s="9" t="s">
        <v>204</v>
      </c>
      <c r="G2109" s="9">
        <v>144</v>
      </c>
      <c r="H2109" s="5" t="s">
        <v>21</v>
      </c>
      <c r="I2109" s="5" t="s">
        <v>5611</v>
      </c>
      <c r="J2109" s="12" t="str">
        <f>HYPERLINK("https://www.boe.es/gazeta/dias/1808/02/09/pdfs/GMD-1808-12.pdf#page=12","Abrir facsímil")</f>
        <v>Abrir facsímil</v>
      </c>
      <c r="K2109" s="15" t="s">
        <v>23</v>
      </c>
    </row>
    <row r="2110" spans="1:11" ht="42" customHeight="1">
      <c r="A2110" s="4" t="s">
        <v>5612</v>
      </c>
      <c r="B2110" s="5" t="s">
        <v>5613</v>
      </c>
      <c r="C2110" s="5" t="s">
        <v>33</v>
      </c>
      <c r="D2110" s="5" t="s">
        <v>34</v>
      </c>
      <c r="E2110" s="5" t="s">
        <v>35</v>
      </c>
      <c r="F2110" s="9" t="s">
        <v>36</v>
      </c>
      <c r="G2110" s="9" t="s">
        <v>1128</v>
      </c>
      <c r="H2110" s="5" t="s">
        <v>21</v>
      </c>
      <c r="I2110" s="5" t="s">
        <v>5614</v>
      </c>
      <c r="J2110" s="12" t="str">
        <f>HYPERLINK("https://www.boe.es/gazeta/dias/1808/04/22/pdfs/GMD-C-1808-38.pdf#page=11","Abrir facsímil")</f>
        <v>Abrir facsímil</v>
      </c>
      <c r="K2110" s="15" t="s">
        <v>23</v>
      </c>
    </row>
    <row r="2111" spans="1:11" ht="42" customHeight="1">
      <c r="A2111" s="4" t="s">
        <v>5615</v>
      </c>
      <c r="B2111" s="5" t="s">
        <v>5616</v>
      </c>
      <c r="C2111" s="5" t="s">
        <v>41</v>
      </c>
      <c r="D2111" s="5" t="s">
        <v>42</v>
      </c>
      <c r="E2111" s="5" t="s">
        <v>35</v>
      </c>
      <c r="F2111" s="9" t="s">
        <v>36</v>
      </c>
      <c r="G2111" s="9" t="s">
        <v>199</v>
      </c>
      <c r="H2111" s="5" t="s">
        <v>21</v>
      </c>
      <c r="I2111" s="5" t="s">
        <v>5617</v>
      </c>
      <c r="J2111" s="12" t="str">
        <f>HYPERLINK("https://www.boe.es/gazeta/dias/1808/04/22/pdfs/GMD-C-1808-38.pdf#page=2","Abrir facsímil")</f>
        <v>Abrir facsímil</v>
      </c>
      <c r="K2111" s="15" t="s">
        <v>23</v>
      </c>
    </row>
    <row r="2112" spans="1:11" ht="42" customHeight="1">
      <c r="A2112" s="4" t="s">
        <v>5618</v>
      </c>
      <c r="B2112" s="5" t="s">
        <v>5619</v>
      </c>
      <c r="C2112" s="5" t="s">
        <v>33</v>
      </c>
      <c r="D2112" s="5" t="s">
        <v>34</v>
      </c>
      <c r="E2112" s="5" t="s">
        <v>35</v>
      </c>
      <c r="F2112" s="9" t="s">
        <v>36</v>
      </c>
      <c r="G2112" s="9" t="s">
        <v>1128</v>
      </c>
      <c r="H2112" s="5" t="s">
        <v>21</v>
      </c>
      <c r="I2112" s="5" t="s">
        <v>5620</v>
      </c>
      <c r="J2112" s="12" t="str">
        <f>HYPERLINK("https://www.boe.es/gazeta/dias/1808/04/22/pdfs/GMD-C-1808-38.pdf#page=11","Abrir facsímil")</f>
        <v>Abrir facsímil</v>
      </c>
      <c r="K2112" s="15" t="s">
        <v>23</v>
      </c>
    </row>
    <row r="2113" spans="1:11" ht="42" customHeight="1">
      <c r="A2113" s="4" t="s">
        <v>5621</v>
      </c>
      <c r="B2113" s="5" t="s">
        <v>5622</v>
      </c>
      <c r="C2113" s="5" t="s">
        <v>94</v>
      </c>
      <c r="D2113" s="5" t="s">
        <v>95</v>
      </c>
      <c r="E2113" s="5" t="s">
        <v>339</v>
      </c>
      <c r="F2113" s="9" t="s">
        <v>340</v>
      </c>
      <c r="G2113" s="9">
        <v>81</v>
      </c>
      <c r="H2113" s="5" t="s">
        <v>21</v>
      </c>
      <c r="I2113" s="5" t="s">
        <v>5623</v>
      </c>
      <c r="J2113" s="12" t="str">
        <f>HYPERLINK("https://www.boe.es/gazeta/dias/1808/01/22/pdfs/GMD-1808-7.pdf#page=9","Abrir facsímil")</f>
        <v>Abrir facsímil</v>
      </c>
      <c r="K2113" s="15" t="s">
        <v>23</v>
      </c>
    </row>
    <row r="2114" spans="1:11" ht="42" customHeight="1">
      <c r="A2114" s="4" t="s">
        <v>5624</v>
      </c>
      <c r="B2114" s="5" t="s">
        <v>5625</v>
      </c>
      <c r="C2114" s="5" t="s">
        <v>33</v>
      </c>
      <c r="D2114" s="5" t="s">
        <v>34</v>
      </c>
      <c r="E2114" s="5" t="s">
        <v>35</v>
      </c>
      <c r="F2114" s="9" t="s">
        <v>36</v>
      </c>
      <c r="G2114" s="9" t="s">
        <v>199</v>
      </c>
      <c r="H2114" s="5" t="s">
        <v>21</v>
      </c>
      <c r="I2114" s="5" t="s">
        <v>5626</v>
      </c>
      <c r="J2114" s="12" t="str">
        <f>HYPERLINK("https://www.boe.es/gazeta/dias/1808/04/22/pdfs/GMD-C-1808-38.pdf#page=2","Abrir facsímil")</f>
        <v>Abrir facsímil</v>
      </c>
      <c r="K2114" s="15" t="s">
        <v>23</v>
      </c>
    </row>
    <row r="2115" spans="1:11" ht="42" customHeight="1">
      <c r="A2115" s="4" t="s">
        <v>5627</v>
      </c>
      <c r="B2115" s="5" t="s">
        <v>5628</v>
      </c>
      <c r="C2115" s="5" t="s">
        <v>17</v>
      </c>
      <c r="D2115" s="5" t="s">
        <v>18</v>
      </c>
      <c r="E2115" s="5" t="s">
        <v>130</v>
      </c>
      <c r="F2115" s="9" t="s">
        <v>131</v>
      </c>
      <c r="G2115" s="9">
        <v>1602</v>
      </c>
      <c r="H2115" s="5" t="s">
        <v>21</v>
      </c>
      <c r="I2115" s="5" t="s">
        <v>5629</v>
      </c>
      <c r="J2115" s="12" t="str">
        <f>HYPERLINK("https://www.boe.es/gazeta/dias/1808/12/15/pdfs/GMD-1808-155.pdf#page=6","Abrir facsímil")</f>
        <v>Abrir facsímil</v>
      </c>
      <c r="K2115" s="15" t="s">
        <v>23</v>
      </c>
    </row>
    <row r="2116" spans="1:11" ht="42" customHeight="1">
      <c r="A2116" s="4" t="s">
        <v>5630</v>
      </c>
      <c r="B2116" s="5" t="s">
        <v>5631</v>
      </c>
      <c r="C2116" s="5" t="s">
        <v>33</v>
      </c>
      <c r="D2116" s="5" t="s">
        <v>34</v>
      </c>
      <c r="E2116" s="5" t="s">
        <v>35</v>
      </c>
      <c r="F2116" s="9" t="s">
        <v>36</v>
      </c>
      <c r="G2116" s="9" t="s">
        <v>313</v>
      </c>
      <c r="H2116" s="5" t="s">
        <v>21</v>
      </c>
      <c r="I2116" s="5" t="s">
        <v>5632</v>
      </c>
      <c r="J2116" s="12" t="str">
        <f>HYPERLINK("https://www.boe.es/gazeta/dias/1808/04/22/pdfs/GMD-C-1808-38.pdf#page=29","Abrir facsímil")</f>
        <v>Abrir facsímil</v>
      </c>
      <c r="K2116" s="15" t="s">
        <v>23</v>
      </c>
    </row>
    <row r="2117" spans="1:11" ht="42" customHeight="1">
      <c r="A2117" s="4" t="s">
        <v>5633</v>
      </c>
      <c r="B2117" s="5" t="s">
        <v>5634</v>
      </c>
      <c r="C2117" s="5" t="s">
        <v>33</v>
      </c>
      <c r="D2117" s="5" t="s">
        <v>34</v>
      </c>
      <c r="E2117" s="5" t="s">
        <v>35</v>
      </c>
      <c r="F2117" s="9" t="s">
        <v>36</v>
      </c>
      <c r="G2117" s="9" t="s">
        <v>867</v>
      </c>
      <c r="H2117" s="5" t="s">
        <v>21</v>
      </c>
      <c r="I2117" s="5" t="s">
        <v>5635</v>
      </c>
      <c r="J2117" s="12" t="str">
        <f>HYPERLINK("https://www.boe.es/gazeta/dias/1808/04/22/pdfs/GMD-C-1808-38.pdf#page=19","Abrir facsímil")</f>
        <v>Abrir facsímil</v>
      </c>
      <c r="K2117" s="15" t="s">
        <v>23</v>
      </c>
    </row>
    <row r="2118" spans="1:11" ht="42" customHeight="1">
      <c r="A2118" s="4" t="s">
        <v>5636</v>
      </c>
      <c r="B2118" s="5" t="s">
        <v>5637</v>
      </c>
      <c r="C2118" s="5" t="s">
        <v>33</v>
      </c>
      <c r="D2118" s="5" t="s">
        <v>34</v>
      </c>
      <c r="E2118" s="5" t="s">
        <v>418</v>
      </c>
      <c r="F2118" s="9" t="s">
        <v>419</v>
      </c>
      <c r="G2118" s="9">
        <v>1134</v>
      </c>
      <c r="H2118" s="5" t="s">
        <v>21</v>
      </c>
      <c r="I2118" s="5" t="s">
        <v>5638</v>
      </c>
      <c r="J2118" s="12" t="str">
        <f>HYPERLINK("https://www.boe.es/gazeta/dias/1808/09/06/pdfs/GMD-C-1808-120.pdf#page=8","Abrir facsímil")</f>
        <v>Abrir facsímil</v>
      </c>
      <c r="K2118" s="15" t="s">
        <v>23</v>
      </c>
    </row>
    <row r="2119" spans="1:11" ht="42" customHeight="1">
      <c r="A2119" s="4" t="s">
        <v>5636</v>
      </c>
      <c r="B2119" s="5" t="s">
        <v>5637</v>
      </c>
      <c r="C2119" s="5" t="s">
        <v>17</v>
      </c>
      <c r="D2119" s="5" t="s">
        <v>18</v>
      </c>
      <c r="E2119" s="5" t="s">
        <v>68</v>
      </c>
      <c r="F2119" s="9" t="s">
        <v>69</v>
      </c>
      <c r="G2119" s="9">
        <v>1337</v>
      </c>
      <c r="H2119" s="5" t="s">
        <v>21</v>
      </c>
      <c r="I2119" s="5" t="s">
        <v>5639</v>
      </c>
      <c r="J2119" s="12" t="str">
        <f>HYPERLINK("https://www.boe.es/gazeta/dias/1808/10/21/pdfs/GMD-1808-136.pdf#page=9","Abrir facsímil")</f>
        <v>Abrir facsímil</v>
      </c>
      <c r="K2119" s="15" t="s">
        <v>23</v>
      </c>
    </row>
    <row r="2120" spans="1:11" ht="42" customHeight="1">
      <c r="A2120" s="4" t="s">
        <v>5636</v>
      </c>
      <c r="B2120" s="5" t="s">
        <v>5637</v>
      </c>
      <c r="C2120" s="5" t="s">
        <v>33</v>
      </c>
      <c r="D2120" s="5" t="s">
        <v>34</v>
      </c>
      <c r="E2120" s="5" t="s">
        <v>68</v>
      </c>
      <c r="F2120" s="9" t="s">
        <v>309</v>
      </c>
      <c r="G2120" s="9" t="s">
        <v>199</v>
      </c>
      <c r="H2120" s="5" t="s">
        <v>21</v>
      </c>
      <c r="I2120" s="5" t="s">
        <v>5640</v>
      </c>
      <c r="J2120" s="12" t="str">
        <f>HYPERLINK("https://www.boe.es/gazeta/dias/1808/10/21/pdfs/GMD-D-1808-136.pdf#page=2","Abrir facsímil")</f>
        <v>Abrir facsímil</v>
      </c>
      <c r="K2120" s="15" t="s">
        <v>23</v>
      </c>
    </row>
    <row r="2121" spans="1:11" ht="42" customHeight="1">
      <c r="A2121" s="4" t="s">
        <v>5636</v>
      </c>
      <c r="B2121" s="5" t="s">
        <v>5637</v>
      </c>
      <c r="C2121" s="5" t="s">
        <v>17</v>
      </c>
      <c r="D2121" s="5" t="s">
        <v>18</v>
      </c>
      <c r="E2121" s="5" t="s">
        <v>427</v>
      </c>
      <c r="F2121" s="9" t="s">
        <v>1802</v>
      </c>
      <c r="G2121" s="9">
        <v>1520</v>
      </c>
      <c r="H2121" s="5" t="s">
        <v>21</v>
      </c>
      <c r="I2121" s="5" t="s">
        <v>5641</v>
      </c>
      <c r="J2121" s="12" t="str">
        <f>HYPERLINK("https://www.boe.es/gazeta/dias/1808/11/22/pdfs/GMD-1808-146.pdf#page=6","Abrir facsímil")</f>
        <v>Abrir facsímil</v>
      </c>
      <c r="K2121" s="15" t="s">
        <v>23</v>
      </c>
    </row>
    <row r="2122" spans="1:11" ht="42" customHeight="1">
      <c r="A2122" s="4" t="s">
        <v>5642</v>
      </c>
      <c r="B2122" s="5" t="s">
        <v>5643</v>
      </c>
      <c r="C2122" s="5" t="s">
        <v>33</v>
      </c>
      <c r="D2122" s="5" t="s">
        <v>34</v>
      </c>
      <c r="E2122" s="5" t="s">
        <v>35</v>
      </c>
      <c r="F2122" s="9" t="s">
        <v>36</v>
      </c>
      <c r="G2122" s="9" t="s">
        <v>924</v>
      </c>
      <c r="H2122" s="5" t="s">
        <v>21</v>
      </c>
      <c r="I2122" s="5" t="s">
        <v>5644</v>
      </c>
      <c r="J2122" s="12" t="str">
        <f>HYPERLINK("https://www.boe.es/gazeta/dias/1808/04/22/pdfs/GMD-C-1808-38.pdf#page=27","Abrir facsímil")</f>
        <v>Abrir facsímil</v>
      </c>
      <c r="K2122" s="15" t="s">
        <v>23</v>
      </c>
    </row>
    <row r="2123" spans="1:11" ht="42" customHeight="1">
      <c r="A2123" s="4" t="s">
        <v>5645</v>
      </c>
      <c r="B2123" s="5" t="s">
        <v>5646</v>
      </c>
      <c r="C2123" s="5" t="s">
        <v>33</v>
      </c>
      <c r="D2123" s="5" t="s">
        <v>34</v>
      </c>
      <c r="E2123" s="5" t="s">
        <v>35</v>
      </c>
      <c r="F2123" s="9" t="s">
        <v>36</v>
      </c>
      <c r="G2123" s="9" t="s">
        <v>867</v>
      </c>
      <c r="H2123" s="5" t="s">
        <v>21</v>
      </c>
      <c r="I2123" s="5" t="s">
        <v>5647</v>
      </c>
      <c r="J2123" s="12" t="str">
        <f>HYPERLINK("https://www.boe.es/gazeta/dias/1808/04/22/pdfs/GMD-C-1808-38.pdf#page=19","Abrir facsímil")</f>
        <v>Abrir facsímil</v>
      </c>
      <c r="K2123" s="15" t="s">
        <v>23</v>
      </c>
    </row>
    <row r="2124" spans="1:11" ht="42" customHeight="1">
      <c r="A2124" s="4" t="s">
        <v>5648</v>
      </c>
      <c r="B2124" s="5" t="s">
        <v>5649</v>
      </c>
      <c r="C2124" s="5" t="s">
        <v>94</v>
      </c>
      <c r="D2124" s="5" t="s">
        <v>95</v>
      </c>
      <c r="E2124" s="5" t="s">
        <v>974</v>
      </c>
      <c r="F2124" s="9" t="s">
        <v>975</v>
      </c>
      <c r="G2124" s="9">
        <v>391</v>
      </c>
      <c r="H2124" s="5" t="s">
        <v>21</v>
      </c>
      <c r="I2124" s="5" t="s">
        <v>5650</v>
      </c>
      <c r="J2124" s="12" t="str">
        <f>HYPERLINK("https://www.boe.es/gazeta/dias/1808/04/19/pdfs/GMD-1808-37.pdf#page=7","Abrir facsímil")</f>
        <v>Abrir facsímil</v>
      </c>
      <c r="K2124" s="15" t="s">
        <v>23</v>
      </c>
    </row>
    <row r="2125" spans="1:11" ht="42" customHeight="1">
      <c r="A2125" s="4" t="s">
        <v>5651</v>
      </c>
      <c r="B2125" s="5" t="s">
        <v>5652</v>
      </c>
      <c r="C2125" s="5" t="s">
        <v>41</v>
      </c>
      <c r="D2125" s="5" t="s">
        <v>42</v>
      </c>
      <c r="E2125" s="5" t="s">
        <v>35</v>
      </c>
      <c r="F2125" s="9" t="s">
        <v>36</v>
      </c>
      <c r="G2125" s="9" t="s">
        <v>1178</v>
      </c>
      <c r="H2125" s="5" t="s">
        <v>21</v>
      </c>
      <c r="I2125" s="5" t="s">
        <v>5653</v>
      </c>
      <c r="J2125" s="12" t="str">
        <f>HYPERLINK("https://www.boe.es/gazeta/dias/1808/04/22/pdfs/GMD-C-1808-38.pdf#page=9","Abrir facsímil")</f>
        <v>Abrir facsímil</v>
      </c>
      <c r="K2125" s="15" t="s">
        <v>23</v>
      </c>
    </row>
    <row r="2126" spans="1:11" ht="42" customHeight="1">
      <c r="A2126" s="4" t="s">
        <v>5654</v>
      </c>
      <c r="B2126" s="5" t="s">
        <v>5655</v>
      </c>
      <c r="C2126" s="5" t="s">
        <v>17</v>
      </c>
      <c r="D2126" s="5" t="s">
        <v>18</v>
      </c>
      <c r="E2126" s="5" t="s">
        <v>65</v>
      </c>
      <c r="F2126" s="9" t="s">
        <v>66</v>
      </c>
      <c r="G2126" s="9">
        <v>1307</v>
      </c>
      <c r="H2126" s="5" t="s">
        <v>21</v>
      </c>
      <c r="I2126" s="5" t="s">
        <v>5656</v>
      </c>
      <c r="J2126" s="12" t="str">
        <f>HYPERLINK("https://www.boe.es/gazeta/dias/1808/10/18/pdfs/GMD-1808-135.pdf#page=7","Abrir facsímil")</f>
        <v>Abrir facsímil</v>
      </c>
      <c r="K2126" s="15" t="s">
        <v>23</v>
      </c>
    </row>
    <row r="2127" spans="1:11" ht="42" customHeight="1">
      <c r="A2127" s="4" t="s">
        <v>5657</v>
      </c>
      <c r="B2127" s="5" t="s">
        <v>5658</v>
      </c>
      <c r="C2127" s="5" t="s">
        <v>17</v>
      </c>
      <c r="D2127" s="5" t="s">
        <v>18</v>
      </c>
      <c r="E2127" s="5" t="s">
        <v>89</v>
      </c>
      <c r="F2127" s="9" t="s">
        <v>90</v>
      </c>
      <c r="G2127" s="9">
        <v>1363</v>
      </c>
      <c r="H2127" s="5" t="s">
        <v>21</v>
      </c>
      <c r="I2127" s="5" t="s">
        <v>5659</v>
      </c>
      <c r="J2127" s="12" t="str">
        <f>HYPERLINK("https://www.boe.es/gazeta/dias/1808/10/25/pdfs/GMD-1808-137.pdf#page=11","Abrir facsímil")</f>
        <v>Abrir facsímil</v>
      </c>
      <c r="K2127" s="15" t="s">
        <v>23</v>
      </c>
    </row>
    <row r="2128" spans="1:11" ht="42" customHeight="1">
      <c r="A2128" s="4" t="s">
        <v>5660</v>
      </c>
      <c r="B2128" s="5" t="s">
        <v>5661</v>
      </c>
      <c r="C2128" s="5" t="s">
        <v>33</v>
      </c>
      <c r="D2128" s="5" t="s">
        <v>34</v>
      </c>
      <c r="E2128" s="5" t="s">
        <v>35</v>
      </c>
      <c r="F2128" s="9" t="s">
        <v>36</v>
      </c>
      <c r="G2128" s="9" t="s">
        <v>795</v>
      </c>
      <c r="H2128" s="5" t="s">
        <v>21</v>
      </c>
      <c r="I2128" s="5" t="s">
        <v>5662</v>
      </c>
      <c r="J2128" s="12" t="str">
        <f>HYPERLINK("https://www.boe.es/gazeta/dias/1808/04/22/pdfs/GMD-C-1808-38.pdf#page=21","Abrir facsímil")</f>
        <v>Abrir facsímil</v>
      </c>
      <c r="K2128" s="15" t="s">
        <v>23</v>
      </c>
    </row>
    <row r="2129" spans="1:11" ht="42" customHeight="1">
      <c r="A2129" s="4" t="s">
        <v>5663</v>
      </c>
      <c r="B2129" s="5" t="s">
        <v>5664</v>
      </c>
      <c r="C2129" s="5" t="s">
        <v>33</v>
      </c>
      <c r="D2129" s="5" t="s">
        <v>34</v>
      </c>
      <c r="E2129" s="5" t="s">
        <v>35</v>
      </c>
      <c r="F2129" s="9" t="s">
        <v>36</v>
      </c>
      <c r="G2129" s="9" t="s">
        <v>47</v>
      </c>
      <c r="H2129" s="5" t="s">
        <v>21</v>
      </c>
      <c r="I2129" s="5" t="s">
        <v>5665</v>
      </c>
      <c r="J2129" s="12" t="str">
        <f>HYPERLINK("https://www.boe.es/gazeta/dias/1808/04/22/pdfs/GMD-C-1808-38.pdf#page=13","Abrir facsímil")</f>
        <v>Abrir facsímil</v>
      </c>
      <c r="K2129" s="15" t="s">
        <v>23</v>
      </c>
    </row>
    <row r="2130" spans="1:11" ht="42" customHeight="1">
      <c r="A2130" s="4" t="s">
        <v>5666</v>
      </c>
      <c r="B2130" s="5" t="s">
        <v>5667</v>
      </c>
      <c r="C2130" s="5" t="s">
        <v>33</v>
      </c>
      <c r="D2130" s="5" t="s">
        <v>34</v>
      </c>
      <c r="E2130" s="5" t="s">
        <v>115</v>
      </c>
      <c r="F2130" s="9" t="s">
        <v>116</v>
      </c>
      <c r="G2130" s="9" t="s">
        <v>106</v>
      </c>
      <c r="H2130" s="5" t="s">
        <v>21</v>
      </c>
      <c r="I2130" s="5" t="s">
        <v>5668</v>
      </c>
      <c r="J2130" s="12" t="str">
        <f>HYPERLINK("https://www.boe.es/gazeta/dias/1808/09/16/pdfs/GMD-C-1808-125.pdf#page=3","Abrir facsímil")</f>
        <v>Abrir facsímil</v>
      </c>
      <c r="K2130" s="15" t="s">
        <v>23</v>
      </c>
    </row>
    <row r="2131" spans="1:11" ht="42" customHeight="1">
      <c r="A2131" s="4" t="s">
        <v>5669</v>
      </c>
      <c r="B2131" s="5" t="s">
        <v>5670</v>
      </c>
      <c r="C2131" s="5" t="s">
        <v>33</v>
      </c>
      <c r="D2131" s="5" t="s">
        <v>34</v>
      </c>
      <c r="E2131" s="5" t="s">
        <v>115</v>
      </c>
      <c r="F2131" s="9" t="s">
        <v>116</v>
      </c>
      <c r="G2131" s="9" t="s">
        <v>199</v>
      </c>
      <c r="H2131" s="5" t="s">
        <v>21</v>
      </c>
      <c r="I2131" s="5" t="s">
        <v>5671</v>
      </c>
      <c r="J2131" s="12" t="str">
        <f>HYPERLINK("https://www.boe.es/gazeta/dias/1808/09/16/pdfs/GMD-C-1808-125.pdf#page=2","Abrir facsímil")</f>
        <v>Abrir facsímil</v>
      </c>
      <c r="K2131" s="15" t="s">
        <v>23</v>
      </c>
    </row>
    <row r="2132" spans="1:11" ht="42" customHeight="1">
      <c r="A2132" s="4" t="s">
        <v>5672</v>
      </c>
      <c r="B2132" s="5" t="s">
        <v>5673</v>
      </c>
      <c r="C2132" s="5" t="s">
        <v>389</v>
      </c>
      <c r="D2132" s="5" t="s">
        <v>390</v>
      </c>
      <c r="E2132" s="5" t="s">
        <v>242</v>
      </c>
      <c r="F2132" s="9" t="s">
        <v>243</v>
      </c>
      <c r="G2132" s="9">
        <v>11</v>
      </c>
      <c r="H2132" s="5" t="s">
        <v>21</v>
      </c>
      <c r="I2132" s="5" t="s">
        <v>5674</v>
      </c>
      <c r="J2132" s="12" t="str">
        <f>HYPERLINK("https://www.boe.es/gazeta/dias/1808/01/01/pdfs/GMD-1808-1.pdf#page=11","Abrir facsímil")</f>
        <v>Abrir facsímil</v>
      </c>
      <c r="K2132" s="15" t="s">
        <v>23</v>
      </c>
    </row>
    <row r="2133" spans="1:11" ht="42" customHeight="1">
      <c r="A2133" s="4" t="s">
        <v>5672</v>
      </c>
      <c r="B2133" s="5" t="s">
        <v>5673</v>
      </c>
      <c r="C2133" s="5" t="s">
        <v>389</v>
      </c>
      <c r="D2133" s="5" t="s">
        <v>390</v>
      </c>
      <c r="E2133" s="5" t="s">
        <v>5675</v>
      </c>
      <c r="F2133" s="9" t="s">
        <v>5676</v>
      </c>
      <c r="G2133" s="9">
        <v>645</v>
      </c>
      <c r="H2133" s="5" t="s">
        <v>21</v>
      </c>
      <c r="I2133" s="5" t="s">
        <v>5677</v>
      </c>
      <c r="J2133" s="12" t="str">
        <f>HYPERLINK("https://www.boe.es/gazeta/dias/1808/06/24/pdfs/GMD-1808-66.pdf#page=7","Abrir facsímil")</f>
        <v>Abrir facsímil</v>
      </c>
      <c r="K2133" s="15" t="s">
        <v>23</v>
      </c>
    </row>
    <row r="2134" spans="1:11" ht="42" customHeight="1">
      <c r="A2134" s="4" t="s">
        <v>5678</v>
      </c>
      <c r="B2134" s="5" t="s">
        <v>5679</v>
      </c>
      <c r="C2134" s="5" t="s">
        <v>17</v>
      </c>
      <c r="D2134" s="5" t="s">
        <v>18</v>
      </c>
      <c r="E2134" s="5" t="s">
        <v>1962</v>
      </c>
      <c r="F2134" s="9" t="s">
        <v>1963</v>
      </c>
      <c r="G2134" s="9">
        <v>734</v>
      </c>
      <c r="H2134" s="5" t="s">
        <v>21</v>
      </c>
      <c r="I2134" s="5" t="s">
        <v>5680</v>
      </c>
      <c r="J2134" s="12" t="str">
        <f>HYPERLINK("https://www.boe.es/gazeta/dias/1808/07/05/pdfs/GMD-1808-77.pdf#page=8","Abrir facsímil")</f>
        <v>Abrir facsímil</v>
      </c>
      <c r="K2134" s="15" t="s">
        <v>23</v>
      </c>
    </row>
    <row r="2135" spans="1:11" ht="42" customHeight="1">
      <c r="A2135" s="4" t="s">
        <v>5681</v>
      </c>
      <c r="B2135" s="5" t="s">
        <v>5682</v>
      </c>
      <c r="C2135" s="5" t="s">
        <v>33</v>
      </c>
      <c r="D2135" s="5" t="s">
        <v>34</v>
      </c>
      <c r="E2135" s="5" t="s">
        <v>125</v>
      </c>
      <c r="F2135" s="9" t="s">
        <v>126</v>
      </c>
      <c r="G2135" s="9" t="s">
        <v>199</v>
      </c>
      <c r="H2135" s="5" t="s">
        <v>21</v>
      </c>
      <c r="I2135" s="5" t="s">
        <v>5683</v>
      </c>
      <c r="J2135" s="12" t="str">
        <f>HYPERLINK("https://www.boe.es/gazeta/dias/1808/10/07/pdfs/GMD-C-1808-132.pdf#page=2","Abrir facsímil")</f>
        <v>Abrir facsímil</v>
      </c>
      <c r="K2135" s="15" t="s">
        <v>23</v>
      </c>
    </row>
    <row r="2136" spans="1:11" ht="42" customHeight="1">
      <c r="A2136" s="4" t="s">
        <v>5684</v>
      </c>
      <c r="B2136" s="5" t="s">
        <v>5685</v>
      </c>
      <c r="C2136" s="5" t="s">
        <v>17</v>
      </c>
      <c r="D2136" s="5" t="s">
        <v>18</v>
      </c>
      <c r="E2136" s="5" t="s">
        <v>391</v>
      </c>
      <c r="F2136" s="9" t="s">
        <v>392</v>
      </c>
      <c r="G2136" s="9">
        <v>1212</v>
      </c>
      <c r="H2136" s="5" t="s">
        <v>21</v>
      </c>
      <c r="I2136" s="5" t="s">
        <v>5686</v>
      </c>
      <c r="J2136" s="12" t="str">
        <f>HYPERLINK("https://www.boe.es/gazeta/dias/1808/09/27/pdfs/GMD-1808-128.pdf#page=8","Abrir facsímil")</f>
        <v>Abrir facsímil</v>
      </c>
      <c r="K2136" s="15" t="s">
        <v>23</v>
      </c>
    </row>
    <row r="2137" spans="1:11" ht="42" customHeight="1">
      <c r="A2137" s="4" t="s">
        <v>5687</v>
      </c>
      <c r="B2137" s="5" t="s">
        <v>5688</v>
      </c>
      <c r="C2137" s="5" t="s">
        <v>389</v>
      </c>
      <c r="D2137" s="5" t="s">
        <v>390</v>
      </c>
      <c r="E2137" s="5" t="s">
        <v>513</v>
      </c>
      <c r="F2137" s="9" t="s">
        <v>514</v>
      </c>
      <c r="G2137" s="9">
        <v>290</v>
      </c>
      <c r="H2137" s="5" t="s">
        <v>21</v>
      </c>
      <c r="I2137" s="5" t="s">
        <v>5689</v>
      </c>
      <c r="J2137" s="12" t="str">
        <f>HYPERLINK("https://www.boe.es/gazeta/dias/1808/03/22/pdfs/GMD-1808-24.pdf#page=12","Abrir facsímil")</f>
        <v>Abrir facsímil</v>
      </c>
      <c r="K2137" s="15" t="s">
        <v>23</v>
      </c>
    </row>
    <row r="2138" spans="1:11" ht="42" customHeight="1">
      <c r="A2138" s="4" t="s">
        <v>5690</v>
      </c>
      <c r="B2138" s="5" t="s">
        <v>5691</v>
      </c>
      <c r="C2138" s="5" t="s">
        <v>17</v>
      </c>
      <c r="D2138" s="5" t="s">
        <v>18</v>
      </c>
      <c r="E2138" s="5" t="s">
        <v>166</v>
      </c>
      <c r="F2138" s="9" t="s">
        <v>356</v>
      </c>
      <c r="G2138" s="9">
        <v>1506</v>
      </c>
      <c r="H2138" s="5" t="s">
        <v>21</v>
      </c>
      <c r="I2138" s="5" t="s">
        <v>5692</v>
      </c>
      <c r="J2138" s="12" t="str">
        <f>HYPERLINK("https://www.boe.es/gazeta/dias/1808/11/18/pdfs/GMD-1808-145.pdf#page=4","Abrir facsímil")</f>
        <v>Abrir facsímil</v>
      </c>
      <c r="K2138" s="15" t="s">
        <v>23</v>
      </c>
    </row>
    <row r="2139" spans="1:11" ht="42" customHeight="1">
      <c r="A2139" s="4" t="s">
        <v>5693</v>
      </c>
      <c r="B2139" s="5" t="s">
        <v>5694</v>
      </c>
      <c r="C2139" s="5" t="s">
        <v>260</v>
      </c>
      <c r="D2139" s="5" t="s">
        <v>42</v>
      </c>
      <c r="E2139" s="5" t="s">
        <v>215</v>
      </c>
      <c r="F2139" s="9" t="s">
        <v>216</v>
      </c>
      <c r="G2139" s="9">
        <v>301</v>
      </c>
      <c r="H2139" s="5" t="s">
        <v>21</v>
      </c>
      <c r="I2139" s="5" t="s">
        <v>5695</v>
      </c>
      <c r="J2139" s="12" t="str">
        <f>HYPERLINK("https://www.boe.es/gazeta/dias/1808/03/25/pdfs/GMD-1808-25.pdf#page=11","Abrir facsímil")</f>
        <v>Abrir facsímil</v>
      </c>
      <c r="K2139" s="15" t="s">
        <v>23</v>
      </c>
    </row>
    <row r="2140" spans="1:11" ht="42" customHeight="1">
      <c r="A2140" s="4" t="s">
        <v>5696</v>
      </c>
      <c r="B2140" s="5" t="s">
        <v>5697</v>
      </c>
      <c r="C2140" s="5" t="s">
        <v>33</v>
      </c>
      <c r="D2140" s="5" t="s">
        <v>34</v>
      </c>
      <c r="E2140" s="5" t="s">
        <v>35</v>
      </c>
      <c r="F2140" s="9" t="s">
        <v>36</v>
      </c>
      <c r="G2140" s="9" t="s">
        <v>324</v>
      </c>
      <c r="H2140" s="5" t="s">
        <v>21</v>
      </c>
      <c r="I2140" s="5" t="s">
        <v>5698</v>
      </c>
      <c r="J2140" s="12" t="str">
        <f>HYPERLINK("https://www.boe.es/gazeta/dias/1808/04/22/pdfs/GMD-C-1808-38.pdf#page=24","Abrir facsímil")</f>
        <v>Abrir facsímil</v>
      </c>
      <c r="K2140" s="15" t="s">
        <v>23</v>
      </c>
    </row>
    <row r="2141" spans="1:11" ht="42" customHeight="1">
      <c r="A2141" s="4" t="s">
        <v>5696</v>
      </c>
      <c r="B2141" s="5" t="s">
        <v>5697</v>
      </c>
      <c r="C2141" s="5" t="s">
        <v>33</v>
      </c>
      <c r="D2141" s="5" t="s">
        <v>34</v>
      </c>
      <c r="E2141" s="5" t="s">
        <v>35</v>
      </c>
      <c r="F2141" s="9" t="s">
        <v>36</v>
      </c>
      <c r="G2141" s="9" t="s">
        <v>1860</v>
      </c>
      <c r="H2141" s="5" t="s">
        <v>21</v>
      </c>
      <c r="I2141" s="5" t="s">
        <v>5699</v>
      </c>
      <c r="J2141" s="12" t="str">
        <f>HYPERLINK("https://www.boe.es/gazeta/dias/1808/04/22/pdfs/GMD-C-1808-38.pdf#page=37","Abrir facsímil")</f>
        <v>Abrir facsímil</v>
      </c>
      <c r="K2141" s="15" t="s">
        <v>23</v>
      </c>
    </row>
    <row r="2142" spans="1:11" ht="42" customHeight="1">
      <c r="A2142" s="4" t="s">
        <v>5696</v>
      </c>
      <c r="B2142" s="5" t="s">
        <v>5697</v>
      </c>
      <c r="C2142" s="5" t="s">
        <v>33</v>
      </c>
      <c r="D2142" s="5" t="s">
        <v>34</v>
      </c>
      <c r="E2142" s="5" t="s">
        <v>35</v>
      </c>
      <c r="F2142" s="9" t="s">
        <v>36</v>
      </c>
      <c r="G2142" s="9" t="s">
        <v>956</v>
      </c>
      <c r="H2142" s="5" t="s">
        <v>21</v>
      </c>
      <c r="I2142" s="5" t="s">
        <v>5700</v>
      </c>
      <c r="J2142" s="12" t="str">
        <f>HYPERLINK("https://www.boe.es/gazeta/dias/1808/04/22/pdfs/GMD-C-1808-38.pdf#page=41","Abrir facsímil")</f>
        <v>Abrir facsímil</v>
      </c>
      <c r="K2142" s="15" t="s">
        <v>23</v>
      </c>
    </row>
    <row r="2143" spans="1:11" ht="42" customHeight="1">
      <c r="A2143" s="4" t="s">
        <v>5696</v>
      </c>
      <c r="B2143" s="5" t="s">
        <v>5697</v>
      </c>
      <c r="C2143" s="5" t="s">
        <v>33</v>
      </c>
      <c r="D2143" s="5" t="s">
        <v>34</v>
      </c>
      <c r="E2143" s="5" t="s">
        <v>65</v>
      </c>
      <c r="F2143" s="9" t="s">
        <v>105</v>
      </c>
      <c r="G2143" s="9" t="s">
        <v>117</v>
      </c>
      <c r="H2143" s="5" t="s">
        <v>21</v>
      </c>
      <c r="I2143" s="5" t="s">
        <v>5701</v>
      </c>
      <c r="J2143" s="12" t="str">
        <f>HYPERLINK("https://www.boe.es/gazeta/dias/1808/10/18/pdfs/GMD-D-1808-135.pdf#page=1","Abrir facsímil")</f>
        <v>Abrir facsímil</v>
      </c>
      <c r="K2143" s="15" t="s">
        <v>23</v>
      </c>
    </row>
    <row r="2144" spans="1:11" ht="42" customHeight="1">
      <c r="A2144" s="4" t="s">
        <v>5702</v>
      </c>
      <c r="B2144" s="5" t="s">
        <v>5703</v>
      </c>
      <c r="C2144" s="5" t="s">
        <v>33</v>
      </c>
      <c r="D2144" s="5" t="s">
        <v>34</v>
      </c>
      <c r="E2144" s="5" t="s">
        <v>456</v>
      </c>
      <c r="F2144" s="9" t="s">
        <v>748</v>
      </c>
      <c r="G2144" s="9" t="s">
        <v>117</v>
      </c>
      <c r="H2144" s="5" t="s">
        <v>21</v>
      </c>
      <c r="I2144" s="5" t="s">
        <v>5704</v>
      </c>
      <c r="J2144" s="12" t="str">
        <f>HYPERLINK("https://www.boe.es/gazeta/dias/1808/10/14/pdfs/GMD-C-1808-134.pdf#page=1","Abrir facsímil")</f>
        <v>Abrir facsímil</v>
      </c>
      <c r="K2144" s="15" t="s">
        <v>23</v>
      </c>
    </row>
    <row r="2145" spans="1:11" ht="42" customHeight="1">
      <c r="A2145" s="4" t="s">
        <v>5705</v>
      </c>
      <c r="B2145" s="5" t="s">
        <v>5706</v>
      </c>
      <c r="C2145" s="5" t="s">
        <v>33</v>
      </c>
      <c r="D2145" s="5" t="s">
        <v>34</v>
      </c>
      <c r="E2145" s="5" t="s">
        <v>456</v>
      </c>
      <c r="F2145" s="9" t="s">
        <v>748</v>
      </c>
      <c r="G2145" s="9" t="s">
        <v>117</v>
      </c>
      <c r="H2145" s="5" t="s">
        <v>21</v>
      </c>
      <c r="I2145" s="5" t="s">
        <v>5707</v>
      </c>
      <c r="J2145" s="12" t="str">
        <f>HYPERLINK("https://www.boe.es/gazeta/dias/1808/10/14/pdfs/GMD-C-1808-134.pdf#page=1","Abrir facsímil")</f>
        <v>Abrir facsímil</v>
      </c>
      <c r="K2145" s="15" t="s">
        <v>23</v>
      </c>
    </row>
    <row r="2146" spans="1:11" ht="42" customHeight="1">
      <c r="A2146" s="4" t="s">
        <v>5708</v>
      </c>
      <c r="B2146" s="5" t="s">
        <v>5709</v>
      </c>
      <c r="C2146" s="5" t="s">
        <v>33</v>
      </c>
      <c r="D2146" s="5" t="s">
        <v>34</v>
      </c>
      <c r="E2146" s="5" t="s">
        <v>35</v>
      </c>
      <c r="F2146" s="9" t="s">
        <v>36</v>
      </c>
      <c r="G2146" s="9" t="s">
        <v>313</v>
      </c>
      <c r="H2146" s="5" t="s">
        <v>21</v>
      </c>
      <c r="I2146" s="5" t="s">
        <v>5710</v>
      </c>
      <c r="J2146" s="12" t="str">
        <f>HYPERLINK("https://www.boe.es/gazeta/dias/1808/04/22/pdfs/GMD-C-1808-38.pdf#page=29","Abrir facsímil")</f>
        <v>Abrir facsímil</v>
      </c>
      <c r="K2146" s="15" t="s">
        <v>23</v>
      </c>
    </row>
    <row r="2147" spans="1:11" ht="42" customHeight="1">
      <c r="A2147" s="4" t="s">
        <v>5711</v>
      </c>
      <c r="B2147" s="5" t="s">
        <v>5712</v>
      </c>
      <c r="C2147" s="5" t="s">
        <v>17</v>
      </c>
      <c r="D2147" s="5" t="s">
        <v>18</v>
      </c>
      <c r="E2147" s="5" t="s">
        <v>197</v>
      </c>
      <c r="F2147" s="9" t="s">
        <v>857</v>
      </c>
      <c r="G2147" s="9">
        <v>356</v>
      </c>
      <c r="H2147" s="5" t="s">
        <v>21</v>
      </c>
      <c r="I2147" s="5" t="s">
        <v>5713</v>
      </c>
      <c r="J2147" s="12" t="str">
        <f>HYPERLINK("https://www.boe.es/gazeta/dias/1808/11/01/pdfs/GMS-1808-45.pdf#page=4","Abrir facsímil")</f>
        <v>Abrir facsímil</v>
      </c>
      <c r="K2147" s="15" t="s">
        <v>23</v>
      </c>
    </row>
    <row r="2148" spans="1:11" ht="42" customHeight="1">
      <c r="A2148" s="4" t="s">
        <v>5714</v>
      </c>
      <c r="B2148" s="5" t="s">
        <v>5715</v>
      </c>
      <c r="C2148" s="5" t="s">
        <v>33</v>
      </c>
      <c r="D2148" s="5" t="s">
        <v>34</v>
      </c>
      <c r="E2148" s="5" t="s">
        <v>125</v>
      </c>
      <c r="F2148" s="9" t="s">
        <v>126</v>
      </c>
      <c r="G2148" s="9" t="s">
        <v>199</v>
      </c>
      <c r="H2148" s="5" t="s">
        <v>21</v>
      </c>
      <c r="I2148" s="5" t="s">
        <v>5716</v>
      </c>
      <c r="J2148" s="12" t="str">
        <f>HYPERLINK("https://www.boe.es/gazeta/dias/1808/10/07/pdfs/GMD-C-1808-132.pdf#page=2","Abrir facsímil")</f>
        <v>Abrir facsímil</v>
      </c>
      <c r="K2148" s="15" t="s">
        <v>23</v>
      </c>
    </row>
    <row r="2149" spans="1:11" ht="42" customHeight="1">
      <c r="A2149" s="4" t="s">
        <v>5717</v>
      </c>
      <c r="B2149" s="5" t="s">
        <v>5718</v>
      </c>
      <c r="C2149" s="5" t="s">
        <v>41</v>
      </c>
      <c r="D2149" s="5" t="s">
        <v>42</v>
      </c>
      <c r="E2149" s="5" t="s">
        <v>877</v>
      </c>
      <c r="F2149" s="9" t="s">
        <v>878</v>
      </c>
      <c r="G2149" s="9">
        <v>118</v>
      </c>
      <c r="H2149" s="5" t="s">
        <v>21</v>
      </c>
      <c r="I2149" s="5" t="s">
        <v>5719</v>
      </c>
      <c r="J2149" s="12" t="str">
        <f>HYPERLINK("https://www.boe.es/gazeta/dias/1808/02/02/pdfs/GMD-1808-10.pdf#page=10","Abrir facsímil")</f>
        <v>Abrir facsímil</v>
      </c>
      <c r="K2149" s="15" t="s">
        <v>23</v>
      </c>
    </row>
    <row r="2150" spans="1:11" ht="42" customHeight="1">
      <c r="A2150" s="4" t="s">
        <v>5720</v>
      </c>
      <c r="B2150" s="5" t="s">
        <v>5721</v>
      </c>
      <c r="C2150" s="5" t="s">
        <v>260</v>
      </c>
      <c r="D2150" s="5" t="s">
        <v>42</v>
      </c>
      <c r="E2150" s="5" t="s">
        <v>287</v>
      </c>
      <c r="F2150" s="9" t="s">
        <v>489</v>
      </c>
      <c r="G2150" s="9">
        <v>1005</v>
      </c>
      <c r="H2150" s="5" t="s">
        <v>21</v>
      </c>
      <c r="I2150" s="5" t="s">
        <v>5722</v>
      </c>
      <c r="J2150" s="12" t="str">
        <f>HYPERLINK("https://www.boe.es/gazeta/dias/1808/08/12/pdfs/GMD-1808-112.pdf#page=9","Abrir facsímil")</f>
        <v>Abrir facsímil</v>
      </c>
      <c r="K2150" s="15" t="s">
        <v>23</v>
      </c>
    </row>
    <row r="2151" spans="1:11" ht="42" customHeight="1">
      <c r="A2151" s="4" t="s">
        <v>5723</v>
      </c>
      <c r="B2151" s="5" t="s">
        <v>5724</v>
      </c>
      <c r="C2151" s="5" t="s">
        <v>94</v>
      </c>
      <c r="D2151" s="5" t="s">
        <v>95</v>
      </c>
      <c r="E2151" s="5" t="s">
        <v>73</v>
      </c>
      <c r="F2151" s="9" t="s">
        <v>1570</v>
      </c>
      <c r="G2151" s="9">
        <v>1476</v>
      </c>
      <c r="H2151" s="5" t="s">
        <v>21</v>
      </c>
      <c r="I2151" s="5" t="s">
        <v>5725</v>
      </c>
      <c r="J2151" s="12" t="str">
        <f>HYPERLINK("https://www.boe.es/gazeta/dias/1808/11/11/pdfs/GMD-C-1808-143.pdf#page=6","Abrir facsímil")</f>
        <v>Abrir facsímil</v>
      </c>
      <c r="K2151" s="15" t="s">
        <v>23</v>
      </c>
    </row>
    <row r="2152" spans="1:11" ht="42" customHeight="1">
      <c r="A2152" s="4" t="s">
        <v>5726</v>
      </c>
      <c r="B2152" s="5" t="s">
        <v>5727</v>
      </c>
      <c r="C2152" s="5" t="s">
        <v>260</v>
      </c>
      <c r="D2152" s="5" t="s">
        <v>42</v>
      </c>
      <c r="E2152" s="5" t="s">
        <v>218</v>
      </c>
      <c r="F2152" s="9" t="s">
        <v>219</v>
      </c>
      <c r="G2152" s="9">
        <v>332</v>
      </c>
      <c r="H2152" s="5" t="s">
        <v>21</v>
      </c>
      <c r="I2152" s="5" t="s">
        <v>5728</v>
      </c>
      <c r="J2152" s="12" t="str">
        <f>HYPERLINK("https://www.boe.es/gazeta/dias/1808/04/01/pdfs/GMD-1808-29.pdf#page=8","Abrir facsímil")</f>
        <v>Abrir facsímil</v>
      </c>
      <c r="K2152" s="15" t="s">
        <v>23</v>
      </c>
    </row>
    <row r="2153" spans="1:11" ht="42" customHeight="1">
      <c r="A2153" s="4" t="s">
        <v>5729</v>
      </c>
      <c r="B2153" s="5" t="s">
        <v>5730</v>
      </c>
      <c r="C2153" s="5" t="s">
        <v>17</v>
      </c>
      <c r="D2153" s="5" t="s">
        <v>18</v>
      </c>
      <c r="E2153" s="5" t="s">
        <v>54</v>
      </c>
      <c r="F2153" s="9" t="s">
        <v>55</v>
      </c>
      <c r="G2153" s="9">
        <v>1083</v>
      </c>
      <c r="H2153" s="5" t="s">
        <v>21</v>
      </c>
      <c r="I2153" s="5" t="s">
        <v>5731</v>
      </c>
      <c r="J2153" s="12" t="str">
        <f>HYPERLINK("https://www.boe.es/gazeta/dias/1808/08/26/pdfs/GMD-1808-117.pdf#page=5","Abrir facsímil")</f>
        <v>Abrir facsímil</v>
      </c>
      <c r="K2153" s="15" t="s">
        <v>23</v>
      </c>
    </row>
    <row r="2154" spans="1:11" ht="42" customHeight="1">
      <c r="A2154" s="4" t="s">
        <v>5732</v>
      </c>
      <c r="B2154" s="5" t="s">
        <v>5733</v>
      </c>
      <c r="C2154" s="5" t="s">
        <v>17</v>
      </c>
      <c r="D2154" s="5" t="s">
        <v>18</v>
      </c>
      <c r="E2154" s="5" t="s">
        <v>290</v>
      </c>
      <c r="F2154" s="9" t="s">
        <v>3150</v>
      </c>
      <c r="G2154" s="9">
        <v>197</v>
      </c>
      <c r="H2154" s="5" t="s">
        <v>21</v>
      </c>
      <c r="I2154" s="5" t="s">
        <v>5734</v>
      </c>
      <c r="J2154" s="12" t="str">
        <f>HYPERLINK("https://www.boe.es/gazeta/dias/1808/08/23/pdfs/GMS-1808-25.pdf#page=5","Abrir facsímil")</f>
        <v>Abrir facsímil</v>
      </c>
      <c r="K2154" s="15" t="s">
        <v>23</v>
      </c>
    </row>
    <row r="2155" spans="1:11" ht="42" customHeight="1">
      <c r="A2155" s="4" t="s">
        <v>5735</v>
      </c>
      <c r="B2155" s="5" t="s">
        <v>5736</v>
      </c>
      <c r="C2155" s="5" t="s">
        <v>41</v>
      </c>
      <c r="D2155" s="5" t="s">
        <v>42</v>
      </c>
      <c r="E2155" s="5" t="s">
        <v>1466</v>
      </c>
      <c r="F2155" s="9" t="s">
        <v>1467</v>
      </c>
      <c r="G2155" s="9">
        <v>55</v>
      </c>
      <c r="H2155" s="5" t="s">
        <v>21</v>
      </c>
      <c r="I2155" s="5" t="s">
        <v>5737</v>
      </c>
      <c r="J2155" s="12" t="str">
        <f>HYPERLINK("https://www.boe.es/gazeta/dias/1808/01/15/pdfs/GMD-1808-5.pdf#page=7","Abrir facsímil")</f>
        <v>Abrir facsímil</v>
      </c>
      <c r="K2155" s="15" t="s">
        <v>23</v>
      </c>
    </row>
    <row r="2156" spans="1:11" ht="42" customHeight="1">
      <c r="A2156" s="4" t="s">
        <v>5735</v>
      </c>
      <c r="B2156" s="5" t="s">
        <v>5736</v>
      </c>
      <c r="C2156" s="5" t="s">
        <v>642</v>
      </c>
      <c r="D2156" s="5" t="s">
        <v>643</v>
      </c>
      <c r="E2156" s="5" t="s">
        <v>2143</v>
      </c>
      <c r="F2156" s="9" t="s">
        <v>2144</v>
      </c>
      <c r="G2156" s="9">
        <v>1218</v>
      </c>
      <c r="H2156" s="5" t="s">
        <v>21</v>
      </c>
      <c r="I2156" s="5" t="s">
        <v>5738</v>
      </c>
      <c r="J2156" s="12" t="str">
        <f>HYPERLINK("https://www.boe.es/gazeta/dias/1808/09/29/pdfs/GMD-1808-129E.pdf#page=2","Abrir facsímil")</f>
        <v>Abrir facsímil</v>
      </c>
      <c r="K2156" s="15" t="s">
        <v>23</v>
      </c>
    </row>
    <row r="2157" spans="1:11" ht="42" customHeight="1">
      <c r="A2157" s="4" t="s">
        <v>5739</v>
      </c>
      <c r="B2157" s="5" t="s">
        <v>5740</v>
      </c>
      <c r="C2157" s="5" t="s">
        <v>94</v>
      </c>
      <c r="D2157" s="5" t="s">
        <v>95</v>
      </c>
      <c r="E2157" s="5" t="s">
        <v>974</v>
      </c>
      <c r="F2157" s="9" t="s">
        <v>975</v>
      </c>
      <c r="G2157" s="9">
        <v>391</v>
      </c>
      <c r="H2157" s="5" t="s">
        <v>21</v>
      </c>
      <c r="I2157" s="5" t="s">
        <v>5741</v>
      </c>
      <c r="J2157" s="12" t="str">
        <f>HYPERLINK("https://www.boe.es/gazeta/dias/1808/04/19/pdfs/GMD-1808-37.pdf#page=7","Abrir facsímil")</f>
        <v>Abrir facsímil</v>
      </c>
      <c r="K2157" s="15" t="s">
        <v>23</v>
      </c>
    </row>
    <row r="2158" spans="1:11" ht="42" customHeight="1">
      <c r="A2158" s="4" t="s">
        <v>5742</v>
      </c>
      <c r="B2158" s="5" t="s">
        <v>5743</v>
      </c>
      <c r="C2158" s="5" t="s">
        <v>33</v>
      </c>
      <c r="D2158" s="5" t="s">
        <v>34</v>
      </c>
      <c r="E2158" s="5" t="s">
        <v>35</v>
      </c>
      <c r="F2158" s="9" t="s">
        <v>36</v>
      </c>
      <c r="G2158" s="9" t="s">
        <v>47</v>
      </c>
      <c r="H2158" s="5" t="s">
        <v>21</v>
      </c>
      <c r="I2158" s="5" t="s">
        <v>5744</v>
      </c>
      <c r="J2158" s="12" t="str">
        <f>HYPERLINK("https://www.boe.es/gazeta/dias/1808/04/22/pdfs/GMD-C-1808-38.pdf#page=13","Abrir facsímil")</f>
        <v>Abrir facsímil</v>
      </c>
      <c r="K2158" s="15" t="s">
        <v>23</v>
      </c>
    </row>
    <row r="2159" spans="1:11" ht="42" customHeight="1">
      <c r="A2159" s="4" t="s">
        <v>5745</v>
      </c>
      <c r="B2159" s="5" t="s">
        <v>5746</v>
      </c>
      <c r="C2159" s="5" t="s">
        <v>17</v>
      </c>
      <c r="D2159" s="5" t="s">
        <v>18</v>
      </c>
      <c r="E2159" s="5" t="s">
        <v>1791</v>
      </c>
      <c r="F2159" s="9" t="s">
        <v>2814</v>
      </c>
      <c r="G2159" s="9">
        <v>933</v>
      </c>
      <c r="H2159" s="5" t="s">
        <v>21</v>
      </c>
      <c r="I2159" s="5" t="s">
        <v>5747</v>
      </c>
      <c r="J2159" s="12" t="str">
        <f>HYPERLINK("https://www.boe.es/gazeta/dias/1808/07/30/pdfs/GMD-1808-102.pdf#page=7","Abrir facsímil")</f>
        <v>Abrir facsímil</v>
      </c>
      <c r="K2159" s="15" t="s">
        <v>23</v>
      </c>
    </row>
    <row r="2160" spans="1:11" ht="42" customHeight="1">
      <c r="A2160" s="4" t="s">
        <v>5748</v>
      </c>
      <c r="B2160" s="5" t="s">
        <v>5749</v>
      </c>
      <c r="C2160" s="5" t="s">
        <v>33</v>
      </c>
      <c r="D2160" s="5" t="s">
        <v>34</v>
      </c>
      <c r="E2160" s="5" t="s">
        <v>35</v>
      </c>
      <c r="F2160" s="9" t="s">
        <v>36</v>
      </c>
      <c r="G2160" s="9" t="s">
        <v>117</v>
      </c>
      <c r="H2160" s="5" t="s">
        <v>21</v>
      </c>
      <c r="I2160" s="5" t="s">
        <v>5750</v>
      </c>
      <c r="J2160" s="12" t="str">
        <f>HYPERLINK("https://www.boe.es/gazeta/dias/1808/04/22/pdfs/GMD-C-1808-38.pdf#page=1","Abrir facsímil")</f>
        <v>Abrir facsímil</v>
      </c>
      <c r="K2160" s="15" t="s">
        <v>23</v>
      </c>
    </row>
    <row r="2161" spans="1:11" ht="42" customHeight="1">
      <c r="A2161" s="4" t="s">
        <v>5748</v>
      </c>
      <c r="B2161" s="5" t="s">
        <v>5749</v>
      </c>
      <c r="C2161" s="5" t="s">
        <v>33</v>
      </c>
      <c r="D2161" s="5" t="s">
        <v>34</v>
      </c>
      <c r="E2161" s="5" t="s">
        <v>35</v>
      </c>
      <c r="F2161" s="9" t="s">
        <v>36</v>
      </c>
      <c r="G2161" s="9" t="s">
        <v>837</v>
      </c>
      <c r="H2161" s="5" t="s">
        <v>21</v>
      </c>
      <c r="I2161" s="5" t="s">
        <v>5751</v>
      </c>
      <c r="J2161" s="12" t="str">
        <f>HYPERLINK("https://www.boe.es/gazeta/dias/1808/04/22/pdfs/GMD-C-1808-38.pdf#page=10","Abrir facsímil")</f>
        <v>Abrir facsímil</v>
      </c>
      <c r="K2161" s="15" t="s">
        <v>23</v>
      </c>
    </row>
    <row r="2162" spans="1:11" ht="42" customHeight="1">
      <c r="A2162" s="4" t="s">
        <v>5748</v>
      </c>
      <c r="B2162" s="5" t="s">
        <v>5749</v>
      </c>
      <c r="C2162" s="5" t="s">
        <v>33</v>
      </c>
      <c r="D2162" s="5" t="s">
        <v>34</v>
      </c>
      <c r="E2162" s="5" t="s">
        <v>35</v>
      </c>
      <c r="F2162" s="9" t="s">
        <v>36</v>
      </c>
      <c r="G2162" s="9" t="s">
        <v>273</v>
      </c>
      <c r="H2162" s="5" t="s">
        <v>21</v>
      </c>
      <c r="I2162" s="5" t="s">
        <v>5752</v>
      </c>
      <c r="J2162" s="12" t="str">
        <f>HYPERLINK("https://www.boe.es/gazeta/dias/1808/04/22/pdfs/GMD-C-1808-38.pdf#page=12","Abrir facsímil")</f>
        <v>Abrir facsímil</v>
      </c>
      <c r="K2162" s="15" t="s">
        <v>23</v>
      </c>
    </row>
    <row r="2163" spans="1:11" ht="42" customHeight="1">
      <c r="A2163" s="4" t="s">
        <v>5748</v>
      </c>
      <c r="B2163" s="5" t="s">
        <v>5749</v>
      </c>
      <c r="C2163" s="5" t="s">
        <v>33</v>
      </c>
      <c r="D2163" s="5" t="s">
        <v>34</v>
      </c>
      <c r="E2163" s="5" t="s">
        <v>35</v>
      </c>
      <c r="F2163" s="9" t="s">
        <v>36</v>
      </c>
      <c r="G2163" s="9" t="s">
        <v>2643</v>
      </c>
      <c r="H2163" s="5" t="s">
        <v>21</v>
      </c>
      <c r="I2163" s="5" t="s">
        <v>5753</v>
      </c>
      <c r="J2163" s="12" t="str">
        <f>HYPERLINK("https://www.boe.es/gazeta/dias/1808/04/22/pdfs/GMD-C-1808-38.pdf#page=17","Abrir facsímil")</f>
        <v>Abrir facsímil</v>
      </c>
      <c r="K2163" s="15" t="s">
        <v>23</v>
      </c>
    </row>
    <row r="2164" spans="1:11" ht="42" customHeight="1">
      <c r="A2164" s="4" t="s">
        <v>5748</v>
      </c>
      <c r="B2164" s="5" t="s">
        <v>5749</v>
      </c>
      <c r="C2164" s="5" t="s">
        <v>41</v>
      </c>
      <c r="D2164" s="5" t="s">
        <v>42</v>
      </c>
      <c r="E2164" s="5" t="s">
        <v>35</v>
      </c>
      <c r="F2164" s="9" t="s">
        <v>36</v>
      </c>
      <c r="G2164" s="9" t="s">
        <v>867</v>
      </c>
      <c r="H2164" s="5" t="s">
        <v>21</v>
      </c>
      <c r="I2164" s="5" t="s">
        <v>5754</v>
      </c>
      <c r="J2164" s="12" t="str">
        <f>HYPERLINK("https://www.boe.es/gazeta/dias/1808/04/22/pdfs/GMD-C-1808-38.pdf#page=19","Abrir facsímil")</f>
        <v>Abrir facsímil</v>
      </c>
      <c r="K2164" s="15" t="s">
        <v>23</v>
      </c>
    </row>
    <row r="2165" spans="1:11" ht="42" customHeight="1">
      <c r="A2165" s="4" t="s">
        <v>5748</v>
      </c>
      <c r="B2165" s="5" t="s">
        <v>5749</v>
      </c>
      <c r="C2165" s="5" t="s">
        <v>33</v>
      </c>
      <c r="D2165" s="5" t="s">
        <v>34</v>
      </c>
      <c r="E2165" s="5" t="s">
        <v>35</v>
      </c>
      <c r="F2165" s="9" t="s">
        <v>36</v>
      </c>
      <c r="G2165" s="9" t="s">
        <v>414</v>
      </c>
      <c r="H2165" s="5" t="s">
        <v>21</v>
      </c>
      <c r="I2165" s="5" t="s">
        <v>5755</v>
      </c>
      <c r="J2165" s="12" t="str">
        <f>HYPERLINK("https://www.boe.es/gazeta/dias/1808/04/22/pdfs/GMD-C-1808-38.pdf#page=20","Abrir facsímil")</f>
        <v>Abrir facsímil</v>
      </c>
      <c r="K2165" s="15" t="s">
        <v>23</v>
      </c>
    </row>
    <row r="2166" spans="1:11" ht="42" customHeight="1">
      <c r="A2166" s="4" t="s">
        <v>5748</v>
      </c>
      <c r="B2166" s="5" t="s">
        <v>5749</v>
      </c>
      <c r="C2166" s="5" t="s">
        <v>33</v>
      </c>
      <c r="D2166" s="5" t="s">
        <v>34</v>
      </c>
      <c r="E2166" s="5" t="s">
        <v>35</v>
      </c>
      <c r="F2166" s="9" t="s">
        <v>36</v>
      </c>
      <c r="G2166" s="9" t="s">
        <v>324</v>
      </c>
      <c r="H2166" s="5" t="s">
        <v>21</v>
      </c>
      <c r="I2166" s="5" t="s">
        <v>5756</v>
      </c>
      <c r="J2166" s="12" t="str">
        <f>HYPERLINK("https://www.boe.es/gazeta/dias/1808/04/22/pdfs/GMD-C-1808-38.pdf#page=24","Abrir facsímil")</f>
        <v>Abrir facsímil</v>
      </c>
      <c r="K2166" s="15" t="s">
        <v>23</v>
      </c>
    </row>
    <row r="2167" spans="1:11" ht="42" customHeight="1">
      <c r="A2167" s="4" t="s">
        <v>5748</v>
      </c>
      <c r="B2167" s="5" t="s">
        <v>5749</v>
      </c>
      <c r="C2167" s="5" t="s">
        <v>33</v>
      </c>
      <c r="D2167" s="5" t="s">
        <v>34</v>
      </c>
      <c r="E2167" s="5" t="s">
        <v>35</v>
      </c>
      <c r="F2167" s="9" t="s">
        <v>36</v>
      </c>
      <c r="G2167" s="9" t="s">
        <v>924</v>
      </c>
      <c r="H2167" s="5" t="s">
        <v>21</v>
      </c>
      <c r="I2167" s="5" t="s">
        <v>5757</v>
      </c>
      <c r="J2167" s="12" t="str">
        <f>HYPERLINK("https://www.boe.es/gazeta/dias/1808/04/22/pdfs/GMD-C-1808-38.pdf#page=27","Abrir facsímil")</f>
        <v>Abrir facsímil</v>
      </c>
      <c r="K2167" s="15" t="s">
        <v>23</v>
      </c>
    </row>
    <row r="2168" spans="1:11" ht="42" customHeight="1">
      <c r="A2168" s="4" t="s">
        <v>5748</v>
      </c>
      <c r="B2168" s="5" t="s">
        <v>5749</v>
      </c>
      <c r="C2168" s="5" t="s">
        <v>41</v>
      </c>
      <c r="D2168" s="5" t="s">
        <v>42</v>
      </c>
      <c r="E2168" s="5" t="s">
        <v>35</v>
      </c>
      <c r="F2168" s="9" t="s">
        <v>36</v>
      </c>
      <c r="G2168" s="9" t="s">
        <v>162</v>
      </c>
      <c r="H2168" s="5" t="s">
        <v>21</v>
      </c>
      <c r="I2168" s="5" t="s">
        <v>5758</v>
      </c>
      <c r="J2168" s="12" t="str">
        <f>HYPERLINK("https://www.boe.es/gazeta/dias/1808/04/22/pdfs/GMD-C-1808-38.pdf#page=31","Abrir facsímil")</f>
        <v>Abrir facsímil</v>
      </c>
      <c r="K2168" s="15" t="s">
        <v>23</v>
      </c>
    </row>
    <row r="2169" spans="1:11" ht="42" customHeight="1">
      <c r="A2169" s="4" t="s">
        <v>5748</v>
      </c>
      <c r="B2169" s="5" t="s">
        <v>5749</v>
      </c>
      <c r="C2169" s="5" t="s">
        <v>33</v>
      </c>
      <c r="D2169" s="5" t="s">
        <v>34</v>
      </c>
      <c r="E2169" s="5" t="s">
        <v>35</v>
      </c>
      <c r="F2169" s="9" t="s">
        <v>36</v>
      </c>
      <c r="G2169" s="9" t="s">
        <v>1075</v>
      </c>
      <c r="H2169" s="5" t="s">
        <v>21</v>
      </c>
      <c r="I2169" s="5" t="s">
        <v>5759</v>
      </c>
      <c r="J2169" s="12" t="str">
        <f>HYPERLINK("https://www.boe.es/gazeta/dias/1808/04/22/pdfs/GMD-C-1808-38.pdf#page=32","Abrir facsímil")</f>
        <v>Abrir facsímil</v>
      </c>
      <c r="K2169" s="15" t="s">
        <v>23</v>
      </c>
    </row>
    <row r="2170" spans="1:11" ht="42" customHeight="1">
      <c r="A2170" s="4" t="s">
        <v>5748</v>
      </c>
      <c r="B2170" s="5" t="s">
        <v>5749</v>
      </c>
      <c r="C2170" s="5" t="s">
        <v>33</v>
      </c>
      <c r="D2170" s="5" t="s">
        <v>34</v>
      </c>
      <c r="E2170" s="5" t="s">
        <v>35</v>
      </c>
      <c r="F2170" s="9" t="s">
        <v>36</v>
      </c>
      <c r="G2170" s="9" t="s">
        <v>37</v>
      </c>
      <c r="H2170" s="5" t="s">
        <v>21</v>
      </c>
      <c r="I2170" s="5" t="s">
        <v>5760</v>
      </c>
      <c r="J2170" s="12" t="str">
        <f>HYPERLINK("https://www.boe.es/gazeta/dias/1808/04/22/pdfs/GMD-C-1808-38.pdf#page=33","Abrir facsímil")</f>
        <v>Abrir facsímil</v>
      </c>
      <c r="K2170" s="15" t="s">
        <v>23</v>
      </c>
    </row>
    <row r="2171" spans="1:11" ht="42" customHeight="1">
      <c r="A2171" s="4" t="s">
        <v>5748</v>
      </c>
      <c r="B2171" s="5" t="s">
        <v>5749</v>
      </c>
      <c r="C2171" s="5" t="s">
        <v>41</v>
      </c>
      <c r="D2171" s="5" t="s">
        <v>42</v>
      </c>
      <c r="E2171" s="5" t="s">
        <v>35</v>
      </c>
      <c r="F2171" s="9" t="s">
        <v>36</v>
      </c>
      <c r="G2171" s="9" t="s">
        <v>277</v>
      </c>
      <c r="H2171" s="5" t="s">
        <v>21</v>
      </c>
      <c r="I2171" s="5" t="s">
        <v>5761</v>
      </c>
      <c r="J2171" s="12" t="str">
        <f>HYPERLINK("https://www.boe.es/gazeta/dias/1808/04/22/pdfs/GMD-C-1808-38.pdf#page=34","Abrir facsímil")</f>
        <v>Abrir facsímil</v>
      </c>
      <c r="K2171" s="15" t="s">
        <v>23</v>
      </c>
    </row>
    <row r="2172" spans="1:11" ht="42" customHeight="1">
      <c r="A2172" s="4" t="s">
        <v>5748</v>
      </c>
      <c r="B2172" s="5" t="s">
        <v>5749</v>
      </c>
      <c r="C2172" s="5" t="s">
        <v>33</v>
      </c>
      <c r="D2172" s="5" t="s">
        <v>34</v>
      </c>
      <c r="E2172" s="5" t="s">
        <v>35</v>
      </c>
      <c r="F2172" s="9" t="s">
        <v>36</v>
      </c>
      <c r="G2172" s="9" t="s">
        <v>148</v>
      </c>
      <c r="H2172" s="5" t="s">
        <v>21</v>
      </c>
      <c r="I2172" s="5" t="s">
        <v>5762</v>
      </c>
      <c r="J2172" s="12" t="str">
        <f>HYPERLINK("https://www.boe.es/gazeta/dias/1808/04/22/pdfs/GMD-C-1808-38.pdf#page=38","Abrir facsímil")</f>
        <v>Abrir facsímil</v>
      </c>
      <c r="K2172" s="15" t="s">
        <v>23</v>
      </c>
    </row>
    <row r="2173" spans="1:11" ht="42" customHeight="1">
      <c r="A2173" s="4" t="s">
        <v>5748</v>
      </c>
      <c r="B2173" s="5" t="s">
        <v>5749</v>
      </c>
      <c r="C2173" s="5" t="s">
        <v>33</v>
      </c>
      <c r="D2173" s="5" t="s">
        <v>34</v>
      </c>
      <c r="E2173" s="5" t="s">
        <v>35</v>
      </c>
      <c r="F2173" s="9" t="s">
        <v>36</v>
      </c>
      <c r="G2173" s="9" t="s">
        <v>144</v>
      </c>
      <c r="H2173" s="5" t="s">
        <v>21</v>
      </c>
      <c r="I2173" s="5" t="s">
        <v>5763</v>
      </c>
      <c r="J2173" s="12" t="str">
        <f>HYPERLINK("https://www.boe.es/gazeta/dias/1808/04/22/pdfs/GMD-C-1808-38.pdf#page=40","Abrir facsímil")</f>
        <v>Abrir facsímil</v>
      </c>
      <c r="K2173" s="15" t="s">
        <v>23</v>
      </c>
    </row>
    <row r="2174" spans="1:11" ht="42" customHeight="1">
      <c r="A2174" s="4" t="s">
        <v>5748</v>
      </c>
      <c r="B2174" s="5" t="s">
        <v>5749</v>
      </c>
      <c r="C2174" s="5" t="s">
        <v>33</v>
      </c>
      <c r="D2174" s="5" t="s">
        <v>34</v>
      </c>
      <c r="E2174" s="5" t="s">
        <v>35</v>
      </c>
      <c r="F2174" s="9" t="s">
        <v>36</v>
      </c>
      <c r="G2174" s="9" t="s">
        <v>655</v>
      </c>
      <c r="H2174" s="5" t="s">
        <v>21</v>
      </c>
      <c r="I2174" s="5" t="s">
        <v>5764</v>
      </c>
      <c r="J2174" s="12" t="str">
        <f>HYPERLINK("https://www.boe.es/gazeta/dias/1808/04/22/pdfs/GMD-C-1808-38.pdf#page=43","Abrir facsímil")</f>
        <v>Abrir facsímil</v>
      </c>
      <c r="K2174" s="15" t="s">
        <v>23</v>
      </c>
    </row>
    <row r="2175" spans="1:11" ht="42" customHeight="1">
      <c r="A2175" s="4" t="s">
        <v>5748</v>
      </c>
      <c r="B2175" s="5" t="s">
        <v>5749</v>
      </c>
      <c r="C2175" s="5" t="s">
        <v>41</v>
      </c>
      <c r="D2175" s="5" t="s">
        <v>42</v>
      </c>
      <c r="E2175" s="5" t="s">
        <v>35</v>
      </c>
      <c r="F2175" s="9" t="s">
        <v>36</v>
      </c>
      <c r="G2175" s="9" t="s">
        <v>279</v>
      </c>
      <c r="H2175" s="5" t="s">
        <v>21</v>
      </c>
      <c r="I2175" s="5" t="s">
        <v>5765</v>
      </c>
      <c r="J2175" s="12" t="str">
        <f>HYPERLINK("https://www.boe.es/gazeta/dias/1808/04/22/pdfs/GMD-C-1808-38.pdf#page=44","Abrir facsímil")</f>
        <v>Abrir facsímil</v>
      </c>
      <c r="K2175" s="15" t="s">
        <v>23</v>
      </c>
    </row>
    <row r="2176" spans="1:11" ht="42" customHeight="1">
      <c r="A2176" s="4" t="s">
        <v>5748</v>
      </c>
      <c r="B2176" s="5" t="s">
        <v>5749</v>
      </c>
      <c r="C2176" s="5" t="s">
        <v>33</v>
      </c>
      <c r="D2176" s="5" t="s">
        <v>34</v>
      </c>
      <c r="E2176" s="5" t="s">
        <v>35</v>
      </c>
      <c r="F2176" s="9" t="s">
        <v>36</v>
      </c>
      <c r="G2176" s="9" t="s">
        <v>281</v>
      </c>
      <c r="H2176" s="5" t="s">
        <v>21</v>
      </c>
      <c r="I2176" s="5" t="s">
        <v>5766</v>
      </c>
      <c r="J2176" s="12" t="str">
        <f>HYPERLINK("https://www.boe.es/gazeta/dias/1808/04/22/pdfs/GMD-C-1808-38.pdf#page=47","Abrir facsímil")</f>
        <v>Abrir facsímil</v>
      </c>
      <c r="K2176" s="15" t="s">
        <v>23</v>
      </c>
    </row>
    <row r="2177" spans="1:11" ht="42" customHeight="1">
      <c r="A2177" s="4" t="s">
        <v>5748</v>
      </c>
      <c r="B2177" s="5" t="s">
        <v>5749</v>
      </c>
      <c r="C2177" s="5" t="s">
        <v>33</v>
      </c>
      <c r="D2177" s="5" t="s">
        <v>34</v>
      </c>
      <c r="E2177" s="5" t="s">
        <v>35</v>
      </c>
      <c r="F2177" s="9" t="s">
        <v>36</v>
      </c>
      <c r="G2177" s="9" t="s">
        <v>501</v>
      </c>
      <c r="H2177" s="5" t="s">
        <v>21</v>
      </c>
      <c r="I2177" s="5" t="s">
        <v>5767</v>
      </c>
      <c r="J2177" s="12" t="str">
        <f>HYPERLINK("https://www.boe.es/gazeta/dias/1808/04/22/pdfs/GMD-C-1808-38.pdf#page=5","Abrir facsímil")</f>
        <v>Abrir facsímil</v>
      </c>
      <c r="K2177" s="15" t="s">
        <v>23</v>
      </c>
    </row>
    <row r="2178" spans="1:11" ht="42" customHeight="1">
      <c r="A2178" s="4" t="s">
        <v>5748</v>
      </c>
      <c r="B2178" s="5" t="s">
        <v>5749</v>
      </c>
      <c r="C2178" s="5" t="s">
        <v>33</v>
      </c>
      <c r="D2178" s="5" t="s">
        <v>34</v>
      </c>
      <c r="E2178" s="5" t="s">
        <v>35</v>
      </c>
      <c r="F2178" s="9" t="s">
        <v>36</v>
      </c>
      <c r="G2178" s="9" t="s">
        <v>1294</v>
      </c>
      <c r="H2178" s="5" t="s">
        <v>21</v>
      </c>
      <c r="I2178" s="5" t="s">
        <v>5768</v>
      </c>
      <c r="J2178" s="12" t="str">
        <f>HYPERLINK("https://www.boe.es/gazeta/dias/1808/04/22/pdfs/GMD-C-1808-38.pdf#page=8","Abrir facsímil")</f>
        <v>Abrir facsímil</v>
      </c>
      <c r="K2178" s="15" t="s">
        <v>23</v>
      </c>
    </row>
    <row r="2179" spans="1:11" ht="42" customHeight="1">
      <c r="A2179" s="4" t="s">
        <v>5748</v>
      </c>
      <c r="B2179" s="5" t="s">
        <v>5749</v>
      </c>
      <c r="C2179" s="5" t="s">
        <v>33</v>
      </c>
      <c r="D2179" s="5" t="s">
        <v>34</v>
      </c>
      <c r="E2179" s="5" t="s">
        <v>35</v>
      </c>
      <c r="F2179" s="9" t="s">
        <v>36</v>
      </c>
      <c r="G2179" s="9" t="s">
        <v>1178</v>
      </c>
      <c r="H2179" s="5" t="s">
        <v>21</v>
      </c>
      <c r="I2179" s="5" t="s">
        <v>5769</v>
      </c>
      <c r="J2179" s="12" t="str">
        <f>HYPERLINK("https://www.boe.es/gazeta/dias/1808/04/22/pdfs/GMD-C-1808-38.pdf#page=9","Abrir facsímil")</f>
        <v>Abrir facsímil</v>
      </c>
      <c r="K2179" s="15" t="s">
        <v>23</v>
      </c>
    </row>
    <row r="2180" spans="1:11" ht="42" customHeight="1">
      <c r="A2180" s="4" t="s">
        <v>5770</v>
      </c>
      <c r="B2180" s="5" t="s">
        <v>5771</v>
      </c>
      <c r="C2180" s="5" t="s">
        <v>33</v>
      </c>
      <c r="D2180" s="5" t="s">
        <v>34</v>
      </c>
      <c r="E2180" s="5" t="s">
        <v>28</v>
      </c>
      <c r="F2180" s="9" t="s">
        <v>446</v>
      </c>
      <c r="G2180" s="9" t="s">
        <v>199</v>
      </c>
      <c r="H2180" s="5" t="s">
        <v>21</v>
      </c>
      <c r="I2180" s="5" t="s">
        <v>5772</v>
      </c>
      <c r="J2180" s="12" t="str">
        <f>HYPERLINK("https://www.boe.es/gazeta/dias/1808/11/04/pdfs/GMD-D-1808-141.pdf#page=2","Abrir facsímil")</f>
        <v>Abrir facsímil</v>
      </c>
      <c r="K2180" s="15" t="s">
        <v>23</v>
      </c>
    </row>
    <row r="2181" spans="1:11" ht="42" customHeight="1">
      <c r="A2181" s="4" t="s">
        <v>5773</v>
      </c>
      <c r="B2181" s="5" t="s">
        <v>5774</v>
      </c>
      <c r="C2181" s="5" t="s">
        <v>33</v>
      </c>
      <c r="D2181" s="5" t="s">
        <v>34</v>
      </c>
      <c r="E2181" s="5" t="s">
        <v>456</v>
      </c>
      <c r="F2181" s="9" t="s">
        <v>748</v>
      </c>
      <c r="G2181" s="9" t="s">
        <v>117</v>
      </c>
      <c r="H2181" s="5" t="s">
        <v>21</v>
      </c>
      <c r="I2181" s="5" t="s">
        <v>5775</v>
      </c>
      <c r="J2181" s="12" t="str">
        <f>HYPERLINK("https://www.boe.es/gazeta/dias/1808/10/14/pdfs/GMD-C-1808-134.pdf#page=1","Abrir facsímil")</f>
        <v>Abrir facsímil</v>
      </c>
      <c r="K2181" s="15" t="s">
        <v>23</v>
      </c>
    </row>
    <row r="2182" spans="1:11" ht="42" customHeight="1">
      <c r="A2182" s="4" t="s">
        <v>5776</v>
      </c>
      <c r="B2182" s="5" t="s">
        <v>5777</v>
      </c>
      <c r="C2182" s="5" t="s">
        <v>33</v>
      </c>
      <c r="D2182" s="5" t="s">
        <v>34</v>
      </c>
      <c r="E2182" s="5" t="s">
        <v>139</v>
      </c>
      <c r="F2182" s="9" t="s">
        <v>1089</v>
      </c>
      <c r="G2182" s="9" t="s">
        <v>117</v>
      </c>
      <c r="H2182" s="5" t="s">
        <v>21</v>
      </c>
      <c r="I2182" s="5" t="s">
        <v>5778</v>
      </c>
      <c r="J2182" s="12" t="str">
        <f>HYPERLINK("https://www.boe.es/gazeta/dias/1808/09/23/pdfs/GMD-C-1808-127.pdf#page=1","Abrir facsímil")</f>
        <v>Abrir facsímil</v>
      </c>
      <c r="K2182" s="15" t="s">
        <v>23</v>
      </c>
    </row>
    <row r="2183" spans="1:11" ht="42" customHeight="1">
      <c r="A2183" s="4" t="s">
        <v>5779</v>
      </c>
      <c r="B2183" s="5" t="s">
        <v>5780</v>
      </c>
      <c r="C2183" s="5" t="s">
        <v>33</v>
      </c>
      <c r="D2183" s="5" t="s">
        <v>34</v>
      </c>
      <c r="E2183" s="5" t="s">
        <v>115</v>
      </c>
      <c r="F2183" s="9" t="s">
        <v>116</v>
      </c>
      <c r="G2183" s="9" t="s">
        <v>199</v>
      </c>
      <c r="H2183" s="5" t="s">
        <v>21</v>
      </c>
      <c r="I2183" s="5" t="s">
        <v>5781</v>
      </c>
      <c r="J2183" s="12" t="str">
        <f>HYPERLINK("https://www.boe.es/gazeta/dias/1808/09/16/pdfs/GMD-C-1808-125.pdf#page=2","Abrir facsímil")</f>
        <v>Abrir facsímil</v>
      </c>
      <c r="K2183" s="15" t="s">
        <v>23</v>
      </c>
    </row>
    <row r="2184" spans="1:11" ht="42" customHeight="1">
      <c r="A2184" s="4" t="s">
        <v>5782</v>
      </c>
      <c r="B2184" s="5" t="s">
        <v>5783</v>
      </c>
      <c r="C2184" s="5" t="s">
        <v>41</v>
      </c>
      <c r="D2184" s="5" t="s">
        <v>42</v>
      </c>
      <c r="E2184" s="5" t="s">
        <v>35</v>
      </c>
      <c r="F2184" s="9" t="s">
        <v>36</v>
      </c>
      <c r="G2184" s="9" t="s">
        <v>162</v>
      </c>
      <c r="H2184" s="5" t="s">
        <v>21</v>
      </c>
      <c r="I2184" s="5" t="s">
        <v>5784</v>
      </c>
      <c r="J2184" s="12" t="str">
        <f>HYPERLINK("https://www.boe.es/gazeta/dias/1808/04/22/pdfs/GMD-C-1808-38.pdf#page=31","Abrir facsímil")</f>
        <v>Abrir facsímil</v>
      </c>
      <c r="K2184" s="15" t="s">
        <v>23</v>
      </c>
    </row>
    <row r="2185" spans="1:11" ht="42" customHeight="1">
      <c r="A2185" s="4" t="s">
        <v>5785</v>
      </c>
      <c r="B2185" s="5" t="s">
        <v>5786</v>
      </c>
      <c r="C2185" s="5" t="s">
        <v>17</v>
      </c>
      <c r="D2185" s="5" t="s">
        <v>18</v>
      </c>
      <c r="E2185" s="5" t="s">
        <v>1085</v>
      </c>
      <c r="F2185" s="9" t="s">
        <v>1086</v>
      </c>
      <c r="G2185" s="9">
        <v>108</v>
      </c>
      <c r="H2185" s="5" t="s">
        <v>21</v>
      </c>
      <c r="I2185" s="5" t="s">
        <v>5787</v>
      </c>
      <c r="J2185" s="12" t="str">
        <f>HYPERLINK("https://www.boe.es/gazeta/dias/1808/01/29/pdfs/GMD-1808-9.pdf#page=12","Abrir facsímil")</f>
        <v>Abrir facsímil</v>
      </c>
      <c r="K2185" s="15" t="s">
        <v>23</v>
      </c>
    </row>
    <row r="2186" spans="1:11" ht="42" customHeight="1">
      <c r="A2186" s="4" t="s">
        <v>5788</v>
      </c>
      <c r="B2186" s="5" t="s">
        <v>5789</v>
      </c>
      <c r="C2186" s="5" t="s">
        <v>41</v>
      </c>
      <c r="D2186" s="5" t="s">
        <v>42</v>
      </c>
      <c r="E2186" s="5" t="s">
        <v>877</v>
      </c>
      <c r="F2186" s="9" t="s">
        <v>878</v>
      </c>
      <c r="G2186" s="9">
        <v>119</v>
      </c>
      <c r="H2186" s="5" t="s">
        <v>21</v>
      </c>
      <c r="I2186" s="5" t="s">
        <v>5790</v>
      </c>
      <c r="J2186" s="12" t="str">
        <f>HYPERLINK("https://www.boe.es/gazeta/dias/1808/02/02/pdfs/GMD-1808-10.pdf#page=11","Abrir facsímil")</f>
        <v>Abrir facsímil</v>
      </c>
      <c r="K2186" s="15" t="s">
        <v>23</v>
      </c>
    </row>
    <row r="2187" spans="1:11" ht="42" customHeight="1">
      <c r="A2187" s="4" t="s">
        <v>5788</v>
      </c>
      <c r="B2187" s="5" t="s">
        <v>5789</v>
      </c>
      <c r="C2187" s="5" t="s">
        <v>17</v>
      </c>
      <c r="D2187" s="5" t="s">
        <v>18</v>
      </c>
      <c r="E2187" s="5" t="s">
        <v>96</v>
      </c>
      <c r="F2187" s="9" t="s">
        <v>97</v>
      </c>
      <c r="G2187" s="9">
        <v>267</v>
      </c>
      <c r="H2187" s="5" t="s">
        <v>21</v>
      </c>
      <c r="I2187" s="5" t="s">
        <v>5791</v>
      </c>
      <c r="J2187" s="12" t="str">
        <f>HYPERLINK("https://www.boe.es/gazeta/dias/1808/03/15/pdfs/GMD-1808-22.pdf#page=9","Abrir facsímil")</f>
        <v>Abrir facsímil</v>
      </c>
      <c r="K2187" s="15" t="s">
        <v>23</v>
      </c>
    </row>
    <row r="2188" spans="1:11" ht="42" customHeight="1">
      <c r="A2188" s="4" t="s">
        <v>5788</v>
      </c>
      <c r="B2188" s="5" t="s">
        <v>5789</v>
      </c>
      <c r="C2188" s="5" t="s">
        <v>17</v>
      </c>
      <c r="D2188" s="5" t="s">
        <v>18</v>
      </c>
      <c r="E2188" s="5" t="s">
        <v>539</v>
      </c>
      <c r="F2188" s="9" t="s">
        <v>540</v>
      </c>
      <c r="G2188" s="9">
        <v>1117</v>
      </c>
      <c r="H2188" s="5" t="s">
        <v>21</v>
      </c>
      <c r="I2188" s="5" t="s">
        <v>5792</v>
      </c>
      <c r="J2188" s="12" t="str">
        <f>HYPERLINK("https://www.boe.es/gazeta/dias/1808/09/02/pdfs/GMD-1808-119.pdf#page=11","Abrir facsímil")</f>
        <v>Abrir facsímil</v>
      </c>
      <c r="K2188" s="15" t="s">
        <v>23</v>
      </c>
    </row>
    <row r="2189" spans="1:11" ht="42" customHeight="1">
      <c r="A2189" s="4" t="s">
        <v>5788</v>
      </c>
      <c r="B2189" s="5" t="s">
        <v>5789</v>
      </c>
      <c r="C2189" s="5" t="s">
        <v>17</v>
      </c>
      <c r="D2189" s="5" t="s">
        <v>18</v>
      </c>
      <c r="E2189" s="5" t="s">
        <v>68</v>
      </c>
      <c r="F2189" s="9" t="s">
        <v>69</v>
      </c>
      <c r="G2189" s="9">
        <v>1340</v>
      </c>
      <c r="H2189" s="5" t="s">
        <v>21</v>
      </c>
      <c r="I2189" s="5" t="s">
        <v>5793</v>
      </c>
      <c r="J2189" s="12" t="str">
        <f>HYPERLINK("https://www.boe.es/gazeta/dias/1808/10/21/pdfs/GMD-1808-136.pdf#page=12","Abrir facsímil")</f>
        <v>Abrir facsímil</v>
      </c>
      <c r="K2189" s="15" t="s">
        <v>23</v>
      </c>
    </row>
    <row r="2190" spans="1:11" ht="42" customHeight="1">
      <c r="A2190" s="4" t="s">
        <v>5788</v>
      </c>
      <c r="B2190" s="5" t="s">
        <v>5789</v>
      </c>
      <c r="C2190" s="5" t="s">
        <v>17</v>
      </c>
      <c r="D2190" s="5" t="s">
        <v>18</v>
      </c>
      <c r="E2190" s="5" t="s">
        <v>28</v>
      </c>
      <c r="F2190" s="9" t="s">
        <v>29</v>
      </c>
      <c r="G2190" s="9">
        <v>1429</v>
      </c>
      <c r="H2190" s="5" t="s">
        <v>21</v>
      </c>
      <c r="I2190" s="5" t="s">
        <v>5794</v>
      </c>
      <c r="J2190" s="12" t="str">
        <f>HYPERLINK("https://www.boe.es/gazeta/dias/1808/11/04/pdfs/GMD-1808-141.pdf#page=11","Abrir facsímil")</f>
        <v>Abrir facsímil</v>
      </c>
      <c r="K2190" s="15" t="s">
        <v>23</v>
      </c>
    </row>
    <row r="2191" spans="1:11" ht="42" customHeight="1">
      <c r="A2191" s="4" t="s">
        <v>5795</v>
      </c>
      <c r="B2191" s="5" t="s">
        <v>5796</v>
      </c>
      <c r="C2191" s="5" t="s">
        <v>17</v>
      </c>
      <c r="D2191" s="5" t="s">
        <v>18</v>
      </c>
      <c r="E2191" s="5" t="s">
        <v>919</v>
      </c>
      <c r="F2191" s="9" t="s">
        <v>920</v>
      </c>
      <c r="G2191" s="9">
        <v>493</v>
      </c>
      <c r="H2191" s="5" t="s">
        <v>21</v>
      </c>
      <c r="I2191" s="5" t="s">
        <v>5797</v>
      </c>
      <c r="J2191" s="12" t="str">
        <f>HYPERLINK("https://www.boe.es/gazeta/dias/1808/05/24/pdfs/GMD-1808-49.pdf#page=9","Abrir facsímil")</f>
        <v>Abrir facsímil</v>
      </c>
      <c r="K2191" s="15" t="s">
        <v>23</v>
      </c>
    </row>
    <row r="2192" spans="1:11" ht="42" customHeight="1">
      <c r="A2192" s="4" t="s">
        <v>5798</v>
      </c>
      <c r="B2192" s="5" t="s">
        <v>5799</v>
      </c>
      <c r="C2192" s="5" t="s">
        <v>17</v>
      </c>
      <c r="D2192" s="5" t="s">
        <v>18</v>
      </c>
      <c r="E2192" s="5" t="s">
        <v>968</v>
      </c>
      <c r="F2192" s="9" t="s">
        <v>969</v>
      </c>
      <c r="G2192" s="9">
        <v>899</v>
      </c>
      <c r="H2192" s="5" t="s">
        <v>21</v>
      </c>
      <c r="I2192" s="5" t="s">
        <v>5800</v>
      </c>
      <c r="J2192" s="12" t="str">
        <f>HYPERLINK("https://www.boe.es/gazeta/dias/1808/07/26/pdfs/GMD-1808-98.pdf#page=5","Abrir facsímil")</f>
        <v>Abrir facsímil</v>
      </c>
      <c r="K2192" s="15" t="s">
        <v>23</v>
      </c>
    </row>
    <row r="2193" spans="1:11" ht="42" customHeight="1">
      <c r="A2193" s="4" t="s">
        <v>5801</v>
      </c>
      <c r="B2193" s="5" t="s">
        <v>5802</v>
      </c>
      <c r="C2193" s="5" t="s">
        <v>41</v>
      </c>
      <c r="D2193" s="5" t="s">
        <v>42</v>
      </c>
      <c r="E2193" s="5" t="s">
        <v>166</v>
      </c>
      <c r="F2193" s="9" t="s">
        <v>400</v>
      </c>
      <c r="G2193" s="9" t="s">
        <v>106</v>
      </c>
      <c r="H2193" s="5" t="s">
        <v>21</v>
      </c>
      <c r="I2193" s="5" t="s">
        <v>5803</v>
      </c>
      <c r="J2193" s="12" t="str">
        <f>HYPERLINK("https://www.boe.es/gazeta/dias/1808/11/18/pdfs/D00069-00072.pdf#page=3","Abrir facsímil")</f>
        <v>Abrir facsímil</v>
      </c>
      <c r="K2193" s="15" t="s">
        <v>23</v>
      </c>
    </row>
    <row r="2194" spans="1:11" ht="42" customHeight="1">
      <c r="A2194" s="4" t="s">
        <v>5804</v>
      </c>
      <c r="B2194" s="5" t="s">
        <v>5805</v>
      </c>
      <c r="C2194" s="5" t="s">
        <v>17</v>
      </c>
      <c r="D2194" s="5" t="s">
        <v>18</v>
      </c>
      <c r="E2194" s="5" t="s">
        <v>719</v>
      </c>
      <c r="F2194" s="9" t="s">
        <v>720</v>
      </c>
      <c r="G2194" s="9">
        <v>1611</v>
      </c>
      <c r="H2194" s="5" t="s">
        <v>21</v>
      </c>
      <c r="I2194" s="5" t="s">
        <v>5806</v>
      </c>
      <c r="J2194" s="12" t="str">
        <f>HYPERLINK("https://www.boe.es/gazeta/dias/1808/12/16/pdfs/GMD-1808-156.pdf#page=3","Abrir facsímil")</f>
        <v>Abrir facsímil</v>
      </c>
      <c r="K2194" s="15" t="s">
        <v>23</v>
      </c>
    </row>
    <row r="2195" spans="1:11" ht="42" customHeight="1">
      <c r="A2195" s="4" t="s">
        <v>5807</v>
      </c>
      <c r="B2195" s="5" t="s">
        <v>5808</v>
      </c>
      <c r="C2195" s="5" t="s">
        <v>33</v>
      </c>
      <c r="D2195" s="5" t="s">
        <v>34</v>
      </c>
      <c r="E2195" s="5" t="s">
        <v>264</v>
      </c>
      <c r="F2195" s="9" t="s">
        <v>318</v>
      </c>
      <c r="G2195" s="9" t="s">
        <v>199</v>
      </c>
      <c r="H2195" s="5" t="s">
        <v>21</v>
      </c>
      <c r="I2195" s="5" t="s">
        <v>5809</v>
      </c>
      <c r="J2195" s="12" t="str">
        <f>HYPERLINK("https://www.boe.es/gazeta/dias/1808/11/29/pdfs/GMD-C-1808-148.pdf#page=2","Abrir facsímil")</f>
        <v>Abrir facsímil</v>
      </c>
      <c r="K2195" s="15" t="s">
        <v>23</v>
      </c>
    </row>
    <row r="2196" spans="1:11" ht="42" customHeight="1">
      <c r="A2196" s="4" t="s">
        <v>5810</v>
      </c>
      <c r="B2196" s="5" t="s">
        <v>5811</v>
      </c>
      <c r="C2196" s="5" t="s">
        <v>17</v>
      </c>
      <c r="D2196" s="5" t="s">
        <v>18</v>
      </c>
      <c r="E2196" s="5" t="s">
        <v>61</v>
      </c>
      <c r="F2196" s="9" t="s">
        <v>62</v>
      </c>
      <c r="G2196" s="9">
        <v>1285</v>
      </c>
      <c r="H2196" s="5" t="s">
        <v>21</v>
      </c>
      <c r="I2196" s="5" t="s">
        <v>5812</v>
      </c>
      <c r="J2196" s="12" t="str">
        <f>HYPERLINK("https://www.boe.es/gazeta/dias/1808/10/11/pdfs/GMD-1808-133.pdf#page=13","Abrir facsímil")</f>
        <v>Abrir facsímil</v>
      </c>
      <c r="K2196" s="15" t="s">
        <v>23</v>
      </c>
    </row>
    <row r="2197" spans="1:11" ht="42" customHeight="1">
      <c r="A2197" s="4" t="s">
        <v>5813</v>
      </c>
      <c r="B2197" s="5" t="s">
        <v>5814</v>
      </c>
      <c r="C2197" s="5" t="s">
        <v>41</v>
      </c>
      <c r="D2197" s="5" t="s">
        <v>42</v>
      </c>
      <c r="E2197" s="5" t="s">
        <v>363</v>
      </c>
      <c r="F2197" s="9" t="s">
        <v>1224</v>
      </c>
      <c r="G2197" s="9">
        <v>1184</v>
      </c>
      <c r="H2197" s="5" t="s">
        <v>21</v>
      </c>
      <c r="I2197" s="5" t="s">
        <v>5815</v>
      </c>
      <c r="J2197" s="12" t="str">
        <f>HYPERLINK("https://www.boe.es/gazeta/dias/1808/09/20/pdfs/GMD-1808-126.pdf#page=4","Abrir facsímil")</f>
        <v>Abrir facsímil</v>
      </c>
      <c r="K2197" s="15" t="s">
        <v>23</v>
      </c>
    </row>
    <row r="2198" spans="1:11" ht="42" customHeight="1">
      <c r="A2198" s="4" t="s">
        <v>5816</v>
      </c>
      <c r="B2198" s="5" t="s">
        <v>5817</v>
      </c>
      <c r="C2198" s="5" t="s">
        <v>41</v>
      </c>
      <c r="D2198" s="5" t="s">
        <v>42</v>
      </c>
      <c r="E2198" s="5" t="s">
        <v>363</v>
      </c>
      <c r="F2198" s="9" t="s">
        <v>1224</v>
      </c>
      <c r="G2198" s="9">
        <v>1184</v>
      </c>
      <c r="H2198" s="5" t="s">
        <v>21</v>
      </c>
      <c r="I2198" s="5" t="s">
        <v>5818</v>
      </c>
      <c r="J2198" s="12" t="str">
        <f>HYPERLINK("https://www.boe.es/gazeta/dias/1808/09/20/pdfs/GMD-1808-126.pdf#page=4","Abrir facsímil")</f>
        <v>Abrir facsímil</v>
      </c>
      <c r="K2198" s="15" t="s">
        <v>23</v>
      </c>
    </row>
    <row r="2199" spans="1:11" ht="42" customHeight="1">
      <c r="A2199" s="4" t="s">
        <v>5819</v>
      </c>
      <c r="B2199" s="5" t="s">
        <v>5820</v>
      </c>
      <c r="C2199" s="5" t="s">
        <v>33</v>
      </c>
      <c r="D2199" s="5" t="s">
        <v>34</v>
      </c>
      <c r="E2199" s="5" t="s">
        <v>28</v>
      </c>
      <c r="F2199" s="9" t="s">
        <v>446</v>
      </c>
      <c r="G2199" s="9" t="s">
        <v>106</v>
      </c>
      <c r="H2199" s="5" t="s">
        <v>21</v>
      </c>
      <c r="I2199" s="5" t="s">
        <v>5821</v>
      </c>
      <c r="J2199" s="12" t="str">
        <f>HYPERLINK("https://www.boe.es/gazeta/dias/1808/11/04/pdfs/GMD-D-1808-141.pdf#page=3","Abrir facsímil")</f>
        <v>Abrir facsímil</v>
      </c>
      <c r="K2199" s="15" t="s">
        <v>23</v>
      </c>
    </row>
    <row r="2200" spans="1:11" ht="42" customHeight="1">
      <c r="A2200" s="4" t="s">
        <v>5822</v>
      </c>
      <c r="B2200" s="5" t="s">
        <v>5823</v>
      </c>
      <c r="C2200" s="5" t="s">
        <v>26</v>
      </c>
      <c r="D2200" s="5" t="s">
        <v>27</v>
      </c>
      <c r="E2200" s="5" t="s">
        <v>461</v>
      </c>
      <c r="F2200" s="9" t="s">
        <v>733</v>
      </c>
      <c r="G2200" s="9">
        <v>1447</v>
      </c>
      <c r="H2200" s="5" t="s">
        <v>21</v>
      </c>
      <c r="I2200" s="5" t="s">
        <v>5824</v>
      </c>
      <c r="J2200" s="12" t="str">
        <f>HYPERLINK("https://www.boe.es/gazeta/dias/1808/11/08/pdfs/GMD-1808-142.pdf#page=9","Abrir facsímil")</f>
        <v>Abrir facsímil</v>
      </c>
      <c r="K2200" s="15" t="s">
        <v>23</v>
      </c>
    </row>
    <row r="2201" spans="1:11" ht="42" customHeight="1">
      <c r="A2201" s="4" t="s">
        <v>5825</v>
      </c>
      <c r="B2201" s="5" t="s">
        <v>5826</v>
      </c>
      <c r="C2201" s="5" t="s">
        <v>33</v>
      </c>
      <c r="D2201" s="5" t="s">
        <v>34</v>
      </c>
      <c r="E2201" s="5" t="s">
        <v>35</v>
      </c>
      <c r="F2201" s="9" t="s">
        <v>36</v>
      </c>
      <c r="G2201" s="9" t="s">
        <v>106</v>
      </c>
      <c r="H2201" s="5" t="s">
        <v>21</v>
      </c>
      <c r="I2201" s="5" t="s">
        <v>5827</v>
      </c>
      <c r="J2201" s="12" t="str">
        <f>HYPERLINK("https://www.boe.es/gazeta/dias/1808/04/22/pdfs/GMD-C-1808-38.pdf#page=3","Abrir facsímil")</f>
        <v>Abrir facsímil</v>
      </c>
      <c r="K2201" s="15" t="s">
        <v>23</v>
      </c>
    </row>
    <row r="2202" spans="1:11" ht="42" customHeight="1">
      <c r="A2202" s="4" t="s">
        <v>5828</v>
      </c>
      <c r="B2202" s="5" t="s">
        <v>5829</v>
      </c>
      <c r="C2202" s="5" t="s">
        <v>389</v>
      </c>
      <c r="D2202" s="5" t="s">
        <v>390</v>
      </c>
      <c r="E2202" s="5" t="s">
        <v>1472</v>
      </c>
      <c r="F2202" s="9" t="s">
        <v>1473</v>
      </c>
      <c r="G2202" s="9">
        <v>96</v>
      </c>
      <c r="H2202" s="5" t="s">
        <v>21</v>
      </c>
      <c r="I2202" s="5" t="s">
        <v>5830</v>
      </c>
      <c r="J2202" s="12" t="str">
        <f>HYPERLINK("https://www.boe.es/gazeta/dias/1808/01/26/pdfs/GMD-1808-8.pdf#page=12","Abrir facsímil")</f>
        <v>Abrir facsímil</v>
      </c>
      <c r="K2202" s="15" t="s">
        <v>23</v>
      </c>
    </row>
    <row r="2203" spans="1:11" ht="42" customHeight="1">
      <c r="A2203" s="4" t="s">
        <v>5831</v>
      </c>
      <c r="B2203" s="5" t="s">
        <v>5832</v>
      </c>
      <c r="C2203" s="5" t="s">
        <v>389</v>
      </c>
      <c r="D2203" s="5" t="s">
        <v>390</v>
      </c>
      <c r="E2203" s="5" t="s">
        <v>572</v>
      </c>
      <c r="F2203" s="9" t="s">
        <v>573</v>
      </c>
      <c r="G2203" s="9">
        <v>23</v>
      </c>
      <c r="H2203" s="5" t="s">
        <v>21</v>
      </c>
      <c r="I2203" s="5" t="s">
        <v>5833</v>
      </c>
      <c r="J2203" s="12" t="str">
        <f>HYPERLINK("https://www.boe.es/gazeta/dias/1808/01/05/pdfs/GMD-1808-2.pdf#page=11","Abrir facsímil")</f>
        <v>Abrir facsímil</v>
      </c>
      <c r="K2203" s="15" t="s">
        <v>23</v>
      </c>
    </row>
    <row r="2204" spans="1:11" ht="42" customHeight="1">
      <c r="A2204" s="4" t="s">
        <v>5834</v>
      </c>
      <c r="B2204" s="5" t="s">
        <v>5835</v>
      </c>
      <c r="C2204" s="5" t="s">
        <v>33</v>
      </c>
      <c r="D2204" s="5" t="s">
        <v>34</v>
      </c>
      <c r="E2204" s="5" t="s">
        <v>19</v>
      </c>
      <c r="F2204" s="9" t="s">
        <v>949</v>
      </c>
      <c r="G2204" s="9" t="s">
        <v>199</v>
      </c>
      <c r="H2204" s="5" t="s">
        <v>21</v>
      </c>
      <c r="I2204" s="5" t="s">
        <v>5836</v>
      </c>
      <c r="J2204" s="12" t="str">
        <f>HYPERLINK("https://www.boe.es/gazeta/dias/1808/09/30/pdfs/GMD-C-1808-130.pdf#page=2","Abrir facsímil")</f>
        <v>Abrir facsímil</v>
      </c>
      <c r="K2204" s="15" t="s">
        <v>23</v>
      </c>
    </row>
    <row r="2205" spans="1:11" ht="42" customHeight="1">
      <c r="A2205" s="4" t="s">
        <v>5837</v>
      </c>
      <c r="B2205" s="5" t="s">
        <v>5838</v>
      </c>
      <c r="C2205" s="5" t="s">
        <v>17</v>
      </c>
      <c r="D2205" s="5" t="s">
        <v>18</v>
      </c>
      <c r="E2205" s="5" t="s">
        <v>719</v>
      </c>
      <c r="F2205" s="9" t="s">
        <v>720</v>
      </c>
      <c r="G2205" s="9">
        <v>1609</v>
      </c>
      <c r="H2205" s="5" t="s">
        <v>21</v>
      </c>
      <c r="I2205" s="5" t="s">
        <v>5839</v>
      </c>
      <c r="J2205" s="12" t="str">
        <f>HYPERLINK("https://www.boe.es/gazeta/dias/1808/12/16/pdfs/GMD-1808-156.pdf#page=1","Abrir facsímil")</f>
        <v>Abrir facsímil</v>
      </c>
      <c r="K2205" s="15" t="s">
        <v>23</v>
      </c>
    </row>
    <row r="2206" spans="1:11" ht="42" customHeight="1">
      <c r="A2206" s="4" t="s">
        <v>5840</v>
      </c>
      <c r="B2206" s="5" t="s">
        <v>5841</v>
      </c>
      <c r="C2206" s="5" t="s">
        <v>17</v>
      </c>
      <c r="D2206" s="5" t="s">
        <v>18</v>
      </c>
      <c r="E2206" s="5" t="s">
        <v>185</v>
      </c>
      <c r="F2206" s="9" t="s">
        <v>186</v>
      </c>
      <c r="G2206" s="9">
        <v>1103</v>
      </c>
      <c r="H2206" s="5" t="s">
        <v>21</v>
      </c>
      <c r="I2206" s="5" t="s">
        <v>5842</v>
      </c>
      <c r="J2206" s="12" t="str">
        <f>HYPERLINK("https://www.boe.es/gazeta/dias/1808/08/30/pdfs/GMD-1808-118.pdf#page=9","Abrir facsímil")</f>
        <v>Abrir facsímil</v>
      </c>
      <c r="K2206" s="15" t="s">
        <v>23</v>
      </c>
    </row>
    <row r="2207" spans="1:11" ht="42" customHeight="1">
      <c r="A2207" s="4" t="s">
        <v>5843</v>
      </c>
      <c r="B2207" s="5" t="s">
        <v>5844</v>
      </c>
      <c r="C2207" s="5" t="s">
        <v>260</v>
      </c>
      <c r="D2207" s="5" t="s">
        <v>42</v>
      </c>
      <c r="E2207" s="5" t="s">
        <v>115</v>
      </c>
      <c r="F2207" s="9" t="s">
        <v>1650</v>
      </c>
      <c r="G2207" s="9">
        <v>1177</v>
      </c>
      <c r="H2207" s="5" t="s">
        <v>21</v>
      </c>
      <c r="I2207" s="5" t="s">
        <v>5845</v>
      </c>
      <c r="J2207" s="12" t="str">
        <f>HYPERLINK("https://www.boe.es/gazeta/dias/1808/09/16/pdfs/GMD-1808-125.pdf#page=9","Abrir facsímil")</f>
        <v>Abrir facsímil</v>
      </c>
      <c r="K2207" s="15" t="s">
        <v>23</v>
      </c>
    </row>
    <row r="2208" spans="1:11" ht="42" customHeight="1">
      <c r="A2208" s="4" t="s">
        <v>5846</v>
      </c>
      <c r="B2208" s="5" t="s">
        <v>5847</v>
      </c>
      <c r="C2208" s="5" t="s">
        <v>33</v>
      </c>
      <c r="D2208" s="5" t="s">
        <v>34</v>
      </c>
      <c r="E2208" s="5" t="s">
        <v>35</v>
      </c>
      <c r="F2208" s="9" t="s">
        <v>36</v>
      </c>
      <c r="G2208" s="9" t="s">
        <v>273</v>
      </c>
      <c r="H2208" s="5" t="s">
        <v>21</v>
      </c>
      <c r="I2208" s="5" t="s">
        <v>5848</v>
      </c>
      <c r="J2208" s="12" t="str">
        <f>HYPERLINK("https://www.boe.es/gazeta/dias/1808/04/22/pdfs/GMD-C-1808-38.pdf#page=12","Abrir facsímil")</f>
        <v>Abrir facsímil</v>
      </c>
      <c r="K2208" s="15" t="s">
        <v>23</v>
      </c>
    </row>
    <row r="2209" spans="1:11" ht="42" customHeight="1">
      <c r="A2209" s="4" t="s">
        <v>5849</v>
      </c>
      <c r="B2209" s="5" t="s">
        <v>5850</v>
      </c>
      <c r="C2209" s="5" t="s">
        <v>33</v>
      </c>
      <c r="D2209" s="5" t="s">
        <v>34</v>
      </c>
      <c r="E2209" s="5" t="s">
        <v>391</v>
      </c>
      <c r="F2209" s="9" t="s">
        <v>588</v>
      </c>
      <c r="G2209" s="9" t="s">
        <v>75</v>
      </c>
      <c r="H2209" s="5" t="s">
        <v>21</v>
      </c>
      <c r="I2209" s="5" t="s">
        <v>5851</v>
      </c>
      <c r="J2209" s="12" t="str">
        <f>HYPERLINK("https://www.boe.es/gazeta/dias/1808/09/27/pdfs/GMD-C-1808-128.pdf#page=4","Abrir facsímil")</f>
        <v>Abrir facsímil</v>
      </c>
      <c r="K2209" s="15" t="s">
        <v>23</v>
      </c>
    </row>
    <row r="2210" spans="1:11" ht="42" customHeight="1">
      <c r="A2210" s="4" t="s">
        <v>5852</v>
      </c>
      <c r="B2210" s="5" t="s">
        <v>5853</v>
      </c>
      <c r="C2210" s="5" t="s">
        <v>17</v>
      </c>
      <c r="D2210" s="5" t="s">
        <v>18</v>
      </c>
      <c r="E2210" s="5" t="s">
        <v>65</v>
      </c>
      <c r="F2210" s="9" t="s">
        <v>66</v>
      </c>
      <c r="G2210" s="9">
        <v>1315</v>
      </c>
      <c r="H2210" s="5" t="s">
        <v>21</v>
      </c>
      <c r="I2210" s="5" t="s">
        <v>5854</v>
      </c>
      <c r="J2210" s="12" t="str">
        <f>HYPERLINK("https://www.boe.es/gazeta/dias/1808/10/18/pdfs/GMD-1808-135.pdf#page=15","Abrir facsímil")</f>
        <v>Abrir facsímil</v>
      </c>
      <c r="K2210" s="15" t="s">
        <v>23</v>
      </c>
    </row>
    <row r="2211" spans="1:11" ht="42" customHeight="1">
      <c r="A2211" s="4" t="s">
        <v>5855</v>
      </c>
      <c r="B2211" s="5" t="s">
        <v>5856</v>
      </c>
      <c r="C2211" s="5" t="s">
        <v>389</v>
      </c>
      <c r="D2211" s="5" t="s">
        <v>390</v>
      </c>
      <c r="E2211" s="5" t="s">
        <v>65</v>
      </c>
      <c r="F2211" s="9" t="s">
        <v>66</v>
      </c>
      <c r="G2211" s="9">
        <v>1306</v>
      </c>
      <c r="H2211" s="5" t="s">
        <v>21</v>
      </c>
      <c r="I2211" s="5" t="s">
        <v>5857</v>
      </c>
      <c r="J2211" s="12" t="str">
        <f>HYPERLINK("https://www.boe.es/gazeta/dias/1808/10/18/pdfs/GMD-1808-135.pdf#page=6","Abrir facsímil")</f>
        <v>Abrir facsímil</v>
      </c>
      <c r="K2211" s="15" t="s">
        <v>23</v>
      </c>
    </row>
    <row r="2212" spans="1:11" ht="42" customHeight="1">
      <c r="A2212" s="4" t="s">
        <v>5858</v>
      </c>
      <c r="B2212" s="5" t="s">
        <v>5859</v>
      </c>
      <c r="C2212" s="5" t="s">
        <v>41</v>
      </c>
      <c r="D2212" s="5" t="s">
        <v>42</v>
      </c>
      <c r="E2212" s="5" t="s">
        <v>508</v>
      </c>
      <c r="F2212" s="9" t="s">
        <v>509</v>
      </c>
      <c r="G2212" s="9">
        <v>1019</v>
      </c>
      <c r="H2212" s="5" t="s">
        <v>21</v>
      </c>
      <c r="I2212" s="5" t="s">
        <v>5860</v>
      </c>
      <c r="J2212" s="12" t="str">
        <f>HYPERLINK("https://www.boe.es/gazeta/dias/1808/08/16/pdfs/GMD-1808-113.pdf#page=11","Abrir facsímil")</f>
        <v>Abrir facsímil</v>
      </c>
      <c r="K2212" s="15" t="s">
        <v>23</v>
      </c>
    </row>
    <row r="2213" spans="1:11" ht="42" customHeight="1">
      <c r="A2213" s="4" t="s">
        <v>5861</v>
      </c>
      <c r="B2213" s="5" t="s">
        <v>5862</v>
      </c>
      <c r="C2213" s="5" t="s">
        <v>17</v>
      </c>
      <c r="D2213" s="5" t="s">
        <v>18</v>
      </c>
      <c r="E2213" s="5" t="s">
        <v>73</v>
      </c>
      <c r="F2213" s="9" t="s">
        <v>581</v>
      </c>
      <c r="G2213" s="9">
        <v>1468</v>
      </c>
      <c r="H2213" s="5" t="s">
        <v>21</v>
      </c>
      <c r="I2213" s="5" t="s">
        <v>5863</v>
      </c>
      <c r="J2213" s="12" t="str">
        <f>HYPERLINK("https://www.boe.es/gazeta/dias/1808/11/11/pdfs/GMD-1808-143.pdf#page=10","Abrir facsímil")</f>
        <v>Abrir facsímil</v>
      </c>
      <c r="K2213" s="15" t="s">
        <v>23</v>
      </c>
    </row>
    <row r="2214" spans="1:11" ht="42" customHeight="1">
      <c r="A2214" s="4" t="s">
        <v>5864</v>
      </c>
      <c r="B2214" s="5" t="s">
        <v>5865</v>
      </c>
      <c r="C2214" s="5" t="s">
        <v>33</v>
      </c>
      <c r="D2214" s="5" t="s">
        <v>34</v>
      </c>
      <c r="E2214" s="5" t="s">
        <v>153</v>
      </c>
      <c r="F2214" s="9" t="s">
        <v>154</v>
      </c>
      <c r="G2214" s="9" t="s">
        <v>199</v>
      </c>
      <c r="H2214" s="5" t="s">
        <v>21</v>
      </c>
      <c r="I2214" s="5" t="s">
        <v>5866</v>
      </c>
      <c r="J2214" s="12" t="str">
        <f>HYPERLINK("https://www.boe.es/gazeta/dias/1808/09/09/pdfs/GMD-C-1808-121.pdf#page=2","Abrir facsímil")</f>
        <v>Abrir facsímil</v>
      </c>
      <c r="K2214" s="15" t="s">
        <v>23</v>
      </c>
    </row>
    <row r="2215" spans="1:11" ht="42" customHeight="1">
      <c r="A2215" s="4" t="s">
        <v>5867</v>
      </c>
      <c r="B2215" s="5" t="s">
        <v>5868</v>
      </c>
      <c r="C2215" s="5" t="s">
        <v>389</v>
      </c>
      <c r="D2215" s="5" t="s">
        <v>390</v>
      </c>
      <c r="E2215" s="5" t="s">
        <v>3365</v>
      </c>
      <c r="F2215" s="9" t="s">
        <v>3366</v>
      </c>
      <c r="G2215" s="9">
        <v>123</v>
      </c>
      <c r="H2215" s="5" t="s">
        <v>21</v>
      </c>
      <c r="I2215" s="5" t="s">
        <v>5869</v>
      </c>
      <c r="J2215" s="12" t="str">
        <f>HYPERLINK("https://www.boe.es/gazeta/dias/1808/07/23/pdfs/GMS-1808-16.pdf#page=3","Abrir facsímil")</f>
        <v>Abrir facsímil</v>
      </c>
      <c r="K2215" s="15" t="s">
        <v>23</v>
      </c>
    </row>
    <row r="2216" spans="1:11" ht="42" customHeight="1">
      <c r="A2216" s="4" t="s">
        <v>5870</v>
      </c>
      <c r="B2216" s="5" t="s">
        <v>5871</v>
      </c>
      <c r="C2216" s="5" t="s">
        <v>33</v>
      </c>
      <c r="D2216" s="5" t="s">
        <v>34</v>
      </c>
      <c r="E2216" s="5" t="s">
        <v>35</v>
      </c>
      <c r="F2216" s="9" t="s">
        <v>36</v>
      </c>
      <c r="G2216" s="9" t="s">
        <v>443</v>
      </c>
      <c r="H2216" s="5" t="s">
        <v>21</v>
      </c>
      <c r="I2216" s="5" t="s">
        <v>5872</v>
      </c>
      <c r="J2216" s="12" t="str">
        <f>HYPERLINK("https://www.boe.es/gazeta/dias/1808/04/22/pdfs/GMD-C-1808-38.pdf#page=16","Abrir facsímil")</f>
        <v>Abrir facsímil</v>
      </c>
      <c r="K2216" s="15" t="s">
        <v>23</v>
      </c>
    </row>
    <row r="2217" spans="1:11" ht="42" customHeight="1">
      <c r="A2217" s="4" t="s">
        <v>5873</v>
      </c>
      <c r="B2217" s="5" t="s">
        <v>5874</v>
      </c>
      <c r="C2217" s="5" t="s">
        <v>17</v>
      </c>
      <c r="D2217" s="5" t="s">
        <v>18</v>
      </c>
      <c r="E2217" s="5" t="s">
        <v>130</v>
      </c>
      <c r="F2217" s="9" t="s">
        <v>131</v>
      </c>
      <c r="G2217" s="9">
        <v>1604</v>
      </c>
      <c r="H2217" s="5" t="s">
        <v>21</v>
      </c>
      <c r="I2217" s="5" t="s">
        <v>5875</v>
      </c>
      <c r="J2217" s="12" t="str">
        <f>HYPERLINK("https://www.boe.es/gazeta/dias/1808/12/15/pdfs/GMD-1808-155.pdf#page=8","Abrir facsímil")</f>
        <v>Abrir facsímil</v>
      </c>
      <c r="K2217" s="15" t="s">
        <v>23</v>
      </c>
    </row>
    <row r="2218" spans="1:11" ht="42" customHeight="1">
      <c r="A2218" s="4" t="s">
        <v>5876</v>
      </c>
      <c r="B2218" s="5" t="s">
        <v>5877</v>
      </c>
      <c r="C2218" s="5" t="s">
        <v>26</v>
      </c>
      <c r="D2218" s="5" t="s">
        <v>27</v>
      </c>
      <c r="E2218" s="5" t="s">
        <v>139</v>
      </c>
      <c r="F2218" s="9" t="s">
        <v>140</v>
      </c>
      <c r="G2218" s="9">
        <v>1202</v>
      </c>
      <c r="H2218" s="5" t="s">
        <v>21</v>
      </c>
      <c r="I2218" s="5" t="s">
        <v>5878</v>
      </c>
      <c r="J2218" s="12" t="str">
        <f>HYPERLINK("https://www.boe.es/gazeta/dias/1808/09/23/pdfs/GMD-1808-127.pdf#page=10","Abrir facsímil")</f>
        <v>Abrir facsímil</v>
      </c>
      <c r="K2218" s="15" t="s">
        <v>23</v>
      </c>
    </row>
    <row r="2219" spans="1:11" ht="42" customHeight="1">
      <c r="A2219" s="4" t="s">
        <v>5879</v>
      </c>
      <c r="B2219" s="5" t="s">
        <v>5880</v>
      </c>
      <c r="C2219" s="5" t="s">
        <v>33</v>
      </c>
      <c r="D2219" s="5" t="s">
        <v>34</v>
      </c>
      <c r="E2219" s="5" t="s">
        <v>115</v>
      </c>
      <c r="F2219" s="9" t="s">
        <v>116</v>
      </c>
      <c r="G2219" s="9" t="s">
        <v>106</v>
      </c>
      <c r="H2219" s="5" t="s">
        <v>21</v>
      </c>
      <c r="I2219" s="5" t="s">
        <v>5881</v>
      </c>
      <c r="J2219" s="12" t="str">
        <f>HYPERLINK("https://www.boe.es/gazeta/dias/1808/09/16/pdfs/GMD-C-1808-125.pdf#page=3","Abrir facsímil")</f>
        <v>Abrir facsímil</v>
      </c>
      <c r="K2219" s="15" t="s">
        <v>23</v>
      </c>
    </row>
    <row r="2220" spans="1:11" ht="42" customHeight="1">
      <c r="A2220" s="4" t="s">
        <v>5882</v>
      </c>
      <c r="B2220" s="5" t="s">
        <v>5883</v>
      </c>
      <c r="C2220" s="5" t="s">
        <v>33</v>
      </c>
      <c r="D2220" s="5" t="s">
        <v>34</v>
      </c>
      <c r="E2220" s="5" t="s">
        <v>558</v>
      </c>
      <c r="F2220" s="9" t="s">
        <v>758</v>
      </c>
      <c r="G2220" s="9" t="s">
        <v>117</v>
      </c>
      <c r="H2220" s="5" t="s">
        <v>21</v>
      </c>
      <c r="I2220" s="5" t="s">
        <v>5884</v>
      </c>
      <c r="J2220" s="12" t="str">
        <f>HYPERLINK("https://www.boe.es/gazeta/dias/1808/11/25/pdfs/GMD-E-1808-147.pdf#page=1","Abrir facsímil")</f>
        <v>Abrir facsímil</v>
      </c>
      <c r="K2220" s="15" t="s">
        <v>23</v>
      </c>
    </row>
    <row r="2221" spans="1:11" ht="42" customHeight="1">
      <c r="A2221" s="4" t="s">
        <v>5885</v>
      </c>
      <c r="B2221" s="5" t="s">
        <v>5886</v>
      </c>
      <c r="C2221" s="5" t="s">
        <v>17</v>
      </c>
      <c r="D2221" s="5" t="s">
        <v>18</v>
      </c>
      <c r="E2221" s="5" t="s">
        <v>461</v>
      </c>
      <c r="F2221" s="9" t="s">
        <v>733</v>
      </c>
      <c r="G2221" s="9">
        <v>1447</v>
      </c>
      <c r="H2221" s="5" t="s">
        <v>21</v>
      </c>
      <c r="I2221" s="5" t="s">
        <v>5887</v>
      </c>
      <c r="J2221" s="12" t="str">
        <f>HYPERLINK("https://www.boe.es/gazeta/dias/1808/11/08/pdfs/GMD-1808-142.pdf#page=9","Abrir facsímil")</f>
        <v>Abrir facsímil</v>
      </c>
      <c r="K2221" s="15" t="s">
        <v>23</v>
      </c>
    </row>
    <row r="2222" spans="1:11" ht="42" customHeight="1">
      <c r="A2222" s="4" t="s">
        <v>5888</v>
      </c>
      <c r="B2222" s="5" t="s">
        <v>5889</v>
      </c>
      <c r="C2222" s="5" t="s">
        <v>33</v>
      </c>
      <c r="D2222" s="5" t="s">
        <v>34</v>
      </c>
      <c r="E2222" s="5" t="s">
        <v>391</v>
      </c>
      <c r="F2222" s="9" t="s">
        <v>588</v>
      </c>
      <c r="G2222" s="9" t="s">
        <v>199</v>
      </c>
      <c r="H2222" s="5" t="s">
        <v>21</v>
      </c>
      <c r="I2222" s="5" t="s">
        <v>5890</v>
      </c>
      <c r="J2222" s="12" t="str">
        <f>HYPERLINK("https://www.boe.es/gazeta/dias/1808/09/27/pdfs/GMD-C-1808-128.pdf#page=2","Abrir facsímil")</f>
        <v>Abrir facsímil</v>
      </c>
      <c r="K2222" s="15" t="s">
        <v>23</v>
      </c>
    </row>
    <row r="2223" spans="1:11" ht="42" customHeight="1">
      <c r="A2223" s="4" t="s">
        <v>5891</v>
      </c>
      <c r="B2223" s="5" t="s">
        <v>5892</v>
      </c>
      <c r="C2223" s="5" t="s">
        <v>33</v>
      </c>
      <c r="D2223" s="5" t="s">
        <v>34</v>
      </c>
      <c r="E2223" s="5" t="s">
        <v>35</v>
      </c>
      <c r="F2223" s="9" t="s">
        <v>36</v>
      </c>
      <c r="G2223" s="9" t="s">
        <v>106</v>
      </c>
      <c r="H2223" s="5" t="s">
        <v>21</v>
      </c>
      <c r="I2223" s="5" t="s">
        <v>5893</v>
      </c>
      <c r="J2223" s="12" t="str">
        <f>HYPERLINK("https://www.boe.es/gazeta/dias/1808/04/22/pdfs/GMD-C-1808-38.pdf#page=3","Abrir facsímil")</f>
        <v>Abrir facsímil</v>
      </c>
      <c r="K2223" s="15" t="s">
        <v>23</v>
      </c>
    </row>
    <row r="2224" spans="1:11" ht="42" customHeight="1">
      <c r="A2224" s="4" t="s">
        <v>5894</v>
      </c>
      <c r="B2224" s="5" t="s">
        <v>5895</v>
      </c>
      <c r="C2224" s="5" t="s">
        <v>41</v>
      </c>
      <c r="D2224" s="5" t="s">
        <v>42</v>
      </c>
      <c r="E2224" s="5" t="s">
        <v>539</v>
      </c>
      <c r="F2224" s="9" t="s">
        <v>540</v>
      </c>
      <c r="G2224" s="9">
        <v>1117</v>
      </c>
      <c r="H2224" s="5" t="s">
        <v>21</v>
      </c>
      <c r="I2224" s="5" t="s">
        <v>5896</v>
      </c>
      <c r="J2224" s="12" t="str">
        <f>HYPERLINK("https://www.boe.es/gazeta/dias/1808/09/02/pdfs/GMD-1808-119.pdf#page=11","Abrir facsímil")</f>
        <v>Abrir facsímil</v>
      </c>
      <c r="K2224" s="15" t="s">
        <v>23</v>
      </c>
    </row>
    <row r="2225" spans="1:11" ht="42" customHeight="1">
      <c r="A2225" s="4" t="s">
        <v>5897</v>
      </c>
      <c r="B2225" s="5" t="s">
        <v>5898</v>
      </c>
      <c r="C2225" s="5" t="s">
        <v>389</v>
      </c>
      <c r="D2225" s="5" t="s">
        <v>390</v>
      </c>
      <c r="E2225" s="5" t="s">
        <v>1385</v>
      </c>
      <c r="F2225" s="9" t="s">
        <v>1386</v>
      </c>
      <c r="G2225" s="9">
        <v>234</v>
      </c>
      <c r="H2225" s="5" t="s">
        <v>21</v>
      </c>
      <c r="I2225" s="5" t="s">
        <v>5899</v>
      </c>
      <c r="J2225" s="12" t="str">
        <f>HYPERLINK("https://www.boe.es/gazeta/dias/1808/03/04/pdfs/GMD-1808-19.pdf#page=12","Abrir facsímil")</f>
        <v>Abrir facsímil</v>
      </c>
      <c r="K2225" s="15" t="s">
        <v>23</v>
      </c>
    </row>
    <row r="2226" spans="1:11" ht="42" customHeight="1">
      <c r="A2226" s="4" t="s">
        <v>5900</v>
      </c>
      <c r="B2226" s="5" t="s">
        <v>5901</v>
      </c>
      <c r="C2226" s="5" t="s">
        <v>17</v>
      </c>
      <c r="D2226" s="5" t="s">
        <v>18</v>
      </c>
      <c r="E2226" s="5" t="s">
        <v>3951</v>
      </c>
      <c r="F2226" s="9" t="s">
        <v>4218</v>
      </c>
      <c r="G2226" s="9">
        <v>469</v>
      </c>
      <c r="H2226" s="5" t="s">
        <v>21</v>
      </c>
      <c r="I2226" s="5" t="s">
        <v>5902</v>
      </c>
      <c r="J2226" s="12" t="str">
        <f>HYPERLINK("https://www.boe.es/gazeta/dias/1808/12/20/pdfs/GMS-1808-59.pdf#page=5","Abrir facsímil")</f>
        <v>Abrir facsímil</v>
      </c>
      <c r="K2226" s="15" t="s">
        <v>23</v>
      </c>
    </row>
    <row r="2227" spans="1:11" ht="42" customHeight="1">
      <c r="A2227" s="4" t="s">
        <v>5903</v>
      </c>
      <c r="B2227" s="5" t="s">
        <v>5904</v>
      </c>
      <c r="C2227" s="5" t="s">
        <v>94</v>
      </c>
      <c r="D2227" s="5" t="s">
        <v>95</v>
      </c>
      <c r="E2227" s="5" t="s">
        <v>351</v>
      </c>
      <c r="F2227" s="9" t="s">
        <v>352</v>
      </c>
      <c r="G2227" s="9">
        <v>29</v>
      </c>
      <c r="H2227" s="5" t="s">
        <v>21</v>
      </c>
      <c r="I2227" s="5" t="s">
        <v>5905</v>
      </c>
      <c r="J2227" s="12" t="str">
        <f>HYPERLINK("https://www.boe.es/gazeta/dias/1808/06/11/pdfs/GMS-1808-4.pdf#page=5","Abrir facsímil")</f>
        <v>Abrir facsímil</v>
      </c>
      <c r="K2227" s="15" t="s">
        <v>23</v>
      </c>
    </row>
    <row r="2228" spans="1:11" ht="42" customHeight="1">
      <c r="A2228" s="4" t="s">
        <v>5903</v>
      </c>
      <c r="B2228" s="5" t="s">
        <v>5904</v>
      </c>
      <c r="C2228" s="5" t="s">
        <v>642</v>
      </c>
      <c r="D2228" s="5" t="s">
        <v>643</v>
      </c>
      <c r="E2228" s="5" t="s">
        <v>293</v>
      </c>
      <c r="F2228" s="9" t="s">
        <v>294</v>
      </c>
      <c r="G2228" s="9">
        <v>1167</v>
      </c>
      <c r="H2228" s="5" t="s">
        <v>21</v>
      </c>
      <c r="I2228" s="5" t="s">
        <v>5906</v>
      </c>
      <c r="J2228" s="12" t="str">
        <f>HYPERLINK("https://www.boe.es/gazeta/dias/1808/09/14/pdfs/GMD-1808-124E.pdf#page=3","Abrir facsímil")</f>
        <v>Abrir facsímil</v>
      </c>
      <c r="K2228" s="15" t="s">
        <v>23</v>
      </c>
    </row>
    <row r="2229" spans="1:11" ht="42" customHeight="1">
      <c r="A2229" s="4" t="s">
        <v>5907</v>
      </c>
      <c r="B2229" s="5" t="s">
        <v>5908</v>
      </c>
      <c r="C2229" s="5" t="s">
        <v>17</v>
      </c>
      <c r="D2229" s="5" t="s">
        <v>18</v>
      </c>
      <c r="E2229" s="5" t="s">
        <v>363</v>
      </c>
      <c r="F2229" s="9" t="s">
        <v>1224</v>
      </c>
      <c r="G2229" s="9">
        <v>1189</v>
      </c>
      <c r="H2229" s="5" t="s">
        <v>21</v>
      </c>
      <c r="I2229" s="5" t="s">
        <v>5909</v>
      </c>
      <c r="J2229" s="12" t="str">
        <f>HYPERLINK("https://www.boe.es/gazeta/dias/1808/09/20/pdfs/GMD-1808-126.pdf#page=9","Abrir facsímil")</f>
        <v>Abrir facsímil</v>
      </c>
      <c r="K2229" s="15" t="s">
        <v>23</v>
      </c>
    </row>
    <row r="2230" spans="1:11" ht="42" customHeight="1">
      <c r="A2230" s="4" t="s">
        <v>5910</v>
      </c>
      <c r="B2230" s="5" t="s">
        <v>5911</v>
      </c>
      <c r="C2230" s="5" t="s">
        <v>17</v>
      </c>
      <c r="D2230" s="5" t="s">
        <v>18</v>
      </c>
      <c r="E2230" s="5" t="s">
        <v>115</v>
      </c>
      <c r="F2230" s="9" t="s">
        <v>1650</v>
      </c>
      <c r="G2230" s="9">
        <v>1180</v>
      </c>
      <c r="H2230" s="5" t="s">
        <v>21</v>
      </c>
      <c r="I2230" s="5" t="s">
        <v>5912</v>
      </c>
      <c r="J2230" s="12" t="str">
        <f>HYPERLINK("https://www.boe.es/gazeta/dias/1808/09/16/pdfs/GMD-1808-125.pdf#page=12","Abrir facsímil")</f>
        <v>Abrir facsímil</v>
      </c>
      <c r="K2230" s="15" t="s">
        <v>23</v>
      </c>
    </row>
    <row r="2231" spans="1:11" ht="42" customHeight="1">
      <c r="A2231" s="4" t="s">
        <v>5913</v>
      </c>
      <c r="B2231" s="5" t="s">
        <v>5914</v>
      </c>
      <c r="C2231" s="5" t="s">
        <v>33</v>
      </c>
      <c r="D2231" s="5" t="s">
        <v>34</v>
      </c>
      <c r="E2231" s="5" t="s">
        <v>65</v>
      </c>
      <c r="F2231" s="9" t="s">
        <v>691</v>
      </c>
      <c r="G2231" s="9">
        <v>1327</v>
      </c>
      <c r="H2231" s="5" t="s">
        <v>21</v>
      </c>
      <c r="I2231" s="5" t="s">
        <v>5915</v>
      </c>
      <c r="J2231" s="12" t="str">
        <f>HYPERLINK("https://www.boe.es/gazeta/dias/1808/10/18/pdfs/GMD-C-1808-135.pdf#page=11","Abrir facsímil")</f>
        <v>Abrir facsímil</v>
      </c>
      <c r="K2231" s="15" t="s">
        <v>23</v>
      </c>
    </row>
    <row r="2232" spans="1:11" ht="42" customHeight="1">
      <c r="A2232" s="4" t="s">
        <v>5916</v>
      </c>
      <c r="B2232" s="5" t="s">
        <v>5917</v>
      </c>
      <c r="C2232" s="5" t="s">
        <v>33</v>
      </c>
      <c r="D2232" s="5" t="s">
        <v>34</v>
      </c>
      <c r="E2232" s="5" t="s">
        <v>68</v>
      </c>
      <c r="F2232" s="9" t="s">
        <v>309</v>
      </c>
      <c r="G2232" s="9" t="s">
        <v>106</v>
      </c>
      <c r="H2232" s="5" t="s">
        <v>21</v>
      </c>
      <c r="I2232" s="5" t="s">
        <v>5918</v>
      </c>
      <c r="J2232" s="12" t="str">
        <f>HYPERLINK("https://www.boe.es/gazeta/dias/1808/10/21/pdfs/GMD-D-1808-136.pdf#page=3","Abrir facsímil")</f>
        <v>Abrir facsímil</v>
      </c>
      <c r="K2232" s="15" t="s">
        <v>23</v>
      </c>
    </row>
    <row r="2233" spans="1:11" ht="42" customHeight="1">
      <c r="A2233" s="4" t="s">
        <v>5919</v>
      </c>
      <c r="B2233" s="5" t="s">
        <v>5920</v>
      </c>
      <c r="C2233" s="5" t="s">
        <v>94</v>
      </c>
      <c r="D2233" s="5" t="s">
        <v>95</v>
      </c>
      <c r="E2233" s="5" t="s">
        <v>19</v>
      </c>
      <c r="F2233" s="9" t="s">
        <v>59</v>
      </c>
      <c r="G2233" s="9">
        <v>1228</v>
      </c>
      <c r="H2233" s="5" t="s">
        <v>21</v>
      </c>
      <c r="I2233" s="5" t="s">
        <v>5921</v>
      </c>
      <c r="J2233" s="12" t="str">
        <f>HYPERLINK("https://www.boe.es/gazeta/dias/1808/09/30/pdfs/GMD-1808-130.pdf#page=8","Abrir facsímil")</f>
        <v>Abrir facsímil</v>
      </c>
      <c r="K2233" s="15" t="s">
        <v>23</v>
      </c>
    </row>
    <row r="2234" spans="1:11" ht="42" customHeight="1">
      <c r="A2234" s="4" t="s">
        <v>5919</v>
      </c>
      <c r="B2234" s="5" t="s">
        <v>5920</v>
      </c>
      <c r="C2234" s="5" t="s">
        <v>33</v>
      </c>
      <c r="D2234" s="5" t="s">
        <v>34</v>
      </c>
      <c r="E2234" s="5" t="s">
        <v>73</v>
      </c>
      <c r="F2234" s="9" t="s">
        <v>74</v>
      </c>
      <c r="G2234" s="9" t="s">
        <v>75</v>
      </c>
      <c r="H2234" s="5" t="s">
        <v>21</v>
      </c>
      <c r="I2234" s="5" t="s">
        <v>5922</v>
      </c>
      <c r="J2234" s="12" t="str">
        <f>HYPERLINK("https://www.boe.es/gazeta/dias/1808/11/11/pdfs/GMD-D-1808-143.pdf#page=4","Abrir facsímil")</f>
        <v>Abrir facsímil</v>
      </c>
      <c r="K2234" s="15" t="s">
        <v>23</v>
      </c>
    </row>
    <row r="2235" spans="1:11" ht="42" customHeight="1">
      <c r="A2235" s="4" t="s">
        <v>5923</v>
      </c>
      <c r="B2235" s="5" t="s">
        <v>5924</v>
      </c>
      <c r="C2235" s="5" t="s">
        <v>33</v>
      </c>
      <c r="D2235" s="5" t="s">
        <v>34</v>
      </c>
      <c r="E2235" s="5" t="s">
        <v>461</v>
      </c>
      <c r="F2235" s="9" t="s">
        <v>462</v>
      </c>
      <c r="G2235" s="9" t="s">
        <v>75</v>
      </c>
      <c r="H2235" s="5" t="s">
        <v>21</v>
      </c>
      <c r="I2235" s="5" t="s">
        <v>5925</v>
      </c>
      <c r="J2235" s="12" t="str">
        <f>HYPERLINK("https://www.boe.es/gazeta/dias/1808/11/08/pdfs/GMD-D-1808-142.pdf#page=4","Abrir facsímil")</f>
        <v>Abrir facsímil</v>
      </c>
      <c r="K2235" s="15" t="s">
        <v>23</v>
      </c>
    </row>
    <row r="2236" spans="1:11" ht="42" customHeight="1">
      <c r="A2236" s="4" t="s">
        <v>5926</v>
      </c>
      <c r="B2236" s="5" t="s">
        <v>5927</v>
      </c>
      <c r="C2236" s="5" t="s">
        <v>17</v>
      </c>
      <c r="D2236" s="5" t="s">
        <v>18</v>
      </c>
      <c r="E2236" s="5" t="s">
        <v>5928</v>
      </c>
      <c r="F2236" s="9" t="s">
        <v>5929</v>
      </c>
      <c r="G2236" s="9">
        <v>35</v>
      </c>
      <c r="H2236" s="5" t="s">
        <v>21</v>
      </c>
      <c r="I2236" s="5" t="s">
        <v>5930</v>
      </c>
      <c r="J2236" s="12" t="str">
        <f>HYPERLINK("https://www.boe.es/gazeta/dias/1808/06/15/pdfs/GMS-1808-5.pdf#page=3","Abrir facsímil")</f>
        <v>Abrir facsímil</v>
      </c>
      <c r="K2236" s="15" t="s">
        <v>23</v>
      </c>
    </row>
    <row r="2237" spans="1:11" ht="42" customHeight="1">
      <c r="A2237" s="4" t="s">
        <v>5931</v>
      </c>
      <c r="B2237" s="5" t="s">
        <v>5932</v>
      </c>
      <c r="C2237" s="5" t="s">
        <v>94</v>
      </c>
      <c r="D2237" s="5" t="s">
        <v>95</v>
      </c>
      <c r="E2237" s="5" t="s">
        <v>334</v>
      </c>
      <c r="F2237" s="9" t="s">
        <v>335</v>
      </c>
      <c r="G2237" s="9">
        <v>1259</v>
      </c>
      <c r="H2237" s="5" t="s">
        <v>21</v>
      </c>
      <c r="I2237" s="5" t="s">
        <v>5933</v>
      </c>
      <c r="J2237" s="12" t="str">
        <f>HYPERLINK("https://www.boe.es/gazeta/dias/1808/10/04/pdfs/GMD-C-1808-131.pdf#page=11","Abrir facsímil")</f>
        <v>Abrir facsímil</v>
      </c>
      <c r="K2237" s="15" t="s">
        <v>23</v>
      </c>
    </row>
    <row r="2238" spans="1:11" ht="42" customHeight="1">
      <c r="A2238" s="4" t="s">
        <v>5934</v>
      </c>
      <c r="B2238" s="5" t="s">
        <v>5935</v>
      </c>
      <c r="C2238" s="5" t="s">
        <v>94</v>
      </c>
      <c r="D2238" s="5" t="s">
        <v>95</v>
      </c>
      <c r="E2238" s="5" t="s">
        <v>110</v>
      </c>
      <c r="F2238" s="9" t="s">
        <v>111</v>
      </c>
      <c r="G2238" s="9">
        <v>1383</v>
      </c>
      <c r="H2238" s="5" t="s">
        <v>21</v>
      </c>
      <c r="I2238" s="5" t="s">
        <v>5936</v>
      </c>
      <c r="J2238" s="12" t="str">
        <f>HYPERLINK("https://www.boe.es/gazeta/dias/1808/10/28/pdfs/GMD-1808-138.pdf#page=9","Abrir facsímil")</f>
        <v>Abrir facsímil</v>
      </c>
      <c r="K2238" s="15" t="s">
        <v>23</v>
      </c>
    </row>
    <row r="2239" spans="1:11" ht="42" customHeight="1">
      <c r="A2239" s="4" t="s">
        <v>5937</v>
      </c>
      <c r="B2239" s="5" t="s">
        <v>5938</v>
      </c>
      <c r="C2239" s="5" t="s">
        <v>94</v>
      </c>
      <c r="D2239" s="5" t="s">
        <v>95</v>
      </c>
      <c r="E2239" s="5" t="s">
        <v>290</v>
      </c>
      <c r="F2239" s="9" t="s">
        <v>291</v>
      </c>
      <c r="G2239" s="9">
        <v>1057</v>
      </c>
      <c r="H2239" s="5" t="s">
        <v>21</v>
      </c>
      <c r="I2239" s="5" t="s">
        <v>5939</v>
      </c>
      <c r="J2239" s="12" t="str">
        <f>HYPERLINK("https://www.boe.es/gazeta/dias/1808/08/23/pdfs/GMD-1808-116.pdf#page=3","Abrir facsímil")</f>
        <v>Abrir facsímil</v>
      </c>
      <c r="K2239" s="15" t="s">
        <v>23</v>
      </c>
    </row>
    <row r="2240" spans="1:11" ht="42" customHeight="1">
      <c r="A2240" s="4" t="s">
        <v>5937</v>
      </c>
      <c r="B2240" s="5" t="s">
        <v>5938</v>
      </c>
      <c r="C2240" s="5" t="s">
        <v>94</v>
      </c>
      <c r="D2240" s="5" t="s">
        <v>95</v>
      </c>
      <c r="E2240" s="5" t="s">
        <v>418</v>
      </c>
      <c r="F2240" s="9" t="s">
        <v>3832</v>
      </c>
      <c r="G2240" s="9">
        <v>227</v>
      </c>
      <c r="H2240" s="5" t="s">
        <v>21</v>
      </c>
      <c r="I2240" s="5" t="s">
        <v>5940</v>
      </c>
      <c r="J2240" s="12" t="str">
        <f>HYPERLINK("https://www.boe.es/gazeta/dias/1808/09/06/pdfs/GMS-1808-29.pdf#page=3","Abrir facsímil")</f>
        <v>Abrir facsímil</v>
      </c>
      <c r="K2240" s="15" t="s">
        <v>23</v>
      </c>
    </row>
    <row r="2241" spans="1:11" ht="42" customHeight="1">
      <c r="A2241" s="4" t="s">
        <v>5941</v>
      </c>
      <c r="B2241" s="5" t="s">
        <v>5942</v>
      </c>
      <c r="C2241" s="5" t="s">
        <v>94</v>
      </c>
      <c r="D2241" s="5" t="s">
        <v>95</v>
      </c>
      <c r="E2241" s="5" t="s">
        <v>1702</v>
      </c>
      <c r="F2241" s="9" t="s">
        <v>3079</v>
      </c>
      <c r="G2241" s="9">
        <v>796</v>
      </c>
      <c r="H2241" s="5" t="s">
        <v>21</v>
      </c>
      <c r="I2241" s="5" t="s">
        <v>5943</v>
      </c>
      <c r="J2241" s="12" t="str">
        <f>HYPERLINK("https://www.boe.es/gazeta/dias/1808/07/13/pdfs/GMD-1808-85.pdf#page=6","Abrir facsímil")</f>
        <v>Abrir facsímil</v>
      </c>
      <c r="K2241" s="15" t="s">
        <v>23</v>
      </c>
    </row>
    <row r="2242" spans="1:11" ht="42" customHeight="1">
      <c r="A2242" s="4" t="s">
        <v>5944</v>
      </c>
      <c r="B2242" s="5" t="s">
        <v>5945</v>
      </c>
      <c r="C2242" s="5" t="s">
        <v>41</v>
      </c>
      <c r="D2242" s="5" t="s">
        <v>42</v>
      </c>
      <c r="E2242" s="5" t="s">
        <v>166</v>
      </c>
      <c r="F2242" s="9" t="s">
        <v>400</v>
      </c>
      <c r="G2242" s="9" t="s">
        <v>106</v>
      </c>
      <c r="H2242" s="5" t="s">
        <v>21</v>
      </c>
      <c r="I2242" s="5" t="s">
        <v>5946</v>
      </c>
      <c r="J2242" s="12" t="str">
        <f>HYPERLINK("https://www.boe.es/gazeta/dias/1808/11/18/pdfs/D00069-00072.pdf#page=3","Abrir facsímil")</f>
        <v>Abrir facsímil</v>
      </c>
      <c r="K2242" s="15" t="s">
        <v>23</v>
      </c>
    </row>
    <row r="2243" spans="1:11" ht="42" customHeight="1">
      <c r="A2243" s="4" t="s">
        <v>5947</v>
      </c>
      <c r="B2243" s="5" t="s">
        <v>5948</v>
      </c>
      <c r="C2243" s="5" t="s">
        <v>94</v>
      </c>
      <c r="D2243" s="5" t="s">
        <v>95</v>
      </c>
      <c r="E2243" s="5" t="s">
        <v>456</v>
      </c>
      <c r="F2243" s="9" t="s">
        <v>748</v>
      </c>
      <c r="G2243" s="9" t="s">
        <v>106</v>
      </c>
      <c r="H2243" s="5" t="s">
        <v>21</v>
      </c>
      <c r="I2243" s="5" t="s">
        <v>5949</v>
      </c>
      <c r="J2243" s="12" t="str">
        <f>HYPERLINK("https://www.boe.es/gazeta/dias/1808/10/14/pdfs/GMD-C-1808-134.pdf#page=3","Abrir facsímil")</f>
        <v>Abrir facsímil</v>
      </c>
      <c r="K2243" s="15" t="s">
        <v>23</v>
      </c>
    </row>
    <row r="2244" spans="1:11" ht="42" customHeight="1">
      <c r="A2244" s="4" t="s">
        <v>5950</v>
      </c>
      <c r="B2244" s="5" t="s">
        <v>5951</v>
      </c>
      <c r="C2244" s="5" t="s">
        <v>17</v>
      </c>
      <c r="D2244" s="5" t="s">
        <v>18</v>
      </c>
      <c r="E2244" s="5" t="s">
        <v>110</v>
      </c>
      <c r="F2244" s="9" t="s">
        <v>111</v>
      </c>
      <c r="G2244" s="9">
        <v>1384</v>
      </c>
      <c r="H2244" s="5" t="s">
        <v>21</v>
      </c>
      <c r="I2244" s="5" t="s">
        <v>5952</v>
      </c>
      <c r="J2244" s="12" t="str">
        <f>HYPERLINK("https://www.boe.es/gazeta/dias/1808/10/28/pdfs/GMD-1808-138.pdf#page=10","Abrir facsímil")</f>
        <v>Abrir facsímil</v>
      </c>
      <c r="K2244" s="15" t="s">
        <v>23</v>
      </c>
    </row>
    <row r="2245" spans="1:11" ht="42" customHeight="1">
      <c r="A2245" s="4" t="s">
        <v>5953</v>
      </c>
      <c r="B2245" s="5" t="s">
        <v>5954</v>
      </c>
      <c r="C2245" s="5" t="s">
        <v>17</v>
      </c>
      <c r="D2245" s="5" t="s">
        <v>18</v>
      </c>
      <c r="E2245" s="5" t="s">
        <v>1385</v>
      </c>
      <c r="F2245" s="9" t="s">
        <v>1386</v>
      </c>
      <c r="G2245" s="9">
        <v>233</v>
      </c>
      <c r="H2245" s="5" t="s">
        <v>21</v>
      </c>
      <c r="I2245" s="5" t="s">
        <v>5955</v>
      </c>
      <c r="J2245" s="12" t="str">
        <f>HYPERLINK("https://www.boe.es/gazeta/dias/1808/03/04/pdfs/GMD-1808-19.pdf#page=11","Abrir facsímil")</f>
        <v>Abrir facsímil</v>
      </c>
      <c r="K2245" s="15" t="s">
        <v>23</v>
      </c>
    </row>
    <row r="2246" spans="1:11" ht="42" customHeight="1">
      <c r="A2246" s="4" t="s">
        <v>5956</v>
      </c>
      <c r="B2246" s="5" t="s">
        <v>5957</v>
      </c>
      <c r="C2246" s="5" t="s">
        <v>17</v>
      </c>
      <c r="D2246" s="5" t="s">
        <v>18</v>
      </c>
      <c r="E2246" s="5" t="s">
        <v>185</v>
      </c>
      <c r="F2246" s="9" t="s">
        <v>186</v>
      </c>
      <c r="G2246" s="9">
        <v>1105</v>
      </c>
      <c r="H2246" s="5" t="s">
        <v>21</v>
      </c>
      <c r="I2246" s="5" t="s">
        <v>5958</v>
      </c>
      <c r="J2246" s="12" t="str">
        <f>HYPERLINK("https://www.boe.es/gazeta/dias/1808/08/30/pdfs/GMD-1808-118.pdf#page=11","Abrir facsímil")</f>
        <v>Abrir facsímil</v>
      </c>
      <c r="K2246" s="15" t="s">
        <v>23</v>
      </c>
    </row>
    <row r="2247" spans="1:11" ht="42" customHeight="1">
      <c r="A2247" s="4" t="s">
        <v>5959</v>
      </c>
      <c r="B2247" s="5" t="s">
        <v>5960</v>
      </c>
      <c r="C2247" s="5" t="s">
        <v>33</v>
      </c>
      <c r="D2247" s="5" t="s">
        <v>34</v>
      </c>
      <c r="E2247" s="5" t="s">
        <v>35</v>
      </c>
      <c r="F2247" s="9" t="s">
        <v>36</v>
      </c>
      <c r="G2247" s="9" t="s">
        <v>867</v>
      </c>
      <c r="H2247" s="5" t="s">
        <v>21</v>
      </c>
      <c r="I2247" s="5" t="s">
        <v>5961</v>
      </c>
      <c r="J2247" s="12" t="str">
        <f>HYPERLINK("https://www.boe.es/gazeta/dias/1808/04/22/pdfs/GMD-C-1808-38.pdf#page=19","Abrir facsímil")</f>
        <v>Abrir facsímil</v>
      </c>
      <c r="K2247" s="15" t="s">
        <v>23</v>
      </c>
    </row>
    <row r="2248" spans="1:11" ht="42" customHeight="1">
      <c r="A2248" s="4" t="s">
        <v>5962</v>
      </c>
      <c r="B2248" s="5" t="s">
        <v>5963</v>
      </c>
      <c r="C2248" s="5" t="s">
        <v>41</v>
      </c>
      <c r="D2248" s="5" t="s">
        <v>42</v>
      </c>
      <c r="E2248" s="5" t="s">
        <v>1085</v>
      </c>
      <c r="F2248" s="9" t="s">
        <v>1086</v>
      </c>
      <c r="G2248" s="9">
        <v>106</v>
      </c>
      <c r="H2248" s="5" t="s">
        <v>21</v>
      </c>
      <c r="I2248" s="5" t="s">
        <v>5964</v>
      </c>
      <c r="J2248" s="12" t="str">
        <f>HYPERLINK("https://www.boe.es/gazeta/dias/1808/01/29/pdfs/GMD-1808-9.pdf#page=10","Abrir facsímil")</f>
        <v>Abrir facsímil</v>
      </c>
      <c r="K2248" s="15" t="s">
        <v>23</v>
      </c>
    </row>
    <row r="2249" spans="1:11" ht="42" customHeight="1">
      <c r="A2249" s="4" t="s">
        <v>5962</v>
      </c>
      <c r="B2249" s="5" t="s">
        <v>5963</v>
      </c>
      <c r="C2249" s="5" t="s">
        <v>33</v>
      </c>
      <c r="D2249" s="5" t="s">
        <v>34</v>
      </c>
      <c r="E2249" s="5" t="s">
        <v>110</v>
      </c>
      <c r="F2249" s="9" t="s">
        <v>828</v>
      </c>
      <c r="G2249" s="9" t="s">
        <v>199</v>
      </c>
      <c r="H2249" s="5" t="s">
        <v>21</v>
      </c>
      <c r="I2249" s="5" t="s">
        <v>5965</v>
      </c>
      <c r="J2249" s="12" t="str">
        <f>HYPERLINK("https://www.boe.es/gazeta/dias/1808/10/28/pdfs/GMD-D-1808-138.pdf#page=2","Abrir facsímil")</f>
        <v>Abrir facsímil</v>
      </c>
      <c r="K2249" s="15" t="s">
        <v>23</v>
      </c>
    </row>
    <row r="2250" spans="1:11" ht="42" customHeight="1">
      <c r="A2250" s="4" t="s">
        <v>5962</v>
      </c>
      <c r="B2250" s="5" t="s">
        <v>5963</v>
      </c>
      <c r="C2250" s="5" t="s">
        <v>94</v>
      </c>
      <c r="D2250" s="5" t="s">
        <v>95</v>
      </c>
      <c r="E2250" s="5" t="s">
        <v>28</v>
      </c>
      <c r="F2250" s="9" t="s">
        <v>29</v>
      </c>
      <c r="G2250" s="9">
        <v>1428</v>
      </c>
      <c r="H2250" s="5" t="s">
        <v>21</v>
      </c>
      <c r="I2250" s="5" t="s">
        <v>5966</v>
      </c>
      <c r="J2250" s="12" t="str">
        <f>HYPERLINK("https://www.boe.es/gazeta/dias/1808/11/04/pdfs/GMD-1808-141.pdf#page=10","Abrir facsímil")</f>
        <v>Abrir facsímil</v>
      </c>
      <c r="K2250" s="15" t="s">
        <v>23</v>
      </c>
    </row>
    <row r="2251" spans="1:11" ht="42" customHeight="1">
      <c r="A2251" s="4" t="s">
        <v>5967</v>
      </c>
      <c r="B2251" s="5" t="s">
        <v>5968</v>
      </c>
      <c r="C2251" s="5" t="s">
        <v>17</v>
      </c>
      <c r="D2251" s="5" t="s">
        <v>18</v>
      </c>
      <c r="E2251" s="5" t="s">
        <v>125</v>
      </c>
      <c r="F2251" s="9" t="s">
        <v>397</v>
      </c>
      <c r="G2251" s="9">
        <v>1270</v>
      </c>
      <c r="H2251" s="5" t="s">
        <v>21</v>
      </c>
      <c r="I2251" s="5" t="s">
        <v>5969</v>
      </c>
      <c r="J2251" s="12" t="str">
        <f>HYPERLINK("https://www.boe.es/gazeta/dias/1808/10/07/pdfs/GMD-1808-132.pdf#page=10","Abrir facsímil")</f>
        <v>Abrir facsímil</v>
      </c>
      <c r="K2251" s="15" t="s">
        <v>23</v>
      </c>
    </row>
    <row r="2252" spans="1:11" ht="42" customHeight="1">
      <c r="A2252" s="4" t="s">
        <v>5970</v>
      </c>
      <c r="B2252" s="5" t="s">
        <v>5971</v>
      </c>
      <c r="C2252" s="5" t="s">
        <v>94</v>
      </c>
      <c r="D2252" s="5" t="s">
        <v>95</v>
      </c>
      <c r="E2252" s="5" t="s">
        <v>120</v>
      </c>
      <c r="F2252" s="9" t="s">
        <v>121</v>
      </c>
      <c r="G2252" s="9">
        <v>315</v>
      </c>
      <c r="H2252" s="5" t="s">
        <v>21</v>
      </c>
      <c r="I2252" s="5" t="s">
        <v>5972</v>
      </c>
      <c r="J2252" s="12" t="str">
        <f>HYPERLINK("https://www.boe.es/gazeta/dias/1808/03/29/pdfs/GMD-1808-27.pdf#page=11","Abrir facsímil")</f>
        <v>Abrir facsímil</v>
      </c>
      <c r="K2252" s="15" t="s">
        <v>23</v>
      </c>
    </row>
    <row r="2253" spans="1:11" ht="42" customHeight="1">
      <c r="A2253" s="4" t="s">
        <v>5973</v>
      </c>
      <c r="B2253" s="5" t="s">
        <v>5974</v>
      </c>
      <c r="C2253" s="5" t="s">
        <v>41</v>
      </c>
      <c r="D2253" s="5" t="s">
        <v>42</v>
      </c>
      <c r="E2253" s="5" t="s">
        <v>180</v>
      </c>
      <c r="F2253" s="9" t="s">
        <v>768</v>
      </c>
      <c r="G2253" s="9" t="s">
        <v>199</v>
      </c>
      <c r="H2253" s="5" t="s">
        <v>21</v>
      </c>
      <c r="I2253" s="5" t="s">
        <v>5975</v>
      </c>
      <c r="J2253" s="12" t="str">
        <f>HYPERLINK("https://www.boe.es/gazeta/dias/1808/11/15/pdfs/GMD-D-1808-144.pdf#page=2","Abrir facsímil")</f>
        <v>Abrir facsímil</v>
      </c>
      <c r="K2253" s="15" t="s">
        <v>23</v>
      </c>
    </row>
    <row r="2254" spans="1:11" ht="42" customHeight="1">
      <c r="A2254" s="4" t="s">
        <v>5976</v>
      </c>
      <c r="B2254" s="5" t="s">
        <v>5977</v>
      </c>
      <c r="C2254" s="5" t="s">
        <v>41</v>
      </c>
      <c r="D2254" s="5" t="s">
        <v>42</v>
      </c>
      <c r="E2254" s="5" t="s">
        <v>1385</v>
      </c>
      <c r="F2254" s="9" t="s">
        <v>1386</v>
      </c>
      <c r="G2254" s="9">
        <v>232</v>
      </c>
      <c r="H2254" s="5" t="s">
        <v>21</v>
      </c>
      <c r="I2254" s="5" t="s">
        <v>5978</v>
      </c>
      <c r="J2254" s="12" t="str">
        <f>HYPERLINK("https://www.boe.es/gazeta/dias/1808/03/04/pdfs/GMD-1808-19.pdf#page=10","Abrir facsímil")</f>
        <v>Abrir facsímil</v>
      </c>
      <c r="K2254" s="15" t="s">
        <v>23</v>
      </c>
    </row>
    <row r="2255" spans="1:11" ht="42" customHeight="1">
      <c r="A2255" s="4" t="s">
        <v>5979</v>
      </c>
      <c r="B2255" s="5" t="s">
        <v>5980</v>
      </c>
      <c r="C2255" s="5" t="s">
        <v>33</v>
      </c>
      <c r="D2255" s="5" t="s">
        <v>34</v>
      </c>
      <c r="E2255" s="5" t="s">
        <v>35</v>
      </c>
      <c r="F2255" s="9" t="s">
        <v>36</v>
      </c>
      <c r="G2255" s="9" t="s">
        <v>277</v>
      </c>
      <c r="H2255" s="5" t="s">
        <v>21</v>
      </c>
      <c r="I2255" s="5" t="s">
        <v>5981</v>
      </c>
      <c r="J2255" s="12" t="str">
        <f>HYPERLINK("https://www.boe.es/gazeta/dias/1808/04/22/pdfs/GMD-C-1808-38.pdf#page=34","Abrir facsímil")</f>
        <v>Abrir facsímil</v>
      </c>
      <c r="K2255" s="15" t="s">
        <v>23</v>
      </c>
    </row>
    <row r="2256" spans="1:11" ht="42" customHeight="1">
      <c r="A2256" s="4" t="s">
        <v>5982</v>
      </c>
      <c r="B2256" s="5" t="s">
        <v>5983</v>
      </c>
      <c r="C2256" s="5" t="s">
        <v>94</v>
      </c>
      <c r="D2256" s="5" t="s">
        <v>95</v>
      </c>
      <c r="E2256" s="5" t="s">
        <v>51</v>
      </c>
      <c r="F2256" s="9" t="s">
        <v>52</v>
      </c>
      <c r="G2256" s="9">
        <v>990</v>
      </c>
      <c r="H2256" s="5" t="s">
        <v>21</v>
      </c>
      <c r="I2256" s="5" t="s">
        <v>5984</v>
      </c>
      <c r="J2256" s="12" t="str">
        <f>HYPERLINK("https://www.boe.es/gazeta/dias/1808/08/09/pdfs/GMD-1808-111.pdf#page=6","Abrir facsímil")</f>
        <v>Abrir facsímil</v>
      </c>
      <c r="K2256" s="15" t="s">
        <v>23</v>
      </c>
    </row>
    <row r="2257" spans="1:11" ht="42" customHeight="1">
      <c r="A2257" s="4" t="s">
        <v>5985</v>
      </c>
      <c r="B2257" s="5" t="s">
        <v>5986</v>
      </c>
      <c r="C2257" s="5" t="s">
        <v>17</v>
      </c>
      <c r="D2257" s="5" t="s">
        <v>18</v>
      </c>
      <c r="E2257" s="5" t="s">
        <v>139</v>
      </c>
      <c r="F2257" s="9" t="s">
        <v>140</v>
      </c>
      <c r="G2257" s="9">
        <v>1204</v>
      </c>
      <c r="H2257" s="5" t="s">
        <v>21</v>
      </c>
      <c r="I2257" s="5" t="s">
        <v>5987</v>
      </c>
      <c r="J2257" s="12" t="str">
        <f>HYPERLINK("https://www.boe.es/gazeta/dias/1808/09/23/pdfs/GMD-1808-127.pdf#page=12","Abrir facsímil")</f>
        <v>Abrir facsímil</v>
      </c>
      <c r="K2257" s="15" t="s">
        <v>23</v>
      </c>
    </row>
    <row r="2258" spans="1:11" ht="42" customHeight="1">
      <c r="A2258" s="4" t="s">
        <v>5988</v>
      </c>
      <c r="B2258" s="5" t="s">
        <v>5989</v>
      </c>
      <c r="C2258" s="5" t="s">
        <v>17</v>
      </c>
      <c r="D2258" s="5" t="s">
        <v>18</v>
      </c>
      <c r="E2258" s="5" t="s">
        <v>2598</v>
      </c>
      <c r="F2258" s="9" t="s">
        <v>2599</v>
      </c>
      <c r="G2258" s="9">
        <v>950</v>
      </c>
      <c r="H2258" s="5" t="s">
        <v>21</v>
      </c>
      <c r="I2258" s="5" t="s">
        <v>5990</v>
      </c>
      <c r="J2258" s="12" t="str">
        <f>HYPERLINK("https://www.boe.es/gazeta/dias/1808/08/01/pdfs/GMD-1808-104.pdf#page=8","Abrir facsímil")</f>
        <v>Abrir facsímil</v>
      </c>
      <c r="K2258" s="15" t="s">
        <v>23</v>
      </c>
    </row>
    <row r="2259" spans="1:11" ht="42" customHeight="1">
      <c r="A2259" s="4" t="s">
        <v>5991</v>
      </c>
      <c r="B2259" s="5" t="s">
        <v>5992</v>
      </c>
      <c r="C2259" s="5" t="s">
        <v>17</v>
      </c>
      <c r="D2259" s="5" t="s">
        <v>18</v>
      </c>
      <c r="E2259" s="5" t="s">
        <v>508</v>
      </c>
      <c r="F2259" s="9" t="s">
        <v>5993</v>
      </c>
      <c r="G2259" s="9">
        <v>182</v>
      </c>
      <c r="H2259" s="5" t="s">
        <v>21</v>
      </c>
      <c r="I2259" s="5" t="s">
        <v>5994</v>
      </c>
      <c r="J2259" s="12" t="str">
        <f>HYPERLINK("https://www.boe.es/gazeta/dias/1808/08/16/pdfs/GMS-1808-23.pdf#page=6","Abrir facsímil")</f>
        <v>Abrir facsímil</v>
      </c>
      <c r="K2259" s="15" t="s">
        <v>23</v>
      </c>
    </row>
    <row r="2260" spans="1:11" ht="42" customHeight="1">
      <c r="A2260" s="4" t="s">
        <v>5995</v>
      </c>
      <c r="B2260" s="5" t="s">
        <v>5996</v>
      </c>
      <c r="C2260" s="5" t="s">
        <v>41</v>
      </c>
      <c r="D2260" s="5" t="s">
        <v>42</v>
      </c>
      <c r="E2260" s="5" t="s">
        <v>469</v>
      </c>
      <c r="F2260" s="9" t="s">
        <v>470</v>
      </c>
      <c r="G2260" s="9">
        <v>154</v>
      </c>
      <c r="H2260" s="5" t="s">
        <v>21</v>
      </c>
      <c r="I2260" s="5" t="s">
        <v>5997</v>
      </c>
      <c r="J2260" s="12" t="str">
        <f>HYPERLINK("https://www.boe.es/gazeta/dias/1808/02/12/pdfs/GMD-1808-13.pdf#page=10","Abrir facsímil")</f>
        <v>Abrir facsímil</v>
      </c>
      <c r="K2260" s="15" t="s">
        <v>23</v>
      </c>
    </row>
    <row r="2261" spans="1:11" ht="42" customHeight="1">
      <c r="A2261" s="4" t="s">
        <v>5998</v>
      </c>
      <c r="B2261" s="5" t="s">
        <v>5999</v>
      </c>
      <c r="C2261" s="5" t="s">
        <v>33</v>
      </c>
      <c r="D2261" s="5" t="s">
        <v>34</v>
      </c>
      <c r="E2261" s="5" t="s">
        <v>35</v>
      </c>
      <c r="F2261" s="9" t="s">
        <v>36</v>
      </c>
      <c r="G2261" s="9" t="s">
        <v>837</v>
      </c>
      <c r="H2261" s="5" t="s">
        <v>21</v>
      </c>
      <c r="I2261" s="5" t="s">
        <v>6000</v>
      </c>
      <c r="J2261" s="12" t="str">
        <f>HYPERLINK("https://www.boe.es/gazeta/dias/1808/04/22/pdfs/GMD-C-1808-38.pdf#page=10","Abrir facsímil")</f>
        <v>Abrir facsímil</v>
      </c>
      <c r="K2261" s="15" t="s">
        <v>23</v>
      </c>
    </row>
    <row r="2262" spans="1:11" ht="42" customHeight="1">
      <c r="A2262" s="4" t="s">
        <v>5998</v>
      </c>
      <c r="B2262" s="5" t="s">
        <v>5999</v>
      </c>
      <c r="C2262" s="5" t="s">
        <v>33</v>
      </c>
      <c r="D2262" s="5" t="s">
        <v>34</v>
      </c>
      <c r="E2262" s="5" t="s">
        <v>35</v>
      </c>
      <c r="F2262" s="9" t="s">
        <v>36</v>
      </c>
      <c r="G2262" s="9" t="s">
        <v>199</v>
      </c>
      <c r="H2262" s="5" t="s">
        <v>21</v>
      </c>
      <c r="I2262" s="5" t="s">
        <v>6001</v>
      </c>
      <c r="J2262" s="12" t="str">
        <f>HYPERLINK("https://www.boe.es/gazeta/dias/1808/04/22/pdfs/GMD-C-1808-38.pdf#page=2","Abrir facsímil")</f>
        <v>Abrir facsímil</v>
      </c>
      <c r="K2262" s="15" t="s">
        <v>23</v>
      </c>
    </row>
    <row r="2263" spans="1:11" ht="42" customHeight="1">
      <c r="A2263" s="4" t="s">
        <v>6002</v>
      </c>
      <c r="B2263" s="5" t="s">
        <v>6003</v>
      </c>
      <c r="C2263" s="5" t="s">
        <v>33</v>
      </c>
      <c r="D2263" s="5" t="s">
        <v>34</v>
      </c>
      <c r="E2263" s="5" t="s">
        <v>35</v>
      </c>
      <c r="F2263" s="9" t="s">
        <v>36</v>
      </c>
      <c r="G2263" s="9" t="s">
        <v>273</v>
      </c>
      <c r="H2263" s="5" t="s">
        <v>21</v>
      </c>
      <c r="I2263" s="5" t="s">
        <v>6004</v>
      </c>
      <c r="J2263" s="12" t="str">
        <f>HYPERLINK("https://www.boe.es/gazeta/dias/1808/04/22/pdfs/GMD-C-1808-38.pdf#page=12","Abrir facsímil")</f>
        <v>Abrir facsímil</v>
      </c>
      <c r="K2263" s="15" t="s">
        <v>23</v>
      </c>
    </row>
    <row r="2264" spans="1:11" ht="42" customHeight="1">
      <c r="A2264" s="4" t="s">
        <v>6002</v>
      </c>
      <c r="B2264" s="5" t="s">
        <v>6003</v>
      </c>
      <c r="C2264" s="5" t="s">
        <v>33</v>
      </c>
      <c r="D2264" s="5" t="s">
        <v>34</v>
      </c>
      <c r="E2264" s="5" t="s">
        <v>35</v>
      </c>
      <c r="F2264" s="9" t="s">
        <v>36</v>
      </c>
      <c r="G2264" s="9" t="s">
        <v>313</v>
      </c>
      <c r="H2264" s="5" t="s">
        <v>21</v>
      </c>
      <c r="I2264" s="5" t="s">
        <v>6005</v>
      </c>
      <c r="J2264" s="12" t="str">
        <f>HYPERLINK("https://www.boe.es/gazeta/dias/1808/04/22/pdfs/GMD-C-1808-38.pdf#page=29","Abrir facsímil")</f>
        <v>Abrir facsímil</v>
      </c>
      <c r="K2264" s="15" t="s">
        <v>23</v>
      </c>
    </row>
    <row r="2265" spans="1:11" ht="42" customHeight="1">
      <c r="A2265" s="4" t="s">
        <v>6002</v>
      </c>
      <c r="B2265" s="5" t="s">
        <v>6003</v>
      </c>
      <c r="C2265" s="5" t="s">
        <v>33</v>
      </c>
      <c r="D2265" s="5" t="s">
        <v>34</v>
      </c>
      <c r="E2265" s="5" t="s">
        <v>35</v>
      </c>
      <c r="F2265" s="9" t="s">
        <v>36</v>
      </c>
      <c r="G2265" s="9" t="s">
        <v>1075</v>
      </c>
      <c r="H2265" s="5" t="s">
        <v>21</v>
      </c>
      <c r="I2265" s="5" t="s">
        <v>6006</v>
      </c>
      <c r="J2265" s="12" t="str">
        <f>HYPERLINK("https://www.boe.es/gazeta/dias/1808/04/22/pdfs/GMD-C-1808-38.pdf#page=32","Abrir facsímil")</f>
        <v>Abrir facsímil</v>
      </c>
      <c r="K2265" s="15" t="s">
        <v>23</v>
      </c>
    </row>
    <row r="2266" spans="1:11" ht="42" customHeight="1">
      <c r="A2266" s="4" t="s">
        <v>6002</v>
      </c>
      <c r="B2266" s="5" t="s">
        <v>6003</v>
      </c>
      <c r="C2266" s="5" t="s">
        <v>41</v>
      </c>
      <c r="D2266" s="5" t="s">
        <v>42</v>
      </c>
      <c r="E2266" s="5" t="s">
        <v>35</v>
      </c>
      <c r="F2266" s="9" t="s">
        <v>36</v>
      </c>
      <c r="G2266" s="9" t="s">
        <v>144</v>
      </c>
      <c r="H2266" s="5" t="s">
        <v>21</v>
      </c>
      <c r="I2266" s="5" t="s">
        <v>6007</v>
      </c>
      <c r="J2266" s="12" t="str">
        <f>HYPERLINK("https://www.boe.es/gazeta/dias/1808/04/22/pdfs/GMD-C-1808-38.pdf#page=40","Abrir facsímil")</f>
        <v>Abrir facsímil</v>
      </c>
      <c r="K2266" s="15" t="s">
        <v>23</v>
      </c>
    </row>
    <row r="2267" spans="1:11" ht="42" customHeight="1">
      <c r="A2267" s="4" t="s">
        <v>6008</v>
      </c>
      <c r="B2267" s="5" t="s">
        <v>6009</v>
      </c>
      <c r="C2267" s="5" t="s">
        <v>33</v>
      </c>
      <c r="D2267" s="5" t="s">
        <v>34</v>
      </c>
      <c r="E2267" s="5" t="s">
        <v>35</v>
      </c>
      <c r="F2267" s="9" t="s">
        <v>36</v>
      </c>
      <c r="G2267" s="9" t="s">
        <v>818</v>
      </c>
      <c r="H2267" s="5" t="s">
        <v>21</v>
      </c>
      <c r="I2267" s="5" t="s">
        <v>6010</v>
      </c>
      <c r="J2267" s="12" t="str">
        <f>HYPERLINK("https://www.boe.es/gazeta/dias/1808/04/22/pdfs/GMD-C-1808-38.pdf#page=7","Abrir facsímil")</f>
        <v>Abrir facsímil</v>
      </c>
      <c r="K2267" s="15" t="s">
        <v>23</v>
      </c>
    </row>
    <row r="2268" spans="1:11" ht="42" customHeight="1">
      <c r="A2268" s="4" t="s">
        <v>6011</v>
      </c>
      <c r="B2268" s="5" t="s">
        <v>6012</v>
      </c>
      <c r="C2268" s="5" t="s">
        <v>33</v>
      </c>
      <c r="D2268" s="5" t="s">
        <v>34</v>
      </c>
      <c r="E2268" s="5" t="s">
        <v>363</v>
      </c>
      <c r="F2268" s="9" t="s">
        <v>364</v>
      </c>
      <c r="G2268" s="9" t="s">
        <v>75</v>
      </c>
      <c r="H2268" s="5" t="s">
        <v>21</v>
      </c>
      <c r="I2268" s="5" t="s">
        <v>6013</v>
      </c>
      <c r="J2268" s="12" t="str">
        <f>HYPERLINK("https://www.boe.es/gazeta/dias/1808/09/20/pdfs/GMD-C-1808-126.pdf#page=4","Abrir facsímil")</f>
        <v>Abrir facsímil</v>
      </c>
      <c r="K2268" s="15" t="s">
        <v>23</v>
      </c>
    </row>
    <row r="2269" spans="1:11" ht="42" customHeight="1">
      <c r="A2269" s="4" t="s">
        <v>6014</v>
      </c>
      <c r="B2269" s="5" t="s">
        <v>6015</v>
      </c>
      <c r="C2269" s="5" t="s">
        <v>17</v>
      </c>
      <c r="D2269" s="5" t="s">
        <v>18</v>
      </c>
      <c r="E2269" s="5" t="s">
        <v>719</v>
      </c>
      <c r="F2269" s="9" t="s">
        <v>720</v>
      </c>
      <c r="G2269" s="9">
        <v>1609</v>
      </c>
      <c r="H2269" s="5" t="s">
        <v>21</v>
      </c>
      <c r="I2269" s="5" t="s">
        <v>6016</v>
      </c>
      <c r="J2269" s="12" t="str">
        <f>HYPERLINK("https://www.boe.es/gazeta/dias/1808/12/16/pdfs/GMD-1808-156.pdf#page=1","Abrir facsímil")</f>
        <v>Abrir facsímil</v>
      </c>
      <c r="K2269" s="15" t="s">
        <v>23</v>
      </c>
    </row>
    <row r="2270" spans="1:11" ht="42" customHeight="1">
      <c r="A2270" s="4" t="s">
        <v>6017</v>
      </c>
      <c r="B2270" s="5" t="s">
        <v>6018</v>
      </c>
      <c r="C2270" s="5" t="s">
        <v>33</v>
      </c>
      <c r="D2270" s="5" t="s">
        <v>34</v>
      </c>
      <c r="E2270" s="5" t="s">
        <v>68</v>
      </c>
      <c r="F2270" s="9" t="s">
        <v>309</v>
      </c>
      <c r="G2270" s="9" t="s">
        <v>199</v>
      </c>
      <c r="H2270" s="5" t="s">
        <v>21</v>
      </c>
      <c r="I2270" s="5" t="s">
        <v>6019</v>
      </c>
      <c r="J2270" s="12" t="str">
        <f>HYPERLINK("https://www.boe.es/gazeta/dias/1808/10/21/pdfs/GMD-D-1808-136.pdf#page=2","Abrir facsímil")</f>
        <v>Abrir facsímil</v>
      </c>
      <c r="K2270" s="15" t="s">
        <v>23</v>
      </c>
    </row>
    <row r="2271" spans="1:11" ht="42" customHeight="1">
      <c r="A2271" s="4" t="s">
        <v>6020</v>
      </c>
      <c r="B2271" s="5" t="s">
        <v>6021</v>
      </c>
      <c r="C2271" s="5" t="s">
        <v>33</v>
      </c>
      <c r="D2271" s="5" t="s">
        <v>34</v>
      </c>
      <c r="E2271" s="5" t="s">
        <v>89</v>
      </c>
      <c r="F2271" s="9" t="s">
        <v>563</v>
      </c>
      <c r="G2271" s="9" t="s">
        <v>106</v>
      </c>
      <c r="H2271" s="5" t="s">
        <v>21</v>
      </c>
      <c r="I2271" s="5" t="s">
        <v>6022</v>
      </c>
      <c r="J2271" s="12" t="str">
        <f>HYPERLINK("https://www.boe.es/gazeta/dias/1808/10/25/pdfs/GMD-D-1808-137.pdf#page=3","Abrir facsímil")</f>
        <v>Abrir facsímil</v>
      </c>
      <c r="K2271" s="15" t="s">
        <v>23</v>
      </c>
    </row>
    <row r="2272" spans="1:11" ht="42" customHeight="1">
      <c r="A2272" s="4" t="s">
        <v>6023</v>
      </c>
      <c r="B2272" s="5" t="s">
        <v>6024</v>
      </c>
      <c r="C2272" s="5" t="s">
        <v>94</v>
      </c>
      <c r="D2272" s="5" t="s">
        <v>95</v>
      </c>
      <c r="E2272" s="5" t="s">
        <v>513</v>
      </c>
      <c r="F2272" s="9" t="s">
        <v>514</v>
      </c>
      <c r="G2272" s="9">
        <v>286</v>
      </c>
      <c r="H2272" s="5" t="s">
        <v>21</v>
      </c>
      <c r="I2272" s="5" t="s">
        <v>6025</v>
      </c>
      <c r="J2272" s="12" t="str">
        <f>HYPERLINK("https://www.boe.es/gazeta/dias/1808/03/22/pdfs/GMD-1808-24.pdf#page=8","Abrir facsímil")</f>
        <v>Abrir facsímil</v>
      </c>
      <c r="K2272" s="15" t="s">
        <v>23</v>
      </c>
    </row>
    <row r="2273" spans="1:11" ht="42" customHeight="1">
      <c r="A2273" s="4" t="s">
        <v>6026</v>
      </c>
      <c r="B2273" s="5" t="s">
        <v>6027</v>
      </c>
      <c r="C2273" s="5" t="s">
        <v>17</v>
      </c>
      <c r="D2273" s="5" t="s">
        <v>18</v>
      </c>
      <c r="E2273" s="5" t="s">
        <v>238</v>
      </c>
      <c r="F2273" s="9" t="s">
        <v>239</v>
      </c>
      <c r="G2273" s="9">
        <v>35</v>
      </c>
      <c r="H2273" s="5" t="s">
        <v>21</v>
      </c>
      <c r="I2273" s="5" t="s">
        <v>6028</v>
      </c>
      <c r="J2273" s="12" t="str">
        <f>HYPERLINK("https://www.boe.es/gazeta/dias/1808/01/08/pdfs/GMD-1808-3.pdf#page=11","Abrir facsímil")</f>
        <v>Abrir facsímil</v>
      </c>
      <c r="K2273" s="15" t="s">
        <v>23</v>
      </c>
    </row>
    <row r="2274" spans="1:11" ht="42" customHeight="1">
      <c r="A2274" s="4" t="s">
        <v>6026</v>
      </c>
      <c r="B2274" s="5" t="s">
        <v>6027</v>
      </c>
      <c r="C2274" s="5" t="s">
        <v>94</v>
      </c>
      <c r="D2274" s="5" t="s">
        <v>95</v>
      </c>
      <c r="E2274" s="5" t="s">
        <v>245</v>
      </c>
      <c r="F2274" s="9" t="s">
        <v>246</v>
      </c>
      <c r="G2274" s="9">
        <v>542</v>
      </c>
      <c r="H2274" s="5" t="s">
        <v>21</v>
      </c>
      <c r="I2274" s="5" t="s">
        <v>6029</v>
      </c>
      <c r="J2274" s="12" t="str">
        <f>HYPERLINK("https://www.boe.es/gazeta/dias/1808/06/07/pdfs/GMD-1808-54.pdf#page=8","Abrir facsímil")</f>
        <v>Abrir facsímil</v>
      </c>
      <c r="K2274" s="15" t="s">
        <v>23</v>
      </c>
    </row>
    <row r="2275" spans="1:11" ht="42" customHeight="1">
      <c r="A2275" s="4" t="s">
        <v>6030</v>
      </c>
      <c r="B2275" s="5" t="s">
        <v>6031</v>
      </c>
      <c r="C2275" s="5" t="s">
        <v>17</v>
      </c>
      <c r="D2275" s="5" t="s">
        <v>18</v>
      </c>
      <c r="E2275" s="5" t="s">
        <v>334</v>
      </c>
      <c r="F2275" s="9" t="s">
        <v>1814</v>
      </c>
      <c r="G2275" s="9">
        <v>1246</v>
      </c>
      <c r="H2275" s="5" t="s">
        <v>21</v>
      </c>
      <c r="I2275" s="5" t="s">
        <v>6032</v>
      </c>
      <c r="J2275" s="12" t="str">
        <f>HYPERLINK("https://www.boe.es/gazeta/dias/1808/10/04/pdfs/GMD-1808-131.pdf#page=14","Abrir facsímil")</f>
        <v>Abrir facsímil</v>
      </c>
      <c r="K2275" s="15" t="s">
        <v>23</v>
      </c>
    </row>
    <row r="2276" spans="1:11" ht="42" customHeight="1">
      <c r="A2276" s="4" t="s">
        <v>6033</v>
      </c>
      <c r="B2276" s="5" t="s">
        <v>6034</v>
      </c>
      <c r="C2276" s="5" t="s">
        <v>33</v>
      </c>
      <c r="D2276" s="5" t="s">
        <v>34</v>
      </c>
      <c r="E2276" s="5" t="s">
        <v>115</v>
      </c>
      <c r="F2276" s="9" t="s">
        <v>116</v>
      </c>
      <c r="G2276" s="9" t="s">
        <v>106</v>
      </c>
      <c r="H2276" s="5" t="s">
        <v>21</v>
      </c>
      <c r="I2276" s="5" t="s">
        <v>6035</v>
      </c>
      <c r="J2276" s="12" t="str">
        <f>HYPERLINK("https://www.boe.es/gazeta/dias/1808/09/16/pdfs/GMD-C-1808-125.pdf#page=3","Abrir facsímil")</f>
        <v>Abrir facsímil</v>
      </c>
      <c r="K2276" s="15" t="s">
        <v>23</v>
      </c>
    </row>
    <row r="2277" spans="1:11" ht="42" customHeight="1">
      <c r="A2277" s="4" t="s">
        <v>6036</v>
      </c>
      <c r="B2277" s="5" t="s">
        <v>6037</v>
      </c>
      <c r="C2277" s="5" t="s">
        <v>33</v>
      </c>
      <c r="D2277" s="5" t="s">
        <v>34</v>
      </c>
      <c r="E2277" s="5" t="s">
        <v>125</v>
      </c>
      <c r="F2277" s="9" t="s">
        <v>126</v>
      </c>
      <c r="G2277" s="9" t="s">
        <v>117</v>
      </c>
      <c r="H2277" s="5" t="s">
        <v>21</v>
      </c>
      <c r="I2277" s="5" t="s">
        <v>6038</v>
      </c>
      <c r="J2277" s="12" t="str">
        <f>HYPERLINK("https://www.boe.es/gazeta/dias/1808/10/07/pdfs/GMD-C-1808-132.pdf#page=1","Abrir facsímil")</f>
        <v>Abrir facsímil</v>
      </c>
      <c r="K2277" s="15" t="s">
        <v>23</v>
      </c>
    </row>
    <row r="2278" spans="1:11" ht="42" customHeight="1">
      <c r="A2278" s="4" t="s">
        <v>6039</v>
      </c>
      <c r="B2278" s="5" t="s">
        <v>6040</v>
      </c>
      <c r="C2278" s="5" t="s">
        <v>33</v>
      </c>
      <c r="D2278" s="5" t="s">
        <v>34</v>
      </c>
      <c r="E2278" s="5" t="s">
        <v>35</v>
      </c>
      <c r="F2278" s="9" t="s">
        <v>36</v>
      </c>
      <c r="G2278" s="9" t="s">
        <v>277</v>
      </c>
      <c r="H2278" s="5" t="s">
        <v>21</v>
      </c>
      <c r="I2278" s="5" t="s">
        <v>6041</v>
      </c>
      <c r="J2278" s="12" t="str">
        <f>HYPERLINK("https://www.boe.es/gazeta/dias/1808/04/22/pdfs/GMD-C-1808-38.pdf#page=34","Abrir facsímil")</f>
        <v>Abrir facsímil</v>
      </c>
      <c r="K2278" s="15" t="s">
        <v>23</v>
      </c>
    </row>
    <row r="2279" spans="1:11" ht="42" customHeight="1">
      <c r="A2279" s="4" t="s">
        <v>6042</v>
      </c>
      <c r="B2279" s="5" t="s">
        <v>6043</v>
      </c>
      <c r="C2279" s="5" t="s">
        <v>94</v>
      </c>
      <c r="D2279" s="5" t="s">
        <v>95</v>
      </c>
      <c r="E2279" s="5" t="s">
        <v>68</v>
      </c>
      <c r="F2279" s="9" t="s">
        <v>849</v>
      </c>
      <c r="G2279" s="9">
        <v>1342</v>
      </c>
      <c r="H2279" s="5" t="s">
        <v>21</v>
      </c>
      <c r="I2279" s="5" t="s">
        <v>6044</v>
      </c>
      <c r="J2279" s="12" t="str">
        <f>HYPERLINK("https://www.boe.es/gazeta/dias/1808/10/21/pdfs/GMD-C-1808-136.pdf#page=2","Abrir facsímil")</f>
        <v>Abrir facsímil</v>
      </c>
      <c r="K2279" s="15" t="s">
        <v>23</v>
      </c>
    </row>
    <row r="2280" spans="1:11" ht="42" customHeight="1">
      <c r="A2280" s="4" t="s">
        <v>6045</v>
      </c>
      <c r="B2280" s="5" t="s">
        <v>6046</v>
      </c>
      <c r="C2280" s="5" t="s">
        <v>17</v>
      </c>
      <c r="D2280" s="5" t="s">
        <v>18</v>
      </c>
      <c r="E2280" s="5" t="s">
        <v>334</v>
      </c>
      <c r="F2280" s="9" t="s">
        <v>1814</v>
      </c>
      <c r="G2280" s="9">
        <v>1244</v>
      </c>
      <c r="H2280" s="5" t="s">
        <v>21</v>
      </c>
      <c r="I2280" s="5" t="s">
        <v>6047</v>
      </c>
      <c r="J2280" s="12" t="str">
        <f>HYPERLINK("https://www.boe.es/gazeta/dias/1808/10/04/pdfs/GMD-1808-131.pdf#page=12","Abrir facsímil")</f>
        <v>Abrir facsímil</v>
      </c>
      <c r="K2280" s="15" t="s">
        <v>23</v>
      </c>
    </row>
    <row r="2281" spans="1:11" ht="42" customHeight="1">
      <c r="A2281" s="4" t="s">
        <v>6045</v>
      </c>
      <c r="B2281" s="5" t="s">
        <v>6046</v>
      </c>
      <c r="C2281" s="5" t="s">
        <v>17</v>
      </c>
      <c r="D2281" s="5" t="s">
        <v>18</v>
      </c>
      <c r="E2281" s="5" t="s">
        <v>61</v>
      </c>
      <c r="F2281" s="9" t="s">
        <v>62</v>
      </c>
      <c r="G2281" s="9">
        <v>1281</v>
      </c>
      <c r="H2281" s="5" t="s">
        <v>21</v>
      </c>
      <c r="I2281" s="5" t="s">
        <v>6048</v>
      </c>
      <c r="J2281" s="12" t="str">
        <f>HYPERLINK("https://www.boe.es/gazeta/dias/1808/10/11/pdfs/GMD-1808-133.pdf#page=9","Abrir facsímil")</f>
        <v>Abrir facsímil</v>
      </c>
      <c r="K2281" s="15" t="s">
        <v>23</v>
      </c>
    </row>
    <row r="2282" spans="1:11" ht="42" customHeight="1">
      <c r="A2282" s="4" t="s">
        <v>6049</v>
      </c>
      <c r="B2282" s="5" t="s">
        <v>6050</v>
      </c>
      <c r="C2282" s="5" t="s">
        <v>33</v>
      </c>
      <c r="D2282" s="5" t="s">
        <v>34</v>
      </c>
      <c r="E2282" s="5" t="s">
        <v>125</v>
      </c>
      <c r="F2282" s="9" t="s">
        <v>126</v>
      </c>
      <c r="G2282" s="9" t="s">
        <v>106</v>
      </c>
      <c r="H2282" s="5" t="s">
        <v>21</v>
      </c>
      <c r="I2282" s="5" t="s">
        <v>6051</v>
      </c>
      <c r="J2282" s="12" t="str">
        <f>HYPERLINK("https://www.boe.es/gazeta/dias/1808/10/07/pdfs/GMD-C-1808-132.pdf#page=3","Abrir facsímil")</f>
        <v>Abrir facsímil</v>
      </c>
      <c r="K2282" s="15" t="s">
        <v>23</v>
      </c>
    </row>
    <row r="2283" spans="1:11" ht="42" customHeight="1">
      <c r="A2283" s="4" t="s">
        <v>6052</v>
      </c>
      <c r="B2283" s="5" t="s">
        <v>6053</v>
      </c>
      <c r="C2283" s="5" t="s">
        <v>33</v>
      </c>
      <c r="D2283" s="5" t="s">
        <v>34</v>
      </c>
      <c r="E2283" s="5" t="s">
        <v>334</v>
      </c>
      <c r="F2283" s="9" t="s">
        <v>335</v>
      </c>
      <c r="G2283" s="9">
        <v>1257</v>
      </c>
      <c r="H2283" s="5" t="s">
        <v>21</v>
      </c>
      <c r="I2283" s="5" t="s">
        <v>6054</v>
      </c>
      <c r="J2283" s="12" t="str">
        <f>HYPERLINK("https://www.boe.es/gazeta/dias/1808/10/04/pdfs/GMD-C-1808-131.pdf#page=9","Abrir facsímil")</f>
        <v>Abrir facsímil</v>
      </c>
      <c r="K2283" s="15" t="s">
        <v>23</v>
      </c>
    </row>
    <row r="2284" spans="1:11" ht="42" customHeight="1">
      <c r="A2284" s="4" t="s">
        <v>6055</v>
      </c>
      <c r="B2284" s="5" t="s">
        <v>6056</v>
      </c>
      <c r="C2284" s="5" t="s">
        <v>389</v>
      </c>
      <c r="D2284" s="5" t="s">
        <v>390</v>
      </c>
      <c r="E2284" s="5" t="s">
        <v>28</v>
      </c>
      <c r="F2284" s="9" t="s">
        <v>29</v>
      </c>
      <c r="G2284" s="9">
        <v>1428</v>
      </c>
      <c r="H2284" s="5" t="s">
        <v>21</v>
      </c>
      <c r="I2284" s="5" t="s">
        <v>6057</v>
      </c>
      <c r="J2284" s="12" t="str">
        <f>HYPERLINK("https://www.boe.es/gazeta/dias/1808/11/04/pdfs/GMD-1808-141.pdf#page=10","Abrir facsímil")</f>
        <v>Abrir facsímil</v>
      </c>
      <c r="K2284" s="15" t="s">
        <v>23</v>
      </c>
    </row>
    <row r="2285" spans="1:11" ht="42" customHeight="1">
      <c r="A2285" s="4" t="s">
        <v>6058</v>
      </c>
      <c r="B2285" s="5" t="s">
        <v>6059</v>
      </c>
      <c r="C2285" s="5" t="s">
        <v>33</v>
      </c>
      <c r="D2285" s="5" t="s">
        <v>34</v>
      </c>
      <c r="E2285" s="5" t="s">
        <v>125</v>
      </c>
      <c r="F2285" s="9" t="s">
        <v>126</v>
      </c>
      <c r="G2285" s="9" t="s">
        <v>75</v>
      </c>
      <c r="H2285" s="5" t="s">
        <v>21</v>
      </c>
      <c r="I2285" s="5" t="s">
        <v>6060</v>
      </c>
      <c r="J2285" s="12" t="str">
        <f>HYPERLINK("https://www.boe.es/gazeta/dias/1808/10/07/pdfs/GMD-C-1808-132.pdf#page=4","Abrir facsímil")</f>
        <v>Abrir facsímil</v>
      </c>
      <c r="K2285" s="15" t="s">
        <v>23</v>
      </c>
    </row>
    <row r="2286" spans="1:11" ht="42" customHeight="1">
      <c r="A2286" s="4" t="s">
        <v>6061</v>
      </c>
      <c r="B2286" s="5" t="s">
        <v>6062</v>
      </c>
      <c r="C2286" s="5" t="s">
        <v>94</v>
      </c>
      <c r="D2286" s="5" t="s">
        <v>95</v>
      </c>
      <c r="E2286" s="5" t="s">
        <v>1385</v>
      </c>
      <c r="F2286" s="9" t="s">
        <v>1386</v>
      </c>
      <c r="G2286" s="9">
        <v>231</v>
      </c>
      <c r="H2286" s="5" t="s">
        <v>21</v>
      </c>
      <c r="I2286" s="5" t="s">
        <v>6063</v>
      </c>
      <c r="J2286" s="12" t="str">
        <f>HYPERLINK("https://www.boe.es/gazeta/dias/1808/03/04/pdfs/GMD-1808-19.pdf#page=9","Abrir facsímil")</f>
        <v>Abrir facsímil</v>
      </c>
      <c r="K2286" s="15" t="s">
        <v>23</v>
      </c>
    </row>
    <row r="2287" spans="1:11" ht="42" customHeight="1">
      <c r="A2287" s="4" t="s">
        <v>6064</v>
      </c>
      <c r="B2287" s="5" t="s">
        <v>6065</v>
      </c>
      <c r="C2287" s="5" t="s">
        <v>41</v>
      </c>
      <c r="D2287" s="5" t="s">
        <v>42</v>
      </c>
      <c r="E2287" s="5" t="s">
        <v>65</v>
      </c>
      <c r="F2287" s="9" t="s">
        <v>66</v>
      </c>
      <c r="G2287" s="9">
        <v>1309</v>
      </c>
      <c r="H2287" s="5" t="s">
        <v>21</v>
      </c>
      <c r="I2287" s="5" t="s">
        <v>6066</v>
      </c>
      <c r="J2287" s="12" t="str">
        <f>HYPERLINK("https://www.boe.es/gazeta/dias/1808/10/18/pdfs/GMD-1808-135.pdf#page=9","Abrir facsímil")</f>
        <v>Abrir facsímil</v>
      </c>
      <c r="K2287" s="15" t="s">
        <v>23</v>
      </c>
    </row>
    <row r="2288" spans="1:11" ht="42" customHeight="1">
      <c r="A2288" s="4" t="s">
        <v>6067</v>
      </c>
      <c r="B2288" s="5" t="s">
        <v>6068</v>
      </c>
      <c r="C2288" s="5" t="s">
        <v>33</v>
      </c>
      <c r="D2288" s="5" t="s">
        <v>34</v>
      </c>
      <c r="E2288" s="5" t="s">
        <v>125</v>
      </c>
      <c r="F2288" s="9" t="s">
        <v>126</v>
      </c>
      <c r="G2288" s="9" t="s">
        <v>106</v>
      </c>
      <c r="H2288" s="5" t="s">
        <v>21</v>
      </c>
      <c r="I2288" s="5" t="s">
        <v>6069</v>
      </c>
      <c r="J2288" s="12" t="str">
        <f>HYPERLINK("https://www.boe.es/gazeta/dias/1808/10/07/pdfs/GMD-C-1808-132.pdf#page=3","Abrir facsímil")</f>
        <v>Abrir facsímil</v>
      </c>
      <c r="K2288" s="15" t="s">
        <v>23</v>
      </c>
    </row>
    <row r="2289" spans="1:11" ht="42" customHeight="1">
      <c r="A2289" s="4" t="s">
        <v>6070</v>
      </c>
      <c r="B2289" s="5" t="s">
        <v>6071</v>
      </c>
      <c r="C2289" s="5" t="s">
        <v>33</v>
      </c>
      <c r="D2289" s="5" t="s">
        <v>34</v>
      </c>
      <c r="E2289" s="5" t="s">
        <v>35</v>
      </c>
      <c r="F2289" s="9" t="s">
        <v>36</v>
      </c>
      <c r="G2289" s="9" t="s">
        <v>4783</v>
      </c>
      <c r="H2289" s="5" t="s">
        <v>21</v>
      </c>
      <c r="I2289" s="5" t="s">
        <v>6072</v>
      </c>
      <c r="J2289" s="12" t="str">
        <f>HYPERLINK("https://www.boe.es/gazeta/dias/1808/04/22/pdfs/GMD-C-1808-38.pdf#page=36","Abrir facsímil")</f>
        <v>Abrir facsímil</v>
      </c>
      <c r="K2289" s="15" t="s">
        <v>23</v>
      </c>
    </row>
    <row r="2290" spans="1:11" ht="42" customHeight="1">
      <c r="A2290" s="4" t="s">
        <v>6073</v>
      </c>
      <c r="B2290" s="5" t="s">
        <v>6074</v>
      </c>
      <c r="C2290" s="5" t="s">
        <v>33</v>
      </c>
      <c r="D2290" s="5" t="s">
        <v>34</v>
      </c>
      <c r="E2290" s="5" t="s">
        <v>35</v>
      </c>
      <c r="F2290" s="9" t="s">
        <v>36</v>
      </c>
      <c r="G2290" s="9" t="s">
        <v>655</v>
      </c>
      <c r="H2290" s="5" t="s">
        <v>21</v>
      </c>
      <c r="I2290" s="5" t="s">
        <v>6075</v>
      </c>
      <c r="J2290" s="12" t="str">
        <f>HYPERLINK("https://www.boe.es/gazeta/dias/1808/04/22/pdfs/GMD-C-1808-38.pdf#page=43","Abrir facsímil")</f>
        <v>Abrir facsímil</v>
      </c>
      <c r="K2290" s="15" t="s">
        <v>23</v>
      </c>
    </row>
    <row r="2291" spans="1:11" ht="42" customHeight="1">
      <c r="A2291" s="4" t="s">
        <v>6076</v>
      </c>
      <c r="B2291" s="5" t="s">
        <v>6077</v>
      </c>
      <c r="C2291" s="5" t="s">
        <v>33</v>
      </c>
      <c r="D2291" s="5" t="s">
        <v>34</v>
      </c>
      <c r="E2291" s="5" t="s">
        <v>35</v>
      </c>
      <c r="F2291" s="9" t="s">
        <v>36</v>
      </c>
      <c r="G2291" s="9" t="s">
        <v>1294</v>
      </c>
      <c r="H2291" s="5" t="s">
        <v>21</v>
      </c>
      <c r="I2291" s="5" t="s">
        <v>6078</v>
      </c>
      <c r="J2291" s="12" t="str">
        <f>HYPERLINK("https://www.boe.es/gazeta/dias/1808/04/22/pdfs/GMD-C-1808-38.pdf#page=8","Abrir facsímil")</f>
        <v>Abrir facsímil</v>
      </c>
      <c r="K2291" s="15" t="s">
        <v>23</v>
      </c>
    </row>
    <row r="2292" spans="1:11" ht="42" customHeight="1">
      <c r="A2292" s="4" t="s">
        <v>6079</v>
      </c>
      <c r="B2292" s="5" t="s">
        <v>6080</v>
      </c>
      <c r="C2292" s="5" t="s">
        <v>33</v>
      </c>
      <c r="D2292" s="5" t="s">
        <v>34</v>
      </c>
      <c r="E2292" s="5" t="s">
        <v>35</v>
      </c>
      <c r="F2292" s="9" t="s">
        <v>36</v>
      </c>
      <c r="G2292" s="9" t="s">
        <v>498</v>
      </c>
      <c r="H2292" s="5" t="s">
        <v>21</v>
      </c>
      <c r="I2292" s="5" t="s">
        <v>6081</v>
      </c>
      <c r="J2292" s="12" t="str">
        <f>HYPERLINK("https://www.boe.es/gazeta/dias/1808/04/22/pdfs/GMD-C-1808-38.pdf#page=22","Abrir facsímil")</f>
        <v>Abrir facsímil</v>
      </c>
      <c r="K2292" s="15" t="s">
        <v>23</v>
      </c>
    </row>
    <row r="2293" spans="1:11" ht="42" customHeight="1">
      <c r="A2293" s="4" t="s">
        <v>6082</v>
      </c>
      <c r="B2293" s="5" t="s">
        <v>6083</v>
      </c>
      <c r="C2293" s="5" t="s">
        <v>33</v>
      </c>
      <c r="D2293" s="5" t="s">
        <v>34</v>
      </c>
      <c r="E2293" s="5" t="s">
        <v>19</v>
      </c>
      <c r="F2293" s="9" t="s">
        <v>949</v>
      </c>
      <c r="G2293" s="9" t="s">
        <v>75</v>
      </c>
      <c r="H2293" s="5" t="s">
        <v>21</v>
      </c>
      <c r="I2293" s="5" t="s">
        <v>6084</v>
      </c>
      <c r="J2293" s="12" t="str">
        <f>HYPERLINK("https://www.boe.es/gazeta/dias/1808/09/30/pdfs/GMD-C-1808-130.pdf#page=4","Abrir facsímil")</f>
        <v>Abrir facsímil</v>
      </c>
      <c r="K2293" s="15" t="s">
        <v>23</v>
      </c>
    </row>
    <row r="2294" spans="1:11" ht="42" customHeight="1">
      <c r="A2294" s="4" t="s">
        <v>6085</v>
      </c>
      <c r="B2294" s="5" t="s">
        <v>6086</v>
      </c>
      <c r="C2294" s="5" t="s">
        <v>17</v>
      </c>
      <c r="D2294" s="5" t="s">
        <v>18</v>
      </c>
      <c r="E2294" s="5" t="s">
        <v>287</v>
      </c>
      <c r="F2294" s="9" t="s">
        <v>489</v>
      </c>
      <c r="G2294" s="9">
        <v>1002</v>
      </c>
      <c r="H2294" s="5" t="s">
        <v>21</v>
      </c>
      <c r="I2294" s="5" t="s">
        <v>6087</v>
      </c>
      <c r="J2294" s="12" t="str">
        <f>HYPERLINK("https://www.boe.es/gazeta/dias/1808/08/12/pdfs/GMD-1808-112.pdf#page=6","Abrir facsímil")</f>
        <v>Abrir facsímil</v>
      </c>
      <c r="K2294" s="15" t="s">
        <v>23</v>
      </c>
    </row>
    <row r="2295" spans="1:11" ht="42" customHeight="1">
      <c r="A2295" s="4" t="s">
        <v>6088</v>
      </c>
      <c r="B2295" s="5" t="s">
        <v>6089</v>
      </c>
      <c r="C2295" s="5" t="s">
        <v>94</v>
      </c>
      <c r="D2295" s="5" t="s">
        <v>95</v>
      </c>
      <c r="E2295" s="5" t="s">
        <v>1385</v>
      </c>
      <c r="F2295" s="9" t="s">
        <v>1386</v>
      </c>
      <c r="G2295" s="9">
        <v>231</v>
      </c>
      <c r="H2295" s="5" t="s">
        <v>21</v>
      </c>
      <c r="I2295" s="5" t="s">
        <v>6090</v>
      </c>
      <c r="J2295" s="12" t="str">
        <f>HYPERLINK("https://www.boe.es/gazeta/dias/1808/03/04/pdfs/GMD-1808-19.pdf#page=9","Abrir facsímil")</f>
        <v>Abrir facsímil</v>
      </c>
      <c r="K2295" s="15" t="s">
        <v>23</v>
      </c>
    </row>
    <row r="2296" spans="1:11" ht="42" customHeight="1">
      <c r="A2296" s="4" t="s">
        <v>6091</v>
      </c>
      <c r="B2296" s="5" t="s">
        <v>6092</v>
      </c>
      <c r="C2296" s="5" t="s">
        <v>33</v>
      </c>
      <c r="D2296" s="5" t="s">
        <v>34</v>
      </c>
      <c r="E2296" s="5" t="s">
        <v>35</v>
      </c>
      <c r="F2296" s="9" t="s">
        <v>36</v>
      </c>
      <c r="G2296" s="9" t="s">
        <v>199</v>
      </c>
      <c r="H2296" s="5" t="s">
        <v>21</v>
      </c>
      <c r="I2296" s="5" t="s">
        <v>6093</v>
      </c>
      <c r="J2296" s="12" t="str">
        <f>HYPERLINK("https://www.boe.es/gazeta/dias/1808/04/22/pdfs/GMD-C-1808-38.pdf#page=2","Abrir facsímil")</f>
        <v>Abrir facsímil</v>
      </c>
      <c r="K2296" s="15" t="s">
        <v>23</v>
      </c>
    </row>
    <row r="2297" spans="1:11" ht="42" customHeight="1">
      <c r="A2297" s="4" t="s">
        <v>6094</v>
      </c>
      <c r="B2297" s="5" t="s">
        <v>6095</v>
      </c>
      <c r="C2297" s="5" t="s">
        <v>33</v>
      </c>
      <c r="D2297" s="5" t="s">
        <v>34</v>
      </c>
      <c r="E2297" s="5" t="s">
        <v>19</v>
      </c>
      <c r="F2297" s="9" t="s">
        <v>949</v>
      </c>
      <c r="G2297" s="9" t="s">
        <v>117</v>
      </c>
      <c r="H2297" s="5" t="s">
        <v>21</v>
      </c>
      <c r="I2297" s="5" t="s">
        <v>6096</v>
      </c>
      <c r="J2297" s="12" t="str">
        <f>HYPERLINK("https://www.boe.es/gazeta/dias/1808/09/30/pdfs/GMD-C-1808-130.pdf#page=1","Abrir facsímil")</f>
        <v>Abrir facsímil</v>
      </c>
      <c r="K2297" s="15" t="s">
        <v>23</v>
      </c>
    </row>
    <row r="2298" spans="1:11" ht="42" customHeight="1">
      <c r="A2298" s="4" t="s">
        <v>6097</v>
      </c>
      <c r="B2298" s="5" t="s">
        <v>6098</v>
      </c>
      <c r="C2298" s="5" t="s">
        <v>33</v>
      </c>
      <c r="D2298" s="5" t="s">
        <v>34</v>
      </c>
      <c r="E2298" s="5" t="s">
        <v>35</v>
      </c>
      <c r="F2298" s="9" t="s">
        <v>36</v>
      </c>
      <c r="G2298" s="9" t="s">
        <v>162</v>
      </c>
      <c r="H2298" s="5" t="s">
        <v>21</v>
      </c>
      <c r="I2298" s="5" t="s">
        <v>6099</v>
      </c>
      <c r="J2298" s="12" t="str">
        <f>HYPERLINK("https://www.boe.es/gazeta/dias/1808/04/22/pdfs/GMD-C-1808-38.pdf#page=31","Abrir facsímil")</f>
        <v>Abrir facsímil</v>
      </c>
      <c r="K2298" s="15" t="s">
        <v>23</v>
      </c>
    </row>
    <row r="2299" spans="1:11" ht="42" customHeight="1">
      <c r="A2299" s="4" t="s">
        <v>6100</v>
      </c>
      <c r="B2299" s="5" t="s">
        <v>6101</v>
      </c>
      <c r="C2299" s="5" t="s">
        <v>33</v>
      </c>
      <c r="D2299" s="5" t="s">
        <v>34</v>
      </c>
      <c r="E2299" s="5" t="s">
        <v>35</v>
      </c>
      <c r="F2299" s="9" t="s">
        <v>36</v>
      </c>
      <c r="G2299" s="9" t="s">
        <v>498</v>
      </c>
      <c r="H2299" s="5" t="s">
        <v>21</v>
      </c>
      <c r="I2299" s="5" t="s">
        <v>6102</v>
      </c>
      <c r="J2299" s="12" t="str">
        <f>HYPERLINK("https://www.boe.es/gazeta/dias/1808/04/22/pdfs/GMD-C-1808-38.pdf#page=22","Abrir facsímil")</f>
        <v>Abrir facsímil</v>
      </c>
      <c r="K2299" s="15" t="s">
        <v>23</v>
      </c>
    </row>
    <row r="2300" spans="1:11" ht="42" customHeight="1">
      <c r="A2300" s="4" t="s">
        <v>6103</v>
      </c>
      <c r="B2300" s="5" t="s">
        <v>6104</v>
      </c>
      <c r="C2300" s="5" t="s">
        <v>33</v>
      </c>
      <c r="D2300" s="5" t="s">
        <v>34</v>
      </c>
      <c r="E2300" s="5" t="s">
        <v>35</v>
      </c>
      <c r="F2300" s="9" t="s">
        <v>36</v>
      </c>
      <c r="G2300" s="9" t="s">
        <v>80</v>
      </c>
      <c r="H2300" s="5" t="s">
        <v>21</v>
      </c>
      <c r="I2300" s="5" t="s">
        <v>6105</v>
      </c>
      <c r="J2300" s="12" t="str">
        <f>HYPERLINK("https://www.boe.es/gazeta/dias/1808/04/22/pdfs/GMD-C-1808-38.pdf#page=18","Abrir facsímil")</f>
        <v>Abrir facsímil</v>
      </c>
      <c r="K2300" s="15" t="s">
        <v>23</v>
      </c>
    </row>
    <row r="2301" spans="1:11" ht="42" customHeight="1">
      <c r="A2301" s="4" t="s">
        <v>6103</v>
      </c>
      <c r="B2301" s="5" t="s">
        <v>6104</v>
      </c>
      <c r="C2301" s="5" t="s">
        <v>33</v>
      </c>
      <c r="D2301" s="5" t="s">
        <v>34</v>
      </c>
      <c r="E2301" s="5" t="s">
        <v>35</v>
      </c>
      <c r="F2301" s="9" t="s">
        <v>36</v>
      </c>
      <c r="G2301" s="9" t="s">
        <v>4783</v>
      </c>
      <c r="H2301" s="5" t="s">
        <v>21</v>
      </c>
      <c r="I2301" s="5" t="s">
        <v>6106</v>
      </c>
      <c r="J2301" s="12" t="str">
        <f>HYPERLINK("https://www.boe.es/gazeta/dias/1808/04/22/pdfs/GMD-C-1808-38.pdf#page=36","Abrir facsímil")</f>
        <v>Abrir facsímil</v>
      </c>
      <c r="K2301" s="15" t="s">
        <v>23</v>
      </c>
    </row>
    <row r="2302" spans="1:11" ht="42" customHeight="1">
      <c r="A2302" s="4" t="s">
        <v>6103</v>
      </c>
      <c r="B2302" s="5" t="s">
        <v>6104</v>
      </c>
      <c r="C2302" s="5" t="s">
        <v>33</v>
      </c>
      <c r="D2302" s="5" t="s">
        <v>34</v>
      </c>
      <c r="E2302" s="5" t="s">
        <v>35</v>
      </c>
      <c r="F2302" s="9" t="s">
        <v>36</v>
      </c>
      <c r="G2302" s="9" t="s">
        <v>148</v>
      </c>
      <c r="H2302" s="5" t="s">
        <v>21</v>
      </c>
      <c r="I2302" s="5" t="s">
        <v>6107</v>
      </c>
      <c r="J2302" s="12" t="str">
        <f>HYPERLINK("https://www.boe.es/gazeta/dias/1808/04/22/pdfs/GMD-C-1808-38.pdf#page=38","Abrir facsímil")</f>
        <v>Abrir facsímil</v>
      </c>
      <c r="K2302" s="15" t="s">
        <v>23</v>
      </c>
    </row>
    <row r="2303" spans="1:11" ht="42" customHeight="1">
      <c r="A2303" s="4" t="s">
        <v>6103</v>
      </c>
      <c r="B2303" s="5" t="s">
        <v>6104</v>
      </c>
      <c r="C2303" s="5" t="s">
        <v>33</v>
      </c>
      <c r="D2303" s="5" t="s">
        <v>34</v>
      </c>
      <c r="E2303" s="5" t="s">
        <v>35</v>
      </c>
      <c r="F2303" s="9" t="s">
        <v>36</v>
      </c>
      <c r="G2303" s="9" t="s">
        <v>655</v>
      </c>
      <c r="H2303" s="5" t="s">
        <v>21</v>
      </c>
      <c r="I2303" s="5" t="s">
        <v>6108</v>
      </c>
      <c r="J2303" s="12" t="str">
        <f>HYPERLINK("https://www.boe.es/gazeta/dias/1808/04/22/pdfs/GMD-C-1808-38.pdf#page=43","Abrir facsímil")</f>
        <v>Abrir facsímil</v>
      </c>
      <c r="K2303" s="15" t="s">
        <v>23</v>
      </c>
    </row>
    <row r="2304" spans="1:11" ht="42" customHeight="1">
      <c r="A2304" s="4" t="s">
        <v>6109</v>
      </c>
      <c r="B2304" s="5" t="s">
        <v>6110</v>
      </c>
      <c r="C2304" s="5" t="s">
        <v>17</v>
      </c>
      <c r="D2304" s="5" t="s">
        <v>18</v>
      </c>
      <c r="E2304" s="5" t="s">
        <v>166</v>
      </c>
      <c r="F2304" s="9" t="s">
        <v>356</v>
      </c>
      <c r="G2304" s="9">
        <v>1508</v>
      </c>
      <c r="H2304" s="5" t="s">
        <v>21</v>
      </c>
      <c r="I2304" s="5" t="s">
        <v>6111</v>
      </c>
      <c r="J2304" s="12" t="str">
        <f>HYPERLINK("https://www.boe.es/gazeta/dias/1808/11/18/pdfs/GMD-1808-145.pdf#page=6","Abrir facsímil")</f>
        <v>Abrir facsímil</v>
      </c>
      <c r="K2304" s="15" t="s">
        <v>23</v>
      </c>
    </row>
    <row r="2305" spans="1:11" ht="42" customHeight="1">
      <c r="A2305" s="4" t="s">
        <v>6112</v>
      </c>
      <c r="B2305" s="5" t="s">
        <v>6113</v>
      </c>
      <c r="C2305" s="5" t="s">
        <v>33</v>
      </c>
      <c r="D2305" s="5" t="s">
        <v>34</v>
      </c>
      <c r="E2305" s="5" t="s">
        <v>115</v>
      </c>
      <c r="F2305" s="9" t="s">
        <v>116</v>
      </c>
      <c r="G2305" s="9" t="s">
        <v>199</v>
      </c>
      <c r="H2305" s="5" t="s">
        <v>21</v>
      </c>
      <c r="I2305" s="5" t="s">
        <v>6114</v>
      </c>
      <c r="J2305" s="12" t="str">
        <f>HYPERLINK("https://www.boe.es/gazeta/dias/1808/09/16/pdfs/GMD-C-1808-125.pdf#page=2","Abrir facsímil")</f>
        <v>Abrir facsímil</v>
      </c>
      <c r="K2305" s="15" t="s">
        <v>23</v>
      </c>
    </row>
    <row r="2306" spans="1:11" ht="42" customHeight="1">
      <c r="A2306" s="4" t="s">
        <v>6115</v>
      </c>
      <c r="B2306" s="5" t="s">
        <v>6116</v>
      </c>
      <c r="C2306" s="5" t="s">
        <v>260</v>
      </c>
      <c r="D2306" s="5" t="s">
        <v>42</v>
      </c>
      <c r="E2306" s="5" t="s">
        <v>548</v>
      </c>
      <c r="F2306" s="9" t="s">
        <v>549</v>
      </c>
      <c r="G2306" s="9">
        <v>277</v>
      </c>
      <c r="H2306" s="5" t="s">
        <v>21</v>
      </c>
      <c r="I2306" s="5" t="s">
        <v>6117</v>
      </c>
      <c r="J2306" s="12" t="str">
        <f>HYPERLINK("https://www.boe.es/gazeta/dias/1808/03/18/pdfs/GMD-1808-23.pdf#page=7","Abrir facsímil")</f>
        <v>Abrir facsímil</v>
      </c>
      <c r="K2306" s="15" t="s">
        <v>23</v>
      </c>
    </row>
    <row r="2307" spans="1:11" ht="42" customHeight="1">
      <c r="A2307" s="4" t="s">
        <v>6118</v>
      </c>
      <c r="B2307" s="5" t="s">
        <v>6119</v>
      </c>
      <c r="C2307" s="5" t="s">
        <v>41</v>
      </c>
      <c r="D2307" s="5" t="s">
        <v>42</v>
      </c>
      <c r="E2307" s="5" t="s">
        <v>35</v>
      </c>
      <c r="F2307" s="9" t="s">
        <v>36</v>
      </c>
      <c r="G2307" s="9" t="s">
        <v>1517</v>
      </c>
      <c r="H2307" s="5" t="s">
        <v>21</v>
      </c>
      <c r="I2307" s="5" t="s">
        <v>6120</v>
      </c>
      <c r="J2307" s="12" t="str">
        <f>HYPERLINK("https://www.boe.es/gazeta/dias/1808/04/22/pdfs/GMD-C-1808-38.pdf#page=23","Abrir facsímil")</f>
        <v>Abrir facsímil</v>
      </c>
      <c r="K2307" s="15" t="s">
        <v>23</v>
      </c>
    </row>
    <row r="2308" spans="1:11" ht="42" customHeight="1">
      <c r="A2308" s="4" t="s">
        <v>6121</v>
      </c>
      <c r="B2308" s="5" t="s">
        <v>6122</v>
      </c>
      <c r="C2308" s="5" t="s">
        <v>33</v>
      </c>
      <c r="D2308" s="5" t="s">
        <v>34</v>
      </c>
      <c r="E2308" s="5" t="s">
        <v>115</v>
      </c>
      <c r="F2308" s="9" t="s">
        <v>116</v>
      </c>
      <c r="G2308" s="9" t="s">
        <v>117</v>
      </c>
      <c r="H2308" s="5" t="s">
        <v>21</v>
      </c>
      <c r="I2308" s="5" t="s">
        <v>6123</v>
      </c>
      <c r="J2308" s="12" t="str">
        <f>HYPERLINK("https://www.boe.es/gazeta/dias/1808/09/16/pdfs/GMD-C-1808-125.pdf#page=1","Abrir facsímil")</f>
        <v>Abrir facsímil</v>
      </c>
      <c r="K2308" s="15" t="s">
        <v>23</v>
      </c>
    </row>
    <row r="2309" spans="1:11" ht="42" customHeight="1">
      <c r="A2309" s="4" t="s">
        <v>6121</v>
      </c>
      <c r="B2309" s="5" t="s">
        <v>6122</v>
      </c>
      <c r="C2309" s="5" t="s">
        <v>17</v>
      </c>
      <c r="D2309" s="5" t="s">
        <v>18</v>
      </c>
      <c r="E2309" s="5" t="s">
        <v>558</v>
      </c>
      <c r="F2309" s="9" t="s">
        <v>559</v>
      </c>
      <c r="G2309" s="9">
        <v>1545</v>
      </c>
      <c r="H2309" s="5" t="s">
        <v>21</v>
      </c>
      <c r="I2309" s="5" t="s">
        <v>6124</v>
      </c>
      <c r="J2309" s="12" t="str">
        <f>HYPERLINK("https://www.boe.es/gazeta/dias/1808/11/25/pdfs/GMD-1808-147.pdf#page=11","Abrir facsímil")</f>
        <v>Abrir facsímil</v>
      </c>
      <c r="K2309" s="15" t="s">
        <v>23</v>
      </c>
    </row>
    <row r="2310" spans="1:11" ht="42" customHeight="1">
      <c r="A2310" s="4" t="s">
        <v>6125</v>
      </c>
      <c r="B2310" s="5" t="s">
        <v>6126</v>
      </c>
      <c r="C2310" s="5" t="s">
        <v>94</v>
      </c>
      <c r="D2310" s="5" t="s">
        <v>95</v>
      </c>
      <c r="E2310" s="5" t="s">
        <v>180</v>
      </c>
      <c r="F2310" s="9" t="s">
        <v>2568</v>
      </c>
      <c r="G2310" s="9">
        <v>1495</v>
      </c>
      <c r="H2310" s="5" t="s">
        <v>21</v>
      </c>
      <c r="I2310" s="5" t="s">
        <v>6127</v>
      </c>
      <c r="J2310" s="12" t="str">
        <f>HYPERLINK("https://www.boe.es/gazeta/dias/1808/11/15/pdfs/GMD-1808-144.pdf#page=9","Abrir facsímil")</f>
        <v>Abrir facsímil</v>
      </c>
      <c r="K2310" s="15" t="s">
        <v>23</v>
      </c>
    </row>
    <row r="2311" spans="1:11" ht="42" customHeight="1">
      <c r="A2311" s="4" t="s">
        <v>6128</v>
      </c>
      <c r="B2311" s="5" t="s">
        <v>6129</v>
      </c>
      <c r="C2311" s="5" t="s">
        <v>94</v>
      </c>
      <c r="D2311" s="5" t="s">
        <v>95</v>
      </c>
      <c r="E2311" s="5" t="s">
        <v>54</v>
      </c>
      <c r="F2311" s="9" t="s">
        <v>55</v>
      </c>
      <c r="G2311" s="9">
        <v>1089</v>
      </c>
      <c r="H2311" s="5" t="s">
        <v>21</v>
      </c>
      <c r="I2311" s="5" t="s">
        <v>6130</v>
      </c>
      <c r="J2311" s="12" t="str">
        <f>HYPERLINK("https://www.boe.es/gazeta/dias/1808/08/26/pdfs/GMD-1808-117.pdf#page=11","Abrir facsímil")</f>
        <v>Abrir facsímil</v>
      </c>
      <c r="K2311" s="15" t="s">
        <v>23</v>
      </c>
    </row>
    <row r="2312" spans="1:11" ht="42" customHeight="1">
      <c r="A2312" s="4" t="s">
        <v>6131</v>
      </c>
      <c r="B2312" s="5" t="s">
        <v>6132</v>
      </c>
      <c r="C2312" s="5" t="s">
        <v>17</v>
      </c>
      <c r="D2312" s="5" t="s">
        <v>18</v>
      </c>
      <c r="E2312" s="5" t="s">
        <v>363</v>
      </c>
      <c r="F2312" s="9" t="s">
        <v>1224</v>
      </c>
      <c r="G2312" s="9">
        <v>1188</v>
      </c>
      <c r="H2312" s="5" t="s">
        <v>21</v>
      </c>
      <c r="I2312" s="5" t="s">
        <v>6133</v>
      </c>
      <c r="J2312" s="12" t="str">
        <f>HYPERLINK("https://www.boe.es/gazeta/dias/1808/09/20/pdfs/GMD-1808-126.pdf#page=8","Abrir facsímil")</f>
        <v>Abrir facsímil</v>
      </c>
      <c r="K2312" s="15" t="s">
        <v>23</v>
      </c>
    </row>
    <row r="2313" spans="1:11" ht="42" customHeight="1">
      <c r="A2313" s="4" t="s">
        <v>6134</v>
      </c>
      <c r="B2313" s="5" t="s">
        <v>6135</v>
      </c>
      <c r="C2313" s="5" t="s">
        <v>94</v>
      </c>
      <c r="D2313" s="5" t="s">
        <v>95</v>
      </c>
      <c r="E2313" s="5" t="s">
        <v>663</v>
      </c>
      <c r="F2313" s="9" t="s">
        <v>664</v>
      </c>
      <c r="G2313" s="9">
        <v>209</v>
      </c>
      <c r="H2313" s="5" t="s">
        <v>21</v>
      </c>
      <c r="I2313" s="5" t="s">
        <v>6136</v>
      </c>
      <c r="J2313" s="12" t="str">
        <f>HYPERLINK("https://www.boe.es/gazeta/dias/1808/02/26/pdfs/GMD-1808-17.pdf#page=11","Abrir facsímil")</f>
        <v>Abrir facsímil</v>
      </c>
      <c r="K2313" s="15" t="s">
        <v>23</v>
      </c>
    </row>
    <row r="2314" spans="1:11" ht="42" customHeight="1">
      <c r="A2314" s="4" t="s">
        <v>6137</v>
      </c>
      <c r="B2314" s="5" t="s">
        <v>6138</v>
      </c>
      <c r="C2314" s="5" t="s">
        <v>17</v>
      </c>
      <c r="D2314" s="5" t="s">
        <v>18</v>
      </c>
      <c r="E2314" s="5" t="s">
        <v>130</v>
      </c>
      <c r="F2314" s="9" t="s">
        <v>131</v>
      </c>
      <c r="G2314" s="9">
        <v>1604</v>
      </c>
      <c r="H2314" s="5" t="s">
        <v>21</v>
      </c>
      <c r="I2314" s="5" t="s">
        <v>6139</v>
      </c>
      <c r="J2314" s="12" t="str">
        <f>HYPERLINK("https://www.boe.es/gazeta/dias/1808/12/15/pdfs/GMD-1808-155.pdf#page=8","Abrir facsímil")</f>
        <v>Abrir facsímil</v>
      </c>
      <c r="K2314" s="15" t="s">
        <v>23</v>
      </c>
    </row>
    <row r="2315" spans="1:11" ht="42" customHeight="1">
      <c r="A2315" s="4" t="s">
        <v>6140</v>
      </c>
      <c r="B2315" s="5" t="s">
        <v>6141</v>
      </c>
      <c r="C2315" s="5" t="s">
        <v>33</v>
      </c>
      <c r="D2315" s="5" t="s">
        <v>34</v>
      </c>
      <c r="E2315" s="5" t="s">
        <v>35</v>
      </c>
      <c r="F2315" s="9" t="s">
        <v>36</v>
      </c>
      <c r="G2315" s="9" t="s">
        <v>277</v>
      </c>
      <c r="H2315" s="5" t="s">
        <v>21</v>
      </c>
      <c r="I2315" s="5" t="s">
        <v>6142</v>
      </c>
      <c r="J2315" s="12" t="str">
        <f>HYPERLINK("https://www.boe.es/gazeta/dias/1808/04/22/pdfs/GMD-C-1808-38.pdf#page=34","Abrir facsímil")</f>
        <v>Abrir facsímil</v>
      </c>
      <c r="K2315" s="15" t="s">
        <v>23</v>
      </c>
    </row>
    <row r="2316" spans="1:11" ht="42" customHeight="1">
      <c r="A2316" s="4" t="s">
        <v>6143</v>
      </c>
      <c r="B2316" s="5" t="s">
        <v>6144</v>
      </c>
      <c r="C2316" s="5" t="s">
        <v>94</v>
      </c>
      <c r="D2316" s="5" t="s">
        <v>95</v>
      </c>
      <c r="E2316" s="5" t="s">
        <v>1182</v>
      </c>
      <c r="F2316" s="9" t="s">
        <v>1183</v>
      </c>
      <c r="G2316" s="9">
        <v>62</v>
      </c>
      <c r="H2316" s="5" t="s">
        <v>21</v>
      </c>
      <c r="I2316" s="5" t="s">
        <v>6145</v>
      </c>
      <c r="J2316" s="12" t="str">
        <f>HYPERLINK("https://www.boe.es/gazeta/dias/1808/06/26/pdfs/GMS-1808-8.pdf#page=6","Abrir facsímil")</f>
        <v>Abrir facsímil</v>
      </c>
      <c r="K2316" s="15" t="s">
        <v>23</v>
      </c>
    </row>
    <row r="2317" spans="1:11" ht="42" customHeight="1">
      <c r="A2317" s="4" t="s">
        <v>6146</v>
      </c>
      <c r="B2317" s="5" t="s">
        <v>6147</v>
      </c>
      <c r="C2317" s="5" t="s">
        <v>389</v>
      </c>
      <c r="D2317" s="5" t="s">
        <v>390</v>
      </c>
      <c r="E2317" s="5" t="s">
        <v>35</v>
      </c>
      <c r="F2317" s="9" t="s">
        <v>36</v>
      </c>
      <c r="G2317" s="9" t="s">
        <v>322</v>
      </c>
      <c r="H2317" s="5" t="s">
        <v>21</v>
      </c>
      <c r="I2317" s="5" t="s">
        <v>6148</v>
      </c>
      <c r="J2317" s="12" t="str">
        <f>HYPERLINK("https://www.boe.es/gazeta/dias/1808/04/22/pdfs/GMD-C-1808-38.pdf#page=15","Abrir facsímil")</f>
        <v>Abrir facsímil</v>
      </c>
      <c r="K2317" s="15" t="s">
        <v>23</v>
      </c>
    </row>
    <row r="2318" spans="1:11" ht="42" customHeight="1">
      <c r="A2318" s="4" t="s">
        <v>6146</v>
      </c>
      <c r="B2318" s="5" t="s">
        <v>6147</v>
      </c>
      <c r="C2318" s="5" t="s">
        <v>94</v>
      </c>
      <c r="D2318" s="5" t="s">
        <v>95</v>
      </c>
      <c r="E2318" s="5" t="s">
        <v>919</v>
      </c>
      <c r="F2318" s="9" t="s">
        <v>920</v>
      </c>
      <c r="G2318" s="9">
        <v>493</v>
      </c>
      <c r="H2318" s="5" t="s">
        <v>21</v>
      </c>
      <c r="I2318" s="5" t="s">
        <v>6149</v>
      </c>
      <c r="J2318" s="12" t="str">
        <f>HYPERLINK("https://www.boe.es/gazeta/dias/1808/05/24/pdfs/GMD-1808-49.pdf#page=9","Abrir facsímil")</f>
        <v>Abrir facsímil</v>
      </c>
      <c r="K2318" s="15" t="s">
        <v>23</v>
      </c>
    </row>
    <row r="2319" spans="1:11" ht="42" customHeight="1">
      <c r="A2319" s="4" t="s">
        <v>6150</v>
      </c>
      <c r="B2319" s="5" t="s">
        <v>6151</v>
      </c>
      <c r="C2319" s="5" t="s">
        <v>94</v>
      </c>
      <c r="D2319" s="5" t="s">
        <v>95</v>
      </c>
      <c r="E2319" s="5" t="s">
        <v>644</v>
      </c>
      <c r="F2319" s="9" t="s">
        <v>645</v>
      </c>
      <c r="G2319" s="9">
        <v>320</v>
      </c>
      <c r="H2319" s="5" t="s">
        <v>21</v>
      </c>
      <c r="I2319" s="5" t="s">
        <v>6152</v>
      </c>
      <c r="J2319" s="12" t="str">
        <f>HYPERLINK("https://www.boe.es/gazeta/dias/1808/03/31/pdfs/GMD-1808-28E.pdf#page=4","Abrir facsímil")</f>
        <v>Abrir facsímil</v>
      </c>
      <c r="K2319" s="15" t="s">
        <v>23</v>
      </c>
    </row>
    <row r="2320" spans="1:11" ht="42" customHeight="1">
      <c r="A2320" s="4" t="s">
        <v>6150</v>
      </c>
      <c r="B2320" s="5" t="s">
        <v>6151</v>
      </c>
      <c r="C2320" s="5" t="s">
        <v>94</v>
      </c>
      <c r="D2320" s="5" t="s">
        <v>95</v>
      </c>
      <c r="E2320" s="5" t="s">
        <v>644</v>
      </c>
      <c r="F2320" s="9" t="s">
        <v>645</v>
      </c>
      <c r="G2320" s="9">
        <v>321</v>
      </c>
      <c r="H2320" s="5" t="s">
        <v>21</v>
      </c>
      <c r="I2320" s="5" t="s">
        <v>6153</v>
      </c>
      <c r="J2320" s="12" t="str">
        <f>HYPERLINK("https://www.boe.es/gazeta/dias/1808/03/31/pdfs/GMD-1808-28E.pdf#page=5","Abrir facsímil")</f>
        <v>Abrir facsímil</v>
      </c>
      <c r="K2320" s="15" t="s">
        <v>23</v>
      </c>
    </row>
    <row r="2321" spans="1:11" ht="42" customHeight="1">
      <c r="A2321" s="4" t="s">
        <v>6150</v>
      </c>
      <c r="B2321" s="5" t="s">
        <v>6151</v>
      </c>
      <c r="C2321" s="5" t="s">
        <v>26</v>
      </c>
      <c r="D2321" s="5" t="s">
        <v>27</v>
      </c>
      <c r="E2321" s="5" t="s">
        <v>225</v>
      </c>
      <c r="F2321" s="9" t="s">
        <v>226</v>
      </c>
      <c r="G2321" s="9">
        <v>607</v>
      </c>
      <c r="H2321" s="5" t="s">
        <v>21</v>
      </c>
      <c r="I2321" s="5" t="s">
        <v>6154</v>
      </c>
      <c r="J2321" s="12" t="str">
        <f>HYPERLINK("https://www.boe.es/gazeta/dias/1808/06/20/pdfs/GMD-1808-62.pdf#page=5","Abrir facsímil")</f>
        <v>Abrir facsímil</v>
      </c>
      <c r="K2321" s="15" t="s">
        <v>23</v>
      </c>
    </row>
    <row r="2322" spans="1:11" ht="42" customHeight="1">
      <c r="A2322" s="4" t="s">
        <v>6150</v>
      </c>
      <c r="B2322" s="5" t="s">
        <v>6151</v>
      </c>
      <c r="C2322" s="5" t="s">
        <v>41</v>
      </c>
      <c r="D2322" s="5" t="s">
        <v>42</v>
      </c>
      <c r="E2322" s="5" t="s">
        <v>180</v>
      </c>
      <c r="F2322" s="9" t="s">
        <v>768</v>
      </c>
      <c r="G2322" s="9" t="s">
        <v>106</v>
      </c>
      <c r="H2322" s="5" t="s">
        <v>21</v>
      </c>
      <c r="I2322" s="5" t="s">
        <v>6155</v>
      </c>
      <c r="J2322" s="12" t="str">
        <f>HYPERLINK("https://www.boe.es/gazeta/dias/1808/11/15/pdfs/GMD-D-1808-144.pdf#page=3","Abrir facsímil")</f>
        <v>Abrir facsímil</v>
      </c>
      <c r="K2322" s="15" t="s">
        <v>23</v>
      </c>
    </row>
    <row r="2323" spans="1:11" ht="42" customHeight="1">
      <c r="A2323" s="4" t="s">
        <v>6156</v>
      </c>
      <c r="B2323" s="5" t="s">
        <v>6157</v>
      </c>
      <c r="C2323" s="5" t="s">
        <v>41</v>
      </c>
      <c r="D2323" s="5" t="s">
        <v>42</v>
      </c>
      <c r="E2323" s="5" t="s">
        <v>363</v>
      </c>
      <c r="F2323" s="9" t="s">
        <v>3718</v>
      </c>
      <c r="G2323" s="9">
        <v>264</v>
      </c>
      <c r="H2323" s="5" t="s">
        <v>21</v>
      </c>
      <c r="I2323" s="5" t="s">
        <v>6158</v>
      </c>
      <c r="J2323" s="12" t="str">
        <f>HYPERLINK("https://www.boe.es/gazeta/dias/1808/09/20/pdfs/GMS-1808-33.pdf#page=8","Abrir facsímil")</f>
        <v>Abrir facsímil</v>
      </c>
      <c r="K2323" s="15" t="s">
        <v>23</v>
      </c>
    </row>
    <row r="2324" spans="1:11" ht="42" customHeight="1">
      <c r="A2324" s="4" t="s">
        <v>6159</v>
      </c>
      <c r="B2324" s="5" t="s">
        <v>6160</v>
      </c>
      <c r="C2324" s="5" t="s">
        <v>17</v>
      </c>
      <c r="D2324" s="5" t="s">
        <v>18</v>
      </c>
      <c r="E2324" s="5" t="s">
        <v>51</v>
      </c>
      <c r="F2324" s="9" t="s">
        <v>1366</v>
      </c>
      <c r="G2324" s="9">
        <v>163</v>
      </c>
      <c r="H2324" s="5" t="s">
        <v>21</v>
      </c>
      <c r="I2324" s="5" t="s">
        <v>6161</v>
      </c>
      <c r="J2324" s="12" t="str">
        <f>HYPERLINK("https://www.boe.es/gazeta/dias/1808/08/09/pdfs/GMS-1808-21.pdf#page=3","Abrir facsímil")</f>
        <v>Abrir facsímil</v>
      </c>
      <c r="K2324" s="15" t="s">
        <v>23</v>
      </c>
    </row>
    <row r="2325" spans="1:11" ht="42" customHeight="1">
      <c r="A2325" s="4" t="s">
        <v>6162</v>
      </c>
      <c r="B2325" s="5" t="s">
        <v>6163</v>
      </c>
      <c r="C2325" s="5" t="s">
        <v>33</v>
      </c>
      <c r="D2325" s="5" t="s">
        <v>34</v>
      </c>
      <c r="E2325" s="5" t="s">
        <v>35</v>
      </c>
      <c r="F2325" s="9" t="s">
        <v>36</v>
      </c>
      <c r="G2325" s="9" t="s">
        <v>837</v>
      </c>
      <c r="H2325" s="5" t="s">
        <v>21</v>
      </c>
      <c r="I2325" s="5" t="s">
        <v>6164</v>
      </c>
      <c r="J2325" s="12" t="str">
        <f>HYPERLINK("https://www.boe.es/gazeta/dias/1808/04/22/pdfs/GMD-C-1808-38.pdf#page=10","Abrir facsímil")</f>
        <v>Abrir facsímil</v>
      </c>
      <c r="K2325" s="15" t="s">
        <v>23</v>
      </c>
    </row>
    <row r="2326" spans="1:11" ht="42" customHeight="1">
      <c r="A2326" s="4" t="s">
        <v>6165</v>
      </c>
      <c r="B2326" s="5" t="s">
        <v>6166</v>
      </c>
      <c r="C2326" s="5" t="s">
        <v>17</v>
      </c>
      <c r="D2326" s="5" t="s">
        <v>18</v>
      </c>
      <c r="E2326" s="5" t="s">
        <v>427</v>
      </c>
      <c r="F2326" s="9" t="s">
        <v>1802</v>
      </c>
      <c r="G2326" s="9">
        <v>1523</v>
      </c>
      <c r="H2326" s="5" t="s">
        <v>21</v>
      </c>
      <c r="I2326" s="5" t="s">
        <v>6167</v>
      </c>
      <c r="J2326" s="12" t="str">
        <f>HYPERLINK("https://www.boe.es/gazeta/dias/1808/11/22/pdfs/GMD-1808-146.pdf#page=9","Abrir facsímil")</f>
        <v>Abrir facsímil</v>
      </c>
      <c r="K2326" s="15" t="s">
        <v>23</v>
      </c>
    </row>
    <row r="2327" spans="1:11" ht="42" customHeight="1">
      <c r="A2327" s="4" t="s">
        <v>6168</v>
      </c>
      <c r="B2327" s="5" t="s">
        <v>6169</v>
      </c>
      <c r="C2327" s="5" t="s">
        <v>33</v>
      </c>
      <c r="D2327" s="5" t="s">
        <v>34</v>
      </c>
      <c r="E2327" s="5" t="s">
        <v>35</v>
      </c>
      <c r="F2327" s="9" t="s">
        <v>36</v>
      </c>
      <c r="G2327" s="9" t="s">
        <v>144</v>
      </c>
      <c r="H2327" s="5" t="s">
        <v>21</v>
      </c>
      <c r="I2327" s="5" t="s">
        <v>6170</v>
      </c>
      <c r="J2327" s="12" t="str">
        <f>HYPERLINK("https://www.boe.es/gazeta/dias/1808/04/22/pdfs/GMD-C-1808-38.pdf#page=40","Abrir facsímil")</f>
        <v>Abrir facsímil</v>
      </c>
      <c r="K2327" s="15" t="s">
        <v>23</v>
      </c>
    </row>
    <row r="2328" spans="1:11" ht="42" customHeight="1">
      <c r="A2328" s="4" t="s">
        <v>6171</v>
      </c>
      <c r="B2328" s="5" t="s">
        <v>6172</v>
      </c>
      <c r="C2328" s="5" t="s">
        <v>17</v>
      </c>
      <c r="D2328" s="5" t="s">
        <v>18</v>
      </c>
      <c r="E2328" s="5" t="s">
        <v>89</v>
      </c>
      <c r="F2328" s="9" t="s">
        <v>2031</v>
      </c>
      <c r="G2328" s="9">
        <v>343</v>
      </c>
      <c r="H2328" s="5" t="s">
        <v>21</v>
      </c>
      <c r="I2328" s="5" t="s">
        <v>6173</v>
      </c>
      <c r="J2328" s="12" t="str">
        <f>HYPERLINK("https://www.boe.es/gazeta/dias/1808/10/25/pdfs/GMS-1808-43.pdf#page=7","Abrir facsímil")</f>
        <v>Abrir facsímil</v>
      </c>
      <c r="K2328" s="15" t="s">
        <v>23</v>
      </c>
    </row>
    <row r="2329" spans="1:11" ht="42" customHeight="1">
      <c r="A2329" s="4" t="s">
        <v>6174</v>
      </c>
      <c r="B2329" s="5" t="s">
        <v>6175</v>
      </c>
      <c r="C2329" s="5" t="s">
        <v>33</v>
      </c>
      <c r="D2329" s="5" t="s">
        <v>34</v>
      </c>
      <c r="E2329" s="5" t="s">
        <v>35</v>
      </c>
      <c r="F2329" s="9" t="s">
        <v>36</v>
      </c>
      <c r="G2329" s="9" t="s">
        <v>924</v>
      </c>
      <c r="H2329" s="5" t="s">
        <v>21</v>
      </c>
      <c r="I2329" s="5" t="s">
        <v>6176</v>
      </c>
      <c r="J2329" s="12" t="str">
        <f>HYPERLINK("https://www.boe.es/gazeta/dias/1808/04/22/pdfs/GMD-C-1808-38.pdf#page=27","Abrir facsímil")</f>
        <v>Abrir facsímil</v>
      </c>
      <c r="K2329" s="15" t="s">
        <v>23</v>
      </c>
    </row>
    <row r="2330" spans="1:11" ht="42" customHeight="1">
      <c r="A2330" s="4" t="s">
        <v>6177</v>
      </c>
      <c r="B2330" s="5" t="s">
        <v>6178</v>
      </c>
      <c r="C2330" s="5" t="s">
        <v>41</v>
      </c>
      <c r="D2330" s="5" t="s">
        <v>42</v>
      </c>
      <c r="E2330" s="5" t="s">
        <v>461</v>
      </c>
      <c r="F2330" s="9" t="s">
        <v>462</v>
      </c>
      <c r="G2330" s="9" t="s">
        <v>199</v>
      </c>
      <c r="H2330" s="5" t="s">
        <v>21</v>
      </c>
      <c r="I2330" s="5" t="s">
        <v>6179</v>
      </c>
      <c r="J2330" s="12" t="str">
        <f>HYPERLINK("https://www.boe.es/gazeta/dias/1808/11/08/pdfs/GMD-D-1808-142.pdf#page=2","Abrir facsímil")</f>
        <v>Abrir facsímil</v>
      </c>
      <c r="K2330" s="15" t="s">
        <v>23</v>
      </c>
    </row>
    <row r="2331" spans="1:11" ht="42" customHeight="1">
      <c r="A2331" s="4" t="s">
        <v>6180</v>
      </c>
      <c r="B2331" s="5" t="s">
        <v>6181</v>
      </c>
      <c r="C2331" s="5" t="s">
        <v>41</v>
      </c>
      <c r="D2331" s="5" t="s">
        <v>42</v>
      </c>
      <c r="E2331" s="5" t="s">
        <v>84</v>
      </c>
      <c r="F2331" s="9" t="s">
        <v>85</v>
      </c>
      <c r="G2331" s="9">
        <v>1162</v>
      </c>
      <c r="H2331" s="5" t="s">
        <v>21</v>
      </c>
      <c r="I2331" s="5" t="s">
        <v>6182</v>
      </c>
      <c r="J2331" s="12" t="str">
        <f>HYPERLINK("https://www.boe.es/gazeta/dias/1808/09/13/pdfs/GMD-1808-123.pdf#page=10","Abrir facsímil")</f>
        <v>Abrir facsímil</v>
      </c>
      <c r="K2331" s="15" t="s">
        <v>23</v>
      </c>
    </row>
    <row r="2332" spans="1:11" ht="42" customHeight="1">
      <c r="A2332" s="4" t="s">
        <v>6183</v>
      </c>
      <c r="B2332" s="5" t="s">
        <v>6184</v>
      </c>
      <c r="C2332" s="5" t="s">
        <v>33</v>
      </c>
      <c r="D2332" s="5" t="s">
        <v>34</v>
      </c>
      <c r="E2332" s="5" t="s">
        <v>153</v>
      </c>
      <c r="F2332" s="9" t="s">
        <v>154</v>
      </c>
      <c r="G2332" s="9" t="s">
        <v>117</v>
      </c>
      <c r="H2332" s="5" t="s">
        <v>21</v>
      </c>
      <c r="I2332" s="5" t="s">
        <v>6185</v>
      </c>
      <c r="J2332" s="12" t="str">
        <f>HYPERLINK("https://www.boe.es/gazeta/dias/1808/09/09/pdfs/GMD-C-1808-121.pdf#page=1","Abrir facsímil")</f>
        <v>Abrir facsímil</v>
      </c>
      <c r="K2332" s="15" t="s">
        <v>23</v>
      </c>
    </row>
    <row r="2333" spans="1:11" ht="42" customHeight="1">
      <c r="A2333" s="4" t="s">
        <v>6186</v>
      </c>
      <c r="B2333" s="5" t="s">
        <v>6187</v>
      </c>
      <c r="C2333" s="5" t="s">
        <v>33</v>
      </c>
      <c r="D2333" s="5" t="s">
        <v>34</v>
      </c>
      <c r="E2333" s="5" t="s">
        <v>19</v>
      </c>
      <c r="F2333" s="9" t="s">
        <v>949</v>
      </c>
      <c r="G2333" s="9" t="s">
        <v>75</v>
      </c>
      <c r="H2333" s="5" t="s">
        <v>21</v>
      </c>
      <c r="I2333" s="5" t="s">
        <v>6188</v>
      </c>
      <c r="J2333" s="12" t="str">
        <f>HYPERLINK("https://www.boe.es/gazeta/dias/1808/09/30/pdfs/GMD-C-1808-130.pdf#page=4","Abrir facsímil")</f>
        <v>Abrir facsímil</v>
      </c>
      <c r="K2333" s="15" t="s">
        <v>23</v>
      </c>
    </row>
    <row r="2334" spans="1:11" ht="42" customHeight="1">
      <c r="A2334" s="4" t="s">
        <v>6189</v>
      </c>
      <c r="B2334" s="5" t="s">
        <v>6190</v>
      </c>
      <c r="C2334" s="5" t="s">
        <v>33</v>
      </c>
      <c r="D2334" s="5" t="s">
        <v>34</v>
      </c>
      <c r="E2334" s="5" t="s">
        <v>35</v>
      </c>
      <c r="F2334" s="9" t="s">
        <v>36</v>
      </c>
      <c r="G2334" s="9" t="s">
        <v>75</v>
      </c>
      <c r="H2334" s="5" t="s">
        <v>21</v>
      </c>
      <c r="I2334" s="5" t="s">
        <v>6191</v>
      </c>
      <c r="J2334" s="12" t="str">
        <f>HYPERLINK("https://www.boe.es/gazeta/dias/1808/04/22/pdfs/GMD-C-1808-38.pdf#page=4","Abrir facsímil")</f>
        <v>Abrir facsímil</v>
      </c>
      <c r="K2334" s="15" t="s">
        <v>23</v>
      </c>
    </row>
    <row r="2335" spans="1:11" ht="42" customHeight="1">
      <c r="A2335" s="4" t="s">
        <v>6192</v>
      </c>
      <c r="B2335" s="5" t="s">
        <v>6193</v>
      </c>
      <c r="C2335" s="5" t="s">
        <v>17</v>
      </c>
      <c r="D2335" s="5" t="s">
        <v>18</v>
      </c>
      <c r="E2335" s="5" t="s">
        <v>1791</v>
      </c>
      <c r="F2335" s="9" t="s">
        <v>2814</v>
      </c>
      <c r="G2335" s="9">
        <v>930</v>
      </c>
      <c r="H2335" s="5" t="s">
        <v>21</v>
      </c>
      <c r="I2335" s="5" t="s">
        <v>6194</v>
      </c>
      <c r="J2335" s="12" t="str">
        <f>HYPERLINK("https://www.boe.es/gazeta/dias/1808/07/30/pdfs/GMD-1808-102.pdf#page=4","Abrir facsímil")</f>
        <v>Abrir facsímil</v>
      </c>
      <c r="K2335" s="15" t="s">
        <v>23</v>
      </c>
    </row>
    <row r="2336" spans="1:11" ht="42" customHeight="1">
      <c r="A2336" s="4" t="s">
        <v>6192</v>
      </c>
      <c r="B2336" s="5" t="s">
        <v>6193</v>
      </c>
      <c r="C2336" s="5" t="s">
        <v>17</v>
      </c>
      <c r="D2336" s="5" t="s">
        <v>18</v>
      </c>
      <c r="E2336" s="5" t="s">
        <v>427</v>
      </c>
      <c r="F2336" s="9" t="s">
        <v>1802</v>
      </c>
      <c r="G2336" s="9">
        <v>1526</v>
      </c>
      <c r="H2336" s="5" t="s">
        <v>21</v>
      </c>
      <c r="I2336" s="5" t="s">
        <v>6195</v>
      </c>
      <c r="J2336" s="12" t="str">
        <f>HYPERLINK("https://www.boe.es/gazeta/dias/1808/11/22/pdfs/GMD-1808-146.pdf#page=12","Abrir facsímil")</f>
        <v>Abrir facsímil</v>
      </c>
      <c r="K2336" s="15" t="s">
        <v>23</v>
      </c>
    </row>
    <row r="2337" spans="1:11" ht="42" customHeight="1">
      <c r="A2337" s="4" t="s">
        <v>6196</v>
      </c>
      <c r="B2337" s="5" t="s">
        <v>6197</v>
      </c>
      <c r="C2337" s="5" t="s">
        <v>17</v>
      </c>
      <c r="D2337" s="5" t="s">
        <v>18</v>
      </c>
      <c r="E2337" s="5" t="s">
        <v>73</v>
      </c>
      <c r="F2337" s="9" t="s">
        <v>581</v>
      </c>
      <c r="G2337" s="9">
        <v>1468</v>
      </c>
      <c r="H2337" s="5" t="s">
        <v>21</v>
      </c>
      <c r="I2337" s="5" t="s">
        <v>6198</v>
      </c>
      <c r="J2337" s="12" t="str">
        <f>HYPERLINK("https://www.boe.es/gazeta/dias/1808/11/11/pdfs/GMD-1808-143.pdf#page=10","Abrir facsímil")</f>
        <v>Abrir facsímil</v>
      </c>
      <c r="K2337" s="15" t="s">
        <v>23</v>
      </c>
    </row>
    <row r="2338" spans="1:11" ht="42" customHeight="1">
      <c r="A2338" s="4" t="s">
        <v>6199</v>
      </c>
      <c r="B2338" s="5" t="s">
        <v>6200</v>
      </c>
      <c r="C2338" s="5" t="s">
        <v>33</v>
      </c>
      <c r="D2338" s="5" t="s">
        <v>34</v>
      </c>
      <c r="E2338" s="5" t="s">
        <v>35</v>
      </c>
      <c r="F2338" s="9" t="s">
        <v>36</v>
      </c>
      <c r="G2338" s="9" t="s">
        <v>199</v>
      </c>
      <c r="H2338" s="5" t="s">
        <v>21</v>
      </c>
      <c r="I2338" s="5" t="s">
        <v>6201</v>
      </c>
      <c r="J2338" s="12" t="str">
        <f>HYPERLINK("https://www.boe.es/gazeta/dias/1808/04/22/pdfs/GMD-C-1808-38.pdf#page=2","Abrir facsímil")</f>
        <v>Abrir facsímil</v>
      </c>
      <c r="K2338" s="15" t="s">
        <v>23</v>
      </c>
    </row>
    <row r="2339" spans="1:11" ht="42" customHeight="1">
      <c r="A2339" s="4" t="s">
        <v>6202</v>
      </c>
      <c r="B2339" s="5" t="s">
        <v>6203</v>
      </c>
      <c r="C2339" s="5" t="s">
        <v>17</v>
      </c>
      <c r="D2339" s="5" t="s">
        <v>18</v>
      </c>
      <c r="E2339" s="5" t="s">
        <v>61</v>
      </c>
      <c r="F2339" s="9" t="s">
        <v>62</v>
      </c>
      <c r="G2339" s="9">
        <v>1286</v>
      </c>
      <c r="H2339" s="5" t="s">
        <v>21</v>
      </c>
      <c r="I2339" s="5" t="s">
        <v>6204</v>
      </c>
      <c r="J2339" s="12" t="str">
        <f>HYPERLINK("https://www.boe.es/gazeta/dias/1808/10/11/pdfs/GMD-1808-133.pdf#page=14","Abrir facsímil")</f>
        <v>Abrir facsímil</v>
      </c>
      <c r="K2339" s="15" t="s">
        <v>23</v>
      </c>
    </row>
    <row r="2340" spans="1:11" ht="42" customHeight="1">
      <c r="A2340" s="4" t="s">
        <v>6205</v>
      </c>
      <c r="B2340" s="5" t="s">
        <v>6206</v>
      </c>
      <c r="C2340" s="5" t="s">
        <v>33</v>
      </c>
      <c r="D2340" s="5" t="s">
        <v>34</v>
      </c>
      <c r="E2340" s="5" t="s">
        <v>35</v>
      </c>
      <c r="F2340" s="9" t="s">
        <v>36</v>
      </c>
      <c r="G2340" s="9" t="s">
        <v>324</v>
      </c>
      <c r="H2340" s="5" t="s">
        <v>21</v>
      </c>
      <c r="I2340" s="5" t="s">
        <v>6207</v>
      </c>
      <c r="J2340" s="12" t="str">
        <f>HYPERLINK("https://www.boe.es/gazeta/dias/1808/04/22/pdfs/GMD-C-1808-38.pdf#page=24","Abrir facsímil")</f>
        <v>Abrir facsímil</v>
      </c>
      <c r="K2340" s="15" t="s">
        <v>23</v>
      </c>
    </row>
    <row r="2341" spans="1:11" ht="42" customHeight="1">
      <c r="A2341" s="4" t="s">
        <v>6208</v>
      </c>
      <c r="B2341" s="5" t="s">
        <v>6209</v>
      </c>
      <c r="C2341" s="5" t="s">
        <v>33</v>
      </c>
      <c r="D2341" s="5" t="s">
        <v>34</v>
      </c>
      <c r="E2341" s="5" t="s">
        <v>461</v>
      </c>
      <c r="F2341" s="9" t="s">
        <v>462</v>
      </c>
      <c r="G2341" s="9" t="s">
        <v>199</v>
      </c>
      <c r="H2341" s="5" t="s">
        <v>21</v>
      </c>
      <c r="I2341" s="5" t="s">
        <v>6210</v>
      </c>
      <c r="J2341" s="12" t="str">
        <f>HYPERLINK("https://www.boe.es/gazeta/dias/1808/11/08/pdfs/GMD-D-1808-142.pdf#page=2","Abrir facsímil")</f>
        <v>Abrir facsímil</v>
      </c>
      <c r="K2341" s="15" t="s">
        <v>23</v>
      </c>
    </row>
    <row r="2342" spans="1:11" ht="42" customHeight="1">
      <c r="A2342" s="4" t="s">
        <v>6211</v>
      </c>
      <c r="B2342" s="5" t="s">
        <v>6212</v>
      </c>
      <c r="C2342" s="5" t="s">
        <v>94</v>
      </c>
      <c r="D2342" s="5" t="s">
        <v>95</v>
      </c>
      <c r="E2342" s="5" t="s">
        <v>3011</v>
      </c>
      <c r="F2342" s="9" t="s">
        <v>3012</v>
      </c>
      <c r="G2342" s="9">
        <v>1678</v>
      </c>
      <c r="H2342" s="5" t="s">
        <v>21</v>
      </c>
      <c r="I2342" s="5" t="s">
        <v>6213</v>
      </c>
      <c r="J2342" s="12" t="str">
        <f>HYPERLINK("https://www.boe.es/gazeta/dias/1808/12/25/pdfs/GMD-1808-165.pdf#page=4","Abrir facsímil")</f>
        <v>Abrir facsímil</v>
      </c>
      <c r="K2342" s="15" t="s">
        <v>23</v>
      </c>
    </row>
    <row r="2343" spans="1:11" ht="42" customHeight="1">
      <c r="A2343" s="4" t="s">
        <v>6214</v>
      </c>
      <c r="B2343" s="5" t="s">
        <v>6215</v>
      </c>
      <c r="C2343" s="5" t="s">
        <v>33</v>
      </c>
      <c r="D2343" s="5" t="s">
        <v>34</v>
      </c>
      <c r="E2343" s="5" t="s">
        <v>35</v>
      </c>
      <c r="F2343" s="9" t="s">
        <v>36</v>
      </c>
      <c r="G2343" s="9" t="s">
        <v>277</v>
      </c>
      <c r="H2343" s="5" t="s">
        <v>21</v>
      </c>
      <c r="I2343" s="5" t="s">
        <v>6216</v>
      </c>
      <c r="J2343" s="12" t="str">
        <f>HYPERLINK("https://www.boe.es/gazeta/dias/1808/04/22/pdfs/GMD-C-1808-38.pdf#page=34","Abrir facsímil")</f>
        <v>Abrir facsímil</v>
      </c>
      <c r="K2343" s="15" t="s">
        <v>23</v>
      </c>
    </row>
    <row r="2344" spans="1:11" ht="42" customHeight="1">
      <c r="A2344" s="4" t="s">
        <v>6217</v>
      </c>
      <c r="B2344" s="5" t="s">
        <v>6218</v>
      </c>
      <c r="C2344" s="5" t="s">
        <v>33</v>
      </c>
      <c r="D2344" s="5" t="s">
        <v>34</v>
      </c>
      <c r="E2344" s="5" t="s">
        <v>363</v>
      </c>
      <c r="F2344" s="9" t="s">
        <v>364</v>
      </c>
      <c r="G2344" s="9" t="s">
        <v>75</v>
      </c>
      <c r="H2344" s="5" t="s">
        <v>21</v>
      </c>
      <c r="I2344" s="5" t="s">
        <v>6219</v>
      </c>
      <c r="J2344" s="12" t="str">
        <f>HYPERLINK("https://www.boe.es/gazeta/dias/1808/09/20/pdfs/GMD-C-1808-126.pdf#page=4","Abrir facsímil")</f>
        <v>Abrir facsímil</v>
      </c>
      <c r="K2344" s="15" t="s">
        <v>23</v>
      </c>
    </row>
    <row r="2345" spans="1:11" ht="42" customHeight="1">
      <c r="A2345" s="4" t="s">
        <v>6220</v>
      </c>
      <c r="B2345" s="5" t="s">
        <v>6221</v>
      </c>
      <c r="C2345" s="5" t="s">
        <v>41</v>
      </c>
      <c r="D2345" s="5" t="s">
        <v>42</v>
      </c>
      <c r="E2345" s="5" t="s">
        <v>3381</v>
      </c>
      <c r="F2345" s="9" t="s">
        <v>3382</v>
      </c>
      <c r="G2345" s="9">
        <v>370</v>
      </c>
      <c r="H2345" s="5" t="s">
        <v>21</v>
      </c>
      <c r="I2345" s="5" t="s">
        <v>6222</v>
      </c>
      <c r="J2345" s="12" t="str">
        <f>HYPERLINK("https://www.boe.es/gazeta/dias/1808/04/12/pdfs/GMD-1808-34.pdf#page=8","Abrir facsímil")</f>
        <v>Abrir facsímil</v>
      </c>
      <c r="K2345" s="15" t="s">
        <v>23</v>
      </c>
    </row>
    <row r="2346" spans="1:11" ht="42" customHeight="1">
      <c r="A2346" s="4" t="s">
        <v>6223</v>
      </c>
      <c r="B2346" s="5" t="s">
        <v>6224</v>
      </c>
      <c r="C2346" s="5" t="s">
        <v>41</v>
      </c>
      <c r="D2346" s="5" t="s">
        <v>42</v>
      </c>
      <c r="E2346" s="5" t="s">
        <v>2281</v>
      </c>
      <c r="F2346" s="9" t="s">
        <v>2282</v>
      </c>
      <c r="G2346" s="9">
        <v>423</v>
      </c>
      <c r="H2346" s="5" t="s">
        <v>21</v>
      </c>
      <c r="I2346" s="5" t="s">
        <v>6225</v>
      </c>
      <c r="J2346" s="12" t="str">
        <f>HYPERLINK("https://www.boe.es/gazeta/dias/1808/04/29/pdfs/GMD-1808-42.pdf#page=7","Abrir facsímil")</f>
        <v>Abrir facsímil</v>
      </c>
      <c r="K2346" s="15" t="s">
        <v>23</v>
      </c>
    </row>
    <row r="2347" spans="1:11" ht="42" customHeight="1">
      <c r="A2347" s="4" t="s">
        <v>6223</v>
      </c>
      <c r="B2347" s="5" t="s">
        <v>6224</v>
      </c>
      <c r="C2347" s="5" t="s">
        <v>94</v>
      </c>
      <c r="D2347" s="5" t="s">
        <v>95</v>
      </c>
      <c r="E2347" s="5" t="s">
        <v>508</v>
      </c>
      <c r="F2347" s="9" t="s">
        <v>509</v>
      </c>
      <c r="G2347" s="9">
        <v>1020</v>
      </c>
      <c r="H2347" s="5" t="s">
        <v>21</v>
      </c>
      <c r="I2347" s="5" t="s">
        <v>6226</v>
      </c>
      <c r="J2347" s="12" t="str">
        <f>HYPERLINK("https://www.boe.es/gazeta/dias/1808/08/16/pdfs/GMD-1808-113.pdf#page=12","Abrir facsímil")</f>
        <v>Abrir facsímil</v>
      </c>
      <c r="K2347" s="15" t="s">
        <v>23</v>
      </c>
    </row>
    <row r="2348" spans="1:11" ht="42" customHeight="1">
      <c r="A2348" s="4" t="s">
        <v>6227</v>
      </c>
      <c r="B2348" s="5" t="s">
        <v>6228</v>
      </c>
      <c r="C2348" s="5" t="s">
        <v>17</v>
      </c>
      <c r="D2348" s="5" t="s">
        <v>18</v>
      </c>
      <c r="E2348" s="5" t="s">
        <v>461</v>
      </c>
      <c r="F2348" s="9" t="s">
        <v>733</v>
      </c>
      <c r="G2348" s="9">
        <v>1448</v>
      </c>
      <c r="H2348" s="5" t="s">
        <v>21</v>
      </c>
      <c r="I2348" s="5" t="s">
        <v>6229</v>
      </c>
      <c r="J2348" s="12" t="str">
        <f>HYPERLINK("https://www.boe.es/gazeta/dias/1808/11/08/pdfs/GMD-1808-142.pdf#page=10","Abrir facsímil")</f>
        <v>Abrir facsímil</v>
      </c>
      <c r="K2348" s="15" t="s">
        <v>23</v>
      </c>
    </row>
    <row r="2349" spans="1:11" ht="42" customHeight="1">
      <c r="A2349" s="4" t="s">
        <v>6230</v>
      </c>
      <c r="B2349" s="5" t="s">
        <v>6231</v>
      </c>
      <c r="C2349" s="5" t="s">
        <v>41</v>
      </c>
      <c r="D2349" s="5" t="s">
        <v>42</v>
      </c>
      <c r="E2349" s="5" t="s">
        <v>35</v>
      </c>
      <c r="F2349" s="9" t="s">
        <v>36</v>
      </c>
      <c r="G2349" s="9" t="s">
        <v>277</v>
      </c>
      <c r="H2349" s="5" t="s">
        <v>21</v>
      </c>
      <c r="I2349" s="5" t="s">
        <v>6232</v>
      </c>
      <c r="J2349" s="12" t="str">
        <f>HYPERLINK("https://www.boe.es/gazeta/dias/1808/04/22/pdfs/GMD-C-1808-38.pdf#page=34","Abrir facsímil")</f>
        <v>Abrir facsímil</v>
      </c>
      <c r="K2349" s="15" t="s">
        <v>23</v>
      </c>
    </row>
    <row r="2350" spans="1:11" ht="42" customHeight="1">
      <c r="A2350" s="4" t="s">
        <v>6233</v>
      </c>
      <c r="B2350" s="5" t="s">
        <v>6234</v>
      </c>
      <c r="C2350" s="5" t="s">
        <v>33</v>
      </c>
      <c r="D2350" s="5" t="s">
        <v>34</v>
      </c>
      <c r="E2350" s="5" t="s">
        <v>35</v>
      </c>
      <c r="F2350" s="9" t="s">
        <v>36</v>
      </c>
      <c r="G2350" s="9" t="s">
        <v>956</v>
      </c>
      <c r="H2350" s="5" t="s">
        <v>21</v>
      </c>
      <c r="I2350" s="5" t="s">
        <v>6235</v>
      </c>
      <c r="J2350" s="12" t="str">
        <f>HYPERLINK("https://www.boe.es/gazeta/dias/1808/04/22/pdfs/GMD-C-1808-38.pdf#page=41","Abrir facsímil")</f>
        <v>Abrir facsímil</v>
      </c>
      <c r="K2350" s="15" t="s">
        <v>23</v>
      </c>
    </row>
    <row r="2351" spans="1:11" ht="42" customHeight="1">
      <c r="A2351" s="4" t="s">
        <v>6236</v>
      </c>
      <c r="B2351" s="5" t="s">
        <v>6237</v>
      </c>
      <c r="C2351" s="5" t="s">
        <v>33</v>
      </c>
      <c r="D2351" s="5" t="s">
        <v>34</v>
      </c>
      <c r="E2351" s="5" t="s">
        <v>35</v>
      </c>
      <c r="F2351" s="9" t="s">
        <v>36</v>
      </c>
      <c r="G2351" s="9" t="s">
        <v>273</v>
      </c>
      <c r="H2351" s="5" t="s">
        <v>21</v>
      </c>
      <c r="I2351" s="5" t="s">
        <v>6238</v>
      </c>
      <c r="J2351" s="12" t="str">
        <f>HYPERLINK("https://www.boe.es/gazeta/dias/1808/04/22/pdfs/GMD-C-1808-38.pdf#page=12","Abrir facsímil")</f>
        <v>Abrir facsímil</v>
      </c>
      <c r="K2351" s="15" t="s">
        <v>23</v>
      </c>
    </row>
    <row r="2352" spans="1:11" ht="42" customHeight="1">
      <c r="A2352" s="4" t="s">
        <v>6236</v>
      </c>
      <c r="B2352" s="5" t="s">
        <v>6237</v>
      </c>
      <c r="C2352" s="5" t="s">
        <v>33</v>
      </c>
      <c r="D2352" s="5" t="s">
        <v>34</v>
      </c>
      <c r="E2352" s="5" t="s">
        <v>35</v>
      </c>
      <c r="F2352" s="9" t="s">
        <v>36</v>
      </c>
      <c r="G2352" s="9" t="s">
        <v>501</v>
      </c>
      <c r="H2352" s="5" t="s">
        <v>21</v>
      </c>
      <c r="I2352" s="5" t="s">
        <v>6239</v>
      </c>
      <c r="J2352" s="12" t="str">
        <f>HYPERLINK("https://www.boe.es/gazeta/dias/1808/04/22/pdfs/GMD-C-1808-38.pdf#page=5","Abrir facsímil")</f>
        <v>Abrir facsímil</v>
      </c>
      <c r="K2352" s="15" t="s">
        <v>23</v>
      </c>
    </row>
    <row r="2353" spans="1:11" ht="42" customHeight="1">
      <c r="A2353" s="4" t="s">
        <v>6240</v>
      </c>
      <c r="B2353" s="5" t="s">
        <v>6241</v>
      </c>
      <c r="C2353" s="5" t="s">
        <v>33</v>
      </c>
      <c r="D2353" s="5" t="s">
        <v>34</v>
      </c>
      <c r="E2353" s="5" t="s">
        <v>35</v>
      </c>
      <c r="F2353" s="9" t="s">
        <v>36</v>
      </c>
      <c r="G2353" s="9" t="s">
        <v>199</v>
      </c>
      <c r="H2353" s="5" t="s">
        <v>21</v>
      </c>
      <c r="I2353" s="5" t="s">
        <v>6242</v>
      </c>
      <c r="J2353" s="12" t="str">
        <f>HYPERLINK("https://www.boe.es/gazeta/dias/1808/04/22/pdfs/GMD-C-1808-38.pdf#page=2","Abrir facsímil")</f>
        <v>Abrir facsímil</v>
      </c>
      <c r="K2353" s="15" t="s">
        <v>23</v>
      </c>
    </row>
    <row r="2354" spans="1:11" ht="42" customHeight="1">
      <c r="A2354" s="4" t="s">
        <v>6243</v>
      </c>
      <c r="B2354" s="5" t="s">
        <v>6244</v>
      </c>
      <c r="C2354" s="5" t="s">
        <v>33</v>
      </c>
      <c r="D2354" s="5" t="s">
        <v>34</v>
      </c>
      <c r="E2354" s="5" t="s">
        <v>139</v>
      </c>
      <c r="F2354" s="9" t="s">
        <v>1089</v>
      </c>
      <c r="G2354" s="9" t="s">
        <v>75</v>
      </c>
      <c r="H2354" s="5" t="s">
        <v>21</v>
      </c>
      <c r="I2354" s="5" t="s">
        <v>6245</v>
      </c>
      <c r="J2354" s="12" t="str">
        <f>HYPERLINK("https://www.boe.es/gazeta/dias/1808/09/23/pdfs/GMD-C-1808-127.pdf#page=4","Abrir facsímil")</f>
        <v>Abrir facsímil</v>
      </c>
      <c r="K2354" s="15" t="s">
        <v>23</v>
      </c>
    </row>
    <row r="2355" spans="1:11" ht="42" customHeight="1">
      <c r="A2355" s="4" t="s">
        <v>6246</v>
      </c>
      <c r="B2355" s="5" t="s">
        <v>6247</v>
      </c>
      <c r="C2355" s="5" t="s">
        <v>41</v>
      </c>
      <c r="D2355" s="5" t="s">
        <v>42</v>
      </c>
      <c r="E2355" s="5" t="s">
        <v>663</v>
      </c>
      <c r="F2355" s="9" t="s">
        <v>664</v>
      </c>
      <c r="G2355" s="9">
        <v>210</v>
      </c>
      <c r="H2355" s="5" t="s">
        <v>21</v>
      </c>
      <c r="I2355" s="5" t="s">
        <v>6248</v>
      </c>
      <c r="J2355" s="12" t="str">
        <f>HYPERLINK("https://www.boe.es/gazeta/dias/1808/02/26/pdfs/GMD-1808-17.pdf#page=12","Abrir facsímil")</f>
        <v>Abrir facsímil</v>
      </c>
      <c r="K2355" s="15" t="s">
        <v>23</v>
      </c>
    </row>
    <row r="2356" spans="1:11" ht="42" customHeight="1">
      <c r="A2356" s="4" t="s">
        <v>6249</v>
      </c>
      <c r="B2356" s="5" t="s">
        <v>6250</v>
      </c>
      <c r="C2356" s="5" t="s">
        <v>33</v>
      </c>
      <c r="D2356" s="5" t="s">
        <v>34</v>
      </c>
      <c r="E2356" s="5" t="s">
        <v>363</v>
      </c>
      <c r="F2356" s="9" t="s">
        <v>364</v>
      </c>
      <c r="G2356" s="9" t="s">
        <v>117</v>
      </c>
      <c r="H2356" s="5" t="s">
        <v>21</v>
      </c>
      <c r="I2356" s="5" t="s">
        <v>6251</v>
      </c>
      <c r="J2356" s="12" t="str">
        <f>HYPERLINK("https://www.boe.es/gazeta/dias/1808/09/20/pdfs/GMD-C-1808-126.pdf#page=1","Abrir facsímil")</f>
        <v>Abrir facsímil</v>
      </c>
      <c r="K2356" s="15" t="s">
        <v>23</v>
      </c>
    </row>
    <row r="2357" spans="1:11" ht="42" customHeight="1">
      <c r="A2357" s="4" t="s">
        <v>6252</v>
      </c>
      <c r="B2357" s="5" t="s">
        <v>6253</v>
      </c>
      <c r="C2357" s="5" t="s">
        <v>41</v>
      </c>
      <c r="D2357" s="5" t="s">
        <v>42</v>
      </c>
      <c r="E2357" s="5" t="s">
        <v>125</v>
      </c>
      <c r="F2357" s="9" t="s">
        <v>126</v>
      </c>
      <c r="G2357" s="9" t="s">
        <v>106</v>
      </c>
      <c r="H2357" s="5" t="s">
        <v>21</v>
      </c>
      <c r="I2357" s="5" t="s">
        <v>6254</v>
      </c>
      <c r="J2357" s="12" t="str">
        <f>HYPERLINK("https://www.boe.es/gazeta/dias/1808/10/07/pdfs/GMD-C-1808-132.pdf#page=3","Abrir facsímil")</f>
        <v>Abrir facsímil</v>
      </c>
      <c r="K2357" s="15" t="s">
        <v>23</v>
      </c>
    </row>
    <row r="2358" spans="1:11" ht="42" customHeight="1">
      <c r="A2358" s="4" t="s">
        <v>6255</v>
      </c>
      <c r="B2358" s="5" t="s">
        <v>6256</v>
      </c>
      <c r="C2358" s="5" t="s">
        <v>33</v>
      </c>
      <c r="D2358" s="5" t="s">
        <v>34</v>
      </c>
      <c r="E2358" s="5" t="s">
        <v>558</v>
      </c>
      <c r="F2358" s="9" t="s">
        <v>758</v>
      </c>
      <c r="G2358" s="9" t="s">
        <v>117</v>
      </c>
      <c r="H2358" s="5" t="s">
        <v>21</v>
      </c>
      <c r="I2358" s="5" t="s">
        <v>6257</v>
      </c>
      <c r="J2358" s="12" t="str">
        <f>HYPERLINK("https://www.boe.es/gazeta/dias/1808/11/25/pdfs/GMD-E-1808-147.pdf#page=1","Abrir facsímil")</f>
        <v>Abrir facsímil</v>
      </c>
      <c r="K2358" s="15" t="s">
        <v>23</v>
      </c>
    </row>
    <row r="2359" spans="1:11" ht="42" customHeight="1">
      <c r="A2359" s="4" t="s">
        <v>6258</v>
      </c>
      <c r="B2359" s="5" t="s">
        <v>6259</v>
      </c>
      <c r="C2359" s="5" t="s">
        <v>17</v>
      </c>
      <c r="D2359" s="5" t="s">
        <v>18</v>
      </c>
      <c r="E2359" s="5" t="s">
        <v>65</v>
      </c>
      <c r="F2359" s="9" t="s">
        <v>66</v>
      </c>
      <c r="G2359" s="9">
        <v>1307</v>
      </c>
      <c r="H2359" s="5" t="s">
        <v>21</v>
      </c>
      <c r="I2359" s="5" t="s">
        <v>6260</v>
      </c>
      <c r="J2359" s="12" t="str">
        <f>HYPERLINK("https://www.boe.es/gazeta/dias/1808/10/18/pdfs/GMD-1808-135.pdf#page=7","Abrir facsímil")</f>
        <v>Abrir facsímil</v>
      </c>
      <c r="K2359" s="15" t="s">
        <v>23</v>
      </c>
    </row>
    <row r="2360" spans="1:11" ht="42" customHeight="1">
      <c r="A2360" s="4" t="s">
        <v>6261</v>
      </c>
      <c r="B2360" s="5" t="s">
        <v>6262</v>
      </c>
      <c r="C2360" s="5" t="s">
        <v>33</v>
      </c>
      <c r="D2360" s="5" t="s">
        <v>34</v>
      </c>
      <c r="E2360" s="5" t="s">
        <v>35</v>
      </c>
      <c r="F2360" s="9" t="s">
        <v>36</v>
      </c>
      <c r="G2360" s="9" t="s">
        <v>924</v>
      </c>
      <c r="H2360" s="5" t="s">
        <v>21</v>
      </c>
      <c r="I2360" s="5" t="s">
        <v>6263</v>
      </c>
      <c r="J2360" s="12" t="str">
        <f>HYPERLINK("https://www.boe.es/gazeta/dias/1808/04/22/pdfs/GMD-C-1808-38.pdf#page=27","Abrir facsímil")</f>
        <v>Abrir facsímil</v>
      </c>
      <c r="K2360" s="15" t="s">
        <v>23</v>
      </c>
    </row>
    <row r="2361" spans="1:11" ht="42" customHeight="1">
      <c r="A2361" s="4" t="s">
        <v>6264</v>
      </c>
      <c r="B2361" s="5" t="s">
        <v>6265</v>
      </c>
      <c r="C2361" s="5" t="s">
        <v>260</v>
      </c>
      <c r="D2361" s="5" t="s">
        <v>42</v>
      </c>
      <c r="E2361" s="5" t="s">
        <v>1893</v>
      </c>
      <c r="F2361" s="9" t="s">
        <v>1894</v>
      </c>
      <c r="G2361" s="9">
        <v>748</v>
      </c>
      <c r="H2361" s="5" t="s">
        <v>21</v>
      </c>
      <c r="I2361" s="5" t="s">
        <v>6266</v>
      </c>
      <c r="J2361" s="12" t="str">
        <f>HYPERLINK("https://www.boe.es/gazeta/dias/1808/07/07/pdfs/GMD-1808-79.pdf#page=6","Abrir facsímil")</f>
        <v>Abrir facsímil</v>
      </c>
      <c r="K2361" s="15" t="s">
        <v>23</v>
      </c>
    </row>
    <row r="2362" spans="1:11" ht="42" customHeight="1">
      <c r="A2362" s="4" t="s">
        <v>6267</v>
      </c>
      <c r="B2362" s="5" t="s">
        <v>6268</v>
      </c>
      <c r="C2362" s="5" t="s">
        <v>33</v>
      </c>
      <c r="D2362" s="5" t="s">
        <v>34</v>
      </c>
      <c r="E2362" s="5" t="s">
        <v>35</v>
      </c>
      <c r="F2362" s="9" t="s">
        <v>36</v>
      </c>
      <c r="G2362" s="9" t="s">
        <v>277</v>
      </c>
      <c r="H2362" s="5" t="s">
        <v>21</v>
      </c>
      <c r="I2362" s="5" t="s">
        <v>6269</v>
      </c>
      <c r="J2362" s="12" t="str">
        <f>HYPERLINK("https://www.boe.es/gazeta/dias/1808/04/22/pdfs/GMD-C-1808-38.pdf#page=34","Abrir facsímil")</f>
        <v>Abrir facsímil</v>
      </c>
      <c r="K2362" s="15" t="s">
        <v>23</v>
      </c>
    </row>
    <row r="2363" spans="1:11" ht="42" customHeight="1">
      <c r="A2363" s="4" t="s">
        <v>6270</v>
      </c>
      <c r="B2363" s="5" t="s">
        <v>6271</v>
      </c>
      <c r="C2363" s="5" t="s">
        <v>33</v>
      </c>
      <c r="D2363" s="5" t="s">
        <v>34</v>
      </c>
      <c r="E2363" s="5" t="s">
        <v>125</v>
      </c>
      <c r="F2363" s="9" t="s">
        <v>126</v>
      </c>
      <c r="G2363" s="9" t="s">
        <v>199</v>
      </c>
      <c r="H2363" s="5" t="s">
        <v>21</v>
      </c>
      <c r="I2363" s="5" t="s">
        <v>6272</v>
      </c>
      <c r="J2363" s="12" t="str">
        <f>HYPERLINK("https://www.boe.es/gazeta/dias/1808/10/07/pdfs/GMD-C-1808-132.pdf#page=2","Abrir facsímil")</f>
        <v>Abrir facsímil</v>
      </c>
      <c r="K2363" s="15" t="s">
        <v>23</v>
      </c>
    </row>
    <row r="2364" spans="1:11" ht="42" customHeight="1">
      <c r="A2364" s="4" t="s">
        <v>6273</v>
      </c>
      <c r="B2364" s="5" t="s">
        <v>6274</v>
      </c>
      <c r="C2364" s="5" t="s">
        <v>94</v>
      </c>
      <c r="D2364" s="5" t="s">
        <v>95</v>
      </c>
      <c r="E2364" s="5" t="s">
        <v>185</v>
      </c>
      <c r="F2364" s="9" t="s">
        <v>186</v>
      </c>
      <c r="G2364" s="9">
        <v>1101</v>
      </c>
      <c r="H2364" s="5" t="s">
        <v>21</v>
      </c>
      <c r="I2364" s="5" t="s">
        <v>6275</v>
      </c>
      <c r="J2364" s="12" t="str">
        <f>HYPERLINK("https://www.boe.es/gazeta/dias/1808/08/30/pdfs/GMD-1808-118.pdf#page=7","Abrir facsímil")</f>
        <v>Abrir facsímil</v>
      </c>
      <c r="K2364" s="15" t="s">
        <v>23</v>
      </c>
    </row>
    <row r="2365" spans="1:11" ht="42" customHeight="1">
      <c r="A2365" s="4" t="s">
        <v>6273</v>
      </c>
      <c r="B2365" s="5" t="s">
        <v>6274</v>
      </c>
      <c r="C2365" s="5" t="s">
        <v>17</v>
      </c>
      <c r="D2365" s="5" t="s">
        <v>18</v>
      </c>
      <c r="E2365" s="5" t="s">
        <v>418</v>
      </c>
      <c r="F2365" s="9" t="s">
        <v>3832</v>
      </c>
      <c r="G2365" s="9">
        <v>228</v>
      </c>
      <c r="H2365" s="5" t="s">
        <v>21</v>
      </c>
      <c r="I2365" s="5" t="s">
        <v>6276</v>
      </c>
      <c r="J2365" s="12" t="str">
        <f>HYPERLINK("https://www.boe.es/gazeta/dias/1808/09/06/pdfs/GMS-1808-29.pdf#page=4","Abrir facsímil")</f>
        <v>Abrir facsímil</v>
      </c>
      <c r="K2365" s="15" t="s">
        <v>23</v>
      </c>
    </row>
    <row r="2366" spans="1:11" ht="42" customHeight="1">
      <c r="A2366" s="4" t="s">
        <v>6277</v>
      </c>
      <c r="B2366" s="5" t="s">
        <v>6278</v>
      </c>
      <c r="C2366" s="5" t="s">
        <v>33</v>
      </c>
      <c r="D2366" s="5" t="s">
        <v>34</v>
      </c>
      <c r="E2366" s="5" t="s">
        <v>125</v>
      </c>
      <c r="F2366" s="9" t="s">
        <v>126</v>
      </c>
      <c r="G2366" s="9" t="s">
        <v>106</v>
      </c>
      <c r="H2366" s="5" t="s">
        <v>21</v>
      </c>
      <c r="I2366" s="5" t="s">
        <v>6279</v>
      </c>
      <c r="J2366" s="12" t="str">
        <f>HYPERLINK("https://www.boe.es/gazeta/dias/1808/10/07/pdfs/GMD-C-1808-132.pdf#page=3","Abrir facsímil")</f>
        <v>Abrir facsímil</v>
      </c>
      <c r="K2366" s="15" t="s">
        <v>23</v>
      </c>
    </row>
    <row r="2367" spans="1:11" ht="42" customHeight="1">
      <c r="A2367" s="4" t="s">
        <v>6280</v>
      </c>
      <c r="B2367" s="5" t="s">
        <v>6281</v>
      </c>
      <c r="C2367" s="5" t="s">
        <v>17</v>
      </c>
      <c r="D2367" s="5" t="s">
        <v>18</v>
      </c>
      <c r="E2367" s="5" t="s">
        <v>6282</v>
      </c>
      <c r="F2367" s="9" t="s">
        <v>6283</v>
      </c>
      <c r="G2367" s="9">
        <v>654</v>
      </c>
      <c r="H2367" s="5" t="s">
        <v>21</v>
      </c>
      <c r="I2367" s="5" t="s">
        <v>6284</v>
      </c>
      <c r="J2367" s="12" t="str">
        <f>HYPERLINK("https://www.boe.es/gazeta/dias/1808/06/25/pdfs/GMD-1808-67.pdf#page=8","Abrir facsímil")</f>
        <v>Abrir facsímil</v>
      </c>
      <c r="K2367" s="15" t="s">
        <v>23</v>
      </c>
    </row>
    <row r="2368" spans="1:11" ht="42" customHeight="1">
      <c r="A2368" s="4" t="s">
        <v>6285</v>
      </c>
      <c r="B2368" s="5" t="s">
        <v>6286</v>
      </c>
      <c r="C2368" s="5" t="s">
        <v>94</v>
      </c>
      <c r="D2368" s="5" t="s">
        <v>95</v>
      </c>
      <c r="E2368" s="5" t="s">
        <v>339</v>
      </c>
      <c r="F2368" s="9" t="s">
        <v>340</v>
      </c>
      <c r="G2368" s="9">
        <v>81</v>
      </c>
      <c r="H2368" s="5" t="s">
        <v>21</v>
      </c>
      <c r="I2368" s="5" t="s">
        <v>6287</v>
      </c>
      <c r="J2368" s="12" t="str">
        <f>HYPERLINK("https://www.boe.es/gazeta/dias/1808/01/22/pdfs/GMD-1808-7.pdf#page=9","Abrir facsímil")</f>
        <v>Abrir facsímil</v>
      </c>
      <c r="K2368" s="15" t="s">
        <v>23</v>
      </c>
    </row>
    <row r="2369" spans="1:11" ht="42" customHeight="1">
      <c r="A2369" s="4" t="s">
        <v>6288</v>
      </c>
      <c r="B2369" s="5" t="s">
        <v>6289</v>
      </c>
      <c r="C2369" s="5" t="s">
        <v>17</v>
      </c>
      <c r="D2369" s="5" t="s">
        <v>18</v>
      </c>
      <c r="E2369" s="5" t="s">
        <v>242</v>
      </c>
      <c r="F2369" s="9" t="s">
        <v>243</v>
      </c>
      <c r="G2369" s="9">
        <v>9</v>
      </c>
      <c r="H2369" s="5" t="s">
        <v>21</v>
      </c>
      <c r="I2369" s="5" t="s">
        <v>6290</v>
      </c>
      <c r="J2369" s="12" t="str">
        <f>HYPERLINK("https://www.boe.es/gazeta/dias/1808/01/01/pdfs/GMD-1808-1.pdf#page=9","Abrir facsímil")</f>
        <v>Abrir facsímil</v>
      </c>
      <c r="K2369" s="15" t="s">
        <v>23</v>
      </c>
    </row>
    <row r="2370" spans="1:11" ht="42" customHeight="1">
      <c r="A2370" s="4" t="s">
        <v>6288</v>
      </c>
      <c r="B2370" s="5" t="s">
        <v>6289</v>
      </c>
      <c r="C2370" s="5" t="s">
        <v>17</v>
      </c>
      <c r="D2370" s="5" t="s">
        <v>18</v>
      </c>
      <c r="E2370" s="5" t="s">
        <v>287</v>
      </c>
      <c r="F2370" s="9" t="s">
        <v>489</v>
      </c>
      <c r="G2370" s="9">
        <v>1004</v>
      </c>
      <c r="H2370" s="5" t="s">
        <v>21</v>
      </c>
      <c r="I2370" s="5" t="s">
        <v>6291</v>
      </c>
      <c r="J2370" s="12" t="str">
        <f>HYPERLINK("https://www.boe.es/gazeta/dias/1808/08/12/pdfs/GMD-1808-112.pdf#page=8","Abrir facsímil")</f>
        <v>Abrir facsímil</v>
      </c>
      <c r="K2370" s="15" t="s">
        <v>23</v>
      </c>
    </row>
    <row r="2371" spans="1:11" ht="42" customHeight="1">
      <c r="A2371" s="4" t="s">
        <v>6288</v>
      </c>
      <c r="B2371" s="5" t="s">
        <v>6289</v>
      </c>
      <c r="C2371" s="5" t="s">
        <v>17</v>
      </c>
      <c r="D2371" s="5" t="s">
        <v>18</v>
      </c>
      <c r="E2371" s="5" t="s">
        <v>19</v>
      </c>
      <c r="F2371" s="9" t="s">
        <v>59</v>
      </c>
      <c r="G2371" s="9">
        <v>1228</v>
      </c>
      <c r="H2371" s="5" t="s">
        <v>21</v>
      </c>
      <c r="I2371" s="5" t="s">
        <v>6292</v>
      </c>
      <c r="J2371" s="12" t="str">
        <f>HYPERLINK("https://www.boe.es/gazeta/dias/1808/09/30/pdfs/GMD-1808-130.pdf#page=8","Abrir facsímil")</f>
        <v>Abrir facsímil</v>
      </c>
      <c r="K2371" s="15" t="s">
        <v>23</v>
      </c>
    </row>
    <row r="2372" spans="1:11" ht="42" customHeight="1">
      <c r="A2372" s="4" t="s">
        <v>6288</v>
      </c>
      <c r="B2372" s="5" t="s">
        <v>6289</v>
      </c>
      <c r="C2372" s="5" t="s">
        <v>41</v>
      </c>
      <c r="D2372" s="5" t="s">
        <v>42</v>
      </c>
      <c r="E2372" s="5" t="s">
        <v>197</v>
      </c>
      <c r="F2372" s="9" t="s">
        <v>198</v>
      </c>
      <c r="G2372" s="9" t="s">
        <v>199</v>
      </c>
      <c r="H2372" s="5" t="s">
        <v>21</v>
      </c>
      <c r="I2372" s="5" t="s">
        <v>6293</v>
      </c>
      <c r="J2372" s="12" t="str">
        <f>HYPERLINK("https://www.boe.es/gazeta/dias/1808/11/01/pdfs/GMD-D-1808-140.pdf#page=2","Abrir facsímil")</f>
        <v>Abrir facsímil</v>
      </c>
      <c r="K2372" s="15" t="s">
        <v>23</v>
      </c>
    </row>
    <row r="2373" spans="1:11" ht="42" customHeight="1">
      <c r="A2373" s="4" t="s">
        <v>6294</v>
      </c>
      <c r="B2373" s="5" t="s">
        <v>6295</v>
      </c>
      <c r="C2373" s="5" t="s">
        <v>17</v>
      </c>
      <c r="D2373" s="5" t="s">
        <v>18</v>
      </c>
      <c r="E2373" s="5" t="s">
        <v>391</v>
      </c>
      <c r="F2373" s="9" t="s">
        <v>392</v>
      </c>
      <c r="G2373" s="9">
        <v>1214</v>
      </c>
      <c r="H2373" s="5" t="s">
        <v>21</v>
      </c>
      <c r="I2373" s="5" t="s">
        <v>6296</v>
      </c>
      <c r="J2373" s="12" t="str">
        <f>HYPERLINK("https://www.boe.es/gazeta/dias/1808/09/27/pdfs/GMD-1808-128.pdf#page=10","Abrir facsímil")</f>
        <v>Abrir facsímil</v>
      </c>
      <c r="K2373" s="15" t="s">
        <v>23</v>
      </c>
    </row>
    <row r="2374" spans="1:11" ht="42" customHeight="1">
      <c r="A2374" s="4" t="s">
        <v>6297</v>
      </c>
      <c r="B2374" s="5" t="s">
        <v>6298</v>
      </c>
      <c r="C2374" s="5" t="s">
        <v>33</v>
      </c>
      <c r="D2374" s="5" t="s">
        <v>34</v>
      </c>
      <c r="E2374" s="5" t="s">
        <v>35</v>
      </c>
      <c r="F2374" s="9" t="s">
        <v>36</v>
      </c>
      <c r="G2374" s="9" t="s">
        <v>1860</v>
      </c>
      <c r="H2374" s="5" t="s">
        <v>21</v>
      </c>
      <c r="I2374" s="5" t="s">
        <v>6299</v>
      </c>
      <c r="J2374" s="12" t="str">
        <f>HYPERLINK("https://www.boe.es/gazeta/dias/1808/04/22/pdfs/GMD-C-1808-38.pdf#page=37","Abrir facsímil")</f>
        <v>Abrir facsímil</v>
      </c>
      <c r="K2374" s="15" t="s">
        <v>23</v>
      </c>
    </row>
    <row r="2375" spans="1:11" ht="42" customHeight="1">
      <c r="A2375" s="4" t="s">
        <v>6297</v>
      </c>
      <c r="B2375" s="5" t="s">
        <v>6298</v>
      </c>
      <c r="C2375" s="5" t="s">
        <v>33</v>
      </c>
      <c r="D2375" s="5" t="s">
        <v>34</v>
      </c>
      <c r="E2375" s="5" t="s">
        <v>73</v>
      </c>
      <c r="F2375" s="9" t="s">
        <v>74</v>
      </c>
      <c r="G2375" s="9" t="s">
        <v>106</v>
      </c>
      <c r="H2375" s="5" t="s">
        <v>21</v>
      </c>
      <c r="I2375" s="5" t="s">
        <v>6300</v>
      </c>
      <c r="J2375" s="12" t="str">
        <f>HYPERLINK("https://www.boe.es/gazeta/dias/1808/11/11/pdfs/GMD-D-1808-143.pdf#page=3","Abrir facsímil")</f>
        <v>Abrir facsímil</v>
      </c>
      <c r="K2375" s="15" t="s">
        <v>23</v>
      </c>
    </row>
    <row r="2376" spans="1:11" ht="42" customHeight="1">
      <c r="A2376" s="4" t="s">
        <v>6301</v>
      </c>
      <c r="B2376" s="5" t="s">
        <v>6302</v>
      </c>
      <c r="C2376" s="5" t="s">
        <v>260</v>
      </c>
      <c r="D2376" s="5" t="s">
        <v>42</v>
      </c>
      <c r="E2376" s="5" t="s">
        <v>2794</v>
      </c>
      <c r="F2376" s="9" t="s">
        <v>2795</v>
      </c>
      <c r="G2376" s="9">
        <v>975</v>
      </c>
      <c r="H2376" s="5" t="s">
        <v>21</v>
      </c>
      <c r="I2376" s="5" t="s">
        <v>6303</v>
      </c>
      <c r="J2376" s="12" t="str">
        <f>HYPERLINK("https://www.boe.es/gazeta/dias/1808/08/06/pdfs/GMD-1808-109.pdf#page=1","Abrir facsímil")</f>
        <v>Abrir facsímil</v>
      </c>
      <c r="K2376" s="15" t="s">
        <v>23</v>
      </c>
    </row>
    <row r="2377" spans="1:11" ht="42" customHeight="1">
      <c r="A2377" s="4" t="s">
        <v>6304</v>
      </c>
      <c r="B2377" s="5" t="s">
        <v>6305</v>
      </c>
      <c r="C2377" s="5" t="s">
        <v>33</v>
      </c>
      <c r="D2377" s="5" t="s">
        <v>34</v>
      </c>
      <c r="E2377" s="5" t="s">
        <v>125</v>
      </c>
      <c r="F2377" s="9" t="s">
        <v>126</v>
      </c>
      <c r="G2377" s="9" t="s">
        <v>106</v>
      </c>
      <c r="H2377" s="5" t="s">
        <v>21</v>
      </c>
      <c r="I2377" s="5" t="s">
        <v>6306</v>
      </c>
      <c r="J2377" s="12" t="str">
        <f>HYPERLINK("https://www.boe.es/gazeta/dias/1808/10/07/pdfs/GMD-C-1808-132.pdf#page=3","Abrir facsímil")</f>
        <v>Abrir facsímil</v>
      </c>
      <c r="K2377" s="15" t="s">
        <v>23</v>
      </c>
    </row>
    <row r="2378" spans="1:11" ht="42" customHeight="1">
      <c r="A2378" s="4" t="s">
        <v>6307</v>
      </c>
      <c r="B2378" s="5" t="s">
        <v>6308</v>
      </c>
      <c r="C2378" s="5" t="s">
        <v>642</v>
      </c>
      <c r="D2378" s="5" t="s">
        <v>643</v>
      </c>
      <c r="E2378" s="5" t="s">
        <v>2143</v>
      </c>
      <c r="F2378" s="9" t="s">
        <v>2144</v>
      </c>
      <c r="G2378" s="9">
        <v>1218</v>
      </c>
      <c r="H2378" s="5" t="s">
        <v>21</v>
      </c>
      <c r="I2378" s="5" t="s">
        <v>6309</v>
      </c>
      <c r="J2378" s="12" t="str">
        <f>HYPERLINK("https://www.boe.es/gazeta/dias/1808/09/29/pdfs/GMD-1808-129E.pdf#page=2","Abrir facsímil")</f>
        <v>Abrir facsímil</v>
      </c>
      <c r="K2378" s="15" t="s">
        <v>23</v>
      </c>
    </row>
    <row r="2379" spans="1:11" ht="42" customHeight="1">
      <c r="A2379" s="4" t="s">
        <v>6310</v>
      </c>
      <c r="B2379" s="5" t="s">
        <v>6311</v>
      </c>
      <c r="C2379" s="5" t="s">
        <v>17</v>
      </c>
      <c r="D2379" s="5" t="s">
        <v>18</v>
      </c>
      <c r="E2379" s="5" t="s">
        <v>166</v>
      </c>
      <c r="F2379" s="9" t="s">
        <v>356</v>
      </c>
      <c r="G2379" s="9">
        <v>1510</v>
      </c>
      <c r="H2379" s="5" t="s">
        <v>21</v>
      </c>
      <c r="I2379" s="5" t="s">
        <v>6312</v>
      </c>
      <c r="J2379" s="12" t="str">
        <f>HYPERLINK("https://www.boe.es/gazeta/dias/1808/11/18/pdfs/GMD-1808-145.pdf#page=8","Abrir facsímil")</f>
        <v>Abrir facsímil</v>
      </c>
      <c r="K2379" s="15" t="s">
        <v>23</v>
      </c>
    </row>
    <row r="2380" spans="1:11" ht="42" customHeight="1">
      <c r="A2380" s="4" t="s">
        <v>6313</v>
      </c>
      <c r="B2380" s="5" t="s">
        <v>6314</v>
      </c>
      <c r="C2380" s="5" t="s">
        <v>94</v>
      </c>
      <c r="D2380" s="5" t="s">
        <v>95</v>
      </c>
      <c r="E2380" s="5" t="s">
        <v>203</v>
      </c>
      <c r="F2380" s="9" t="s">
        <v>204</v>
      </c>
      <c r="G2380" s="9">
        <v>141</v>
      </c>
      <c r="H2380" s="5" t="s">
        <v>21</v>
      </c>
      <c r="I2380" s="5" t="s">
        <v>6315</v>
      </c>
      <c r="J2380" s="12" t="str">
        <f>HYPERLINK("https://www.boe.es/gazeta/dias/1808/02/09/pdfs/GMD-1808-12.pdf#page=9","Abrir facsímil")</f>
        <v>Abrir facsímil</v>
      </c>
      <c r="K2380" s="15" t="s">
        <v>23</v>
      </c>
    </row>
    <row r="2381" spans="1:11" ht="42" customHeight="1">
      <c r="A2381" s="4" t="s">
        <v>6316</v>
      </c>
      <c r="B2381" s="5" t="s">
        <v>6317</v>
      </c>
      <c r="C2381" s="5" t="s">
        <v>17</v>
      </c>
      <c r="D2381" s="5" t="s">
        <v>18</v>
      </c>
      <c r="E2381" s="5" t="s">
        <v>130</v>
      </c>
      <c r="F2381" s="9" t="s">
        <v>131</v>
      </c>
      <c r="G2381" s="9">
        <v>1602</v>
      </c>
      <c r="H2381" s="5" t="s">
        <v>21</v>
      </c>
      <c r="I2381" s="5" t="s">
        <v>6318</v>
      </c>
      <c r="J2381" s="12" t="str">
        <f>HYPERLINK("https://www.boe.es/gazeta/dias/1808/12/15/pdfs/GMD-1808-155.pdf#page=6","Abrir facsímil")</f>
        <v>Abrir facsímil</v>
      </c>
      <c r="K2381" s="15" t="s">
        <v>23</v>
      </c>
    </row>
    <row r="2382" spans="1:11" ht="42" customHeight="1">
      <c r="A2382" s="4" t="s">
        <v>6319</v>
      </c>
      <c r="B2382" s="5" t="s">
        <v>6320</v>
      </c>
      <c r="C2382" s="5" t="s">
        <v>17</v>
      </c>
      <c r="D2382" s="5" t="s">
        <v>18</v>
      </c>
      <c r="E2382" s="5" t="s">
        <v>493</v>
      </c>
      <c r="F2382" s="9" t="s">
        <v>494</v>
      </c>
      <c r="G2382" s="9">
        <v>46</v>
      </c>
      <c r="H2382" s="5" t="s">
        <v>21</v>
      </c>
      <c r="I2382" s="5" t="s">
        <v>6321</v>
      </c>
      <c r="J2382" s="12" t="str">
        <f>HYPERLINK("https://www.boe.es/gazeta/dias/1808/01/12/pdfs/GMD-1808-4.pdf#page=10","Abrir facsímil")</f>
        <v>Abrir facsímil</v>
      </c>
      <c r="K2382" s="15" t="s">
        <v>23</v>
      </c>
    </row>
    <row r="2383" spans="1:11" ht="42" customHeight="1">
      <c r="A2383" s="4" t="s">
        <v>6319</v>
      </c>
      <c r="B2383" s="5" t="s">
        <v>6320</v>
      </c>
      <c r="C2383" s="5" t="s">
        <v>94</v>
      </c>
      <c r="D2383" s="5" t="s">
        <v>95</v>
      </c>
      <c r="E2383" s="5" t="s">
        <v>644</v>
      </c>
      <c r="F2383" s="9" t="s">
        <v>645</v>
      </c>
      <c r="G2383" s="9">
        <v>320</v>
      </c>
      <c r="H2383" s="5" t="s">
        <v>21</v>
      </c>
      <c r="I2383" s="5" t="s">
        <v>6322</v>
      </c>
      <c r="J2383" s="12" t="str">
        <f>HYPERLINK("https://www.boe.es/gazeta/dias/1808/03/31/pdfs/GMD-1808-28E.pdf#page=4","Abrir facsímil")</f>
        <v>Abrir facsímil</v>
      </c>
      <c r="K2383" s="15" t="s">
        <v>23</v>
      </c>
    </row>
    <row r="2384" spans="1:11" ht="42" customHeight="1">
      <c r="A2384" s="4" t="s">
        <v>6319</v>
      </c>
      <c r="B2384" s="5" t="s">
        <v>6320</v>
      </c>
      <c r="C2384" s="5" t="s">
        <v>94</v>
      </c>
      <c r="D2384" s="5" t="s">
        <v>95</v>
      </c>
      <c r="E2384" s="5" t="s">
        <v>644</v>
      </c>
      <c r="F2384" s="9" t="s">
        <v>645</v>
      </c>
      <c r="G2384" s="9">
        <v>321</v>
      </c>
      <c r="H2384" s="5" t="s">
        <v>21</v>
      </c>
      <c r="I2384" s="5" t="s">
        <v>6323</v>
      </c>
      <c r="J2384" s="12" t="str">
        <f>HYPERLINK("https://www.boe.es/gazeta/dias/1808/03/31/pdfs/GMD-1808-28E.pdf#page=5","Abrir facsímil")</f>
        <v>Abrir facsímil</v>
      </c>
      <c r="K2384" s="15" t="s">
        <v>23</v>
      </c>
    </row>
    <row r="2385" spans="1:11" ht="42" customHeight="1">
      <c r="A2385" s="4" t="s">
        <v>6324</v>
      </c>
      <c r="B2385" s="5" t="s">
        <v>6325</v>
      </c>
      <c r="C2385" s="5" t="s">
        <v>33</v>
      </c>
      <c r="D2385" s="5" t="s">
        <v>34</v>
      </c>
      <c r="E2385" s="5" t="s">
        <v>19</v>
      </c>
      <c r="F2385" s="9" t="s">
        <v>949</v>
      </c>
      <c r="G2385" s="9" t="s">
        <v>106</v>
      </c>
      <c r="H2385" s="5" t="s">
        <v>21</v>
      </c>
      <c r="I2385" s="5" t="s">
        <v>6326</v>
      </c>
      <c r="J2385" s="12" t="str">
        <f>HYPERLINK("https://www.boe.es/gazeta/dias/1808/09/30/pdfs/GMD-C-1808-130.pdf#page=3","Abrir facsímil")</f>
        <v>Abrir facsímil</v>
      </c>
      <c r="K2385" s="15" t="s">
        <v>23</v>
      </c>
    </row>
    <row r="2386" spans="1:11" ht="42" customHeight="1">
      <c r="A2386" s="4" t="s">
        <v>6327</v>
      </c>
      <c r="B2386" s="5" t="s">
        <v>6328</v>
      </c>
      <c r="C2386" s="5" t="s">
        <v>33</v>
      </c>
      <c r="D2386" s="5" t="s">
        <v>34</v>
      </c>
      <c r="E2386" s="5" t="s">
        <v>28</v>
      </c>
      <c r="F2386" s="9" t="s">
        <v>71</v>
      </c>
      <c r="G2386" s="9">
        <v>1436</v>
      </c>
      <c r="H2386" s="5" t="s">
        <v>21</v>
      </c>
      <c r="I2386" s="5" t="s">
        <v>6329</v>
      </c>
      <c r="J2386" s="12" t="str">
        <f>HYPERLINK("https://www.boe.es/gazeta/dias/1808/11/04/pdfs/GMD-C-1808-141.pdf#page=6","Abrir facsímil")</f>
        <v>Abrir facsímil</v>
      </c>
      <c r="K2386" s="15" t="s">
        <v>23</v>
      </c>
    </row>
    <row r="2387" spans="1:11" ht="42" customHeight="1">
      <c r="A2387" s="4" t="s">
        <v>6330</v>
      </c>
      <c r="B2387" s="5" t="s">
        <v>6331</v>
      </c>
      <c r="C2387" s="5" t="s">
        <v>94</v>
      </c>
      <c r="D2387" s="5" t="s">
        <v>95</v>
      </c>
      <c r="E2387" s="5" t="s">
        <v>644</v>
      </c>
      <c r="F2387" s="9" t="s">
        <v>645</v>
      </c>
      <c r="G2387" s="9">
        <v>320</v>
      </c>
      <c r="H2387" s="5" t="s">
        <v>21</v>
      </c>
      <c r="I2387" s="5" t="s">
        <v>6332</v>
      </c>
      <c r="J2387" s="12" t="str">
        <f>HYPERLINK("https://www.boe.es/gazeta/dias/1808/03/31/pdfs/GMD-1808-28E.pdf#page=4","Abrir facsímil")</f>
        <v>Abrir facsímil</v>
      </c>
      <c r="K2387" s="15" t="s">
        <v>23</v>
      </c>
    </row>
    <row r="2388" spans="1:11" ht="42" customHeight="1">
      <c r="A2388" s="4" t="s">
        <v>6333</v>
      </c>
      <c r="B2388" s="5" t="s">
        <v>6334</v>
      </c>
      <c r="C2388" s="5" t="s">
        <v>17</v>
      </c>
      <c r="D2388" s="5" t="s">
        <v>18</v>
      </c>
      <c r="E2388" s="5" t="s">
        <v>54</v>
      </c>
      <c r="F2388" s="9" t="s">
        <v>55</v>
      </c>
      <c r="G2388" s="9">
        <v>1084</v>
      </c>
      <c r="H2388" s="5" t="s">
        <v>21</v>
      </c>
      <c r="I2388" s="5" t="s">
        <v>6335</v>
      </c>
      <c r="J2388" s="12" t="str">
        <f>HYPERLINK("https://www.boe.es/gazeta/dias/1808/08/26/pdfs/GMD-1808-117.pdf#page=6","Abrir facsímil")</f>
        <v>Abrir facsímil</v>
      </c>
      <c r="K2388" s="15" t="s">
        <v>23</v>
      </c>
    </row>
    <row r="2389" spans="1:11" ht="42" customHeight="1">
      <c r="A2389" s="4" t="s">
        <v>6336</v>
      </c>
      <c r="B2389" s="5" t="s">
        <v>6337</v>
      </c>
      <c r="C2389" s="5" t="s">
        <v>17</v>
      </c>
      <c r="D2389" s="5" t="s">
        <v>18</v>
      </c>
      <c r="E2389" s="5" t="s">
        <v>2639</v>
      </c>
      <c r="F2389" s="9" t="s">
        <v>2640</v>
      </c>
      <c r="G2389" s="9">
        <v>120</v>
      </c>
      <c r="H2389" s="5" t="s">
        <v>21</v>
      </c>
      <c r="I2389" s="5" t="s">
        <v>6338</v>
      </c>
      <c r="J2389" s="12" t="str">
        <f>HYPERLINK("https://www.boe.es/gazeta/dias/1808/07/20/pdfs/GMS-1808-15.pdf#page=8","Abrir facsímil")</f>
        <v>Abrir facsímil</v>
      </c>
      <c r="K2389" s="15" t="s">
        <v>23</v>
      </c>
    </row>
    <row r="2390" spans="1:11" ht="42" customHeight="1">
      <c r="A2390" s="4" t="s">
        <v>6339</v>
      </c>
      <c r="B2390" s="5" t="s">
        <v>6340</v>
      </c>
      <c r="C2390" s="5" t="s">
        <v>41</v>
      </c>
      <c r="D2390" s="5" t="s">
        <v>42</v>
      </c>
      <c r="E2390" s="5" t="s">
        <v>139</v>
      </c>
      <c r="F2390" s="9" t="s">
        <v>140</v>
      </c>
      <c r="G2390" s="9">
        <v>1198</v>
      </c>
      <c r="H2390" s="5" t="s">
        <v>21</v>
      </c>
      <c r="I2390" s="5" t="s">
        <v>6341</v>
      </c>
      <c r="J2390" s="12" t="str">
        <f>HYPERLINK("https://www.boe.es/gazeta/dias/1808/09/23/pdfs/GMD-1808-127.pdf#page=6","Abrir facsímil")</f>
        <v>Abrir facsímil</v>
      </c>
      <c r="K2390" s="15" t="s">
        <v>23</v>
      </c>
    </row>
    <row r="2391" spans="1:11" ht="42" customHeight="1">
      <c r="A2391" s="4" t="s">
        <v>6342</v>
      </c>
      <c r="B2391" s="5" t="s">
        <v>6343</v>
      </c>
      <c r="C2391" s="5" t="s">
        <v>33</v>
      </c>
      <c r="D2391" s="5" t="s">
        <v>34</v>
      </c>
      <c r="E2391" s="5" t="s">
        <v>73</v>
      </c>
      <c r="F2391" s="9" t="s">
        <v>1570</v>
      </c>
      <c r="G2391" s="9">
        <v>1475</v>
      </c>
      <c r="H2391" s="5" t="s">
        <v>21</v>
      </c>
      <c r="I2391" s="5" t="s">
        <v>6344</v>
      </c>
      <c r="J2391" s="12" t="str">
        <f>HYPERLINK("https://www.boe.es/gazeta/dias/1808/11/11/pdfs/GMD-C-1808-143.pdf#page=5","Abrir facsímil")</f>
        <v>Abrir facsímil</v>
      </c>
      <c r="K2391" s="15" t="s">
        <v>23</v>
      </c>
    </row>
    <row r="2392" spans="1:11" ht="42" customHeight="1">
      <c r="A2392" s="4" t="s">
        <v>6342</v>
      </c>
      <c r="B2392" s="5" t="s">
        <v>6343</v>
      </c>
      <c r="C2392" s="5" t="s">
        <v>41</v>
      </c>
      <c r="D2392" s="5" t="s">
        <v>42</v>
      </c>
      <c r="E2392" s="5" t="s">
        <v>73</v>
      </c>
      <c r="F2392" s="9" t="s">
        <v>1570</v>
      </c>
      <c r="G2392" s="9">
        <v>1480</v>
      </c>
      <c r="H2392" s="5" t="s">
        <v>21</v>
      </c>
      <c r="I2392" s="5" t="s">
        <v>6345</v>
      </c>
      <c r="J2392" s="12" t="str">
        <f>HYPERLINK("https://www.boe.es/gazeta/dias/1808/11/11/pdfs/GMD-C-1808-143.pdf#page=10","Abrir facsímil")</f>
        <v>Abrir facsímil</v>
      </c>
      <c r="K2392" s="15" t="s">
        <v>23</v>
      </c>
    </row>
    <row r="2393" spans="1:11" ht="42" customHeight="1">
      <c r="A2393" s="4" t="s">
        <v>6342</v>
      </c>
      <c r="B2393" s="5" t="s">
        <v>6343</v>
      </c>
      <c r="C2393" s="5" t="s">
        <v>389</v>
      </c>
      <c r="D2393" s="5" t="s">
        <v>390</v>
      </c>
      <c r="E2393" s="5" t="s">
        <v>73</v>
      </c>
      <c r="F2393" s="9" t="s">
        <v>1570</v>
      </c>
      <c r="G2393" s="9">
        <v>1481</v>
      </c>
      <c r="H2393" s="5" t="s">
        <v>21</v>
      </c>
      <c r="I2393" s="5" t="s">
        <v>6346</v>
      </c>
      <c r="J2393" s="12" t="str">
        <f>HYPERLINK("https://www.boe.es/gazeta/dias/1808/11/11/pdfs/GMD-C-1808-143.pdf#page=11","Abrir facsímil")</f>
        <v>Abrir facsímil</v>
      </c>
      <c r="K2393" s="15" t="s">
        <v>23</v>
      </c>
    </row>
    <row r="2394" spans="1:11" ht="42" customHeight="1">
      <c r="A2394" s="4" t="s">
        <v>6347</v>
      </c>
      <c r="B2394" s="5" t="s">
        <v>6348</v>
      </c>
      <c r="C2394" s="5" t="s">
        <v>33</v>
      </c>
      <c r="D2394" s="5" t="s">
        <v>34</v>
      </c>
      <c r="E2394" s="5" t="s">
        <v>334</v>
      </c>
      <c r="F2394" s="9" t="s">
        <v>335</v>
      </c>
      <c r="G2394" s="9">
        <v>1251</v>
      </c>
      <c r="H2394" s="5" t="s">
        <v>21</v>
      </c>
      <c r="I2394" s="5" t="s">
        <v>6349</v>
      </c>
      <c r="J2394" s="12" t="str">
        <f>HYPERLINK("https://www.boe.es/gazeta/dias/1808/10/04/pdfs/GMD-C-1808-131.pdf#page=3","Abrir facsímil")</f>
        <v>Abrir facsímil</v>
      </c>
      <c r="K2394" s="15" t="s">
        <v>23</v>
      </c>
    </row>
    <row r="2395" spans="1:11" ht="42" customHeight="1">
      <c r="A2395" s="4" t="s">
        <v>6350</v>
      </c>
      <c r="B2395" s="5" t="s">
        <v>6351</v>
      </c>
      <c r="C2395" s="5" t="s">
        <v>33</v>
      </c>
      <c r="D2395" s="5" t="s">
        <v>34</v>
      </c>
      <c r="E2395" s="5" t="s">
        <v>68</v>
      </c>
      <c r="F2395" s="9" t="s">
        <v>309</v>
      </c>
      <c r="G2395" s="9" t="s">
        <v>75</v>
      </c>
      <c r="H2395" s="5" t="s">
        <v>21</v>
      </c>
      <c r="I2395" s="5" t="s">
        <v>6352</v>
      </c>
      <c r="J2395" s="12" t="str">
        <f>HYPERLINK("https://www.boe.es/gazeta/dias/1808/10/21/pdfs/GMD-D-1808-136.pdf#page=4","Abrir facsímil")</f>
        <v>Abrir facsímil</v>
      </c>
      <c r="K2395" s="15" t="s">
        <v>23</v>
      </c>
    </row>
    <row r="2396" spans="1:11" ht="42" customHeight="1">
      <c r="A2396" s="4" t="s">
        <v>6353</v>
      </c>
      <c r="B2396" s="5" t="s">
        <v>6354</v>
      </c>
      <c r="C2396" s="5" t="s">
        <v>33</v>
      </c>
      <c r="D2396" s="5" t="s">
        <v>34</v>
      </c>
      <c r="E2396" s="5" t="s">
        <v>35</v>
      </c>
      <c r="F2396" s="9" t="s">
        <v>36</v>
      </c>
      <c r="G2396" s="9" t="s">
        <v>106</v>
      </c>
      <c r="H2396" s="5" t="s">
        <v>21</v>
      </c>
      <c r="I2396" s="5" t="s">
        <v>6355</v>
      </c>
      <c r="J2396" s="12" t="str">
        <f>HYPERLINK("https://www.boe.es/gazeta/dias/1808/04/22/pdfs/GMD-C-1808-38.pdf#page=3","Abrir facsímil")</f>
        <v>Abrir facsímil</v>
      </c>
      <c r="K2396" s="15" t="s">
        <v>23</v>
      </c>
    </row>
    <row r="2397" spans="1:11" ht="42" customHeight="1">
      <c r="A2397" s="4" t="s">
        <v>6356</v>
      </c>
      <c r="B2397" s="5" t="s">
        <v>6357</v>
      </c>
      <c r="C2397" s="5" t="s">
        <v>17</v>
      </c>
      <c r="D2397" s="5" t="s">
        <v>18</v>
      </c>
      <c r="E2397" s="5" t="s">
        <v>1896</v>
      </c>
      <c r="F2397" s="9" t="s">
        <v>1897</v>
      </c>
      <c r="G2397" s="9">
        <v>781</v>
      </c>
      <c r="H2397" s="5" t="s">
        <v>21</v>
      </c>
      <c r="I2397" s="5" t="s">
        <v>6358</v>
      </c>
      <c r="J2397" s="12" t="str">
        <f>HYPERLINK("https://www.boe.es/gazeta/dias/1808/07/11/pdfs/GMD-1808-83.pdf#page=7","Abrir facsímil")</f>
        <v>Abrir facsímil</v>
      </c>
      <c r="K2397" s="15" t="s">
        <v>23</v>
      </c>
    </row>
    <row r="2398" spans="1:11" ht="42" customHeight="1">
      <c r="A2398" s="4" t="s">
        <v>6359</v>
      </c>
      <c r="B2398" s="5" t="s">
        <v>6360</v>
      </c>
      <c r="C2398" s="5" t="s">
        <v>41</v>
      </c>
      <c r="D2398" s="5" t="s">
        <v>42</v>
      </c>
      <c r="E2398" s="5" t="s">
        <v>180</v>
      </c>
      <c r="F2398" s="9" t="s">
        <v>768</v>
      </c>
      <c r="G2398" s="9" t="s">
        <v>199</v>
      </c>
      <c r="H2398" s="5" t="s">
        <v>21</v>
      </c>
      <c r="I2398" s="5" t="s">
        <v>6361</v>
      </c>
      <c r="J2398" s="12" t="str">
        <f>HYPERLINK("https://www.boe.es/gazeta/dias/1808/11/15/pdfs/GMD-D-1808-144.pdf#page=2","Abrir facsímil")</f>
        <v>Abrir facsímil</v>
      </c>
      <c r="K2398" s="15" t="s">
        <v>23</v>
      </c>
    </row>
    <row r="2399" spans="1:11" ht="42" customHeight="1">
      <c r="A2399" s="4" t="s">
        <v>6362</v>
      </c>
      <c r="B2399" s="5" t="s">
        <v>6363</v>
      </c>
      <c r="C2399" s="5" t="s">
        <v>33</v>
      </c>
      <c r="D2399" s="5" t="s">
        <v>34</v>
      </c>
      <c r="E2399" s="5" t="s">
        <v>35</v>
      </c>
      <c r="F2399" s="9" t="s">
        <v>36</v>
      </c>
      <c r="G2399" s="9" t="s">
        <v>837</v>
      </c>
      <c r="H2399" s="5" t="s">
        <v>21</v>
      </c>
      <c r="I2399" s="5" t="s">
        <v>6364</v>
      </c>
      <c r="J2399" s="12" t="str">
        <f>HYPERLINK("https://www.boe.es/gazeta/dias/1808/04/22/pdfs/GMD-C-1808-38.pdf#page=10","Abrir facsímil")</f>
        <v>Abrir facsímil</v>
      </c>
      <c r="K2399" s="15" t="s">
        <v>23</v>
      </c>
    </row>
    <row r="2400" spans="1:11" ht="42" customHeight="1">
      <c r="A2400" s="4" t="s">
        <v>6362</v>
      </c>
      <c r="B2400" s="5" t="s">
        <v>6363</v>
      </c>
      <c r="C2400" s="5" t="s">
        <v>389</v>
      </c>
      <c r="D2400" s="5" t="s">
        <v>390</v>
      </c>
      <c r="E2400" s="5" t="s">
        <v>35</v>
      </c>
      <c r="F2400" s="9" t="s">
        <v>36</v>
      </c>
      <c r="G2400" s="9" t="s">
        <v>281</v>
      </c>
      <c r="H2400" s="5" t="s">
        <v>21</v>
      </c>
      <c r="I2400" s="5" t="s">
        <v>6365</v>
      </c>
      <c r="J2400" s="12" t="str">
        <f>HYPERLINK("https://www.boe.es/gazeta/dias/1808/04/22/pdfs/GMD-C-1808-38.pdf#page=47","Abrir facsímil")</f>
        <v>Abrir facsímil</v>
      </c>
      <c r="K2400" s="15" t="s">
        <v>23</v>
      </c>
    </row>
    <row r="2401" spans="1:11" ht="42" customHeight="1">
      <c r="A2401" s="4" t="s">
        <v>6362</v>
      </c>
      <c r="B2401" s="5" t="s">
        <v>6363</v>
      </c>
      <c r="C2401" s="5" t="s">
        <v>33</v>
      </c>
      <c r="D2401" s="5" t="s">
        <v>34</v>
      </c>
      <c r="E2401" s="5" t="s">
        <v>89</v>
      </c>
      <c r="F2401" s="9" t="s">
        <v>563</v>
      </c>
      <c r="G2401" s="9" t="s">
        <v>199</v>
      </c>
      <c r="H2401" s="5" t="s">
        <v>21</v>
      </c>
      <c r="I2401" s="5" t="s">
        <v>6366</v>
      </c>
      <c r="J2401" s="12" t="str">
        <f>HYPERLINK("https://www.boe.es/gazeta/dias/1808/10/25/pdfs/GMD-D-1808-137.pdf#page=2","Abrir facsímil")</f>
        <v>Abrir facsímil</v>
      </c>
      <c r="K2401" s="15" t="s">
        <v>23</v>
      </c>
    </row>
    <row r="2402" spans="1:11" ht="42" customHeight="1">
      <c r="A2402" s="4" t="s">
        <v>6367</v>
      </c>
      <c r="B2402" s="5" t="s">
        <v>6368</v>
      </c>
      <c r="C2402" s="5" t="s">
        <v>33</v>
      </c>
      <c r="D2402" s="5" t="s">
        <v>34</v>
      </c>
      <c r="E2402" s="5" t="s">
        <v>110</v>
      </c>
      <c r="F2402" s="9" t="s">
        <v>828</v>
      </c>
      <c r="G2402" s="9" t="s">
        <v>117</v>
      </c>
      <c r="H2402" s="5" t="s">
        <v>21</v>
      </c>
      <c r="I2402" s="5" t="s">
        <v>6369</v>
      </c>
      <c r="J2402" s="12" t="str">
        <f>HYPERLINK("https://www.boe.es/gazeta/dias/1808/10/28/pdfs/GMD-D-1808-138.pdf#page=1","Abrir facsímil")</f>
        <v>Abrir facsímil</v>
      </c>
      <c r="K2402" s="15" t="s">
        <v>23</v>
      </c>
    </row>
    <row r="2403" spans="1:11" ht="42" customHeight="1">
      <c r="A2403" s="4" t="s">
        <v>6370</v>
      </c>
      <c r="B2403" s="5" t="s">
        <v>6371</v>
      </c>
      <c r="C2403" s="5" t="s">
        <v>33</v>
      </c>
      <c r="D2403" s="5" t="s">
        <v>34</v>
      </c>
      <c r="E2403" s="5" t="s">
        <v>35</v>
      </c>
      <c r="F2403" s="9" t="s">
        <v>36</v>
      </c>
      <c r="G2403" s="9" t="s">
        <v>279</v>
      </c>
      <c r="H2403" s="5" t="s">
        <v>21</v>
      </c>
      <c r="I2403" s="5" t="s">
        <v>6372</v>
      </c>
      <c r="J2403" s="12" t="str">
        <f>HYPERLINK("https://www.boe.es/gazeta/dias/1808/04/22/pdfs/GMD-C-1808-38.pdf#page=44","Abrir facsímil")</f>
        <v>Abrir facsímil</v>
      </c>
      <c r="K2403" s="15" t="s">
        <v>23</v>
      </c>
    </row>
    <row r="2404" spans="1:11" ht="42" customHeight="1">
      <c r="A2404" s="4" t="s">
        <v>6373</v>
      </c>
      <c r="B2404" s="5" t="s">
        <v>6374</v>
      </c>
      <c r="C2404" s="5" t="s">
        <v>41</v>
      </c>
      <c r="D2404" s="5" t="s">
        <v>42</v>
      </c>
      <c r="E2404" s="5" t="s">
        <v>974</v>
      </c>
      <c r="F2404" s="9" t="s">
        <v>975</v>
      </c>
      <c r="G2404" s="9">
        <v>392</v>
      </c>
      <c r="H2404" s="5" t="s">
        <v>21</v>
      </c>
      <c r="I2404" s="5" t="s">
        <v>6375</v>
      </c>
      <c r="J2404" s="12" t="str">
        <f>HYPERLINK("https://www.boe.es/gazeta/dias/1808/04/19/pdfs/GMD-1808-37.pdf#page=8","Abrir facsímil")</f>
        <v>Abrir facsímil</v>
      </c>
      <c r="K2404" s="15" t="s">
        <v>23</v>
      </c>
    </row>
    <row r="2405" spans="1:11" ht="42" customHeight="1">
      <c r="A2405" s="4" t="s">
        <v>6376</v>
      </c>
      <c r="B2405" s="5" t="s">
        <v>6377</v>
      </c>
      <c r="C2405" s="5" t="s">
        <v>642</v>
      </c>
      <c r="D2405" s="5" t="s">
        <v>643</v>
      </c>
      <c r="E2405" s="5" t="s">
        <v>644</v>
      </c>
      <c r="F2405" s="9" t="s">
        <v>645</v>
      </c>
      <c r="G2405" s="9">
        <v>320</v>
      </c>
      <c r="H2405" s="5" t="s">
        <v>21</v>
      </c>
      <c r="I2405" s="5" t="s">
        <v>6378</v>
      </c>
      <c r="J2405" s="12" t="str">
        <f>HYPERLINK("https://www.boe.es/gazeta/dias/1808/03/31/pdfs/GMD-1808-28E.pdf#page=4","Abrir facsímil")</f>
        <v>Abrir facsímil</v>
      </c>
      <c r="K2405" s="15" t="s">
        <v>23</v>
      </c>
    </row>
    <row r="2406" spans="1:11" ht="42" customHeight="1">
      <c r="A2406" s="4" t="s">
        <v>6379</v>
      </c>
      <c r="B2406" s="5" t="s">
        <v>6380</v>
      </c>
      <c r="C2406" s="5" t="s">
        <v>17</v>
      </c>
      <c r="D2406" s="5" t="s">
        <v>18</v>
      </c>
      <c r="E2406" s="5" t="s">
        <v>461</v>
      </c>
      <c r="F2406" s="9" t="s">
        <v>733</v>
      </c>
      <c r="G2406" s="9">
        <v>1442</v>
      </c>
      <c r="H2406" s="5" t="s">
        <v>21</v>
      </c>
      <c r="I2406" s="5" t="s">
        <v>6381</v>
      </c>
      <c r="J2406" s="12" t="str">
        <f>HYPERLINK("https://www.boe.es/gazeta/dias/1808/11/08/pdfs/GMD-1808-142.pdf#page=4","Abrir facsímil")</f>
        <v>Abrir facsímil</v>
      </c>
      <c r="K2406" s="15" t="s">
        <v>23</v>
      </c>
    </row>
    <row r="2407" spans="1:11" ht="42" customHeight="1">
      <c r="A2407" s="4" t="s">
        <v>6382</v>
      </c>
      <c r="B2407" s="5" t="s">
        <v>6383</v>
      </c>
      <c r="C2407" s="5" t="s">
        <v>17</v>
      </c>
      <c r="D2407" s="5" t="s">
        <v>18</v>
      </c>
      <c r="E2407" s="5" t="s">
        <v>68</v>
      </c>
      <c r="F2407" s="9" t="s">
        <v>69</v>
      </c>
      <c r="G2407" s="9">
        <v>1338</v>
      </c>
      <c r="H2407" s="5" t="s">
        <v>21</v>
      </c>
      <c r="I2407" s="5" t="s">
        <v>6384</v>
      </c>
      <c r="J2407" s="12" t="str">
        <f>HYPERLINK("https://www.boe.es/gazeta/dias/1808/10/21/pdfs/GMD-1808-136.pdf#page=10","Abrir facsímil")</f>
        <v>Abrir facsímil</v>
      </c>
      <c r="K2407" s="15" t="s">
        <v>23</v>
      </c>
    </row>
    <row r="2408" spans="1:11" ht="42" customHeight="1">
      <c r="A2408" s="4" t="s">
        <v>6385</v>
      </c>
      <c r="B2408" s="5" t="s">
        <v>6386</v>
      </c>
      <c r="C2408" s="5" t="s">
        <v>17</v>
      </c>
      <c r="D2408" s="5" t="s">
        <v>18</v>
      </c>
      <c r="E2408" s="5" t="s">
        <v>427</v>
      </c>
      <c r="F2408" s="9" t="s">
        <v>1802</v>
      </c>
      <c r="G2408" s="9">
        <v>1522</v>
      </c>
      <c r="H2408" s="5" t="s">
        <v>21</v>
      </c>
      <c r="I2408" s="5" t="s">
        <v>6387</v>
      </c>
      <c r="J2408" s="12" t="str">
        <f>HYPERLINK("https://www.boe.es/gazeta/dias/1808/11/22/pdfs/GMD-1808-146.pdf#page=8","Abrir facsímil")</f>
        <v>Abrir facsímil</v>
      </c>
      <c r="K2408" s="15" t="s">
        <v>23</v>
      </c>
    </row>
    <row r="2409" spans="1:11" ht="42" customHeight="1">
      <c r="A2409" s="4" t="s">
        <v>6388</v>
      </c>
      <c r="B2409" s="5" t="s">
        <v>6389</v>
      </c>
      <c r="C2409" s="5" t="s">
        <v>17</v>
      </c>
      <c r="D2409" s="5" t="s">
        <v>18</v>
      </c>
      <c r="E2409" s="5" t="s">
        <v>334</v>
      </c>
      <c r="F2409" s="9" t="s">
        <v>1814</v>
      </c>
      <c r="G2409" s="9">
        <v>1246</v>
      </c>
      <c r="H2409" s="5" t="s">
        <v>21</v>
      </c>
      <c r="I2409" s="5" t="s">
        <v>6390</v>
      </c>
      <c r="J2409" s="12" t="str">
        <f>HYPERLINK("https://www.boe.es/gazeta/dias/1808/10/04/pdfs/GMD-1808-131.pdf#page=14","Abrir facsímil")</f>
        <v>Abrir facsímil</v>
      </c>
      <c r="K2409" s="15" t="s">
        <v>23</v>
      </c>
    </row>
    <row r="2410" spans="1:11" ht="42" customHeight="1">
      <c r="A2410" s="4" t="s">
        <v>6391</v>
      </c>
      <c r="B2410" s="5" t="s">
        <v>6392</v>
      </c>
      <c r="C2410" s="5" t="s">
        <v>94</v>
      </c>
      <c r="D2410" s="5" t="s">
        <v>95</v>
      </c>
      <c r="E2410" s="5" t="s">
        <v>264</v>
      </c>
      <c r="F2410" s="9" t="s">
        <v>2256</v>
      </c>
      <c r="G2410" s="9">
        <v>1562</v>
      </c>
      <c r="H2410" s="5" t="s">
        <v>21</v>
      </c>
      <c r="I2410" s="5" t="s">
        <v>6393</v>
      </c>
      <c r="J2410" s="12" t="str">
        <f>HYPERLINK("https://www.boe.es/gazeta/dias/1808/11/29/pdfs/GMD-1808-148.pdf#page=8","Abrir facsímil")</f>
        <v>Abrir facsímil</v>
      </c>
      <c r="K2410" s="15" t="s">
        <v>23</v>
      </c>
    </row>
    <row r="2411" spans="1:11" ht="42" customHeight="1">
      <c r="A2411" s="4" t="s">
        <v>6394</v>
      </c>
      <c r="B2411" s="5" t="s">
        <v>6395</v>
      </c>
      <c r="C2411" s="5" t="s">
        <v>94</v>
      </c>
      <c r="D2411" s="5" t="s">
        <v>95</v>
      </c>
      <c r="E2411" s="5" t="s">
        <v>2856</v>
      </c>
      <c r="F2411" s="9" t="s">
        <v>2857</v>
      </c>
      <c r="G2411" s="9">
        <v>147</v>
      </c>
      <c r="H2411" s="5" t="s">
        <v>21</v>
      </c>
      <c r="I2411" s="5" t="s">
        <v>6396</v>
      </c>
      <c r="J2411" s="12" t="str">
        <f>HYPERLINK("https://www.boe.es/gazeta/dias/1808/08/03/pdfs/GMS-1808-19.pdf#page=3","Abrir facsímil")</f>
        <v>Abrir facsímil</v>
      </c>
      <c r="K2411" s="15" t="s">
        <v>23</v>
      </c>
    </row>
    <row r="2412" spans="1:11" ht="42" customHeight="1">
      <c r="A2412" s="4" t="s">
        <v>6394</v>
      </c>
      <c r="B2412" s="5" t="s">
        <v>6395</v>
      </c>
      <c r="C2412" s="5" t="s">
        <v>17</v>
      </c>
      <c r="D2412" s="5" t="s">
        <v>18</v>
      </c>
      <c r="E2412" s="5" t="s">
        <v>73</v>
      </c>
      <c r="F2412" s="9" t="s">
        <v>581</v>
      </c>
      <c r="G2412" s="9">
        <v>1463</v>
      </c>
      <c r="H2412" s="5" t="s">
        <v>21</v>
      </c>
      <c r="I2412" s="5" t="s">
        <v>6397</v>
      </c>
      <c r="J2412" s="12" t="str">
        <f>HYPERLINK("https://www.boe.es/gazeta/dias/1808/11/11/pdfs/GMD-1808-143.pdf#page=5","Abrir facsímil")</f>
        <v>Abrir facsímil</v>
      </c>
      <c r="K2412" s="15" t="s">
        <v>23</v>
      </c>
    </row>
    <row r="2413" spans="1:11" ht="42" customHeight="1">
      <c r="A2413" s="4" t="s">
        <v>6394</v>
      </c>
      <c r="B2413" s="5" t="s">
        <v>6395</v>
      </c>
      <c r="C2413" s="5" t="s">
        <v>17</v>
      </c>
      <c r="D2413" s="5" t="s">
        <v>18</v>
      </c>
      <c r="E2413" s="5" t="s">
        <v>427</v>
      </c>
      <c r="F2413" s="9" t="s">
        <v>1802</v>
      </c>
      <c r="G2413" s="9">
        <v>1522</v>
      </c>
      <c r="H2413" s="5" t="s">
        <v>21</v>
      </c>
      <c r="I2413" s="5" t="s">
        <v>6398</v>
      </c>
      <c r="J2413" s="12" t="str">
        <f>HYPERLINK("https://www.boe.es/gazeta/dias/1808/11/22/pdfs/GMD-1808-146.pdf#page=8","Abrir facsímil")</f>
        <v>Abrir facsímil</v>
      </c>
      <c r="K2413" s="15" t="s">
        <v>23</v>
      </c>
    </row>
    <row r="2414" spans="1:11" ht="42" customHeight="1">
      <c r="A2414" s="4" t="s">
        <v>6399</v>
      </c>
      <c r="B2414" s="5" t="s">
        <v>6400</v>
      </c>
      <c r="C2414" s="5" t="s">
        <v>33</v>
      </c>
      <c r="D2414" s="5" t="s">
        <v>34</v>
      </c>
      <c r="E2414" s="5" t="s">
        <v>35</v>
      </c>
      <c r="F2414" s="9" t="s">
        <v>36</v>
      </c>
      <c r="G2414" s="9" t="s">
        <v>277</v>
      </c>
      <c r="H2414" s="5" t="s">
        <v>21</v>
      </c>
      <c r="I2414" s="5" t="s">
        <v>6401</v>
      </c>
      <c r="J2414" s="12" t="str">
        <f>HYPERLINK("https://www.boe.es/gazeta/dias/1808/04/22/pdfs/GMD-C-1808-38.pdf#page=34","Abrir facsímil")</f>
        <v>Abrir facsímil</v>
      </c>
      <c r="K2414" s="15" t="s">
        <v>23</v>
      </c>
    </row>
    <row r="2415" spans="1:11" ht="42" customHeight="1">
      <c r="A2415" s="4" t="s">
        <v>6399</v>
      </c>
      <c r="B2415" s="5" t="s">
        <v>6400</v>
      </c>
      <c r="C2415" s="5" t="s">
        <v>33</v>
      </c>
      <c r="D2415" s="5" t="s">
        <v>34</v>
      </c>
      <c r="E2415" s="5" t="s">
        <v>35</v>
      </c>
      <c r="F2415" s="9" t="s">
        <v>36</v>
      </c>
      <c r="G2415" s="9" t="s">
        <v>279</v>
      </c>
      <c r="H2415" s="5" t="s">
        <v>21</v>
      </c>
      <c r="I2415" s="5" t="s">
        <v>6402</v>
      </c>
      <c r="J2415" s="12" t="str">
        <f>HYPERLINK("https://www.boe.es/gazeta/dias/1808/04/22/pdfs/GMD-C-1808-38.pdf#page=44","Abrir facsímil")</f>
        <v>Abrir facsímil</v>
      </c>
      <c r="K2415" s="15" t="s">
        <v>23</v>
      </c>
    </row>
    <row r="2416" spans="1:11" ht="42" customHeight="1">
      <c r="A2416" s="4" t="s">
        <v>6403</v>
      </c>
      <c r="B2416" s="5" t="s">
        <v>6404</v>
      </c>
      <c r="C2416" s="5" t="s">
        <v>33</v>
      </c>
      <c r="D2416" s="5" t="s">
        <v>34</v>
      </c>
      <c r="E2416" s="5" t="s">
        <v>391</v>
      </c>
      <c r="F2416" s="9" t="s">
        <v>588</v>
      </c>
      <c r="G2416" s="9" t="s">
        <v>117</v>
      </c>
      <c r="H2416" s="5" t="s">
        <v>21</v>
      </c>
      <c r="I2416" s="5" t="s">
        <v>6405</v>
      </c>
      <c r="J2416" s="12" t="str">
        <f>HYPERLINK("https://www.boe.es/gazeta/dias/1808/09/27/pdfs/GMD-C-1808-128.pdf#page=1","Abrir facsímil")</f>
        <v>Abrir facsímil</v>
      </c>
      <c r="K2416" s="15" t="s">
        <v>23</v>
      </c>
    </row>
    <row r="2417" spans="1:11" ht="42" customHeight="1">
      <c r="A2417" s="4" t="s">
        <v>6406</v>
      </c>
      <c r="B2417" s="5" t="s">
        <v>6407</v>
      </c>
      <c r="C2417" s="5" t="s">
        <v>33</v>
      </c>
      <c r="D2417" s="5" t="s">
        <v>34</v>
      </c>
      <c r="E2417" s="5" t="s">
        <v>461</v>
      </c>
      <c r="F2417" s="9" t="s">
        <v>462</v>
      </c>
      <c r="G2417" s="9" t="s">
        <v>106</v>
      </c>
      <c r="H2417" s="5" t="s">
        <v>21</v>
      </c>
      <c r="I2417" s="5" t="s">
        <v>6408</v>
      </c>
      <c r="J2417" s="12" t="str">
        <f>HYPERLINK("https://www.boe.es/gazeta/dias/1808/11/08/pdfs/GMD-D-1808-142.pdf#page=3","Abrir facsímil")</f>
        <v>Abrir facsímil</v>
      </c>
      <c r="K2417" s="15" t="s">
        <v>23</v>
      </c>
    </row>
    <row r="2418" spans="1:11" ht="42" customHeight="1">
      <c r="A2418" s="4" t="s">
        <v>6409</v>
      </c>
      <c r="B2418" s="5" t="s">
        <v>6410</v>
      </c>
      <c r="C2418" s="5" t="s">
        <v>33</v>
      </c>
      <c r="D2418" s="5" t="s">
        <v>34</v>
      </c>
      <c r="E2418" s="5" t="s">
        <v>35</v>
      </c>
      <c r="F2418" s="9" t="s">
        <v>36</v>
      </c>
      <c r="G2418" s="9" t="s">
        <v>273</v>
      </c>
      <c r="H2418" s="5" t="s">
        <v>21</v>
      </c>
      <c r="I2418" s="5" t="s">
        <v>6411</v>
      </c>
      <c r="J2418" s="12" t="str">
        <f>HYPERLINK("https://www.boe.es/gazeta/dias/1808/04/22/pdfs/GMD-C-1808-38.pdf#page=12","Abrir facsímil")</f>
        <v>Abrir facsímil</v>
      </c>
      <c r="K2418" s="15" t="s">
        <v>23</v>
      </c>
    </row>
    <row r="2419" spans="1:11" ht="42" customHeight="1">
      <c r="A2419" s="4" t="s">
        <v>6412</v>
      </c>
      <c r="B2419" s="5" t="s">
        <v>6413</v>
      </c>
      <c r="C2419" s="5" t="s">
        <v>17</v>
      </c>
      <c r="D2419" s="5" t="s">
        <v>18</v>
      </c>
      <c r="E2419" s="5" t="s">
        <v>139</v>
      </c>
      <c r="F2419" s="9" t="s">
        <v>140</v>
      </c>
      <c r="G2419" s="9">
        <v>1203</v>
      </c>
      <c r="H2419" s="5" t="s">
        <v>21</v>
      </c>
      <c r="I2419" s="5" t="s">
        <v>6414</v>
      </c>
      <c r="J2419" s="12" t="str">
        <f>HYPERLINK("https://www.boe.es/gazeta/dias/1808/09/23/pdfs/GMD-1808-127.pdf#page=11","Abrir facsímil")</f>
        <v>Abrir facsímil</v>
      </c>
      <c r="K2419" s="15" t="s">
        <v>23</v>
      </c>
    </row>
    <row r="2420" spans="1:11" ht="42" customHeight="1">
      <c r="A2420" s="4" t="s">
        <v>6415</v>
      </c>
      <c r="B2420" s="5" t="s">
        <v>6416</v>
      </c>
      <c r="C2420" s="5" t="s">
        <v>41</v>
      </c>
      <c r="D2420" s="5" t="s">
        <v>42</v>
      </c>
      <c r="E2420" s="5" t="s">
        <v>65</v>
      </c>
      <c r="F2420" s="9" t="s">
        <v>105</v>
      </c>
      <c r="G2420" s="9" t="s">
        <v>117</v>
      </c>
      <c r="H2420" s="5" t="s">
        <v>21</v>
      </c>
      <c r="I2420" s="5" t="s">
        <v>6417</v>
      </c>
      <c r="J2420" s="12" t="str">
        <f>HYPERLINK("https://www.boe.es/gazeta/dias/1808/10/18/pdfs/GMD-D-1808-135.pdf#page=1","Abrir facsímil")</f>
        <v>Abrir facsímil</v>
      </c>
      <c r="K2420" s="15" t="s">
        <v>23</v>
      </c>
    </row>
    <row r="2421" spans="1:11" ht="42" customHeight="1">
      <c r="A2421" s="4" t="s">
        <v>6418</v>
      </c>
      <c r="B2421" s="5" t="s">
        <v>6419</v>
      </c>
      <c r="C2421" s="5" t="s">
        <v>17</v>
      </c>
      <c r="D2421" s="5" t="s">
        <v>18</v>
      </c>
      <c r="E2421" s="5" t="s">
        <v>166</v>
      </c>
      <c r="F2421" s="9" t="s">
        <v>356</v>
      </c>
      <c r="G2421" s="9">
        <v>1509</v>
      </c>
      <c r="H2421" s="5" t="s">
        <v>21</v>
      </c>
      <c r="I2421" s="5" t="s">
        <v>6420</v>
      </c>
      <c r="J2421" s="12" t="str">
        <f>HYPERLINK("https://www.boe.es/gazeta/dias/1808/11/18/pdfs/GMD-1808-145.pdf#page=7","Abrir facsímil")</f>
        <v>Abrir facsímil</v>
      </c>
      <c r="K2421" s="15" t="s">
        <v>23</v>
      </c>
    </row>
    <row r="2422" spans="1:11" ht="42" customHeight="1">
      <c r="A2422" s="4" t="s">
        <v>6421</v>
      </c>
      <c r="B2422" s="5" t="s">
        <v>6422</v>
      </c>
      <c r="C2422" s="5" t="s">
        <v>33</v>
      </c>
      <c r="D2422" s="5" t="s">
        <v>34</v>
      </c>
      <c r="E2422" s="5" t="s">
        <v>35</v>
      </c>
      <c r="F2422" s="9" t="s">
        <v>36</v>
      </c>
      <c r="G2422" s="9" t="s">
        <v>324</v>
      </c>
      <c r="H2422" s="5" t="s">
        <v>21</v>
      </c>
      <c r="I2422" s="5" t="s">
        <v>6423</v>
      </c>
      <c r="J2422" s="12" t="str">
        <f>HYPERLINK("https://www.boe.es/gazeta/dias/1808/04/22/pdfs/GMD-C-1808-38.pdf#page=24","Abrir facsímil")</f>
        <v>Abrir facsímil</v>
      </c>
      <c r="K2422" s="15" t="s">
        <v>23</v>
      </c>
    </row>
    <row r="2423" spans="1:11" ht="42" customHeight="1">
      <c r="A2423" s="4" t="s">
        <v>6424</v>
      </c>
      <c r="B2423" s="5" t="s">
        <v>6425</v>
      </c>
      <c r="C2423" s="5" t="s">
        <v>17</v>
      </c>
      <c r="D2423" s="5" t="s">
        <v>18</v>
      </c>
      <c r="E2423" s="5" t="s">
        <v>115</v>
      </c>
      <c r="F2423" s="9" t="s">
        <v>1650</v>
      </c>
      <c r="G2423" s="9">
        <v>1177</v>
      </c>
      <c r="H2423" s="5" t="s">
        <v>21</v>
      </c>
      <c r="I2423" s="5" t="s">
        <v>6426</v>
      </c>
      <c r="J2423" s="12" t="str">
        <f>HYPERLINK("https://www.boe.es/gazeta/dias/1808/09/16/pdfs/GMD-1808-125.pdf#page=9","Abrir facsímil")</f>
        <v>Abrir facsímil</v>
      </c>
      <c r="K2423" s="15" t="s">
        <v>23</v>
      </c>
    </row>
    <row r="2424" spans="1:11" ht="42" customHeight="1">
      <c r="A2424" s="4" t="s">
        <v>6427</v>
      </c>
      <c r="B2424" s="5" t="s">
        <v>6428</v>
      </c>
      <c r="C2424" s="5" t="s">
        <v>17</v>
      </c>
      <c r="D2424" s="5" t="s">
        <v>18</v>
      </c>
      <c r="E2424" s="5" t="s">
        <v>115</v>
      </c>
      <c r="F2424" s="9" t="s">
        <v>1650</v>
      </c>
      <c r="G2424" s="9">
        <v>1177</v>
      </c>
      <c r="H2424" s="5" t="s">
        <v>21</v>
      </c>
      <c r="I2424" s="5" t="s">
        <v>6429</v>
      </c>
      <c r="J2424" s="12" t="str">
        <f>HYPERLINK("https://www.boe.es/gazeta/dias/1808/09/16/pdfs/GMD-1808-125.pdf#page=9","Abrir facsímil")</f>
        <v>Abrir facsímil</v>
      </c>
      <c r="K2424" s="15" t="s">
        <v>23</v>
      </c>
    </row>
    <row r="2425" spans="1:11" ht="42" customHeight="1">
      <c r="A2425" s="4" t="s">
        <v>6427</v>
      </c>
      <c r="B2425" s="5" t="s">
        <v>6428</v>
      </c>
      <c r="C2425" s="5" t="s">
        <v>33</v>
      </c>
      <c r="D2425" s="5" t="s">
        <v>34</v>
      </c>
      <c r="E2425" s="5" t="s">
        <v>115</v>
      </c>
      <c r="F2425" s="9" t="s">
        <v>116</v>
      </c>
      <c r="G2425" s="9" t="s">
        <v>117</v>
      </c>
      <c r="H2425" s="5" t="s">
        <v>21</v>
      </c>
      <c r="I2425" s="5" t="s">
        <v>6430</v>
      </c>
      <c r="J2425" s="12" t="str">
        <f>HYPERLINK("https://www.boe.es/gazeta/dias/1808/09/16/pdfs/GMD-C-1808-125.pdf#page=1","Abrir facsímil")</f>
        <v>Abrir facsímil</v>
      </c>
      <c r="K2425" s="15" t="s">
        <v>23</v>
      </c>
    </row>
    <row r="2426" spans="1:11" ht="42" customHeight="1">
      <c r="A2426" s="4" t="s">
        <v>6427</v>
      </c>
      <c r="B2426" s="5" t="s">
        <v>6428</v>
      </c>
      <c r="C2426" s="5" t="s">
        <v>94</v>
      </c>
      <c r="D2426" s="5" t="s">
        <v>95</v>
      </c>
      <c r="E2426" s="5" t="s">
        <v>89</v>
      </c>
      <c r="F2426" s="9" t="s">
        <v>563</v>
      </c>
      <c r="G2426" s="9" t="s">
        <v>75</v>
      </c>
      <c r="H2426" s="5" t="s">
        <v>21</v>
      </c>
      <c r="I2426" s="5" t="s">
        <v>6431</v>
      </c>
      <c r="J2426" s="12" t="str">
        <f>HYPERLINK("https://www.boe.es/gazeta/dias/1808/10/25/pdfs/GMD-D-1808-137.pdf#page=4","Abrir facsímil")</f>
        <v>Abrir facsímil</v>
      </c>
      <c r="K2426" s="15" t="s">
        <v>23</v>
      </c>
    </row>
    <row r="2427" spans="1:11" ht="42" customHeight="1">
      <c r="A2427" s="4" t="s">
        <v>6432</v>
      </c>
      <c r="B2427" s="5" t="s">
        <v>6433</v>
      </c>
      <c r="C2427" s="5" t="s">
        <v>33</v>
      </c>
      <c r="D2427" s="5" t="s">
        <v>34</v>
      </c>
      <c r="E2427" s="5" t="s">
        <v>125</v>
      </c>
      <c r="F2427" s="9" t="s">
        <v>126</v>
      </c>
      <c r="G2427" s="9" t="s">
        <v>106</v>
      </c>
      <c r="H2427" s="5" t="s">
        <v>21</v>
      </c>
      <c r="I2427" s="5" t="s">
        <v>6434</v>
      </c>
      <c r="J2427" s="12" t="str">
        <f>HYPERLINK("https://www.boe.es/gazeta/dias/1808/10/07/pdfs/GMD-C-1808-132.pdf#page=3","Abrir facsímil")</f>
        <v>Abrir facsímil</v>
      </c>
      <c r="K2427" s="15" t="s">
        <v>23</v>
      </c>
    </row>
    <row r="2428" spans="1:11" ht="42" customHeight="1">
      <c r="A2428" s="4" t="s">
        <v>6435</v>
      </c>
      <c r="B2428" s="5" t="s">
        <v>6436</v>
      </c>
      <c r="C2428" s="5" t="s">
        <v>33</v>
      </c>
      <c r="D2428" s="5" t="s">
        <v>34</v>
      </c>
      <c r="E2428" s="5" t="s">
        <v>35</v>
      </c>
      <c r="F2428" s="9" t="s">
        <v>36</v>
      </c>
      <c r="G2428" s="9" t="s">
        <v>144</v>
      </c>
      <c r="H2428" s="5" t="s">
        <v>21</v>
      </c>
      <c r="I2428" s="5" t="s">
        <v>6437</v>
      </c>
      <c r="J2428" s="12" t="str">
        <f>HYPERLINK("https://www.boe.es/gazeta/dias/1808/04/22/pdfs/GMD-C-1808-38.pdf#page=40","Abrir facsímil")</f>
        <v>Abrir facsímil</v>
      </c>
      <c r="K2428" s="15" t="s">
        <v>23</v>
      </c>
    </row>
    <row r="2429" spans="1:11" ht="42" customHeight="1">
      <c r="A2429" s="4" t="s">
        <v>6438</v>
      </c>
      <c r="B2429" s="5" t="s">
        <v>6439</v>
      </c>
      <c r="C2429" s="5" t="s">
        <v>33</v>
      </c>
      <c r="D2429" s="5" t="s">
        <v>34</v>
      </c>
      <c r="E2429" s="5" t="s">
        <v>35</v>
      </c>
      <c r="F2429" s="9" t="s">
        <v>36</v>
      </c>
      <c r="G2429" s="9" t="s">
        <v>43</v>
      </c>
      <c r="H2429" s="5" t="s">
        <v>21</v>
      </c>
      <c r="I2429" s="5" t="s">
        <v>6440</v>
      </c>
      <c r="J2429" s="12" t="str">
        <f>HYPERLINK("https://www.boe.es/gazeta/dias/1808/04/22/pdfs/GMD-C-1808-38.pdf#page=30","Abrir facsímil")</f>
        <v>Abrir facsímil</v>
      </c>
      <c r="K2429" s="15" t="s">
        <v>23</v>
      </c>
    </row>
    <row r="2430" spans="1:11" ht="42" customHeight="1">
      <c r="A2430" s="4" t="s">
        <v>6441</v>
      </c>
      <c r="B2430" s="5" t="s">
        <v>6442</v>
      </c>
      <c r="C2430" s="5" t="s">
        <v>17</v>
      </c>
      <c r="D2430" s="5" t="s">
        <v>18</v>
      </c>
      <c r="E2430" s="5" t="s">
        <v>1466</v>
      </c>
      <c r="F2430" s="9" t="s">
        <v>1467</v>
      </c>
      <c r="G2430" s="9">
        <v>59</v>
      </c>
      <c r="H2430" s="5" t="s">
        <v>21</v>
      </c>
      <c r="I2430" s="5" t="s">
        <v>6443</v>
      </c>
      <c r="J2430" s="12" t="str">
        <f>HYPERLINK("https://www.boe.es/gazeta/dias/1808/01/15/pdfs/GMD-1808-5.pdf#page=11","Abrir facsímil")</f>
        <v>Abrir facsímil</v>
      </c>
      <c r="K2430" s="15" t="s">
        <v>23</v>
      </c>
    </row>
    <row r="2431" spans="1:11" ht="42" customHeight="1">
      <c r="A2431" s="4" t="s">
        <v>6444</v>
      </c>
      <c r="B2431" s="5" t="s">
        <v>6445</v>
      </c>
      <c r="C2431" s="5" t="s">
        <v>33</v>
      </c>
      <c r="D2431" s="5" t="s">
        <v>34</v>
      </c>
      <c r="E2431" s="5" t="s">
        <v>115</v>
      </c>
      <c r="F2431" s="9" t="s">
        <v>116</v>
      </c>
      <c r="G2431" s="9" t="s">
        <v>117</v>
      </c>
      <c r="H2431" s="5" t="s">
        <v>21</v>
      </c>
      <c r="I2431" s="5" t="s">
        <v>6446</v>
      </c>
      <c r="J2431" s="12" t="str">
        <f>HYPERLINK("https://www.boe.es/gazeta/dias/1808/09/16/pdfs/GMD-C-1808-125.pdf#page=1","Abrir facsímil")</f>
        <v>Abrir facsímil</v>
      </c>
      <c r="K2431" s="15" t="s">
        <v>23</v>
      </c>
    </row>
    <row r="2432" spans="1:11" ht="42" customHeight="1">
      <c r="A2432" s="4" t="s">
        <v>6447</v>
      </c>
      <c r="B2432" s="5" t="s">
        <v>6448</v>
      </c>
      <c r="C2432" s="5" t="s">
        <v>17</v>
      </c>
      <c r="D2432" s="5" t="s">
        <v>18</v>
      </c>
      <c r="E2432" s="5" t="s">
        <v>558</v>
      </c>
      <c r="F2432" s="9" t="s">
        <v>559</v>
      </c>
      <c r="G2432" s="9">
        <v>1545</v>
      </c>
      <c r="H2432" s="5" t="s">
        <v>21</v>
      </c>
      <c r="I2432" s="5" t="s">
        <v>6449</v>
      </c>
      <c r="J2432" s="12" t="str">
        <f>HYPERLINK("https://www.boe.es/gazeta/dias/1808/11/25/pdfs/GMD-1808-147.pdf#page=11","Abrir facsímil")</f>
        <v>Abrir facsímil</v>
      </c>
      <c r="K2432" s="15" t="s">
        <v>23</v>
      </c>
    </row>
    <row r="2433" spans="1:11" ht="42" customHeight="1">
      <c r="A2433" s="4" t="s">
        <v>6450</v>
      </c>
      <c r="B2433" s="5" t="s">
        <v>6451</v>
      </c>
      <c r="C2433" s="5" t="s">
        <v>17</v>
      </c>
      <c r="D2433" s="5" t="s">
        <v>18</v>
      </c>
      <c r="E2433" s="5" t="s">
        <v>157</v>
      </c>
      <c r="F2433" s="9" t="s">
        <v>2896</v>
      </c>
      <c r="G2433" s="9">
        <v>594</v>
      </c>
      <c r="H2433" s="5" t="s">
        <v>21</v>
      </c>
      <c r="I2433" s="5" t="s">
        <v>6452</v>
      </c>
      <c r="J2433" s="12" t="str">
        <f>HYPERLINK("https://www.boe.es/gazeta/dias/1808/06/18/pdfs/GMD-1808-60.pdf#page=8","Abrir facsímil")</f>
        <v>Abrir facsímil</v>
      </c>
      <c r="K2433" s="15" t="s">
        <v>23</v>
      </c>
    </row>
    <row r="2434" spans="1:11" ht="42" customHeight="1">
      <c r="A2434" s="4" t="s">
        <v>6450</v>
      </c>
      <c r="B2434" s="5" t="s">
        <v>6451</v>
      </c>
      <c r="C2434" s="5" t="s">
        <v>33</v>
      </c>
      <c r="D2434" s="5" t="s">
        <v>34</v>
      </c>
      <c r="E2434" s="5" t="s">
        <v>19</v>
      </c>
      <c r="F2434" s="9" t="s">
        <v>949</v>
      </c>
      <c r="G2434" s="9" t="s">
        <v>199</v>
      </c>
      <c r="H2434" s="5" t="s">
        <v>21</v>
      </c>
      <c r="I2434" s="5" t="s">
        <v>6453</v>
      </c>
      <c r="J2434" s="12" t="str">
        <f>HYPERLINK("https://www.boe.es/gazeta/dias/1808/09/30/pdfs/GMD-C-1808-130.pdf#page=2","Abrir facsímil")</f>
        <v>Abrir facsímil</v>
      </c>
      <c r="K2434" s="15" t="s">
        <v>23</v>
      </c>
    </row>
    <row r="2435" spans="1:11" ht="42" customHeight="1">
      <c r="A2435" s="4" t="s">
        <v>6454</v>
      </c>
      <c r="B2435" s="5" t="s">
        <v>6455</v>
      </c>
      <c r="C2435" s="5" t="s">
        <v>33</v>
      </c>
      <c r="D2435" s="5" t="s">
        <v>34</v>
      </c>
      <c r="E2435" s="5" t="s">
        <v>139</v>
      </c>
      <c r="F2435" s="9" t="s">
        <v>1089</v>
      </c>
      <c r="G2435" s="9" t="s">
        <v>117</v>
      </c>
      <c r="H2435" s="5" t="s">
        <v>21</v>
      </c>
      <c r="I2435" s="5" t="s">
        <v>6456</v>
      </c>
      <c r="J2435" s="12" t="str">
        <f>HYPERLINK("https://www.boe.es/gazeta/dias/1808/09/23/pdfs/GMD-C-1808-127.pdf#page=1","Abrir facsímil")</f>
        <v>Abrir facsímil</v>
      </c>
      <c r="K2435" s="15" t="s">
        <v>23</v>
      </c>
    </row>
    <row r="2436" spans="1:11" ht="42" customHeight="1">
      <c r="A2436" s="4" t="s">
        <v>6457</v>
      </c>
      <c r="B2436" s="5" t="s">
        <v>6458</v>
      </c>
      <c r="C2436" s="5" t="s">
        <v>33</v>
      </c>
      <c r="D2436" s="5" t="s">
        <v>34</v>
      </c>
      <c r="E2436" s="5" t="s">
        <v>35</v>
      </c>
      <c r="F2436" s="9" t="s">
        <v>36</v>
      </c>
      <c r="G2436" s="9" t="s">
        <v>1006</v>
      </c>
      <c r="H2436" s="5" t="s">
        <v>21</v>
      </c>
      <c r="I2436" s="5" t="s">
        <v>6459</v>
      </c>
      <c r="J2436" s="12" t="str">
        <f>HYPERLINK("https://www.boe.es/gazeta/dias/1808/04/22/pdfs/GMD-C-1808-38.pdf#page=46","Abrir facsímil")</f>
        <v>Abrir facsímil</v>
      </c>
      <c r="K2436" s="15" t="s">
        <v>23</v>
      </c>
    </row>
    <row r="2437" spans="1:11" ht="42" customHeight="1">
      <c r="A2437" s="4" t="s">
        <v>6460</v>
      </c>
      <c r="B2437" s="5" t="s">
        <v>6461</v>
      </c>
      <c r="C2437" s="5" t="s">
        <v>389</v>
      </c>
      <c r="D2437" s="5" t="s">
        <v>390</v>
      </c>
      <c r="E2437" s="5" t="s">
        <v>153</v>
      </c>
      <c r="F2437" s="9" t="s">
        <v>154</v>
      </c>
      <c r="G2437" s="9" t="s">
        <v>75</v>
      </c>
      <c r="H2437" s="5" t="s">
        <v>21</v>
      </c>
      <c r="I2437" s="5" t="s">
        <v>6462</v>
      </c>
      <c r="J2437" s="12" t="str">
        <f>HYPERLINK("https://www.boe.es/gazeta/dias/1808/09/09/pdfs/GMD-C-1808-121.pdf#page=4","Abrir facsímil")</f>
        <v>Abrir facsímil</v>
      </c>
      <c r="K2437" s="15" t="s">
        <v>23</v>
      </c>
    </row>
    <row r="2438" spans="1:11" ht="42" customHeight="1">
      <c r="A2438" s="4" t="s">
        <v>6463</v>
      </c>
      <c r="B2438" s="5" t="s">
        <v>6463</v>
      </c>
      <c r="C2438" s="5" t="s">
        <v>94</v>
      </c>
      <c r="D2438" s="5" t="s">
        <v>95</v>
      </c>
      <c r="E2438" s="5" t="s">
        <v>516</v>
      </c>
      <c r="F2438" s="9" t="s">
        <v>517</v>
      </c>
      <c r="G2438" s="9">
        <v>597</v>
      </c>
      <c r="H2438" s="5" t="s">
        <v>21</v>
      </c>
      <c r="I2438" s="5" t="s">
        <v>6464</v>
      </c>
      <c r="J2438" s="12" t="str">
        <f>HYPERLINK("https://www.boe.es/gazeta/dias/1808/06/19/pdfs/GMD-1808-61.pdf#page=3","Abrir facsímil")</f>
        <v>Abrir facsímil</v>
      </c>
      <c r="K2438" s="15" t="s">
        <v>23</v>
      </c>
    </row>
    <row r="2439" spans="1:11" ht="42" customHeight="1">
      <c r="A2439" s="4" t="s">
        <v>6465</v>
      </c>
      <c r="B2439" s="5" t="s">
        <v>6465</v>
      </c>
      <c r="C2439" s="5" t="s">
        <v>101</v>
      </c>
      <c r="D2439" s="5" t="s">
        <v>102</v>
      </c>
      <c r="E2439" s="5" t="s">
        <v>2856</v>
      </c>
      <c r="F2439" s="9" t="s">
        <v>6466</v>
      </c>
      <c r="G2439" s="9">
        <v>961</v>
      </c>
      <c r="H2439" s="5" t="s">
        <v>21</v>
      </c>
      <c r="I2439" s="5" t="s">
        <v>6467</v>
      </c>
      <c r="J2439" s="12" t="str">
        <f>HYPERLINK("https://www.boe.es/gazeta/dias/1808/08/03/pdfs/GMD-1808-106.pdf#page=3","Abrir facsímil")</f>
        <v>Abrir facsímil</v>
      </c>
      <c r="K2439" s="15" t="s">
        <v>23</v>
      </c>
    </row>
    <row r="2440" spans="1:11" ht="42" customHeight="1">
      <c r="A2440" s="4" t="s">
        <v>6468</v>
      </c>
      <c r="B2440" s="5" t="s">
        <v>6468</v>
      </c>
      <c r="C2440" s="5" t="s">
        <v>101</v>
      </c>
      <c r="D2440" s="5" t="s">
        <v>102</v>
      </c>
      <c r="E2440" s="5" t="s">
        <v>3313</v>
      </c>
      <c r="F2440" s="9" t="s">
        <v>3314</v>
      </c>
      <c r="G2440" s="9">
        <v>812</v>
      </c>
      <c r="H2440" s="5" t="s">
        <v>21</v>
      </c>
      <c r="I2440" s="5" t="s">
        <v>6469</v>
      </c>
      <c r="J2440" s="12" t="str">
        <f>HYPERLINK("https://www.boe.es/gazeta/dias/1808/07/15/pdfs/GMD-1808-87.pdf#page=6","Abrir facsímil")</f>
        <v>Abrir facsímil</v>
      </c>
      <c r="K2440" s="15" t="s">
        <v>23</v>
      </c>
    </row>
    <row r="2441" spans="1:11" ht="42" customHeight="1">
      <c r="A2441" s="4" t="s">
        <v>6470</v>
      </c>
      <c r="B2441" s="5" t="s">
        <v>6470</v>
      </c>
      <c r="C2441" s="5" t="s">
        <v>101</v>
      </c>
      <c r="D2441" s="5" t="s">
        <v>102</v>
      </c>
      <c r="E2441" s="5" t="s">
        <v>1676</v>
      </c>
      <c r="F2441" s="9" t="s">
        <v>1677</v>
      </c>
      <c r="G2441" s="9">
        <v>554</v>
      </c>
      <c r="H2441" s="5" t="s">
        <v>21</v>
      </c>
      <c r="I2441" s="5" t="s">
        <v>6471</v>
      </c>
      <c r="J2441" s="12" t="str">
        <f>HYPERLINK("https://www.boe.es/gazeta/dias/1808/06/10/pdfs/GMD-1808-55.pdf#page=8","Abrir facsímil")</f>
        <v>Abrir facsímil</v>
      </c>
      <c r="K2441" s="15" t="s">
        <v>23</v>
      </c>
    </row>
    <row r="2442" spans="1:11" ht="42" customHeight="1">
      <c r="A2442" s="4" t="s">
        <v>6470</v>
      </c>
      <c r="B2442" s="5" t="s">
        <v>6470</v>
      </c>
      <c r="C2442" s="5" t="s">
        <v>94</v>
      </c>
      <c r="D2442" s="5" t="s">
        <v>95</v>
      </c>
      <c r="E2442" s="5" t="s">
        <v>5675</v>
      </c>
      <c r="F2442" s="9" t="s">
        <v>5676</v>
      </c>
      <c r="G2442" s="9">
        <v>644</v>
      </c>
      <c r="H2442" s="5" t="s">
        <v>21</v>
      </c>
      <c r="I2442" s="5" t="s">
        <v>6472</v>
      </c>
      <c r="J2442" s="12" t="str">
        <f>HYPERLINK("https://www.boe.es/gazeta/dias/1808/06/24/pdfs/GMD-1808-66.pdf#page=6","Abrir facsímil")</f>
        <v>Abrir facsímil</v>
      </c>
      <c r="K2442" s="15" t="s">
        <v>23</v>
      </c>
    </row>
    <row r="2443" spans="1:11" ht="42" customHeight="1">
      <c r="A2443" s="4" t="s">
        <v>6473</v>
      </c>
      <c r="B2443" s="5" t="s">
        <v>6474</v>
      </c>
      <c r="C2443" s="5" t="s">
        <v>33</v>
      </c>
      <c r="D2443" s="5" t="s">
        <v>34</v>
      </c>
      <c r="E2443" s="5" t="s">
        <v>125</v>
      </c>
      <c r="F2443" s="9" t="s">
        <v>126</v>
      </c>
      <c r="G2443" s="9" t="s">
        <v>199</v>
      </c>
      <c r="H2443" s="5" t="s">
        <v>21</v>
      </c>
      <c r="I2443" s="5" t="s">
        <v>6475</v>
      </c>
      <c r="J2443" s="12" t="str">
        <f>HYPERLINK("https://www.boe.es/gazeta/dias/1808/10/07/pdfs/GMD-C-1808-132.pdf#page=2","Abrir facsímil")</f>
        <v>Abrir facsímil</v>
      </c>
      <c r="K2443" s="15" t="s">
        <v>23</v>
      </c>
    </row>
    <row r="2444" spans="1:11" ht="42" customHeight="1">
      <c r="A2444" s="4" t="s">
        <v>6476</v>
      </c>
      <c r="B2444" s="5" t="s">
        <v>6477</v>
      </c>
      <c r="C2444" s="5" t="s">
        <v>33</v>
      </c>
      <c r="D2444" s="5" t="s">
        <v>34</v>
      </c>
      <c r="E2444" s="5" t="s">
        <v>153</v>
      </c>
      <c r="F2444" s="9" t="s">
        <v>154</v>
      </c>
      <c r="G2444" s="9" t="s">
        <v>106</v>
      </c>
      <c r="H2444" s="5" t="s">
        <v>21</v>
      </c>
      <c r="I2444" s="5" t="s">
        <v>6478</v>
      </c>
      <c r="J2444" s="12" t="str">
        <f>HYPERLINK("https://www.boe.es/gazeta/dias/1808/09/09/pdfs/GMD-C-1808-121.pdf#page=3","Abrir facsímil")</f>
        <v>Abrir facsímil</v>
      </c>
      <c r="K2444" s="15" t="s">
        <v>23</v>
      </c>
    </row>
    <row r="2445" spans="1:11" ht="42" customHeight="1">
      <c r="A2445" s="4" t="s">
        <v>6479</v>
      </c>
      <c r="B2445" s="5" t="s">
        <v>6480</v>
      </c>
      <c r="C2445" s="5" t="s">
        <v>33</v>
      </c>
      <c r="D2445" s="5" t="s">
        <v>34</v>
      </c>
      <c r="E2445" s="5" t="s">
        <v>35</v>
      </c>
      <c r="F2445" s="9" t="s">
        <v>36</v>
      </c>
      <c r="G2445" s="9" t="s">
        <v>501</v>
      </c>
      <c r="H2445" s="5" t="s">
        <v>21</v>
      </c>
      <c r="I2445" s="5" t="s">
        <v>6481</v>
      </c>
      <c r="J2445" s="12" t="str">
        <f>HYPERLINK("https://www.boe.es/gazeta/dias/1808/04/22/pdfs/GMD-C-1808-38.pdf#page=5","Abrir facsímil")</f>
        <v>Abrir facsímil</v>
      </c>
      <c r="K2445" s="15" t="s">
        <v>23</v>
      </c>
    </row>
    <row r="2446" spans="1:11" ht="42" customHeight="1">
      <c r="A2446" s="4" t="s">
        <v>6482</v>
      </c>
      <c r="B2446" s="5" t="s">
        <v>6483</v>
      </c>
      <c r="C2446" s="5" t="s">
        <v>41</v>
      </c>
      <c r="D2446" s="5" t="s">
        <v>42</v>
      </c>
      <c r="E2446" s="5" t="s">
        <v>110</v>
      </c>
      <c r="F2446" s="9" t="s">
        <v>828</v>
      </c>
      <c r="G2446" s="9" t="s">
        <v>106</v>
      </c>
      <c r="H2446" s="5" t="s">
        <v>21</v>
      </c>
      <c r="I2446" s="5" t="s">
        <v>6484</v>
      </c>
      <c r="J2446" s="12" t="str">
        <f>HYPERLINK("https://www.boe.es/gazeta/dias/1808/10/28/pdfs/GMD-D-1808-138.pdf#page=3","Abrir facsímil")</f>
        <v>Abrir facsímil</v>
      </c>
      <c r="K2446" s="15" t="s">
        <v>23</v>
      </c>
    </row>
    <row r="2447" spans="1:11" ht="42" customHeight="1">
      <c r="A2447" s="4" t="s">
        <v>6485</v>
      </c>
      <c r="B2447" s="5" t="s">
        <v>6486</v>
      </c>
      <c r="C2447" s="5" t="s">
        <v>41</v>
      </c>
      <c r="D2447" s="5" t="s">
        <v>42</v>
      </c>
      <c r="E2447" s="5" t="s">
        <v>363</v>
      </c>
      <c r="F2447" s="9" t="s">
        <v>364</v>
      </c>
      <c r="G2447" s="9" t="s">
        <v>106</v>
      </c>
      <c r="H2447" s="5" t="s">
        <v>21</v>
      </c>
      <c r="I2447" s="5" t="s">
        <v>6487</v>
      </c>
      <c r="J2447" s="12" t="str">
        <f>HYPERLINK("https://www.boe.es/gazeta/dias/1808/09/20/pdfs/GMD-C-1808-126.pdf#page=3","Abrir facsímil")</f>
        <v>Abrir facsímil</v>
      </c>
      <c r="K2447" s="15" t="s">
        <v>23</v>
      </c>
    </row>
    <row r="2448" spans="1:11" ht="42" customHeight="1">
      <c r="A2448" s="4" t="s">
        <v>6488</v>
      </c>
      <c r="B2448" s="5" t="s">
        <v>6489</v>
      </c>
      <c r="C2448" s="5" t="s">
        <v>17</v>
      </c>
      <c r="D2448" s="5" t="s">
        <v>18</v>
      </c>
      <c r="E2448" s="5" t="s">
        <v>663</v>
      </c>
      <c r="F2448" s="9" t="s">
        <v>664</v>
      </c>
      <c r="G2448" s="9">
        <v>207</v>
      </c>
      <c r="H2448" s="5" t="s">
        <v>21</v>
      </c>
      <c r="I2448" s="5" t="s">
        <v>6490</v>
      </c>
      <c r="J2448" s="12" t="str">
        <f>HYPERLINK("https://www.boe.es/gazeta/dias/1808/02/26/pdfs/GMD-1808-17.pdf#page=9","Abrir facsímil")</f>
        <v>Abrir facsímil</v>
      </c>
      <c r="K2448" s="15" t="s">
        <v>23</v>
      </c>
    </row>
    <row r="2449" spans="1:11" ht="42" customHeight="1">
      <c r="A2449" s="4" t="s">
        <v>6491</v>
      </c>
      <c r="B2449" s="5" t="s">
        <v>6492</v>
      </c>
      <c r="C2449" s="5" t="s">
        <v>33</v>
      </c>
      <c r="D2449" s="5" t="s">
        <v>34</v>
      </c>
      <c r="E2449" s="5" t="s">
        <v>197</v>
      </c>
      <c r="F2449" s="9" t="s">
        <v>198</v>
      </c>
      <c r="G2449" s="9" t="s">
        <v>75</v>
      </c>
      <c r="H2449" s="5" t="s">
        <v>21</v>
      </c>
      <c r="I2449" s="5" t="s">
        <v>6493</v>
      </c>
      <c r="J2449" s="12" t="str">
        <f>HYPERLINK("https://www.boe.es/gazeta/dias/1808/11/01/pdfs/GMD-D-1808-140.pdf#page=4","Abrir facsímil")</f>
        <v>Abrir facsímil</v>
      </c>
      <c r="K2449" s="15" t="s">
        <v>23</v>
      </c>
    </row>
    <row r="2450" spans="1:11" ht="42" customHeight="1">
      <c r="A2450" s="4" t="s">
        <v>6494</v>
      </c>
      <c r="B2450" s="5" t="s">
        <v>6495</v>
      </c>
      <c r="C2450" s="5" t="s">
        <v>33</v>
      </c>
      <c r="D2450" s="5" t="s">
        <v>34</v>
      </c>
      <c r="E2450" s="5" t="s">
        <v>35</v>
      </c>
      <c r="F2450" s="9" t="s">
        <v>36</v>
      </c>
      <c r="G2450" s="9" t="s">
        <v>814</v>
      </c>
      <c r="H2450" s="5" t="s">
        <v>21</v>
      </c>
      <c r="I2450" s="5" t="s">
        <v>6496</v>
      </c>
      <c r="J2450" s="12" t="str">
        <f>HYPERLINK("https://www.boe.es/gazeta/dias/1808/04/22/pdfs/GMD-C-1808-38.pdf#page=25","Abrir facsímil")</f>
        <v>Abrir facsímil</v>
      </c>
      <c r="K2450" s="15" t="s">
        <v>23</v>
      </c>
    </row>
    <row r="2451" spans="1:11" ht="42" customHeight="1">
      <c r="A2451" s="4" t="s">
        <v>6494</v>
      </c>
      <c r="B2451" s="5" t="s">
        <v>6495</v>
      </c>
      <c r="C2451" s="5" t="s">
        <v>389</v>
      </c>
      <c r="D2451" s="5" t="s">
        <v>390</v>
      </c>
      <c r="E2451" s="5" t="s">
        <v>1962</v>
      </c>
      <c r="F2451" s="9" t="s">
        <v>1963</v>
      </c>
      <c r="G2451" s="9">
        <v>734</v>
      </c>
      <c r="H2451" s="5" t="s">
        <v>21</v>
      </c>
      <c r="I2451" s="5" t="s">
        <v>6497</v>
      </c>
      <c r="J2451" s="12" t="str">
        <f>HYPERLINK("https://www.boe.es/gazeta/dias/1808/07/05/pdfs/GMD-1808-77.pdf#page=8","Abrir facsímil")</f>
        <v>Abrir facsímil</v>
      </c>
      <c r="K2451" s="15" t="s">
        <v>23</v>
      </c>
    </row>
    <row r="2452" spans="1:11" ht="42" customHeight="1">
      <c r="A2452" s="4" t="s">
        <v>6494</v>
      </c>
      <c r="B2452" s="5" t="s">
        <v>6495</v>
      </c>
      <c r="C2452" s="5" t="s">
        <v>94</v>
      </c>
      <c r="D2452" s="5" t="s">
        <v>95</v>
      </c>
      <c r="E2452" s="5" t="s">
        <v>19</v>
      </c>
      <c r="F2452" s="9" t="s">
        <v>59</v>
      </c>
      <c r="G2452" s="9">
        <v>1228</v>
      </c>
      <c r="H2452" s="5" t="s">
        <v>21</v>
      </c>
      <c r="I2452" s="5" t="s">
        <v>6498</v>
      </c>
      <c r="J2452" s="12" t="str">
        <f>HYPERLINK("https://www.boe.es/gazeta/dias/1808/09/30/pdfs/GMD-1808-130.pdf#page=8","Abrir facsímil")</f>
        <v>Abrir facsímil</v>
      </c>
      <c r="K2452" s="15" t="s">
        <v>23</v>
      </c>
    </row>
    <row r="2453" spans="1:11" ht="42" customHeight="1">
      <c r="A2453" s="4" t="s">
        <v>6494</v>
      </c>
      <c r="B2453" s="5" t="s">
        <v>6495</v>
      </c>
      <c r="C2453" s="5" t="s">
        <v>17</v>
      </c>
      <c r="D2453" s="5" t="s">
        <v>18</v>
      </c>
      <c r="E2453" s="5" t="s">
        <v>68</v>
      </c>
      <c r="F2453" s="9" t="s">
        <v>69</v>
      </c>
      <c r="G2453" s="9">
        <v>1338</v>
      </c>
      <c r="H2453" s="5" t="s">
        <v>21</v>
      </c>
      <c r="I2453" s="5" t="s">
        <v>6499</v>
      </c>
      <c r="J2453" s="12" t="str">
        <f>HYPERLINK("https://www.boe.es/gazeta/dias/1808/10/21/pdfs/GMD-1808-136.pdf#page=10","Abrir facsímil")</f>
        <v>Abrir facsímil</v>
      </c>
      <c r="K2453" s="15" t="s">
        <v>23</v>
      </c>
    </row>
    <row r="2454" spans="1:11" ht="42" customHeight="1">
      <c r="A2454" s="4" t="s">
        <v>6500</v>
      </c>
      <c r="B2454" s="5" t="s">
        <v>6501</v>
      </c>
      <c r="C2454" s="5" t="s">
        <v>17</v>
      </c>
      <c r="D2454" s="5" t="s">
        <v>18</v>
      </c>
      <c r="E2454" s="5" t="s">
        <v>130</v>
      </c>
      <c r="F2454" s="9" t="s">
        <v>131</v>
      </c>
      <c r="G2454" s="9">
        <v>1604</v>
      </c>
      <c r="H2454" s="5" t="s">
        <v>21</v>
      </c>
      <c r="I2454" s="5" t="s">
        <v>6502</v>
      </c>
      <c r="J2454" s="12" t="str">
        <f>HYPERLINK("https://www.boe.es/gazeta/dias/1808/12/15/pdfs/GMD-1808-155.pdf#page=8","Abrir facsímil")</f>
        <v>Abrir facsímil</v>
      </c>
      <c r="K2454" s="15" t="s">
        <v>23</v>
      </c>
    </row>
    <row r="2455" spans="1:11" ht="42" customHeight="1">
      <c r="A2455" s="4" t="s">
        <v>6503</v>
      </c>
      <c r="B2455" s="5" t="s">
        <v>6504</v>
      </c>
      <c r="C2455" s="5" t="s">
        <v>17</v>
      </c>
      <c r="D2455" s="5" t="s">
        <v>18</v>
      </c>
      <c r="E2455" s="5" t="s">
        <v>28</v>
      </c>
      <c r="F2455" s="9" t="s">
        <v>29</v>
      </c>
      <c r="G2455" s="9">
        <v>1429</v>
      </c>
      <c r="H2455" s="5" t="s">
        <v>21</v>
      </c>
      <c r="I2455" s="5" t="s">
        <v>6505</v>
      </c>
      <c r="J2455" s="12" t="str">
        <f>HYPERLINK("https://www.boe.es/gazeta/dias/1808/11/04/pdfs/GMD-1808-141.pdf#page=11","Abrir facsímil")</f>
        <v>Abrir facsímil</v>
      </c>
      <c r="K2455" s="15" t="s">
        <v>23</v>
      </c>
    </row>
    <row r="2456" spans="1:11" ht="42" customHeight="1">
      <c r="A2456" s="4" t="s">
        <v>6506</v>
      </c>
      <c r="B2456" s="5" t="s">
        <v>6507</v>
      </c>
      <c r="C2456" s="5" t="s">
        <v>17</v>
      </c>
      <c r="D2456" s="5" t="s">
        <v>18</v>
      </c>
      <c r="E2456" s="5" t="s">
        <v>28</v>
      </c>
      <c r="F2456" s="9" t="s">
        <v>29</v>
      </c>
      <c r="G2456" s="9">
        <v>1428</v>
      </c>
      <c r="H2456" s="5" t="s">
        <v>21</v>
      </c>
      <c r="I2456" s="5" t="s">
        <v>6508</v>
      </c>
      <c r="J2456" s="12" t="str">
        <f>HYPERLINK("https://www.boe.es/gazeta/dias/1808/11/04/pdfs/GMD-1808-141.pdf#page=10","Abrir facsímil")</f>
        <v>Abrir facsímil</v>
      </c>
      <c r="K2456" s="15" t="s">
        <v>23</v>
      </c>
    </row>
    <row r="2457" spans="1:11" ht="42" customHeight="1">
      <c r="A2457" s="4" t="s">
        <v>6509</v>
      </c>
      <c r="B2457" s="5" t="s">
        <v>6510</v>
      </c>
      <c r="C2457" s="5" t="s">
        <v>17</v>
      </c>
      <c r="D2457" s="5" t="s">
        <v>18</v>
      </c>
      <c r="E2457" s="5" t="s">
        <v>73</v>
      </c>
      <c r="F2457" s="9" t="s">
        <v>581</v>
      </c>
      <c r="G2457" s="9">
        <v>1469</v>
      </c>
      <c r="H2457" s="5" t="s">
        <v>21</v>
      </c>
      <c r="I2457" s="5" t="s">
        <v>6511</v>
      </c>
      <c r="J2457" s="12" t="str">
        <f>HYPERLINK("https://www.boe.es/gazeta/dias/1808/11/11/pdfs/GMD-1808-143.pdf#page=11","Abrir facsímil")</f>
        <v>Abrir facsímil</v>
      </c>
      <c r="K2457" s="15" t="s">
        <v>23</v>
      </c>
    </row>
    <row r="2458" spans="1:11" ht="42" customHeight="1">
      <c r="A2458" s="4" t="s">
        <v>6512</v>
      </c>
      <c r="B2458" s="5" t="s">
        <v>6513</v>
      </c>
      <c r="C2458" s="5" t="s">
        <v>33</v>
      </c>
      <c r="D2458" s="5" t="s">
        <v>34</v>
      </c>
      <c r="E2458" s="5" t="s">
        <v>139</v>
      </c>
      <c r="F2458" s="9" t="s">
        <v>1089</v>
      </c>
      <c r="G2458" s="9" t="s">
        <v>75</v>
      </c>
      <c r="H2458" s="5" t="s">
        <v>21</v>
      </c>
      <c r="I2458" s="5" t="s">
        <v>6514</v>
      </c>
      <c r="J2458" s="12" t="str">
        <f>HYPERLINK("https://www.boe.es/gazeta/dias/1808/09/23/pdfs/GMD-C-1808-127.pdf#page=4","Abrir facsímil")</f>
        <v>Abrir facsímil</v>
      </c>
      <c r="K2458" s="15" t="s">
        <v>23</v>
      </c>
    </row>
    <row r="2459" spans="1:11" ht="42" customHeight="1">
      <c r="A2459" s="4" t="s">
        <v>6515</v>
      </c>
      <c r="B2459" s="5" t="s">
        <v>6516</v>
      </c>
      <c r="C2459" s="5" t="s">
        <v>260</v>
      </c>
      <c r="D2459" s="5" t="s">
        <v>42</v>
      </c>
      <c r="E2459" s="5" t="s">
        <v>1385</v>
      </c>
      <c r="F2459" s="9" t="s">
        <v>1386</v>
      </c>
      <c r="G2459" s="9">
        <v>230</v>
      </c>
      <c r="H2459" s="5" t="s">
        <v>21</v>
      </c>
      <c r="I2459" s="5" t="s">
        <v>6517</v>
      </c>
      <c r="J2459" s="12" t="str">
        <f>HYPERLINK("https://www.boe.es/gazeta/dias/1808/03/04/pdfs/GMD-1808-19.pdf#page=8","Abrir facsímil")</f>
        <v>Abrir facsímil</v>
      </c>
      <c r="K2459" s="15" t="s">
        <v>23</v>
      </c>
    </row>
    <row r="2460" spans="1:11" ht="42" customHeight="1">
      <c r="A2460" s="4" t="s">
        <v>6515</v>
      </c>
      <c r="B2460" s="5" t="s">
        <v>6516</v>
      </c>
      <c r="C2460" s="5" t="s">
        <v>260</v>
      </c>
      <c r="D2460" s="5" t="s">
        <v>42</v>
      </c>
      <c r="E2460" s="5" t="s">
        <v>222</v>
      </c>
      <c r="F2460" s="9" t="s">
        <v>223</v>
      </c>
      <c r="G2460" s="9">
        <v>355</v>
      </c>
      <c r="H2460" s="5" t="s">
        <v>21</v>
      </c>
      <c r="I2460" s="5" t="s">
        <v>6518</v>
      </c>
      <c r="J2460" s="12" t="str">
        <f>HYPERLINK("https://www.boe.es/gazeta/dias/1808/04/08/pdfs/GMD-1808-32.pdf#page=9","Abrir facsímil")</f>
        <v>Abrir facsímil</v>
      </c>
      <c r="K2460" s="15" t="s">
        <v>23</v>
      </c>
    </row>
    <row r="2461" spans="1:11" ht="42" customHeight="1">
      <c r="A2461" s="4" t="s">
        <v>6515</v>
      </c>
      <c r="B2461" s="5" t="s">
        <v>6516</v>
      </c>
      <c r="C2461" s="5" t="s">
        <v>41</v>
      </c>
      <c r="D2461" s="5" t="s">
        <v>42</v>
      </c>
      <c r="E2461" s="5" t="s">
        <v>287</v>
      </c>
      <c r="F2461" s="9" t="s">
        <v>489</v>
      </c>
      <c r="G2461" s="9">
        <v>1003</v>
      </c>
      <c r="H2461" s="5" t="s">
        <v>21</v>
      </c>
      <c r="I2461" s="5" t="s">
        <v>6519</v>
      </c>
      <c r="J2461" s="12" t="str">
        <f>HYPERLINK("https://www.boe.es/gazeta/dias/1808/08/12/pdfs/GMD-1808-112.pdf#page=7","Abrir facsímil")</f>
        <v>Abrir facsímil</v>
      </c>
      <c r="K2461" s="15" t="s">
        <v>23</v>
      </c>
    </row>
    <row r="2462" spans="1:11" ht="42" customHeight="1">
      <c r="A2462" s="4" t="s">
        <v>6520</v>
      </c>
      <c r="B2462" s="5" t="s">
        <v>6521</v>
      </c>
      <c r="C2462" s="5" t="s">
        <v>17</v>
      </c>
      <c r="D2462" s="5" t="s">
        <v>18</v>
      </c>
      <c r="E2462" s="5" t="s">
        <v>19</v>
      </c>
      <c r="F2462" s="9" t="s">
        <v>59</v>
      </c>
      <c r="G2462" s="9">
        <v>1228</v>
      </c>
      <c r="H2462" s="5" t="s">
        <v>21</v>
      </c>
      <c r="I2462" s="5" t="s">
        <v>6522</v>
      </c>
      <c r="J2462" s="12" t="str">
        <f>HYPERLINK("https://www.boe.es/gazeta/dias/1808/09/30/pdfs/GMD-1808-130.pdf#page=8","Abrir facsímil")</f>
        <v>Abrir facsímil</v>
      </c>
      <c r="K2462" s="15" t="s">
        <v>23</v>
      </c>
    </row>
    <row r="2463" spans="1:11" ht="42" customHeight="1">
      <c r="A2463" s="4" t="s">
        <v>6523</v>
      </c>
      <c r="B2463" s="5" t="s">
        <v>6524</v>
      </c>
      <c r="C2463" s="5" t="s">
        <v>389</v>
      </c>
      <c r="D2463" s="5" t="s">
        <v>390</v>
      </c>
      <c r="E2463" s="5" t="s">
        <v>28</v>
      </c>
      <c r="F2463" s="9" t="s">
        <v>446</v>
      </c>
      <c r="G2463" s="9" t="s">
        <v>75</v>
      </c>
      <c r="H2463" s="5" t="s">
        <v>21</v>
      </c>
      <c r="I2463" s="5" t="s">
        <v>6525</v>
      </c>
      <c r="J2463" s="12" t="str">
        <f>HYPERLINK("https://www.boe.es/gazeta/dias/1808/11/04/pdfs/GMD-D-1808-141.pdf#page=4","Abrir facsímil")</f>
        <v>Abrir facsímil</v>
      </c>
      <c r="K2463" s="15" t="s">
        <v>23</v>
      </c>
    </row>
    <row r="2464" spans="1:11" ht="42" customHeight="1">
      <c r="A2464" s="4" t="s">
        <v>6526</v>
      </c>
      <c r="B2464" s="5" t="s">
        <v>6527</v>
      </c>
      <c r="C2464" s="5" t="s">
        <v>41</v>
      </c>
      <c r="D2464" s="5" t="s">
        <v>42</v>
      </c>
      <c r="E2464" s="5" t="s">
        <v>153</v>
      </c>
      <c r="F2464" s="9" t="s">
        <v>154</v>
      </c>
      <c r="G2464" s="9" t="s">
        <v>75</v>
      </c>
      <c r="H2464" s="5" t="s">
        <v>21</v>
      </c>
      <c r="I2464" s="5" t="s">
        <v>6528</v>
      </c>
      <c r="J2464" s="12" t="str">
        <f>HYPERLINK("https://www.boe.es/gazeta/dias/1808/09/09/pdfs/GMD-C-1808-121.pdf#page=4","Abrir facsímil")</f>
        <v>Abrir facsímil</v>
      </c>
      <c r="K2464" s="15" t="s">
        <v>23</v>
      </c>
    </row>
    <row r="2465" spans="1:11" ht="42" customHeight="1">
      <c r="A2465" s="4" t="s">
        <v>6529</v>
      </c>
      <c r="B2465" s="5" t="s">
        <v>6530</v>
      </c>
      <c r="C2465" s="5" t="s">
        <v>41</v>
      </c>
      <c r="D2465" s="5" t="s">
        <v>42</v>
      </c>
      <c r="E2465" s="5" t="s">
        <v>139</v>
      </c>
      <c r="F2465" s="9" t="s">
        <v>140</v>
      </c>
      <c r="G2465" s="9">
        <v>1203</v>
      </c>
      <c r="H2465" s="5" t="s">
        <v>21</v>
      </c>
      <c r="I2465" s="5" t="s">
        <v>6531</v>
      </c>
      <c r="J2465" s="12" t="str">
        <f>HYPERLINK("https://www.boe.es/gazeta/dias/1808/09/23/pdfs/GMD-1808-127.pdf#page=11","Abrir facsímil")</f>
        <v>Abrir facsímil</v>
      </c>
      <c r="K2465" s="15" t="s">
        <v>23</v>
      </c>
    </row>
    <row r="2466" spans="1:11" ht="42" customHeight="1">
      <c r="A2466" s="4" t="s">
        <v>6532</v>
      </c>
      <c r="B2466" s="5" t="s">
        <v>6533</v>
      </c>
      <c r="C2466" s="5" t="s">
        <v>33</v>
      </c>
      <c r="D2466" s="5" t="s">
        <v>34</v>
      </c>
      <c r="E2466" s="5" t="s">
        <v>427</v>
      </c>
      <c r="F2466" s="9" t="s">
        <v>428</v>
      </c>
      <c r="G2466" s="9" t="s">
        <v>199</v>
      </c>
      <c r="H2466" s="5" t="s">
        <v>21</v>
      </c>
      <c r="I2466" s="5" t="s">
        <v>6534</v>
      </c>
      <c r="J2466" s="12" t="str">
        <f>HYPERLINK("https://www.boe.es/gazeta/dias/1808/11/22/pdfs/GMD-D-1808-146.pdf#page=2","Abrir facsímil")</f>
        <v>Abrir facsímil</v>
      </c>
      <c r="K2466" s="15" t="s">
        <v>23</v>
      </c>
    </row>
    <row r="2467" spans="1:11" ht="42" customHeight="1">
      <c r="A2467" s="4" t="s">
        <v>6535</v>
      </c>
      <c r="B2467" s="5" t="s">
        <v>6536</v>
      </c>
      <c r="C2467" s="5" t="s">
        <v>389</v>
      </c>
      <c r="D2467" s="5" t="s">
        <v>390</v>
      </c>
      <c r="E2467" s="5" t="s">
        <v>139</v>
      </c>
      <c r="F2467" s="9" t="s">
        <v>1089</v>
      </c>
      <c r="G2467" s="9" t="s">
        <v>199</v>
      </c>
      <c r="H2467" s="5" t="s">
        <v>21</v>
      </c>
      <c r="I2467" s="5" t="s">
        <v>6537</v>
      </c>
      <c r="J2467" s="12" t="str">
        <f>HYPERLINK("https://www.boe.es/gazeta/dias/1808/09/23/pdfs/GMD-C-1808-127.pdf#page=2","Abrir facsímil")</f>
        <v>Abrir facsímil</v>
      </c>
      <c r="K2467" s="15" t="s">
        <v>23</v>
      </c>
    </row>
    <row r="2468" spans="1:11" ht="42" customHeight="1">
      <c r="A2468" s="4" t="s">
        <v>6538</v>
      </c>
      <c r="B2468" s="5" t="s">
        <v>6539</v>
      </c>
      <c r="C2468" s="5" t="s">
        <v>17</v>
      </c>
      <c r="D2468" s="5" t="s">
        <v>18</v>
      </c>
      <c r="E2468" s="5" t="s">
        <v>51</v>
      </c>
      <c r="F2468" s="9" t="s">
        <v>52</v>
      </c>
      <c r="G2468" s="9">
        <v>996</v>
      </c>
      <c r="H2468" s="5" t="s">
        <v>21</v>
      </c>
      <c r="I2468" s="5" t="s">
        <v>6540</v>
      </c>
      <c r="J2468" s="12" t="str">
        <f>HYPERLINK("https://www.boe.es/gazeta/dias/1808/08/09/pdfs/GMD-1808-111.pdf#page=12","Abrir facsímil")</f>
        <v>Abrir facsímil</v>
      </c>
      <c r="K2468" s="15" t="s">
        <v>23</v>
      </c>
    </row>
    <row r="2469" spans="1:11" ht="42" customHeight="1">
      <c r="A2469" s="4" t="s">
        <v>6541</v>
      </c>
      <c r="B2469" s="5" t="s">
        <v>6542</v>
      </c>
      <c r="C2469" s="5" t="s">
        <v>33</v>
      </c>
      <c r="D2469" s="5" t="s">
        <v>34</v>
      </c>
      <c r="E2469" s="5" t="s">
        <v>35</v>
      </c>
      <c r="F2469" s="9" t="s">
        <v>36</v>
      </c>
      <c r="G2469" s="9" t="s">
        <v>498</v>
      </c>
      <c r="H2469" s="5" t="s">
        <v>21</v>
      </c>
      <c r="I2469" s="5" t="s">
        <v>6543</v>
      </c>
      <c r="J2469" s="12" t="str">
        <f>HYPERLINK("https://www.boe.es/gazeta/dias/1808/04/22/pdfs/GMD-C-1808-38.pdf#page=22","Abrir facsímil")</f>
        <v>Abrir facsímil</v>
      </c>
      <c r="K2469" s="15" t="s">
        <v>23</v>
      </c>
    </row>
    <row r="2470" spans="1:11" ht="42" customHeight="1">
      <c r="A2470" s="4" t="s">
        <v>6544</v>
      </c>
      <c r="B2470" s="5" t="s">
        <v>6545</v>
      </c>
      <c r="C2470" s="5" t="s">
        <v>389</v>
      </c>
      <c r="D2470" s="5" t="s">
        <v>390</v>
      </c>
      <c r="E2470" s="5" t="s">
        <v>139</v>
      </c>
      <c r="F2470" s="9" t="s">
        <v>1089</v>
      </c>
      <c r="G2470" s="9" t="s">
        <v>199</v>
      </c>
      <c r="H2470" s="5" t="s">
        <v>21</v>
      </c>
      <c r="I2470" s="5" t="s">
        <v>6546</v>
      </c>
      <c r="J2470" s="12" t="str">
        <f>HYPERLINK("https://www.boe.es/gazeta/dias/1808/09/23/pdfs/GMD-C-1808-127.pdf#page=2","Abrir facsímil")</f>
        <v>Abrir facsímil</v>
      </c>
      <c r="K2470" s="15" t="s">
        <v>23</v>
      </c>
    </row>
    <row r="2471" spans="1:11" ht="42" customHeight="1">
      <c r="A2471" s="4" t="s">
        <v>6547</v>
      </c>
      <c r="B2471" s="5" t="s">
        <v>6548</v>
      </c>
      <c r="C2471" s="5" t="s">
        <v>33</v>
      </c>
      <c r="D2471" s="5" t="s">
        <v>34</v>
      </c>
      <c r="E2471" s="5" t="s">
        <v>35</v>
      </c>
      <c r="F2471" s="9" t="s">
        <v>36</v>
      </c>
      <c r="G2471" s="9" t="s">
        <v>956</v>
      </c>
      <c r="H2471" s="5" t="s">
        <v>21</v>
      </c>
      <c r="I2471" s="5" t="s">
        <v>6549</v>
      </c>
      <c r="J2471" s="12" t="str">
        <f>HYPERLINK("https://www.boe.es/gazeta/dias/1808/04/22/pdfs/GMD-C-1808-38.pdf#page=41","Abrir facsímil")</f>
        <v>Abrir facsímil</v>
      </c>
      <c r="K2471" s="15" t="s">
        <v>23</v>
      </c>
    </row>
    <row r="2472" spans="1:11" ht="42" customHeight="1">
      <c r="A2472" s="4" t="s">
        <v>6550</v>
      </c>
      <c r="B2472" s="5" t="s">
        <v>6551</v>
      </c>
      <c r="C2472" s="5" t="s">
        <v>33</v>
      </c>
      <c r="D2472" s="5" t="s">
        <v>34</v>
      </c>
      <c r="E2472" s="5" t="s">
        <v>35</v>
      </c>
      <c r="F2472" s="9" t="s">
        <v>36</v>
      </c>
      <c r="G2472" s="9" t="s">
        <v>43</v>
      </c>
      <c r="H2472" s="5" t="s">
        <v>21</v>
      </c>
      <c r="I2472" s="5" t="s">
        <v>6552</v>
      </c>
      <c r="J2472" s="12" t="str">
        <f>HYPERLINK("https://www.boe.es/gazeta/dias/1808/04/22/pdfs/GMD-C-1808-38.pdf#page=30","Abrir facsímil")</f>
        <v>Abrir facsímil</v>
      </c>
      <c r="K2472" s="15" t="s">
        <v>23</v>
      </c>
    </row>
    <row r="2473" spans="1:11" ht="42" customHeight="1">
      <c r="A2473" s="4" t="s">
        <v>6553</v>
      </c>
      <c r="B2473" s="5" t="s">
        <v>6554</v>
      </c>
      <c r="C2473" s="5" t="s">
        <v>41</v>
      </c>
      <c r="D2473" s="5" t="s">
        <v>42</v>
      </c>
      <c r="E2473" s="5" t="s">
        <v>469</v>
      </c>
      <c r="F2473" s="9" t="s">
        <v>470</v>
      </c>
      <c r="G2473" s="9">
        <v>155</v>
      </c>
      <c r="H2473" s="5" t="s">
        <v>21</v>
      </c>
      <c r="I2473" s="5" t="s">
        <v>6555</v>
      </c>
      <c r="J2473" s="12" t="str">
        <f>HYPERLINK("https://www.boe.es/gazeta/dias/1808/02/12/pdfs/GMD-1808-13.pdf#page=11","Abrir facsímil")</f>
        <v>Abrir facsímil</v>
      </c>
      <c r="K2473" s="15" t="s">
        <v>23</v>
      </c>
    </row>
    <row r="2474" spans="1:11" ht="42" customHeight="1">
      <c r="A2474" s="4" t="s">
        <v>6556</v>
      </c>
      <c r="B2474" s="5" t="s">
        <v>6557</v>
      </c>
      <c r="C2474" s="5" t="s">
        <v>94</v>
      </c>
      <c r="D2474" s="5" t="s">
        <v>95</v>
      </c>
      <c r="E2474" s="5" t="s">
        <v>264</v>
      </c>
      <c r="F2474" s="9" t="s">
        <v>318</v>
      </c>
      <c r="G2474" s="9" t="s">
        <v>106</v>
      </c>
      <c r="H2474" s="5" t="s">
        <v>21</v>
      </c>
      <c r="I2474" s="5" t="s">
        <v>6558</v>
      </c>
      <c r="J2474" s="12" t="str">
        <f>HYPERLINK("https://www.boe.es/gazeta/dias/1808/11/29/pdfs/GMD-C-1808-148.pdf#page=3","Abrir facsímil")</f>
        <v>Abrir facsímil</v>
      </c>
      <c r="K2474" s="15" t="s">
        <v>23</v>
      </c>
    </row>
    <row r="2475" spans="1:11" ht="42" customHeight="1">
      <c r="A2475" s="4" t="s">
        <v>6559</v>
      </c>
      <c r="B2475" s="5" t="s">
        <v>6560</v>
      </c>
      <c r="C2475" s="5" t="s">
        <v>41</v>
      </c>
      <c r="D2475" s="5" t="s">
        <v>42</v>
      </c>
      <c r="E2475" s="5" t="s">
        <v>153</v>
      </c>
      <c r="F2475" s="9" t="s">
        <v>154</v>
      </c>
      <c r="G2475" s="9" t="s">
        <v>75</v>
      </c>
      <c r="H2475" s="5" t="s">
        <v>21</v>
      </c>
      <c r="I2475" s="5" t="s">
        <v>6561</v>
      </c>
      <c r="J2475" s="12" t="str">
        <f>HYPERLINK("https://www.boe.es/gazeta/dias/1808/09/09/pdfs/GMD-C-1808-121.pdf#page=4","Abrir facsímil")</f>
        <v>Abrir facsímil</v>
      </c>
      <c r="K2475" s="15" t="s">
        <v>23</v>
      </c>
    </row>
    <row r="2476" spans="1:11" ht="42" customHeight="1">
      <c r="A2476" s="4" t="s">
        <v>6559</v>
      </c>
      <c r="B2476" s="5" t="s">
        <v>6560</v>
      </c>
      <c r="C2476" s="5" t="s">
        <v>33</v>
      </c>
      <c r="D2476" s="5" t="s">
        <v>34</v>
      </c>
      <c r="E2476" s="5" t="s">
        <v>73</v>
      </c>
      <c r="F2476" s="9" t="s">
        <v>74</v>
      </c>
      <c r="G2476" s="9" t="s">
        <v>75</v>
      </c>
      <c r="H2476" s="5" t="s">
        <v>21</v>
      </c>
      <c r="I2476" s="5" t="s">
        <v>6562</v>
      </c>
      <c r="J2476" s="12" t="str">
        <f>HYPERLINK("https://www.boe.es/gazeta/dias/1808/11/11/pdfs/GMD-D-1808-143.pdf#page=4","Abrir facsímil")</f>
        <v>Abrir facsímil</v>
      </c>
      <c r="K2476" s="15" t="s">
        <v>23</v>
      </c>
    </row>
    <row r="2477" spans="1:11" ht="42" customHeight="1">
      <c r="A2477" s="4" t="s">
        <v>6559</v>
      </c>
      <c r="B2477" s="5" t="s">
        <v>6560</v>
      </c>
      <c r="C2477" s="5" t="s">
        <v>17</v>
      </c>
      <c r="D2477" s="5" t="s">
        <v>18</v>
      </c>
      <c r="E2477" s="5" t="s">
        <v>130</v>
      </c>
      <c r="F2477" s="9" t="s">
        <v>131</v>
      </c>
      <c r="G2477" s="9">
        <v>1602</v>
      </c>
      <c r="H2477" s="5" t="s">
        <v>21</v>
      </c>
      <c r="I2477" s="5" t="s">
        <v>6563</v>
      </c>
      <c r="J2477" s="12" t="str">
        <f>HYPERLINK("https://www.boe.es/gazeta/dias/1808/12/15/pdfs/GMD-1808-155.pdf#page=6","Abrir facsímil")</f>
        <v>Abrir facsímil</v>
      </c>
      <c r="K2477" s="15" t="s">
        <v>23</v>
      </c>
    </row>
    <row r="2478" spans="1:11" ht="42" customHeight="1">
      <c r="A2478" s="4" t="s">
        <v>6564</v>
      </c>
      <c r="B2478" s="5" t="s">
        <v>6565</v>
      </c>
      <c r="C2478" s="5" t="s">
        <v>33</v>
      </c>
      <c r="D2478" s="5" t="s">
        <v>34</v>
      </c>
      <c r="E2478" s="5" t="s">
        <v>35</v>
      </c>
      <c r="F2478" s="9" t="s">
        <v>36</v>
      </c>
      <c r="G2478" s="9" t="s">
        <v>814</v>
      </c>
      <c r="H2478" s="5" t="s">
        <v>21</v>
      </c>
      <c r="I2478" s="5" t="s">
        <v>6566</v>
      </c>
      <c r="J2478" s="12" t="str">
        <f>HYPERLINK("https://www.boe.es/gazeta/dias/1808/04/22/pdfs/GMD-C-1808-38.pdf#page=25","Abrir facsímil")</f>
        <v>Abrir facsímil</v>
      </c>
      <c r="K2478" s="15" t="s">
        <v>23</v>
      </c>
    </row>
    <row r="2479" spans="1:11" ht="42" customHeight="1">
      <c r="A2479" s="4" t="s">
        <v>6564</v>
      </c>
      <c r="B2479" s="5" t="s">
        <v>6565</v>
      </c>
      <c r="C2479" s="5" t="s">
        <v>33</v>
      </c>
      <c r="D2479" s="5" t="s">
        <v>34</v>
      </c>
      <c r="E2479" s="5" t="s">
        <v>35</v>
      </c>
      <c r="F2479" s="9" t="s">
        <v>36</v>
      </c>
      <c r="G2479" s="9" t="s">
        <v>1075</v>
      </c>
      <c r="H2479" s="5" t="s">
        <v>21</v>
      </c>
      <c r="I2479" s="5" t="s">
        <v>6567</v>
      </c>
      <c r="J2479" s="12" t="str">
        <f>HYPERLINK("https://www.boe.es/gazeta/dias/1808/04/22/pdfs/GMD-C-1808-38.pdf#page=32","Abrir facsímil")</f>
        <v>Abrir facsímil</v>
      </c>
      <c r="K2479" s="15" t="s">
        <v>23</v>
      </c>
    </row>
    <row r="2480" spans="1:11" ht="42" customHeight="1">
      <c r="A2480" s="4" t="s">
        <v>6564</v>
      </c>
      <c r="B2480" s="5" t="s">
        <v>6565</v>
      </c>
      <c r="C2480" s="5" t="s">
        <v>94</v>
      </c>
      <c r="D2480" s="5" t="s">
        <v>95</v>
      </c>
      <c r="E2480" s="5" t="s">
        <v>35</v>
      </c>
      <c r="F2480" s="9" t="s">
        <v>36</v>
      </c>
      <c r="G2480" s="9" t="s">
        <v>37</v>
      </c>
      <c r="H2480" s="5" t="s">
        <v>21</v>
      </c>
      <c r="I2480" s="5" t="s">
        <v>6568</v>
      </c>
      <c r="J2480" s="12" t="str">
        <f>HYPERLINK("https://www.boe.es/gazeta/dias/1808/04/22/pdfs/GMD-C-1808-38.pdf#page=33","Abrir facsímil")</f>
        <v>Abrir facsímil</v>
      </c>
      <c r="K2480" s="15" t="s">
        <v>23</v>
      </c>
    </row>
    <row r="2481" spans="1:11" ht="42" customHeight="1">
      <c r="A2481" s="4" t="s">
        <v>6569</v>
      </c>
      <c r="B2481" s="5" t="s">
        <v>6570</v>
      </c>
      <c r="C2481" s="5" t="s">
        <v>33</v>
      </c>
      <c r="D2481" s="5" t="s">
        <v>34</v>
      </c>
      <c r="E2481" s="5" t="s">
        <v>35</v>
      </c>
      <c r="F2481" s="9" t="s">
        <v>36</v>
      </c>
      <c r="G2481" s="9" t="s">
        <v>324</v>
      </c>
      <c r="H2481" s="5" t="s">
        <v>21</v>
      </c>
      <c r="I2481" s="5" t="s">
        <v>6571</v>
      </c>
      <c r="J2481" s="12" t="str">
        <f>HYPERLINK("https://www.boe.es/gazeta/dias/1808/04/22/pdfs/GMD-C-1808-38.pdf#page=24","Abrir facsímil")</f>
        <v>Abrir facsímil</v>
      </c>
      <c r="K2481" s="15" t="s">
        <v>23</v>
      </c>
    </row>
    <row r="2482" spans="1:11" ht="42" customHeight="1">
      <c r="A2482" s="4" t="s">
        <v>6572</v>
      </c>
      <c r="B2482" s="5" t="s">
        <v>6573</v>
      </c>
      <c r="C2482" s="5" t="s">
        <v>17</v>
      </c>
      <c r="D2482" s="5" t="s">
        <v>18</v>
      </c>
      <c r="E2482" s="5" t="s">
        <v>558</v>
      </c>
      <c r="F2482" s="9" t="s">
        <v>559</v>
      </c>
      <c r="G2482" s="9">
        <v>1545</v>
      </c>
      <c r="H2482" s="5" t="s">
        <v>21</v>
      </c>
      <c r="I2482" s="5" t="s">
        <v>6574</v>
      </c>
      <c r="J2482" s="12" t="str">
        <f>HYPERLINK("https://www.boe.es/gazeta/dias/1808/11/25/pdfs/GMD-1808-147.pdf#page=11","Abrir facsímil")</f>
        <v>Abrir facsímil</v>
      </c>
      <c r="K2482" s="15" t="s">
        <v>23</v>
      </c>
    </row>
    <row r="2483" spans="1:11" ht="42" customHeight="1">
      <c r="A2483" s="4" t="s">
        <v>6575</v>
      </c>
      <c r="B2483" s="5" t="s">
        <v>6576</v>
      </c>
      <c r="C2483" s="5" t="s">
        <v>260</v>
      </c>
      <c r="D2483" s="5" t="s">
        <v>42</v>
      </c>
      <c r="E2483" s="5" t="s">
        <v>368</v>
      </c>
      <c r="F2483" s="9" t="s">
        <v>369</v>
      </c>
      <c r="G2483" s="9">
        <v>168</v>
      </c>
      <c r="H2483" s="5" t="s">
        <v>21</v>
      </c>
      <c r="I2483" s="5" t="s">
        <v>6577</v>
      </c>
      <c r="J2483" s="12" t="str">
        <f>HYPERLINK("https://www.boe.es/gazeta/dias/1808/02/16/pdfs/GMD-1808-14.pdf#page=10","Abrir facsímil")</f>
        <v>Abrir facsímil</v>
      </c>
      <c r="K2483" s="15" t="s">
        <v>23</v>
      </c>
    </row>
    <row r="2484" spans="1:11" ht="42" customHeight="1">
      <c r="A2484" s="4" t="s">
        <v>6578</v>
      </c>
      <c r="B2484" s="5" t="s">
        <v>6579</v>
      </c>
      <c r="C2484" s="5" t="s">
        <v>33</v>
      </c>
      <c r="D2484" s="5" t="s">
        <v>34</v>
      </c>
      <c r="E2484" s="5" t="s">
        <v>334</v>
      </c>
      <c r="F2484" s="9" t="s">
        <v>335</v>
      </c>
      <c r="G2484" s="9">
        <v>1251</v>
      </c>
      <c r="H2484" s="5" t="s">
        <v>21</v>
      </c>
      <c r="I2484" s="5" t="s">
        <v>6580</v>
      </c>
      <c r="J2484" s="12" t="str">
        <f>HYPERLINK("https://www.boe.es/gazeta/dias/1808/10/04/pdfs/GMD-C-1808-131.pdf#page=3","Abrir facsímil")</f>
        <v>Abrir facsímil</v>
      </c>
      <c r="K2484" s="15" t="s">
        <v>23</v>
      </c>
    </row>
    <row r="2485" spans="1:11" ht="42" customHeight="1">
      <c r="A2485" s="4" t="s">
        <v>6581</v>
      </c>
      <c r="B2485" s="5" t="s">
        <v>6582</v>
      </c>
      <c r="C2485" s="5" t="s">
        <v>260</v>
      </c>
      <c r="D2485" s="5" t="s">
        <v>42</v>
      </c>
      <c r="E2485" s="5" t="s">
        <v>3791</v>
      </c>
      <c r="F2485" s="9" t="s">
        <v>3792</v>
      </c>
      <c r="G2485" s="9">
        <v>618</v>
      </c>
      <c r="H2485" s="5" t="s">
        <v>21</v>
      </c>
      <c r="I2485" s="5" t="s">
        <v>6583</v>
      </c>
      <c r="J2485" s="12" t="str">
        <f>HYPERLINK("https://www.boe.es/gazeta/dias/1808/06/21/pdfs/GMD-1808-63.pdf#page=8","Abrir facsímil")</f>
        <v>Abrir facsímil</v>
      </c>
      <c r="K2485" s="15" t="s">
        <v>23</v>
      </c>
    </row>
    <row r="2486" spans="1:11" ht="42" customHeight="1">
      <c r="A2486" s="4" t="s">
        <v>6584</v>
      </c>
      <c r="B2486" s="5" t="s">
        <v>6585</v>
      </c>
      <c r="C2486" s="5" t="s">
        <v>33</v>
      </c>
      <c r="D2486" s="5" t="s">
        <v>34</v>
      </c>
      <c r="E2486" s="5" t="s">
        <v>391</v>
      </c>
      <c r="F2486" s="9" t="s">
        <v>588</v>
      </c>
      <c r="G2486" s="9" t="s">
        <v>199</v>
      </c>
      <c r="H2486" s="5" t="s">
        <v>21</v>
      </c>
      <c r="I2486" s="5" t="s">
        <v>6586</v>
      </c>
      <c r="J2486" s="12" t="str">
        <f>HYPERLINK("https://www.boe.es/gazeta/dias/1808/09/27/pdfs/GMD-C-1808-128.pdf#page=2","Abrir facsímil")</f>
        <v>Abrir facsímil</v>
      </c>
      <c r="K2486" s="15" t="s">
        <v>23</v>
      </c>
    </row>
    <row r="2487" spans="1:11" ht="42" customHeight="1">
      <c r="A2487" s="4" t="s">
        <v>6587</v>
      </c>
      <c r="B2487" s="5" t="s">
        <v>6588</v>
      </c>
      <c r="C2487" s="5" t="s">
        <v>17</v>
      </c>
      <c r="D2487" s="5" t="s">
        <v>18</v>
      </c>
      <c r="E2487" s="5" t="s">
        <v>130</v>
      </c>
      <c r="F2487" s="9" t="s">
        <v>131</v>
      </c>
      <c r="G2487" s="9">
        <v>1601</v>
      </c>
      <c r="H2487" s="5" t="s">
        <v>21</v>
      </c>
      <c r="I2487" s="5" t="s">
        <v>6589</v>
      </c>
      <c r="J2487" s="12" t="str">
        <f>HYPERLINK("https://www.boe.es/gazeta/dias/1808/12/15/pdfs/GMD-1808-155.pdf#page=5","Abrir facsímil")</f>
        <v>Abrir facsímil</v>
      </c>
      <c r="K2487" s="15" t="s">
        <v>23</v>
      </c>
    </row>
    <row r="2488" spans="1:11" ht="42" customHeight="1">
      <c r="A2488" s="4" t="s">
        <v>6587</v>
      </c>
      <c r="B2488" s="5" t="s">
        <v>6588</v>
      </c>
      <c r="C2488" s="5" t="s">
        <v>17</v>
      </c>
      <c r="D2488" s="5" t="s">
        <v>18</v>
      </c>
      <c r="E2488" s="5" t="s">
        <v>719</v>
      </c>
      <c r="F2488" s="9" t="s">
        <v>720</v>
      </c>
      <c r="G2488" s="9">
        <v>1609</v>
      </c>
      <c r="H2488" s="5" t="s">
        <v>21</v>
      </c>
      <c r="I2488" s="5" t="s">
        <v>6590</v>
      </c>
      <c r="J2488" s="12" t="str">
        <f>HYPERLINK("https://www.boe.es/gazeta/dias/1808/12/16/pdfs/GMD-1808-156.pdf#page=1","Abrir facsímil")</f>
        <v>Abrir facsímil</v>
      </c>
      <c r="K2488" s="15" t="s">
        <v>23</v>
      </c>
    </row>
    <row r="2489" spans="1:11" ht="42" customHeight="1">
      <c r="A2489" s="4" t="s">
        <v>6591</v>
      </c>
      <c r="B2489" s="5" t="s">
        <v>6592</v>
      </c>
      <c r="C2489" s="5" t="s">
        <v>94</v>
      </c>
      <c r="D2489" s="5" t="s">
        <v>95</v>
      </c>
      <c r="E2489" s="5" t="s">
        <v>363</v>
      </c>
      <c r="F2489" s="9" t="s">
        <v>1224</v>
      </c>
      <c r="G2489" s="9">
        <v>1189</v>
      </c>
      <c r="H2489" s="5" t="s">
        <v>21</v>
      </c>
      <c r="I2489" s="5" t="s">
        <v>6593</v>
      </c>
      <c r="J2489" s="12" t="str">
        <f>HYPERLINK("https://www.boe.es/gazeta/dias/1808/09/20/pdfs/GMD-1808-126.pdf#page=9","Abrir facsímil")</f>
        <v>Abrir facsímil</v>
      </c>
      <c r="K2489" s="15" t="s">
        <v>23</v>
      </c>
    </row>
    <row r="2490" spans="1:11" ht="42" customHeight="1">
      <c r="A2490" s="4" t="s">
        <v>6594</v>
      </c>
      <c r="B2490" s="5" t="s">
        <v>6595</v>
      </c>
      <c r="C2490" s="5" t="s">
        <v>389</v>
      </c>
      <c r="D2490" s="5" t="s">
        <v>390</v>
      </c>
      <c r="E2490" s="5" t="s">
        <v>120</v>
      </c>
      <c r="F2490" s="9" t="s">
        <v>121</v>
      </c>
      <c r="G2490" s="9">
        <v>316</v>
      </c>
      <c r="H2490" s="5" t="s">
        <v>21</v>
      </c>
      <c r="I2490" s="5" t="s">
        <v>6596</v>
      </c>
      <c r="J2490" s="12" t="str">
        <f>HYPERLINK("https://www.boe.es/gazeta/dias/1808/03/29/pdfs/GMD-1808-27.pdf#page=12","Abrir facsímil")</f>
        <v>Abrir facsímil</v>
      </c>
      <c r="K2490" s="15" t="s">
        <v>23</v>
      </c>
    </row>
    <row r="2491" spans="1:11" ht="42" customHeight="1">
      <c r="A2491" s="4" t="s">
        <v>6597</v>
      </c>
      <c r="B2491" s="5" t="s">
        <v>6598</v>
      </c>
      <c r="C2491" s="5" t="s">
        <v>33</v>
      </c>
      <c r="D2491" s="5" t="s">
        <v>34</v>
      </c>
      <c r="E2491" s="5" t="s">
        <v>35</v>
      </c>
      <c r="F2491" s="9" t="s">
        <v>36</v>
      </c>
      <c r="G2491" s="9" t="s">
        <v>199</v>
      </c>
      <c r="H2491" s="5" t="s">
        <v>21</v>
      </c>
      <c r="I2491" s="5" t="s">
        <v>6599</v>
      </c>
      <c r="J2491" s="12" t="str">
        <f>HYPERLINK("https://www.boe.es/gazeta/dias/1808/04/22/pdfs/GMD-C-1808-38.pdf#page=2","Abrir facsímil")</f>
        <v>Abrir facsímil</v>
      </c>
      <c r="K2491" s="15" t="s">
        <v>23</v>
      </c>
    </row>
    <row r="2492" spans="1:11" ht="42" customHeight="1">
      <c r="A2492" s="4" t="s">
        <v>6600</v>
      </c>
      <c r="B2492" s="5" t="s">
        <v>6601</v>
      </c>
      <c r="C2492" s="5" t="s">
        <v>33</v>
      </c>
      <c r="D2492" s="5" t="s">
        <v>34</v>
      </c>
      <c r="E2492" s="5" t="s">
        <v>35</v>
      </c>
      <c r="F2492" s="9" t="s">
        <v>36</v>
      </c>
      <c r="G2492" s="9" t="s">
        <v>135</v>
      </c>
      <c r="H2492" s="5" t="s">
        <v>21</v>
      </c>
      <c r="I2492" s="5" t="s">
        <v>6602</v>
      </c>
      <c r="J2492" s="12" t="str">
        <f>HYPERLINK("https://www.boe.es/gazeta/dias/1808/04/22/pdfs/GMD-C-1808-38.pdf#page=26","Abrir facsímil")</f>
        <v>Abrir facsímil</v>
      </c>
      <c r="K2492" s="15" t="s">
        <v>23</v>
      </c>
    </row>
    <row r="2493" spans="1:11" ht="42" customHeight="1">
      <c r="A2493" s="4" t="s">
        <v>6600</v>
      </c>
      <c r="B2493" s="5" t="s">
        <v>6601</v>
      </c>
      <c r="C2493" s="5" t="s">
        <v>33</v>
      </c>
      <c r="D2493" s="5" t="s">
        <v>34</v>
      </c>
      <c r="E2493" s="5" t="s">
        <v>35</v>
      </c>
      <c r="F2493" s="9" t="s">
        <v>36</v>
      </c>
      <c r="G2493" s="9" t="s">
        <v>106</v>
      </c>
      <c r="H2493" s="5" t="s">
        <v>21</v>
      </c>
      <c r="I2493" s="5" t="s">
        <v>6603</v>
      </c>
      <c r="J2493" s="12" t="str">
        <f>HYPERLINK("https://www.boe.es/gazeta/dias/1808/04/22/pdfs/GMD-C-1808-38.pdf#page=3","Abrir facsímil")</f>
        <v>Abrir facsímil</v>
      </c>
      <c r="K2493" s="15" t="s">
        <v>23</v>
      </c>
    </row>
    <row r="2494" spans="1:11" ht="42" customHeight="1">
      <c r="A2494" s="4" t="s">
        <v>6600</v>
      </c>
      <c r="B2494" s="5" t="s">
        <v>6601</v>
      </c>
      <c r="C2494" s="5" t="s">
        <v>33</v>
      </c>
      <c r="D2494" s="5" t="s">
        <v>34</v>
      </c>
      <c r="E2494" s="5" t="s">
        <v>35</v>
      </c>
      <c r="F2494" s="9" t="s">
        <v>36</v>
      </c>
      <c r="G2494" s="9" t="s">
        <v>818</v>
      </c>
      <c r="H2494" s="5" t="s">
        <v>21</v>
      </c>
      <c r="I2494" s="5" t="s">
        <v>6604</v>
      </c>
      <c r="J2494" s="12" t="str">
        <f>HYPERLINK("https://www.boe.es/gazeta/dias/1808/04/22/pdfs/GMD-C-1808-38.pdf#page=7","Abrir facsímil")</f>
        <v>Abrir facsímil</v>
      </c>
      <c r="K2494" s="15" t="s">
        <v>23</v>
      </c>
    </row>
    <row r="2495" spans="1:11" ht="42" customHeight="1">
      <c r="A2495" s="4" t="s">
        <v>6600</v>
      </c>
      <c r="B2495" s="5" t="s">
        <v>6601</v>
      </c>
      <c r="C2495" s="5" t="s">
        <v>41</v>
      </c>
      <c r="D2495" s="5" t="s">
        <v>42</v>
      </c>
      <c r="E2495" s="5" t="s">
        <v>153</v>
      </c>
      <c r="F2495" s="9" t="s">
        <v>154</v>
      </c>
      <c r="G2495" s="9" t="s">
        <v>106</v>
      </c>
      <c r="H2495" s="5" t="s">
        <v>21</v>
      </c>
      <c r="I2495" s="5" t="s">
        <v>6605</v>
      </c>
      <c r="J2495" s="12" t="str">
        <f>HYPERLINK("https://www.boe.es/gazeta/dias/1808/09/09/pdfs/GMD-C-1808-121.pdf#page=3","Abrir facsímil")</f>
        <v>Abrir facsímil</v>
      </c>
      <c r="K2495" s="15" t="s">
        <v>23</v>
      </c>
    </row>
    <row r="2496" spans="1:11" ht="42" customHeight="1">
      <c r="A2496" s="4" t="s">
        <v>6600</v>
      </c>
      <c r="B2496" s="5" t="s">
        <v>6601</v>
      </c>
      <c r="C2496" s="5" t="s">
        <v>17</v>
      </c>
      <c r="D2496" s="5" t="s">
        <v>18</v>
      </c>
      <c r="E2496" s="5" t="s">
        <v>166</v>
      </c>
      <c r="F2496" s="9" t="s">
        <v>356</v>
      </c>
      <c r="G2496" s="9">
        <v>1509</v>
      </c>
      <c r="H2496" s="5" t="s">
        <v>21</v>
      </c>
      <c r="I2496" s="5" t="s">
        <v>6606</v>
      </c>
      <c r="J2496" s="12" t="str">
        <f>HYPERLINK("https://www.boe.es/gazeta/dias/1808/11/18/pdfs/GMD-1808-145.pdf#page=7","Abrir facsímil")</f>
        <v>Abrir facsímil</v>
      </c>
      <c r="K2496" s="15" t="s">
        <v>23</v>
      </c>
    </row>
    <row r="2497" spans="1:11" ht="42" customHeight="1">
      <c r="A2497" s="4" t="s">
        <v>6607</v>
      </c>
      <c r="B2497" s="5" t="s">
        <v>6608</v>
      </c>
      <c r="C2497" s="5" t="s">
        <v>94</v>
      </c>
      <c r="D2497" s="5" t="s">
        <v>95</v>
      </c>
      <c r="E2497" s="5" t="s">
        <v>65</v>
      </c>
      <c r="F2497" s="9" t="s">
        <v>66</v>
      </c>
      <c r="G2497" s="9">
        <v>1307</v>
      </c>
      <c r="H2497" s="5" t="s">
        <v>21</v>
      </c>
      <c r="I2497" s="5" t="s">
        <v>6609</v>
      </c>
      <c r="J2497" s="12" t="str">
        <f>HYPERLINK("https://www.boe.es/gazeta/dias/1808/10/18/pdfs/GMD-1808-135.pdf#page=7","Abrir facsímil")</f>
        <v>Abrir facsímil</v>
      </c>
      <c r="K2497" s="15" t="s">
        <v>23</v>
      </c>
    </row>
    <row r="2498" spans="1:11" ht="42" customHeight="1">
      <c r="A2498" s="4" t="s">
        <v>6610</v>
      </c>
      <c r="B2498" s="5" t="s">
        <v>6611</v>
      </c>
      <c r="C2498" s="5" t="s">
        <v>17</v>
      </c>
      <c r="D2498" s="5" t="s">
        <v>18</v>
      </c>
      <c r="E2498" s="5" t="s">
        <v>125</v>
      </c>
      <c r="F2498" s="9" t="s">
        <v>397</v>
      </c>
      <c r="G2498" s="9">
        <v>1269</v>
      </c>
      <c r="H2498" s="5" t="s">
        <v>21</v>
      </c>
      <c r="I2498" s="5" t="s">
        <v>6612</v>
      </c>
      <c r="J2498" s="12" t="str">
        <f>HYPERLINK("https://www.boe.es/gazeta/dias/1808/10/07/pdfs/GMD-1808-132.pdf#page=9","Abrir facsímil")</f>
        <v>Abrir facsímil</v>
      </c>
      <c r="K2498" s="15" t="s">
        <v>23</v>
      </c>
    </row>
    <row r="2499" spans="1:11" ht="42" customHeight="1">
      <c r="A2499" s="4" t="s">
        <v>6613</v>
      </c>
      <c r="B2499" s="5" t="s">
        <v>6614</v>
      </c>
      <c r="C2499" s="5" t="s">
        <v>33</v>
      </c>
      <c r="D2499" s="5" t="s">
        <v>34</v>
      </c>
      <c r="E2499" s="5" t="s">
        <v>35</v>
      </c>
      <c r="F2499" s="9" t="s">
        <v>36</v>
      </c>
      <c r="G2499" s="9" t="s">
        <v>199</v>
      </c>
      <c r="H2499" s="5" t="s">
        <v>21</v>
      </c>
      <c r="I2499" s="5" t="s">
        <v>6615</v>
      </c>
      <c r="J2499" s="12" t="str">
        <f>HYPERLINK("https://www.boe.es/gazeta/dias/1808/04/22/pdfs/GMD-C-1808-38.pdf#page=2","Abrir facsímil")</f>
        <v>Abrir facsímil</v>
      </c>
      <c r="K2499" s="15" t="s">
        <v>23</v>
      </c>
    </row>
    <row r="2500" spans="1:11" ht="42" customHeight="1">
      <c r="A2500" s="4" t="s">
        <v>6616</v>
      </c>
      <c r="B2500" s="5" t="s">
        <v>6617</v>
      </c>
      <c r="C2500" s="5" t="s">
        <v>94</v>
      </c>
      <c r="D2500" s="5" t="s">
        <v>95</v>
      </c>
      <c r="E2500" s="5" t="s">
        <v>242</v>
      </c>
      <c r="F2500" s="9" t="s">
        <v>243</v>
      </c>
      <c r="G2500" s="9">
        <v>11</v>
      </c>
      <c r="H2500" s="5" t="s">
        <v>21</v>
      </c>
      <c r="I2500" s="5" t="s">
        <v>6618</v>
      </c>
      <c r="J2500" s="12" t="str">
        <f>HYPERLINK("https://www.boe.es/gazeta/dias/1808/01/01/pdfs/GMD-1808-1.pdf#page=11","Abrir facsímil")</f>
        <v>Abrir facsímil</v>
      </c>
      <c r="K2500" s="15" t="s">
        <v>23</v>
      </c>
    </row>
    <row r="2501" spans="1:11" ht="42" customHeight="1">
      <c r="A2501" s="4" t="s">
        <v>6619</v>
      </c>
      <c r="B2501" s="5" t="s">
        <v>6620</v>
      </c>
      <c r="C2501" s="5" t="s">
        <v>17</v>
      </c>
      <c r="D2501" s="5" t="s">
        <v>18</v>
      </c>
      <c r="E2501" s="5" t="s">
        <v>130</v>
      </c>
      <c r="F2501" s="9" t="s">
        <v>131</v>
      </c>
      <c r="G2501" s="9">
        <v>1604</v>
      </c>
      <c r="H2501" s="5" t="s">
        <v>21</v>
      </c>
      <c r="I2501" s="5" t="s">
        <v>6621</v>
      </c>
      <c r="J2501" s="12" t="str">
        <f>HYPERLINK("https://www.boe.es/gazeta/dias/1808/12/15/pdfs/GMD-1808-155.pdf#page=8","Abrir facsímil")</f>
        <v>Abrir facsímil</v>
      </c>
      <c r="K2501" s="15" t="s">
        <v>23</v>
      </c>
    </row>
    <row r="2502" spans="1:11" ht="42" customHeight="1">
      <c r="A2502" s="4" t="s">
        <v>6622</v>
      </c>
      <c r="B2502" s="5" t="s">
        <v>6623</v>
      </c>
      <c r="C2502" s="5" t="s">
        <v>33</v>
      </c>
      <c r="D2502" s="5" t="s">
        <v>34</v>
      </c>
      <c r="E2502" s="5" t="s">
        <v>68</v>
      </c>
      <c r="F2502" s="9" t="s">
        <v>309</v>
      </c>
      <c r="G2502" s="9" t="s">
        <v>106</v>
      </c>
      <c r="H2502" s="5" t="s">
        <v>21</v>
      </c>
      <c r="I2502" s="5" t="s">
        <v>6624</v>
      </c>
      <c r="J2502" s="12" t="str">
        <f>HYPERLINK("https://www.boe.es/gazeta/dias/1808/10/21/pdfs/GMD-D-1808-136.pdf#page=3","Abrir facsímil")</f>
        <v>Abrir facsímil</v>
      </c>
      <c r="K2502" s="15" t="s">
        <v>23</v>
      </c>
    </row>
    <row r="2503" spans="1:11" ht="42" customHeight="1">
      <c r="A2503" s="4" t="s">
        <v>6622</v>
      </c>
      <c r="B2503" s="5" t="s">
        <v>6623</v>
      </c>
      <c r="C2503" s="5" t="s">
        <v>17</v>
      </c>
      <c r="D2503" s="5" t="s">
        <v>18</v>
      </c>
      <c r="E2503" s="5" t="s">
        <v>130</v>
      </c>
      <c r="F2503" s="9" t="s">
        <v>131</v>
      </c>
      <c r="G2503" s="9">
        <v>1603</v>
      </c>
      <c r="H2503" s="5" t="s">
        <v>21</v>
      </c>
      <c r="I2503" s="5" t="s">
        <v>6625</v>
      </c>
      <c r="J2503" s="12" t="str">
        <f>HYPERLINK("https://www.boe.es/gazeta/dias/1808/12/15/pdfs/GMD-1808-155.pdf#page=7","Abrir facsímil")</f>
        <v>Abrir facsímil</v>
      </c>
      <c r="K2503" s="15" t="s">
        <v>23</v>
      </c>
    </row>
    <row r="2504" spans="1:11" ht="42" customHeight="1">
      <c r="A2504" s="4" t="s">
        <v>6626</v>
      </c>
      <c r="B2504" s="5" t="s">
        <v>6627</v>
      </c>
      <c r="C2504" s="5" t="s">
        <v>33</v>
      </c>
      <c r="D2504" s="5" t="s">
        <v>34</v>
      </c>
      <c r="E2504" s="5" t="s">
        <v>73</v>
      </c>
      <c r="F2504" s="9" t="s">
        <v>74</v>
      </c>
      <c r="G2504" s="9" t="s">
        <v>117</v>
      </c>
      <c r="H2504" s="5" t="s">
        <v>21</v>
      </c>
      <c r="I2504" s="5" t="s">
        <v>6628</v>
      </c>
      <c r="J2504" s="12" t="str">
        <f>HYPERLINK("https://www.boe.es/gazeta/dias/1808/11/11/pdfs/GMD-D-1808-143.pdf#page=1","Abrir facsímil")</f>
        <v>Abrir facsímil</v>
      </c>
      <c r="K2504" s="15" t="s">
        <v>23</v>
      </c>
    </row>
    <row r="2505" spans="1:11" ht="42" customHeight="1">
      <c r="A2505" s="4" t="s">
        <v>6629</v>
      </c>
      <c r="B2505" s="5" t="s">
        <v>6629</v>
      </c>
      <c r="C2505" s="5" t="s">
        <v>101</v>
      </c>
      <c r="D2505" s="5" t="s">
        <v>102</v>
      </c>
      <c r="E2505" s="5" t="s">
        <v>207</v>
      </c>
      <c r="F2505" s="9" t="s">
        <v>208</v>
      </c>
      <c r="G2505" s="9">
        <v>194</v>
      </c>
      <c r="H2505" s="5" t="s">
        <v>21</v>
      </c>
      <c r="I2505" s="5" t="s">
        <v>6630</v>
      </c>
      <c r="J2505" s="12" t="str">
        <f>HYPERLINK("https://www.boe.es/gazeta/dias/1808/02/23/pdfs/GMD-1808-16.pdf#page=8","Abrir facsímil")</f>
        <v>Abrir facsímil</v>
      </c>
      <c r="K2505" s="15" t="s">
        <v>23</v>
      </c>
    </row>
    <row r="2506" spans="1:11" ht="42" customHeight="1">
      <c r="A2506" s="4" t="s">
        <v>6629</v>
      </c>
      <c r="B2506" s="5" t="s">
        <v>6629</v>
      </c>
      <c r="C2506" s="5" t="s">
        <v>101</v>
      </c>
      <c r="D2506" s="5" t="s">
        <v>102</v>
      </c>
      <c r="E2506" s="5" t="s">
        <v>218</v>
      </c>
      <c r="F2506" s="9" t="s">
        <v>219</v>
      </c>
      <c r="G2506" s="9">
        <v>327</v>
      </c>
      <c r="H2506" s="5" t="s">
        <v>21</v>
      </c>
      <c r="I2506" s="5" t="s">
        <v>6631</v>
      </c>
      <c r="J2506" s="12" t="str">
        <f>HYPERLINK("https://www.boe.es/gazeta/dias/1808/04/01/pdfs/GMD-1808-29.pdf#page=3","Abrir facsímil")</f>
        <v>Abrir facsímil</v>
      </c>
      <c r="K2506" s="15" t="s">
        <v>23</v>
      </c>
    </row>
    <row r="2507" spans="1:11" ht="42" customHeight="1">
      <c r="A2507" s="4" t="s">
        <v>6632</v>
      </c>
      <c r="B2507" s="5" t="s">
        <v>6632</v>
      </c>
      <c r="C2507" s="5" t="s">
        <v>17</v>
      </c>
      <c r="D2507" s="5" t="s">
        <v>18</v>
      </c>
      <c r="E2507" s="5" t="s">
        <v>35</v>
      </c>
      <c r="F2507" s="9" t="s">
        <v>3452</v>
      </c>
      <c r="G2507" s="9">
        <v>399</v>
      </c>
      <c r="H2507" s="5" t="s">
        <v>21</v>
      </c>
      <c r="I2507" s="5" t="s">
        <v>6633</v>
      </c>
      <c r="J2507" s="12" t="str">
        <f>HYPERLINK("https://www.boe.es/gazeta/dias/1808/04/22/pdfs/GMD-1808-38.pdf#page=7","Abrir facsímil")</f>
        <v>Abrir facsímil</v>
      </c>
      <c r="K2507" s="15" t="s">
        <v>23</v>
      </c>
    </row>
    <row r="2508" spans="1:11" ht="42" customHeight="1">
      <c r="A2508" s="4" t="s">
        <v>6634</v>
      </c>
      <c r="B2508" s="5" t="s">
        <v>6635</v>
      </c>
      <c r="C2508" s="5" t="s">
        <v>94</v>
      </c>
      <c r="D2508" s="5" t="s">
        <v>95</v>
      </c>
      <c r="E2508" s="5" t="s">
        <v>1760</v>
      </c>
      <c r="F2508" s="9" t="s">
        <v>1761</v>
      </c>
      <c r="G2508" s="9">
        <v>429</v>
      </c>
      <c r="H2508" s="5" t="s">
        <v>21</v>
      </c>
      <c r="I2508" s="5" t="s">
        <v>6636</v>
      </c>
      <c r="J2508" s="12" t="str">
        <f>HYPERLINK("https://www.boe.es/gazeta/dias/1808/05/03/pdfs/GMD-1808-43.pdf#page=5","Abrir facsímil")</f>
        <v>Abrir facsímil</v>
      </c>
      <c r="K2508" s="15" t="s">
        <v>23</v>
      </c>
    </row>
    <row r="2509" spans="1:11" ht="42" customHeight="1">
      <c r="A2509" s="4" t="s">
        <v>6637</v>
      </c>
      <c r="B2509" s="5" t="s">
        <v>6637</v>
      </c>
      <c r="C2509" s="5" t="s">
        <v>101</v>
      </c>
      <c r="D2509" s="5" t="s">
        <v>102</v>
      </c>
      <c r="E2509" s="5" t="s">
        <v>2598</v>
      </c>
      <c r="F2509" s="9" t="s">
        <v>2599</v>
      </c>
      <c r="G2509" s="9">
        <v>945</v>
      </c>
      <c r="H2509" s="5" t="s">
        <v>21</v>
      </c>
      <c r="I2509" s="5" t="s">
        <v>6638</v>
      </c>
      <c r="J2509" s="12" t="str">
        <f>HYPERLINK("https://www.boe.es/gazeta/dias/1808/08/01/pdfs/GMD-1808-104.pdf#page=3","Abrir facsímil")</f>
        <v>Abrir facsímil</v>
      </c>
      <c r="K2509" s="15" t="s">
        <v>23</v>
      </c>
    </row>
    <row r="2510" spans="1:11" ht="42" customHeight="1">
      <c r="A2510" s="4" t="s">
        <v>6639</v>
      </c>
      <c r="B2510" s="5" t="s">
        <v>6639</v>
      </c>
      <c r="C2510" s="5" t="s">
        <v>94</v>
      </c>
      <c r="D2510" s="5" t="s">
        <v>95</v>
      </c>
      <c r="E2510" s="5" t="s">
        <v>96</v>
      </c>
      <c r="F2510" s="9" t="s">
        <v>97</v>
      </c>
      <c r="G2510" s="9">
        <v>266</v>
      </c>
      <c r="H2510" s="5" t="s">
        <v>21</v>
      </c>
      <c r="I2510" s="5" t="s">
        <v>6640</v>
      </c>
      <c r="J2510" s="12" t="str">
        <f>HYPERLINK("https://www.boe.es/gazeta/dias/1808/03/15/pdfs/GMD-1808-22.pdf#page=8","Abrir facsímil")</f>
        <v>Abrir facsímil</v>
      </c>
      <c r="K2510" s="15" t="s">
        <v>23</v>
      </c>
    </row>
    <row r="2511" spans="1:11" ht="42" customHeight="1">
      <c r="A2511" s="4" t="s">
        <v>6641</v>
      </c>
      <c r="B2511" s="5" t="s">
        <v>6642</v>
      </c>
      <c r="C2511" s="5" t="s">
        <v>33</v>
      </c>
      <c r="D2511" s="5" t="s">
        <v>34</v>
      </c>
      <c r="E2511" s="5" t="s">
        <v>35</v>
      </c>
      <c r="F2511" s="9" t="s">
        <v>36</v>
      </c>
      <c r="G2511" s="9" t="s">
        <v>837</v>
      </c>
      <c r="H2511" s="5" t="s">
        <v>21</v>
      </c>
      <c r="I2511" s="5" t="s">
        <v>6643</v>
      </c>
      <c r="J2511" s="12" t="str">
        <f>HYPERLINK("https://www.boe.es/gazeta/dias/1808/04/22/pdfs/GMD-C-1808-38.pdf#page=10","Abrir facsímil")</f>
        <v>Abrir facsímil</v>
      </c>
      <c r="K2511" s="15" t="s">
        <v>23</v>
      </c>
    </row>
    <row r="2512" spans="1:11" ht="42" customHeight="1">
      <c r="A2512" s="4" t="s">
        <v>6644</v>
      </c>
      <c r="B2512" s="5" t="s">
        <v>6645</v>
      </c>
      <c r="C2512" s="5" t="s">
        <v>94</v>
      </c>
      <c r="D2512" s="5" t="s">
        <v>95</v>
      </c>
      <c r="E2512" s="5" t="s">
        <v>96</v>
      </c>
      <c r="F2512" s="9" t="s">
        <v>97</v>
      </c>
      <c r="G2512" s="9">
        <v>266</v>
      </c>
      <c r="H2512" s="5" t="s">
        <v>21</v>
      </c>
      <c r="I2512" s="5" t="s">
        <v>6646</v>
      </c>
      <c r="J2512" s="12" t="str">
        <f>HYPERLINK("https://www.boe.es/gazeta/dias/1808/03/15/pdfs/GMD-1808-22.pdf#page=8","Abrir facsímil")</f>
        <v>Abrir facsímil</v>
      </c>
      <c r="K2512" s="15" t="s">
        <v>23</v>
      </c>
    </row>
    <row r="2513" spans="1:11" ht="42" customHeight="1">
      <c r="A2513" s="4" t="s">
        <v>6647</v>
      </c>
      <c r="B2513" s="5" t="s">
        <v>6647</v>
      </c>
      <c r="C2513" s="5" t="s">
        <v>33</v>
      </c>
      <c r="D2513" s="5" t="s">
        <v>34</v>
      </c>
      <c r="E2513" s="5" t="s">
        <v>35</v>
      </c>
      <c r="F2513" s="9" t="s">
        <v>36</v>
      </c>
      <c r="G2513" s="9" t="s">
        <v>707</v>
      </c>
      <c r="H2513" s="5" t="s">
        <v>21</v>
      </c>
      <c r="I2513" s="5" t="s">
        <v>6648</v>
      </c>
      <c r="J2513" s="12" t="str">
        <f>HYPERLINK("https://www.boe.es/gazeta/dias/1808/04/22/pdfs/GMD-C-1808-38.pdf#page=42","Abrir facsímil")</f>
        <v>Abrir facsímil</v>
      </c>
      <c r="K2513" s="15" t="s">
        <v>23</v>
      </c>
    </row>
    <row r="2514" spans="1:11" ht="42" customHeight="1">
      <c r="A2514" s="4" t="s">
        <v>6649</v>
      </c>
      <c r="B2514" s="5" t="s">
        <v>6649</v>
      </c>
      <c r="C2514" s="5" t="s">
        <v>17</v>
      </c>
      <c r="D2514" s="5" t="s">
        <v>18</v>
      </c>
      <c r="E2514" s="5" t="s">
        <v>35</v>
      </c>
      <c r="F2514" s="9" t="s">
        <v>3452</v>
      </c>
      <c r="G2514" s="9">
        <v>400</v>
      </c>
      <c r="H2514" s="5" t="s">
        <v>21</v>
      </c>
      <c r="I2514" s="5" t="s">
        <v>6650</v>
      </c>
      <c r="J2514" s="12" t="str">
        <f>HYPERLINK("https://www.boe.es/gazeta/dias/1808/04/22/pdfs/GMD-1808-38.pdf#page=8","Abrir facsímil")</f>
        <v>Abrir facsímil</v>
      </c>
      <c r="K2514" s="15" t="s">
        <v>23</v>
      </c>
    </row>
    <row r="2515" spans="1:11" ht="42" customHeight="1">
      <c r="A2515" s="4" t="s">
        <v>6651</v>
      </c>
      <c r="B2515" s="5" t="s">
        <v>6651</v>
      </c>
      <c r="C2515" s="5" t="s">
        <v>101</v>
      </c>
      <c r="D2515" s="5" t="s">
        <v>102</v>
      </c>
      <c r="E2515" s="5" t="s">
        <v>1791</v>
      </c>
      <c r="F2515" s="9" t="s">
        <v>2814</v>
      </c>
      <c r="G2515" s="9">
        <v>928</v>
      </c>
      <c r="H2515" s="5" t="s">
        <v>21</v>
      </c>
      <c r="I2515" s="5" t="s">
        <v>6652</v>
      </c>
      <c r="J2515" s="12" t="str">
        <f>HYPERLINK("https://www.boe.es/gazeta/dias/1808/07/30/pdfs/GMD-1808-102.pdf#page=2","Abrir facsímil")</f>
        <v>Abrir facsímil</v>
      </c>
      <c r="K2515" s="15" t="s">
        <v>23</v>
      </c>
    </row>
    <row r="2516" spans="1:11" ht="42" customHeight="1">
      <c r="A2516" s="4" t="s">
        <v>6653</v>
      </c>
      <c r="B2516" s="5" t="s">
        <v>6653</v>
      </c>
      <c r="C2516" s="5" t="s">
        <v>94</v>
      </c>
      <c r="D2516" s="5" t="s">
        <v>95</v>
      </c>
      <c r="E2516" s="5" t="s">
        <v>6654</v>
      </c>
      <c r="F2516" s="9" t="s">
        <v>6655</v>
      </c>
      <c r="G2516" s="9">
        <v>1573</v>
      </c>
      <c r="H2516" s="5" t="s">
        <v>21</v>
      </c>
      <c r="I2516" s="5" t="s">
        <v>6656</v>
      </c>
      <c r="J2516" s="12" t="str">
        <f>HYPERLINK("https://www.boe.es/gazeta/dias/1808/12/12/pdfs/GMD-1808-152.pdf#page=1","Abrir facsímil")</f>
        <v>Abrir facsímil</v>
      </c>
      <c r="K2516" s="15" t="s">
        <v>23</v>
      </c>
    </row>
    <row r="2517" spans="1:11" ht="42" customHeight="1">
      <c r="A2517" s="4" t="s">
        <v>6657</v>
      </c>
      <c r="B2517" s="5" t="s">
        <v>6657</v>
      </c>
      <c r="C2517" s="5" t="s">
        <v>41</v>
      </c>
      <c r="D2517" s="5" t="s">
        <v>42</v>
      </c>
      <c r="E2517" s="5" t="s">
        <v>456</v>
      </c>
      <c r="F2517" s="9" t="s">
        <v>457</v>
      </c>
      <c r="G2517" s="9">
        <v>1292</v>
      </c>
      <c r="H2517" s="5" t="s">
        <v>21</v>
      </c>
      <c r="I2517" s="5" t="s">
        <v>6658</v>
      </c>
      <c r="J2517" s="12" t="str">
        <f>HYPERLINK("https://www.boe.es/gazeta/dias/1808/10/14/pdfs/GMD-1808-134.pdf#page=4","Abrir facsímil")</f>
        <v>Abrir facsímil</v>
      </c>
      <c r="K2517" s="15" t="s">
        <v>23</v>
      </c>
    </row>
    <row r="2518" spans="1:11" ht="42" customHeight="1">
      <c r="A2518" s="4" t="s">
        <v>6659</v>
      </c>
      <c r="B2518" s="5" t="s">
        <v>6659</v>
      </c>
      <c r="C2518" s="5" t="s">
        <v>94</v>
      </c>
      <c r="D2518" s="5" t="s">
        <v>95</v>
      </c>
      <c r="E2518" s="5" t="s">
        <v>1484</v>
      </c>
      <c r="F2518" s="9" t="s">
        <v>1485</v>
      </c>
      <c r="G2518" s="9">
        <v>673</v>
      </c>
      <c r="H2518" s="5" t="s">
        <v>21</v>
      </c>
      <c r="I2518" s="5" t="s">
        <v>6660</v>
      </c>
      <c r="J2518" s="12" t="str">
        <f>HYPERLINK("https://www.boe.es/gazeta/dias/1808/06/28/pdfs/GMD-1808-70.pdf#page=3","Abrir facsímil")</f>
        <v>Abrir facsímil</v>
      </c>
      <c r="K2518" s="15" t="s">
        <v>23</v>
      </c>
    </row>
    <row r="2519" spans="1:11" ht="42" customHeight="1">
      <c r="A2519" s="4" t="s">
        <v>6661</v>
      </c>
      <c r="B2519" s="5" t="s">
        <v>6662</v>
      </c>
      <c r="C2519" s="5" t="s">
        <v>17</v>
      </c>
      <c r="D2519" s="5" t="s">
        <v>18</v>
      </c>
      <c r="E2519" s="5" t="s">
        <v>54</v>
      </c>
      <c r="F2519" s="9" t="s">
        <v>6663</v>
      </c>
      <c r="G2519" s="9">
        <v>206</v>
      </c>
      <c r="H2519" s="5" t="s">
        <v>21</v>
      </c>
      <c r="I2519" s="5" t="s">
        <v>6664</v>
      </c>
      <c r="J2519" s="12" t="str">
        <f>HYPERLINK("https://www.boe.es/gazeta/dias/1808/08/26/pdfs/GMS-1808-26.pdf#page=6","Abrir facsímil")</f>
        <v>Abrir facsímil</v>
      </c>
      <c r="K2519" s="15" t="s">
        <v>23</v>
      </c>
    </row>
    <row r="2520" spans="1:11" ht="42" customHeight="1">
      <c r="A2520" s="4" t="s">
        <v>6665</v>
      </c>
      <c r="B2520" s="5" t="s">
        <v>6666</v>
      </c>
      <c r="C2520" s="5" t="s">
        <v>260</v>
      </c>
      <c r="D2520" s="5" t="s">
        <v>42</v>
      </c>
      <c r="E2520" s="5" t="s">
        <v>96</v>
      </c>
      <c r="F2520" s="9" t="s">
        <v>97</v>
      </c>
      <c r="G2520" s="9">
        <v>266</v>
      </c>
      <c r="H2520" s="5" t="s">
        <v>21</v>
      </c>
      <c r="I2520" s="5" t="s">
        <v>6667</v>
      </c>
      <c r="J2520" s="12" t="str">
        <f>HYPERLINK("https://www.boe.es/gazeta/dias/1808/03/15/pdfs/GMD-1808-22.pdf#page=8","Abrir facsímil")</f>
        <v>Abrir facsímil</v>
      </c>
      <c r="K2520" s="15" t="s">
        <v>23</v>
      </c>
    </row>
    <row r="2521" spans="1:11" ht="42" customHeight="1">
      <c r="A2521" s="4" t="s">
        <v>6668</v>
      </c>
      <c r="B2521" s="5" t="s">
        <v>6669</v>
      </c>
      <c r="C2521" s="5" t="s">
        <v>94</v>
      </c>
      <c r="D2521" s="5" t="s">
        <v>95</v>
      </c>
      <c r="E2521" s="5" t="s">
        <v>877</v>
      </c>
      <c r="F2521" s="9" t="s">
        <v>878</v>
      </c>
      <c r="G2521" s="9">
        <v>118</v>
      </c>
      <c r="H2521" s="5" t="s">
        <v>21</v>
      </c>
      <c r="I2521" s="5" t="s">
        <v>6670</v>
      </c>
      <c r="J2521" s="12" t="str">
        <f>HYPERLINK("https://www.boe.es/gazeta/dias/1808/02/02/pdfs/GMD-1808-10.pdf#page=10","Abrir facsímil")</f>
        <v>Abrir facsímil</v>
      </c>
      <c r="K2521" s="15" t="s">
        <v>23</v>
      </c>
    </row>
    <row r="2522" spans="1:11" ht="42" customHeight="1">
      <c r="A2522" s="4" t="s">
        <v>6671</v>
      </c>
      <c r="B2522" s="5" t="s">
        <v>6672</v>
      </c>
      <c r="C2522" s="5" t="s">
        <v>33</v>
      </c>
      <c r="D2522" s="5" t="s">
        <v>34</v>
      </c>
      <c r="E2522" s="5" t="s">
        <v>125</v>
      </c>
      <c r="F2522" s="9" t="s">
        <v>126</v>
      </c>
      <c r="G2522" s="9" t="s">
        <v>199</v>
      </c>
      <c r="H2522" s="5" t="s">
        <v>21</v>
      </c>
      <c r="I2522" s="5" t="s">
        <v>6673</v>
      </c>
      <c r="J2522" s="12" t="str">
        <f>HYPERLINK("https://www.boe.es/gazeta/dias/1808/10/07/pdfs/GMD-C-1808-132.pdf#page=2","Abrir facsímil")</f>
        <v>Abrir facsímil</v>
      </c>
      <c r="K2522" s="15" t="s">
        <v>23</v>
      </c>
    </row>
    <row r="2523" spans="1:11" ht="42" customHeight="1">
      <c r="A2523" s="4" t="s">
        <v>6674</v>
      </c>
      <c r="B2523" s="5" t="s">
        <v>6675</v>
      </c>
      <c r="C2523" s="5" t="s">
        <v>94</v>
      </c>
      <c r="D2523" s="5" t="s">
        <v>95</v>
      </c>
      <c r="E2523" s="5" t="s">
        <v>1085</v>
      </c>
      <c r="F2523" s="9" t="s">
        <v>1086</v>
      </c>
      <c r="G2523" s="9">
        <v>104</v>
      </c>
      <c r="H2523" s="5" t="s">
        <v>21</v>
      </c>
      <c r="I2523" s="5" t="s">
        <v>6676</v>
      </c>
      <c r="J2523" s="12" t="str">
        <f>HYPERLINK("https://www.boe.es/gazeta/dias/1808/01/29/pdfs/GMD-1808-9.pdf#page=8","Abrir facsímil")</f>
        <v>Abrir facsímil</v>
      </c>
      <c r="K2523" s="15" t="s">
        <v>23</v>
      </c>
    </row>
    <row r="2524" spans="1:11" ht="42" customHeight="1">
      <c r="A2524" s="4" t="s">
        <v>6677</v>
      </c>
      <c r="B2524" s="5" t="s">
        <v>6678</v>
      </c>
      <c r="C2524" s="5" t="s">
        <v>33</v>
      </c>
      <c r="D2524" s="5" t="s">
        <v>34</v>
      </c>
      <c r="E2524" s="5" t="s">
        <v>461</v>
      </c>
      <c r="F2524" s="9" t="s">
        <v>1404</v>
      </c>
      <c r="G2524" s="9">
        <v>1454</v>
      </c>
      <c r="H2524" s="5" t="s">
        <v>21</v>
      </c>
      <c r="I2524" s="5" t="s">
        <v>6679</v>
      </c>
      <c r="J2524" s="12" t="str">
        <f>HYPERLINK("https://www.boe.es/gazeta/dias/1808/11/08/pdfs/GMD-C-1808-142.pdf#page=4","Abrir facsímil")</f>
        <v>Abrir facsímil</v>
      </c>
      <c r="K2524" s="15" t="s">
        <v>23</v>
      </c>
    </row>
    <row r="2525" spans="1:11" ht="42" customHeight="1">
      <c r="A2525" s="4" t="s">
        <v>6680</v>
      </c>
      <c r="B2525" s="5" t="s">
        <v>6681</v>
      </c>
      <c r="C2525" s="5" t="s">
        <v>33</v>
      </c>
      <c r="D2525" s="5" t="s">
        <v>34</v>
      </c>
      <c r="E2525" s="5" t="s">
        <v>89</v>
      </c>
      <c r="F2525" s="9" t="s">
        <v>563</v>
      </c>
      <c r="G2525" s="9" t="s">
        <v>106</v>
      </c>
      <c r="H2525" s="5" t="s">
        <v>21</v>
      </c>
      <c r="I2525" s="5" t="s">
        <v>6682</v>
      </c>
      <c r="J2525" s="12" t="str">
        <f>HYPERLINK("https://www.boe.es/gazeta/dias/1808/10/25/pdfs/GMD-D-1808-137.pdf#page=3","Abrir facsímil")</f>
        <v>Abrir facsímil</v>
      </c>
      <c r="K2525" s="15" t="s">
        <v>23</v>
      </c>
    </row>
    <row r="2526" spans="1:11" ht="42" customHeight="1">
      <c r="A2526" s="4" t="s">
        <v>6683</v>
      </c>
      <c r="B2526" s="5" t="s">
        <v>6684</v>
      </c>
      <c r="C2526" s="5" t="s">
        <v>41</v>
      </c>
      <c r="D2526" s="5" t="s">
        <v>42</v>
      </c>
      <c r="E2526" s="5" t="s">
        <v>180</v>
      </c>
      <c r="F2526" s="9" t="s">
        <v>768</v>
      </c>
      <c r="G2526" s="9" t="s">
        <v>199</v>
      </c>
      <c r="H2526" s="5" t="s">
        <v>21</v>
      </c>
      <c r="I2526" s="5" t="s">
        <v>6685</v>
      </c>
      <c r="J2526" s="12" t="str">
        <f>HYPERLINK("https://www.boe.es/gazeta/dias/1808/11/15/pdfs/GMD-D-1808-144.pdf#page=2","Abrir facsímil")</f>
        <v>Abrir facsímil</v>
      </c>
      <c r="K2526" s="15" t="s">
        <v>23</v>
      </c>
    </row>
    <row r="2527" spans="1:11" ht="42" customHeight="1">
      <c r="A2527" s="4" t="s">
        <v>6686</v>
      </c>
      <c r="B2527" s="5" t="s">
        <v>6687</v>
      </c>
      <c r="C2527" s="5" t="s">
        <v>41</v>
      </c>
      <c r="D2527" s="5" t="s">
        <v>42</v>
      </c>
      <c r="E2527" s="5" t="s">
        <v>572</v>
      </c>
      <c r="F2527" s="9" t="s">
        <v>573</v>
      </c>
      <c r="G2527" s="9">
        <v>22</v>
      </c>
      <c r="H2527" s="5" t="s">
        <v>21</v>
      </c>
      <c r="I2527" s="5" t="s">
        <v>6688</v>
      </c>
      <c r="J2527" s="12" t="str">
        <f>HYPERLINK("https://www.boe.es/gazeta/dias/1808/01/05/pdfs/GMD-1808-2.pdf#page=10","Abrir facsímil")</f>
        <v>Abrir facsímil</v>
      </c>
      <c r="K2527" s="15" t="s">
        <v>23</v>
      </c>
    </row>
    <row r="2528" spans="1:11" ht="42" customHeight="1">
      <c r="A2528" s="4" t="s">
        <v>6689</v>
      </c>
      <c r="B2528" s="5" t="s">
        <v>6690</v>
      </c>
      <c r="C2528" s="5" t="s">
        <v>94</v>
      </c>
      <c r="D2528" s="5" t="s">
        <v>95</v>
      </c>
      <c r="E2528" s="5" t="s">
        <v>991</v>
      </c>
      <c r="F2528" s="9" t="s">
        <v>992</v>
      </c>
      <c r="G2528" s="9">
        <v>219</v>
      </c>
      <c r="H2528" s="5" t="s">
        <v>21</v>
      </c>
      <c r="I2528" s="5" t="s">
        <v>6691</v>
      </c>
      <c r="J2528" s="12" t="str">
        <f>HYPERLINK("https://www.boe.es/gazeta/dias/1808/03/01/pdfs/GMD-1808-18.pdf#page=9","Abrir facsímil")</f>
        <v>Abrir facsímil</v>
      </c>
      <c r="K2528" s="15" t="s">
        <v>23</v>
      </c>
    </row>
    <row r="2529" spans="1:11" ht="42" customHeight="1">
      <c r="A2529" s="4" t="s">
        <v>6686</v>
      </c>
      <c r="B2529" s="5" t="s">
        <v>6687</v>
      </c>
      <c r="C2529" s="5" t="s">
        <v>41</v>
      </c>
      <c r="D2529" s="5" t="s">
        <v>42</v>
      </c>
      <c r="E2529" s="5" t="s">
        <v>513</v>
      </c>
      <c r="F2529" s="9" t="s">
        <v>514</v>
      </c>
      <c r="G2529" s="9">
        <v>287</v>
      </c>
      <c r="H2529" s="5" t="s">
        <v>21</v>
      </c>
      <c r="I2529" s="5" t="s">
        <v>6692</v>
      </c>
      <c r="J2529" s="12" t="str">
        <f>HYPERLINK("https://www.boe.es/gazeta/dias/1808/03/22/pdfs/GMD-1808-24.pdf#page=9","Abrir facsímil")</f>
        <v>Abrir facsímil</v>
      </c>
      <c r="K2529" s="15" t="s">
        <v>23</v>
      </c>
    </row>
    <row r="2530" spans="1:11" ht="42" customHeight="1">
      <c r="A2530" s="4" t="s">
        <v>6686</v>
      </c>
      <c r="B2530" s="5" t="s">
        <v>6687</v>
      </c>
      <c r="C2530" s="5" t="s">
        <v>41</v>
      </c>
      <c r="D2530" s="5" t="s">
        <v>42</v>
      </c>
      <c r="E2530" s="5" t="s">
        <v>35</v>
      </c>
      <c r="F2530" s="9" t="s">
        <v>3452</v>
      </c>
      <c r="G2530" s="9">
        <v>402</v>
      </c>
      <c r="H2530" s="5" t="s">
        <v>21</v>
      </c>
      <c r="I2530" s="5" t="s">
        <v>6693</v>
      </c>
      <c r="J2530" s="12" t="str">
        <f>HYPERLINK("https://www.boe.es/gazeta/dias/1808/04/22/pdfs/GMD-1808-38.pdf#page=10","Abrir facsímil")</f>
        <v>Abrir facsímil</v>
      </c>
      <c r="K2530" s="15" t="s">
        <v>23</v>
      </c>
    </row>
    <row r="2531" spans="1:11" ht="42" customHeight="1">
      <c r="A2531" s="4" t="s">
        <v>6686</v>
      </c>
      <c r="B2531" s="5" t="s">
        <v>6687</v>
      </c>
      <c r="C2531" s="5" t="s">
        <v>41</v>
      </c>
      <c r="D2531" s="5" t="s">
        <v>42</v>
      </c>
      <c r="E2531" s="5" t="s">
        <v>1896</v>
      </c>
      <c r="F2531" s="9" t="s">
        <v>1897</v>
      </c>
      <c r="G2531" s="9">
        <v>781</v>
      </c>
      <c r="H2531" s="5" t="s">
        <v>21</v>
      </c>
      <c r="I2531" s="5" t="s">
        <v>6694</v>
      </c>
      <c r="J2531" s="12" t="str">
        <f>HYPERLINK("https://www.boe.es/gazeta/dias/1808/07/11/pdfs/GMD-1808-83.pdf#page=7","Abrir facsímil")</f>
        <v>Abrir facsímil</v>
      </c>
      <c r="K2531" s="15" t="s">
        <v>23</v>
      </c>
    </row>
    <row r="2532" spans="1:11" ht="42" customHeight="1">
      <c r="A2532" s="4" t="s">
        <v>6695</v>
      </c>
      <c r="B2532" s="5" t="s">
        <v>6696</v>
      </c>
      <c r="C2532" s="5" t="s">
        <v>41</v>
      </c>
      <c r="D2532" s="5" t="s">
        <v>42</v>
      </c>
      <c r="E2532" s="5" t="s">
        <v>73</v>
      </c>
      <c r="F2532" s="9" t="s">
        <v>581</v>
      </c>
      <c r="G2532" s="9">
        <v>1469</v>
      </c>
      <c r="H2532" s="5" t="s">
        <v>21</v>
      </c>
      <c r="I2532" s="5" t="s">
        <v>6697</v>
      </c>
      <c r="J2532" s="12" t="str">
        <f>HYPERLINK("https://www.boe.es/gazeta/dias/1808/11/11/pdfs/GMD-1808-143.pdf#page=11","Abrir facsímil")</f>
        <v>Abrir facsímil</v>
      </c>
      <c r="K2532" s="15" t="s">
        <v>23</v>
      </c>
    </row>
    <row r="2533" spans="1:11" ht="42" customHeight="1">
      <c r="A2533" s="4" t="s">
        <v>6698</v>
      </c>
      <c r="B2533" s="5" t="s">
        <v>6699</v>
      </c>
      <c r="C2533" s="5" t="s">
        <v>41</v>
      </c>
      <c r="D2533" s="5" t="s">
        <v>42</v>
      </c>
      <c r="E2533" s="5" t="s">
        <v>663</v>
      </c>
      <c r="F2533" s="9" t="s">
        <v>664</v>
      </c>
      <c r="G2533" s="9">
        <v>210</v>
      </c>
      <c r="H2533" s="5" t="s">
        <v>21</v>
      </c>
      <c r="I2533" s="5" t="s">
        <v>6700</v>
      </c>
      <c r="J2533" s="12" t="str">
        <f>HYPERLINK("https://www.boe.es/gazeta/dias/1808/02/26/pdfs/GMD-1808-17.pdf#page=12","Abrir facsímil")</f>
        <v>Abrir facsímil</v>
      </c>
      <c r="K2533" s="15" t="s">
        <v>23</v>
      </c>
    </row>
    <row r="2534" spans="1:11" ht="42" customHeight="1">
      <c r="A2534" s="4" t="s">
        <v>6701</v>
      </c>
      <c r="B2534" s="5" t="s">
        <v>6702</v>
      </c>
      <c r="C2534" s="5" t="s">
        <v>94</v>
      </c>
      <c r="D2534" s="5" t="s">
        <v>95</v>
      </c>
      <c r="E2534" s="5" t="s">
        <v>269</v>
      </c>
      <c r="F2534" s="9" t="s">
        <v>270</v>
      </c>
      <c r="G2534" s="9">
        <v>69</v>
      </c>
      <c r="H2534" s="5" t="s">
        <v>21</v>
      </c>
      <c r="I2534" s="5" t="s">
        <v>6703</v>
      </c>
      <c r="J2534" s="12" t="str">
        <f>HYPERLINK("https://www.boe.es/gazeta/dias/1808/01/19/pdfs/GMD-1808-6.pdf#page=9","Abrir facsímil")</f>
        <v>Abrir facsímil</v>
      </c>
      <c r="K2534" s="15" t="s">
        <v>23</v>
      </c>
    </row>
    <row r="2535" spans="1:11" ht="42" customHeight="1">
      <c r="A2535" s="4" t="s">
        <v>6704</v>
      </c>
      <c r="B2535" s="5" t="s">
        <v>6705</v>
      </c>
      <c r="C2535" s="5" t="s">
        <v>33</v>
      </c>
      <c r="D2535" s="5" t="s">
        <v>34</v>
      </c>
      <c r="E2535" s="5" t="s">
        <v>180</v>
      </c>
      <c r="F2535" s="9" t="s">
        <v>768</v>
      </c>
      <c r="G2535" s="9" t="s">
        <v>117</v>
      </c>
      <c r="H2535" s="5" t="s">
        <v>21</v>
      </c>
      <c r="I2535" s="5" t="s">
        <v>6706</v>
      </c>
      <c r="J2535" s="12" t="str">
        <f>HYPERLINK("https://www.boe.es/gazeta/dias/1808/11/15/pdfs/GMD-D-1808-144.pdf#page=1","Abrir facsímil")</f>
        <v>Abrir facsímil</v>
      </c>
      <c r="K2535" s="15" t="s">
        <v>23</v>
      </c>
    </row>
    <row r="2536" spans="1:11" ht="42" customHeight="1">
      <c r="A2536" s="4" t="s">
        <v>6707</v>
      </c>
      <c r="B2536" s="5" t="s">
        <v>6708</v>
      </c>
      <c r="C2536" s="5" t="s">
        <v>41</v>
      </c>
      <c r="D2536" s="5" t="s">
        <v>42</v>
      </c>
      <c r="E2536" s="5" t="s">
        <v>210</v>
      </c>
      <c r="F2536" s="9" t="s">
        <v>211</v>
      </c>
      <c r="G2536" s="9">
        <v>255</v>
      </c>
      <c r="H2536" s="5" t="s">
        <v>21</v>
      </c>
      <c r="I2536" s="5" t="s">
        <v>6709</v>
      </c>
      <c r="J2536" s="12" t="str">
        <f>HYPERLINK("https://www.boe.es/gazeta/dias/1808/03/11/pdfs/GMD-1808-21.pdf#page=9","Abrir facsímil")</f>
        <v>Abrir facsímil</v>
      </c>
      <c r="K2536" s="15" t="s">
        <v>23</v>
      </c>
    </row>
    <row r="2537" spans="1:11" ht="42" customHeight="1">
      <c r="A2537" s="4" t="s">
        <v>6710</v>
      </c>
      <c r="B2537" s="5" t="s">
        <v>6711</v>
      </c>
      <c r="C2537" s="5" t="s">
        <v>94</v>
      </c>
      <c r="D2537" s="5" t="s">
        <v>95</v>
      </c>
      <c r="E2537" s="5" t="s">
        <v>203</v>
      </c>
      <c r="F2537" s="9" t="s">
        <v>204</v>
      </c>
      <c r="G2537" s="9">
        <v>141</v>
      </c>
      <c r="H2537" s="5" t="s">
        <v>21</v>
      </c>
      <c r="I2537" s="5" t="s">
        <v>6712</v>
      </c>
      <c r="J2537" s="12" t="str">
        <f>HYPERLINK("https://www.boe.es/gazeta/dias/1808/02/09/pdfs/GMD-1808-12.pdf#page=9","Abrir facsímil")</f>
        <v>Abrir facsímil</v>
      </c>
      <c r="K2537" s="15" t="s">
        <v>23</v>
      </c>
    </row>
    <row r="2538" spans="1:11" ht="42" customHeight="1">
      <c r="A2538" s="4" t="s">
        <v>6713</v>
      </c>
      <c r="B2538" s="5" t="s">
        <v>6714</v>
      </c>
      <c r="C2538" s="5" t="s">
        <v>94</v>
      </c>
      <c r="D2538" s="5" t="s">
        <v>95</v>
      </c>
      <c r="E2538" s="5" t="s">
        <v>215</v>
      </c>
      <c r="F2538" s="9" t="s">
        <v>216</v>
      </c>
      <c r="G2538" s="9">
        <v>300</v>
      </c>
      <c r="H2538" s="5" t="s">
        <v>21</v>
      </c>
      <c r="I2538" s="5" t="s">
        <v>6715</v>
      </c>
      <c r="J2538" s="12" t="str">
        <f>HYPERLINK("https://www.boe.es/gazeta/dias/1808/03/25/pdfs/GMD-1808-25.pdf#page=10","Abrir facsímil")</f>
        <v>Abrir facsímil</v>
      </c>
      <c r="K2538" s="15" t="s">
        <v>23</v>
      </c>
    </row>
    <row r="2539" spans="1:11" ht="42" customHeight="1">
      <c r="A2539" s="4" t="s">
        <v>6716</v>
      </c>
      <c r="B2539" s="5" t="s">
        <v>6716</v>
      </c>
      <c r="C2539" s="5" t="s">
        <v>17</v>
      </c>
      <c r="D2539" s="5" t="s">
        <v>18</v>
      </c>
      <c r="E2539" s="5" t="s">
        <v>269</v>
      </c>
      <c r="F2539" s="9" t="s">
        <v>270</v>
      </c>
      <c r="G2539" s="9">
        <v>63</v>
      </c>
      <c r="H2539" s="5" t="s">
        <v>21</v>
      </c>
      <c r="I2539" s="5" t="s">
        <v>6717</v>
      </c>
      <c r="J2539" s="12" t="str">
        <f>HYPERLINK("https://www.boe.es/gazeta/dias/1808/01/19/pdfs/GMD-1808-6.pdf#page=3","Abrir facsímil")</f>
        <v>Abrir facsímil</v>
      </c>
      <c r="K2539" s="15" t="s">
        <v>23</v>
      </c>
    </row>
    <row r="2540" spans="1:11" ht="42" customHeight="1">
      <c r="A2540" s="4" t="s">
        <v>6718</v>
      </c>
      <c r="B2540" s="5" t="s">
        <v>6719</v>
      </c>
      <c r="C2540" s="5" t="s">
        <v>33</v>
      </c>
      <c r="D2540" s="5" t="s">
        <v>34</v>
      </c>
      <c r="E2540" s="5" t="s">
        <v>35</v>
      </c>
      <c r="F2540" s="9" t="s">
        <v>36</v>
      </c>
      <c r="G2540" s="9" t="s">
        <v>924</v>
      </c>
      <c r="H2540" s="5" t="s">
        <v>21</v>
      </c>
      <c r="I2540" s="5" t="s">
        <v>6720</v>
      </c>
      <c r="J2540" s="12" t="str">
        <f>HYPERLINK("https://www.boe.es/gazeta/dias/1808/04/22/pdfs/GMD-C-1808-38.pdf#page=27","Abrir facsímil")</f>
        <v>Abrir facsímil</v>
      </c>
      <c r="K2540" s="15" t="s">
        <v>23</v>
      </c>
    </row>
    <row r="2541" spans="1:11" ht="42" customHeight="1">
      <c r="A2541" s="4" t="s">
        <v>6721</v>
      </c>
      <c r="B2541" s="5" t="s">
        <v>6721</v>
      </c>
      <c r="C2541" s="5" t="s">
        <v>17</v>
      </c>
      <c r="D2541" s="5" t="s">
        <v>18</v>
      </c>
      <c r="E2541" s="5" t="s">
        <v>61</v>
      </c>
      <c r="F2541" s="9" t="s">
        <v>62</v>
      </c>
      <c r="G2541" s="9">
        <v>1285</v>
      </c>
      <c r="H2541" s="5" t="s">
        <v>21</v>
      </c>
      <c r="I2541" s="5" t="s">
        <v>6722</v>
      </c>
      <c r="J2541" s="12" t="str">
        <f>HYPERLINK("https://www.boe.es/gazeta/dias/1808/10/11/pdfs/GMD-1808-133.pdf#page=13","Abrir facsímil")</f>
        <v>Abrir facsímil</v>
      </c>
      <c r="K2541" s="15" t="s">
        <v>23</v>
      </c>
    </row>
    <row r="2542" spans="1:11" ht="42" customHeight="1">
      <c r="A2542" s="4" t="s">
        <v>6723</v>
      </c>
      <c r="B2542" s="5" t="s">
        <v>6723</v>
      </c>
      <c r="C2542" s="5" t="s">
        <v>94</v>
      </c>
      <c r="D2542" s="5" t="s">
        <v>95</v>
      </c>
      <c r="E2542" s="5" t="s">
        <v>2159</v>
      </c>
      <c r="F2542" s="9" t="s">
        <v>2160</v>
      </c>
      <c r="G2542" s="9">
        <v>184</v>
      </c>
      <c r="H2542" s="5" t="s">
        <v>21</v>
      </c>
      <c r="I2542" s="5" t="s">
        <v>6724</v>
      </c>
      <c r="J2542" s="12" t="str">
        <f>HYPERLINK("https://www.boe.es/gazeta/dias/1808/02/19/pdfs/GMD-1808-15.pdf#page=14","Abrir facsímil")</f>
        <v>Abrir facsímil</v>
      </c>
      <c r="K2542" s="15" t="s">
        <v>23</v>
      </c>
    </row>
    <row r="2543" spans="1:11" ht="42" customHeight="1">
      <c r="A2543" s="4" t="s">
        <v>6725</v>
      </c>
      <c r="B2543" s="5" t="s">
        <v>6726</v>
      </c>
      <c r="C2543" s="5" t="s">
        <v>33</v>
      </c>
      <c r="D2543" s="5" t="s">
        <v>34</v>
      </c>
      <c r="E2543" s="5" t="s">
        <v>65</v>
      </c>
      <c r="F2543" s="9" t="s">
        <v>691</v>
      </c>
      <c r="G2543" s="9">
        <v>1319</v>
      </c>
      <c r="H2543" s="5" t="s">
        <v>21</v>
      </c>
      <c r="I2543" s="5" t="s">
        <v>6727</v>
      </c>
      <c r="J2543" s="12" t="str">
        <f>HYPERLINK("https://www.boe.es/gazeta/dias/1808/10/18/pdfs/GMD-C-1808-135.pdf#page=3","Abrir facsímil")</f>
        <v>Abrir facsímil</v>
      </c>
      <c r="K2543" s="15" t="s">
        <v>23</v>
      </c>
    </row>
    <row r="2544" spans="1:11" ht="42" customHeight="1">
      <c r="A2544" s="4" t="s">
        <v>6728</v>
      </c>
      <c r="B2544" s="5" t="s">
        <v>6729</v>
      </c>
      <c r="C2544" s="5" t="s">
        <v>94</v>
      </c>
      <c r="D2544" s="5" t="s">
        <v>95</v>
      </c>
      <c r="E2544" s="5" t="s">
        <v>210</v>
      </c>
      <c r="F2544" s="9" t="s">
        <v>211</v>
      </c>
      <c r="G2544" s="9">
        <v>253</v>
      </c>
      <c r="H2544" s="5" t="s">
        <v>21</v>
      </c>
      <c r="I2544" s="5" t="s">
        <v>6730</v>
      </c>
      <c r="J2544" s="12" t="str">
        <f>HYPERLINK("https://www.boe.es/gazeta/dias/1808/03/11/pdfs/GMD-1808-21.pdf#page=7","Abrir facsímil")</f>
        <v>Abrir facsímil</v>
      </c>
      <c r="K2544" s="15" t="s">
        <v>23</v>
      </c>
    </row>
    <row r="2545" spans="1:11" ht="42" customHeight="1">
      <c r="A2545" s="4" t="s">
        <v>6731</v>
      </c>
      <c r="B2545" s="5" t="s">
        <v>6732</v>
      </c>
      <c r="C2545" s="5" t="s">
        <v>33</v>
      </c>
      <c r="D2545" s="5" t="s">
        <v>34</v>
      </c>
      <c r="E2545" s="5" t="s">
        <v>139</v>
      </c>
      <c r="F2545" s="9" t="s">
        <v>1089</v>
      </c>
      <c r="G2545" s="9" t="s">
        <v>199</v>
      </c>
      <c r="H2545" s="5" t="s">
        <v>21</v>
      </c>
      <c r="I2545" s="5" t="s">
        <v>6733</v>
      </c>
      <c r="J2545" s="12" t="str">
        <f>HYPERLINK("https://www.boe.es/gazeta/dias/1808/09/23/pdfs/GMD-C-1808-127.pdf#page=2","Abrir facsímil")</f>
        <v>Abrir facsímil</v>
      </c>
      <c r="K2545" s="15" t="s">
        <v>23</v>
      </c>
    </row>
    <row r="2546" spans="1:11" ht="42" customHeight="1">
      <c r="A2546" s="4" t="s">
        <v>6734</v>
      </c>
      <c r="B2546" s="5" t="s">
        <v>6734</v>
      </c>
      <c r="C2546" s="5" t="s">
        <v>94</v>
      </c>
      <c r="D2546" s="5" t="s">
        <v>95</v>
      </c>
      <c r="E2546" s="5" t="s">
        <v>96</v>
      </c>
      <c r="F2546" s="9" t="s">
        <v>97</v>
      </c>
      <c r="G2546" s="9">
        <v>266</v>
      </c>
      <c r="H2546" s="5" t="s">
        <v>21</v>
      </c>
      <c r="I2546" s="5" t="s">
        <v>6735</v>
      </c>
      <c r="J2546" s="12" t="str">
        <f>HYPERLINK("https://www.boe.es/gazeta/dias/1808/03/15/pdfs/GMD-1808-22.pdf#page=8","Abrir facsímil")</f>
        <v>Abrir facsímil</v>
      </c>
      <c r="K2546" s="15" t="s">
        <v>23</v>
      </c>
    </row>
    <row r="2547" spans="1:11" ht="42" customHeight="1">
      <c r="A2547" s="4" t="s">
        <v>6736</v>
      </c>
      <c r="B2547" s="5" t="s">
        <v>6737</v>
      </c>
      <c r="C2547" s="5" t="s">
        <v>41</v>
      </c>
      <c r="D2547" s="5" t="s">
        <v>42</v>
      </c>
      <c r="E2547" s="5" t="s">
        <v>110</v>
      </c>
      <c r="F2547" s="9" t="s">
        <v>828</v>
      </c>
      <c r="G2547" s="9" t="s">
        <v>199</v>
      </c>
      <c r="H2547" s="5" t="s">
        <v>21</v>
      </c>
      <c r="I2547" s="5" t="s">
        <v>6738</v>
      </c>
      <c r="J2547" s="12" t="str">
        <f>HYPERLINK("https://www.boe.es/gazeta/dias/1808/10/28/pdfs/GMD-D-1808-138.pdf#page=2","Abrir facsímil")</f>
        <v>Abrir facsímil</v>
      </c>
      <c r="K2547" s="15" t="s">
        <v>23</v>
      </c>
    </row>
    <row r="2548" spans="1:11" ht="42" customHeight="1">
      <c r="A2548" s="4" t="s">
        <v>6739</v>
      </c>
      <c r="B2548" s="5" t="s">
        <v>6740</v>
      </c>
      <c r="C2548" s="5" t="s">
        <v>17</v>
      </c>
      <c r="D2548" s="5" t="s">
        <v>18</v>
      </c>
      <c r="E2548" s="5" t="s">
        <v>238</v>
      </c>
      <c r="F2548" s="9" t="s">
        <v>239</v>
      </c>
      <c r="G2548" s="9">
        <v>35</v>
      </c>
      <c r="H2548" s="5" t="s">
        <v>21</v>
      </c>
      <c r="I2548" s="5" t="s">
        <v>6741</v>
      </c>
      <c r="J2548" s="12" t="str">
        <f>HYPERLINK("https://www.boe.es/gazeta/dias/1808/01/08/pdfs/GMD-1808-3.pdf#page=11","Abrir facsímil")</f>
        <v>Abrir facsímil</v>
      </c>
      <c r="K2548" s="15" t="s">
        <v>23</v>
      </c>
    </row>
    <row r="2549" spans="1:11" ht="42" customHeight="1">
      <c r="A2549" s="4" t="s">
        <v>6742</v>
      </c>
      <c r="B2549" s="5" t="s">
        <v>6743</v>
      </c>
      <c r="C2549" s="5" t="s">
        <v>41</v>
      </c>
      <c r="D2549" s="5" t="s">
        <v>42</v>
      </c>
      <c r="E2549" s="5" t="s">
        <v>139</v>
      </c>
      <c r="F2549" s="9" t="s">
        <v>3587</v>
      </c>
      <c r="G2549" s="9">
        <v>272</v>
      </c>
      <c r="H2549" s="5" t="s">
        <v>21</v>
      </c>
      <c r="I2549" s="5" t="s">
        <v>6744</v>
      </c>
      <c r="J2549" s="12" t="str">
        <f>HYPERLINK("https://www.boe.es/gazeta/dias/1808/09/23/pdfs/GMS-1808-34.pdf#page=8","Abrir facsímil")</f>
        <v>Abrir facsímil</v>
      </c>
      <c r="K2549" s="15" t="s">
        <v>23</v>
      </c>
    </row>
    <row r="2550" spans="1:11" ht="42" customHeight="1">
      <c r="A2550" s="4" t="s">
        <v>6745</v>
      </c>
      <c r="B2550" s="5" t="s">
        <v>6746</v>
      </c>
      <c r="C2550" s="5" t="s">
        <v>33</v>
      </c>
      <c r="D2550" s="5" t="s">
        <v>34</v>
      </c>
      <c r="E2550" s="5" t="s">
        <v>19</v>
      </c>
      <c r="F2550" s="9" t="s">
        <v>949</v>
      </c>
      <c r="G2550" s="9" t="s">
        <v>75</v>
      </c>
      <c r="H2550" s="5" t="s">
        <v>21</v>
      </c>
      <c r="I2550" s="5" t="s">
        <v>6747</v>
      </c>
      <c r="J2550" s="12" t="str">
        <f>HYPERLINK("https://www.boe.es/gazeta/dias/1808/09/30/pdfs/GMD-C-1808-130.pdf#page=4","Abrir facsímil")</f>
        <v>Abrir facsímil</v>
      </c>
      <c r="K2550" s="15" t="s">
        <v>23</v>
      </c>
    </row>
    <row r="2551" spans="1:11" ht="42" customHeight="1">
      <c r="A2551" s="4" t="s">
        <v>6748</v>
      </c>
      <c r="B2551" s="5" t="s">
        <v>6749</v>
      </c>
      <c r="C2551" s="5" t="s">
        <v>41</v>
      </c>
      <c r="D2551" s="5" t="s">
        <v>42</v>
      </c>
      <c r="E2551" s="5" t="s">
        <v>28</v>
      </c>
      <c r="F2551" s="9" t="s">
        <v>29</v>
      </c>
      <c r="G2551" s="9">
        <v>1429</v>
      </c>
      <c r="H2551" s="5" t="s">
        <v>21</v>
      </c>
      <c r="I2551" s="5" t="s">
        <v>6750</v>
      </c>
      <c r="J2551" s="12" t="str">
        <f>HYPERLINK("https://www.boe.es/gazeta/dias/1808/11/04/pdfs/GMD-1808-141.pdf#page=11","Abrir facsímil")</f>
        <v>Abrir facsímil</v>
      </c>
      <c r="K2551" s="15" t="s">
        <v>23</v>
      </c>
    </row>
    <row r="2552" spans="1:11" ht="42" customHeight="1">
      <c r="A2552" s="4" t="s">
        <v>6751</v>
      </c>
      <c r="B2552" s="5" t="s">
        <v>6752</v>
      </c>
      <c r="C2552" s="5" t="s">
        <v>41</v>
      </c>
      <c r="D2552" s="5" t="s">
        <v>42</v>
      </c>
      <c r="E2552" s="5" t="s">
        <v>558</v>
      </c>
      <c r="F2552" s="9" t="s">
        <v>758</v>
      </c>
      <c r="G2552" s="9" t="s">
        <v>117</v>
      </c>
      <c r="H2552" s="5" t="s">
        <v>21</v>
      </c>
      <c r="I2552" s="5" t="s">
        <v>6753</v>
      </c>
      <c r="J2552" s="12" t="str">
        <f>HYPERLINK("https://www.boe.es/gazeta/dias/1808/11/25/pdfs/GMD-E-1808-147.pdf#page=1","Abrir facsímil")</f>
        <v>Abrir facsímil</v>
      </c>
      <c r="K2552" s="15" t="s">
        <v>23</v>
      </c>
    </row>
    <row r="2553" spans="1:11" ht="42" customHeight="1">
      <c r="A2553" s="4" t="s">
        <v>6754</v>
      </c>
      <c r="B2553" s="5" t="s">
        <v>6754</v>
      </c>
      <c r="C2553" s="5" t="s">
        <v>17</v>
      </c>
      <c r="D2553" s="5" t="s">
        <v>18</v>
      </c>
      <c r="E2553" s="5" t="s">
        <v>714</v>
      </c>
      <c r="F2553" s="9" t="s">
        <v>2736</v>
      </c>
      <c r="G2553" s="9">
        <v>822</v>
      </c>
      <c r="H2553" s="5" t="s">
        <v>21</v>
      </c>
      <c r="I2553" s="5" t="s">
        <v>6755</v>
      </c>
      <c r="J2553" s="12" t="str">
        <f>HYPERLINK("https://www.boe.es/gazeta/dias/1808/07/16/pdfs/GMD-1808-88.pdf#page=8","Abrir facsímil")</f>
        <v>Abrir facsímil</v>
      </c>
      <c r="K2553" s="15" t="s">
        <v>23</v>
      </c>
    </row>
    <row r="2554" spans="1:11" ht="42" customHeight="1">
      <c r="A2554" s="4" t="s">
        <v>6756</v>
      </c>
      <c r="B2554" s="5" t="s">
        <v>6756</v>
      </c>
      <c r="C2554" s="5" t="s">
        <v>17</v>
      </c>
      <c r="D2554" s="5" t="s">
        <v>18</v>
      </c>
      <c r="E2554" s="5" t="s">
        <v>714</v>
      </c>
      <c r="F2554" s="9" t="s">
        <v>2736</v>
      </c>
      <c r="G2554" s="9">
        <v>822</v>
      </c>
      <c r="H2554" s="5" t="s">
        <v>21</v>
      </c>
      <c r="I2554" s="5" t="s">
        <v>6757</v>
      </c>
      <c r="J2554" s="12" t="str">
        <f>HYPERLINK("https://www.boe.es/gazeta/dias/1808/07/16/pdfs/GMD-1808-88.pdf#page=8","Abrir facsímil")</f>
        <v>Abrir facsímil</v>
      </c>
      <c r="K2554" s="15" t="s">
        <v>23</v>
      </c>
    </row>
    <row r="2555" spans="1:11" ht="42" customHeight="1">
      <c r="A2555" s="4" t="s">
        <v>6758</v>
      </c>
      <c r="B2555" s="5" t="s">
        <v>6758</v>
      </c>
      <c r="C2555" s="5" t="s">
        <v>33</v>
      </c>
      <c r="D2555" s="5" t="s">
        <v>34</v>
      </c>
      <c r="E2555" s="5" t="s">
        <v>73</v>
      </c>
      <c r="F2555" s="9" t="s">
        <v>74</v>
      </c>
      <c r="G2555" s="9" t="s">
        <v>75</v>
      </c>
      <c r="H2555" s="5" t="s">
        <v>21</v>
      </c>
      <c r="I2555" s="5" t="s">
        <v>6759</v>
      </c>
      <c r="J2555" s="12" t="str">
        <f>HYPERLINK("https://www.boe.es/gazeta/dias/1808/11/11/pdfs/GMD-D-1808-143.pdf#page=4","Abrir facsímil")</f>
        <v>Abrir facsímil</v>
      </c>
      <c r="K2555" s="15" t="s">
        <v>23</v>
      </c>
    </row>
    <row r="2556" spans="1:11" ht="42" customHeight="1">
      <c r="A2556" s="4" t="s">
        <v>6760</v>
      </c>
      <c r="B2556" s="5" t="s">
        <v>6761</v>
      </c>
      <c r="C2556" s="5" t="s">
        <v>17</v>
      </c>
      <c r="D2556" s="5" t="s">
        <v>18</v>
      </c>
      <c r="E2556" s="5" t="s">
        <v>522</v>
      </c>
      <c r="F2556" s="9" t="s">
        <v>523</v>
      </c>
      <c r="G2556" s="9">
        <v>984</v>
      </c>
      <c r="H2556" s="5" t="s">
        <v>21</v>
      </c>
      <c r="I2556" s="5" t="s">
        <v>6762</v>
      </c>
      <c r="J2556" s="12" t="str">
        <f>HYPERLINK("https://www.boe.es/gazeta/dias/1808/08/07/pdfs/GMD-1808-110.pdf#page=6","Abrir facsímil")</f>
        <v>Abrir facsímil</v>
      </c>
      <c r="K2556" s="15" t="s">
        <v>23</v>
      </c>
    </row>
    <row r="2557" spans="1:11" ht="42" customHeight="1">
      <c r="A2557" s="4" t="s">
        <v>6763</v>
      </c>
      <c r="B2557" s="5" t="s">
        <v>6763</v>
      </c>
      <c r="C2557" s="5" t="s">
        <v>642</v>
      </c>
      <c r="D2557" s="5" t="s">
        <v>643</v>
      </c>
      <c r="E2557" s="5" t="s">
        <v>19</v>
      </c>
      <c r="F2557" s="9" t="s">
        <v>6764</v>
      </c>
      <c r="G2557" s="9" t="s">
        <v>6765</v>
      </c>
      <c r="H2557" s="5" t="s">
        <v>21</v>
      </c>
      <c r="I2557" s="5" t="s">
        <v>6766</v>
      </c>
      <c r="J2557" s="12" t="str">
        <f>HYPERLINK("https://www.boe.es/gazeta/dias/1808/09/30/pdfs/GMS-1808-36E.pdf#page=5","Abrir facsímil")</f>
        <v>Abrir facsímil</v>
      </c>
      <c r="K2557" s="15" t="s">
        <v>23</v>
      </c>
    </row>
    <row r="2558" spans="1:11" ht="42" customHeight="1">
      <c r="A2558" s="4" t="s">
        <v>6767</v>
      </c>
      <c r="B2558" s="5" t="s">
        <v>6768</v>
      </c>
      <c r="C2558" s="5" t="s">
        <v>17</v>
      </c>
      <c r="D2558" s="5" t="s">
        <v>18</v>
      </c>
      <c r="E2558" s="5" t="s">
        <v>61</v>
      </c>
      <c r="F2558" s="9" t="s">
        <v>62</v>
      </c>
      <c r="G2558" s="9">
        <v>1285</v>
      </c>
      <c r="H2558" s="5" t="s">
        <v>21</v>
      </c>
      <c r="I2558" s="5" t="s">
        <v>6769</v>
      </c>
      <c r="J2558" s="12" t="str">
        <f>HYPERLINK("https://www.boe.es/gazeta/dias/1808/10/11/pdfs/GMD-1808-133.pdf#page=13","Abrir facsímil")</f>
        <v>Abrir facsímil</v>
      </c>
      <c r="K2558" s="15" t="s">
        <v>23</v>
      </c>
    </row>
    <row r="2559" spans="1:11" ht="42" customHeight="1">
      <c r="A2559" s="4" t="s">
        <v>6770</v>
      </c>
      <c r="B2559" s="5" t="s">
        <v>6770</v>
      </c>
      <c r="C2559" s="5" t="s">
        <v>17</v>
      </c>
      <c r="D2559" s="5" t="s">
        <v>18</v>
      </c>
      <c r="E2559" s="5" t="s">
        <v>2598</v>
      </c>
      <c r="F2559" s="9" t="s">
        <v>2599</v>
      </c>
      <c r="G2559" s="9">
        <v>950</v>
      </c>
      <c r="H2559" s="5" t="s">
        <v>21</v>
      </c>
      <c r="I2559" s="5" t="s">
        <v>6771</v>
      </c>
      <c r="J2559" s="12" t="str">
        <f>HYPERLINK("https://www.boe.es/gazeta/dias/1808/08/01/pdfs/GMD-1808-104.pdf#page=8","Abrir facsímil")</f>
        <v>Abrir facsímil</v>
      </c>
      <c r="K2559" s="15" t="s">
        <v>23</v>
      </c>
    </row>
    <row r="2560" spans="1:11" ht="42" customHeight="1">
      <c r="A2560" s="4" t="s">
        <v>6772</v>
      </c>
      <c r="B2560" s="5" t="s">
        <v>6772</v>
      </c>
      <c r="C2560" s="5" t="s">
        <v>17</v>
      </c>
      <c r="D2560" s="5" t="s">
        <v>18</v>
      </c>
      <c r="E2560" s="5" t="s">
        <v>3485</v>
      </c>
      <c r="F2560" s="9" t="s">
        <v>3486</v>
      </c>
      <c r="G2560" s="9">
        <v>695</v>
      </c>
      <c r="H2560" s="5" t="s">
        <v>21</v>
      </c>
      <c r="I2560" s="5" t="s">
        <v>6773</v>
      </c>
      <c r="J2560" s="12" t="str">
        <f>HYPERLINK("https://www.boe.es/gazeta/dias/1808/07/01/pdfs/GMD-1808-73.pdf#page=1","Abrir facsímil")</f>
        <v>Abrir facsímil</v>
      </c>
      <c r="K2560" s="15" t="s">
        <v>23</v>
      </c>
    </row>
    <row r="2561" spans="1:11" ht="42" customHeight="1">
      <c r="A2561" s="4" t="s">
        <v>6774</v>
      </c>
      <c r="B2561" s="5" t="s">
        <v>6775</v>
      </c>
      <c r="C2561" s="5" t="s">
        <v>33</v>
      </c>
      <c r="D2561" s="5" t="s">
        <v>34</v>
      </c>
      <c r="E2561" s="5" t="s">
        <v>35</v>
      </c>
      <c r="F2561" s="9" t="s">
        <v>36</v>
      </c>
      <c r="G2561" s="9" t="s">
        <v>1294</v>
      </c>
      <c r="H2561" s="5" t="s">
        <v>21</v>
      </c>
      <c r="I2561" s="5" t="s">
        <v>6776</v>
      </c>
      <c r="J2561" s="12" t="str">
        <f>HYPERLINK("https://www.boe.es/gazeta/dias/1808/04/22/pdfs/GMD-C-1808-38.pdf#page=8","Abrir facsímil")</f>
        <v>Abrir facsímil</v>
      </c>
      <c r="K2561" s="15" t="s">
        <v>23</v>
      </c>
    </row>
    <row r="2562" spans="1:11" ht="42" customHeight="1">
      <c r="A2562" s="4" t="s">
        <v>6777</v>
      </c>
      <c r="B2562" s="5" t="s">
        <v>6777</v>
      </c>
      <c r="C2562" s="5" t="s">
        <v>389</v>
      </c>
      <c r="D2562" s="5" t="s">
        <v>390</v>
      </c>
      <c r="E2562" s="5" t="s">
        <v>919</v>
      </c>
      <c r="F2562" s="9" t="s">
        <v>920</v>
      </c>
      <c r="G2562" s="9">
        <v>488</v>
      </c>
      <c r="H2562" s="5" t="s">
        <v>21</v>
      </c>
      <c r="I2562" s="5" t="s">
        <v>6778</v>
      </c>
      <c r="J2562" s="12" t="str">
        <f>HYPERLINK("https://www.boe.es/gazeta/dias/1808/05/24/pdfs/GMD-1808-49.pdf#page=4","Abrir facsímil")</f>
        <v>Abrir facsímil</v>
      </c>
      <c r="K2562" s="15" t="s">
        <v>23</v>
      </c>
    </row>
    <row r="2563" spans="1:11" ht="42" customHeight="1">
      <c r="A2563" s="4" t="s">
        <v>6779</v>
      </c>
      <c r="B2563" s="5" t="s">
        <v>6780</v>
      </c>
      <c r="C2563" s="5" t="s">
        <v>33</v>
      </c>
      <c r="D2563" s="5" t="s">
        <v>34</v>
      </c>
      <c r="E2563" s="5" t="s">
        <v>35</v>
      </c>
      <c r="F2563" s="9" t="s">
        <v>36</v>
      </c>
      <c r="G2563" s="9" t="s">
        <v>1178</v>
      </c>
      <c r="H2563" s="5" t="s">
        <v>21</v>
      </c>
      <c r="I2563" s="5" t="s">
        <v>6781</v>
      </c>
      <c r="J2563" s="12" t="str">
        <f>HYPERLINK("https://www.boe.es/gazeta/dias/1808/04/22/pdfs/GMD-C-1808-38.pdf#page=9","Abrir facsímil")</f>
        <v>Abrir facsímil</v>
      </c>
      <c r="K2563" s="15" t="s">
        <v>23</v>
      </c>
    </row>
    <row r="2564" spans="1:11" ht="42" customHeight="1">
      <c r="A2564" s="4" t="s">
        <v>6782</v>
      </c>
      <c r="B2564" s="5" t="s">
        <v>6783</v>
      </c>
      <c r="C2564" s="5" t="s">
        <v>389</v>
      </c>
      <c r="D2564" s="5" t="s">
        <v>390</v>
      </c>
      <c r="E2564" s="5" t="s">
        <v>61</v>
      </c>
      <c r="F2564" s="9" t="s">
        <v>62</v>
      </c>
      <c r="G2564" s="9">
        <v>1287</v>
      </c>
      <c r="H2564" s="5" t="s">
        <v>21</v>
      </c>
      <c r="I2564" s="5" t="s">
        <v>6784</v>
      </c>
      <c r="J2564" s="12" t="str">
        <f>HYPERLINK("https://www.boe.es/gazeta/dias/1808/10/11/pdfs/GMD-1808-133.pdf#page=15","Abrir facsímil")</f>
        <v>Abrir facsímil</v>
      </c>
      <c r="K2564" s="15" t="s">
        <v>23</v>
      </c>
    </row>
    <row r="2565" spans="1:11" ht="42" customHeight="1">
      <c r="A2565" s="4" t="s">
        <v>6785</v>
      </c>
      <c r="B2565" s="5" t="s">
        <v>6785</v>
      </c>
      <c r="C2565" s="5" t="s">
        <v>94</v>
      </c>
      <c r="D2565" s="5" t="s">
        <v>95</v>
      </c>
      <c r="E2565" s="5" t="s">
        <v>1466</v>
      </c>
      <c r="F2565" s="9" t="s">
        <v>1467</v>
      </c>
      <c r="G2565" s="9">
        <v>53</v>
      </c>
      <c r="H2565" s="5" t="s">
        <v>21</v>
      </c>
      <c r="I2565" s="5" t="s">
        <v>6786</v>
      </c>
      <c r="J2565" s="12" t="str">
        <f>HYPERLINK("https://www.boe.es/gazeta/dias/1808/01/15/pdfs/GMD-1808-5.pdf#page=5","Abrir facsímil")</f>
        <v>Abrir facsímil</v>
      </c>
      <c r="K2565" s="15" t="s">
        <v>23</v>
      </c>
    </row>
    <row r="2566" spans="1:11" ht="42" customHeight="1">
      <c r="A2566" s="4" t="s">
        <v>6787</v>
      </c>
      <c r="B2566" s="5" t="s">
        <v>6788</v>
      </c>
      <c r="C2566" s="5" t="s">
        <v>94</v>
      </c>
      <c r="D2566" s="5" t="s">
        <v>95</v>
      </c>
      <c r="E2566" s="5" t="s">
        <v>663</v>
      </c>
      <c r="F2566" s="9" t="s">
        <v>664</v>
      </c>
      <c r="G2566" s="9">
        <v>208</v>
      </c>
      <c r="H2566" s="5" t="s">
        <v>21</v>
      </c>
      <c r="I2566" s="5" t="s">
        <v>6789</v>
      </c>
      <c r="J2566" s="12" t="str">
        <f>HYPERLINK("https://www.boe.es/gazeta/dias/1808/02/26/pdfs/GMD-1808-17.pdf#page=10","Abrir facsímil")</f>
        <v>Abrir facsímil</v>
      </c>
      <c r="K2566" s="15" t="s">
        <v>23</v>
      </c>
    </row>
    <row r="2567" spans="1:11" ht="42" customHeight="1">
      <c r="A2567" s="4" t="s">
        <v>6790</v>
      </c>
      <c r="B2567" s="5" t="s">
        <v>6790</v>
      </c>
      <c r="C2567" s="5" t="s">
        <v>17</v>
      </c>
      <c r="D2567" s="5" t="s">
        <v>18</v>
      </c>
      <c r="E2567" s="5" t="s">
        <v>2639</v>
      </c>
      <c r="F2567" s="9" t="s">
        <v>5018</v>
      </c>
      <c r="G2567" s="9">
        <v>854</v>
      </c>
      <c r="H2567" s="5" t="s">
        <v>21</v>
      </c>
      <c r="I2567" s="5" t="s">
        <v>6791</v>
      </c>
      <c r="J2567" s="12" t="str">
        <f>HYPERLINK("https://www.boe.es/gazeta/dias/1808/07/20/pdfs/GMD-1808-92.pdf#page=8","Abrir facsímil")</f>
        <v>Abrir facsímil</v>
      </c>
      <c r="K2567" s="15" t="s">
        <v>23</v>
      </c>
    </row>
    <row r="2568" spans="1:11" ht="42" customHeight="1">
      <c r="A2568" s="4" t="s">
        <v>6792</v>
      </c>
      <c r="B2568" s="5" t="s">
        <v>6793</v>
      </c>
      <c r="C2568" s="5" t="s">
        <v>17</v>
      </c>
      <c r="D2568" s="5" t="s">
        <v>18</v>
      </c>
      <c r="E2568" s="5" t="s">
        <v>61</v>
      </c>
      <c r="F2568" s="9" t="s">
        <v>62</v>
      </c>
      <c r="G2568" s="9">
        <v>1285</v>
      </c>
      <c r="H2568" s="5" t="s">
        <v>21</v>
      </c>
      <c r="I2568" s="5" t="s">
        <v>6794</v>
      </c>
      <c r="J2568" s="12" t="str">
        <f>HYPERLINK("https://www.boe.es/gazeta/dias/1808/10/11/pdfs/GMD-1808-133.pdf#page=13","Abrir facsímil")</f>
        <v>Abrir facsímil</v>
      </c>
      <c r="K2568" s="15" t="s">
        <v>23</v>
      </c>
    </row>
    <row r="2569" spans="1:11" ht="42" customHeight="1">
      <c r="A2569" s="4" t="s">
        <v>6795</v>
      </c>
      <c r="B2569" s="5" t="s">
        <v>6796</v>
      </c>
      <c r="C2569" s="5" t="s">
        <v>33</v>
      </c>
      <c r="D2569" s="5" t="s">
        <v>34</v>
      </c>
      <c r="E2569" s="5" t="s">
        <v>35</v>
      </c>
      <c r="F2569" s="9" t="s">
        <v>36</v>
      </c>
      <c r="G2569" s="9" t="s">
        <v>324</v>
      </c>
      <c r="H2569" s="5" t="s">
        <v>21</v>
      </c>
      <c r="I2569" s="5" t="s">
        <v>6797</v>
      </c>
      <c r="J2569" s="12" t="str">
        <f>HYPERLINK("https://www.boe.es/gazeta/dias/1808/04/22/pdfs/GMD-C-1808-38.pdf#page=24","Abrir facsímil")</f>
        <v>Abrir facsímil</v>
      </c>
      <c r="K2569" s="15" t="s">
        <v>23</v>
      </c>
    </row>
    <row r="2570" spans="1:11" ht="42" customHeight="1">
      <c r="A2570" s="4" t="s">
        <v>6798</v>
      </c>
      <c r="B2570" s="5" t="s">
        <v>6799</v>
      </c>
      <c r="C2570" s="5" t="s">
        <v>33</v>
      </c>
      <c r="D2570" s="5" t="s">
        <v>34</v>
      </c>
      <c r="E2570" s="5" t="s">
        <v>35</v>
      </c>
      <c r="F2570" s="9" t="s">
        <v>36</v>
      </c>
      <c r="G2570" s="9" t="s">
        <v>818</v>
      </c>
      <c r="H2570" s="5" t="s">
        <v>21</v>
      </c>
      <c r="I2570" s="5" t="s">
        <v>6800</v>
      </c>
      <c r="J2570" s="12" t="str">
        <f>HYPERLINK("https://www.boe.es/gazeta/dias/1808/04/22/pdfs/GMD-C-1808-38.pdf#page=7","Abrir facsímil")</f>
        <v>Abrir facsímil</v>
      </c>
      <c r="K2570" s="15" t="s">
        <v>23</v>
      </c>
    </row>
    <row r="2571" spans="1:11" ht="42" customHeight="1">
      <c r="A2571" s="4" t="s">
        <v>6798</v>
      </c>
      <c r="B2571" s="5" t="s">
        <v>6799</v>
      </c>
      <c r="C2571" s="5" t="s">
        <v>17</v>
      </c>
      <c r="D2571" s="5" t="s">
        <v>18</v>
      </c>
      <c r="E2571" s="5" t="s">
        <v>73</v>
      </c>
      <c r="F2571" s="9" t="s">
        <v>581</v>
      </c>
      <c r="G2571" s="9">
        <v>1467</v>
      </c>
      <c r="H2571" s="5" t="s">
        <v>21</v>
      </c>
      <c r="I2571" s="5" t="s">
        <v>6801</v>
      </c>
      <c r="J2571" s="12" t="str">
        <f>HYPERLINK("https://www.boe.es/gazeta/dias/1808/11/11/pdfs/GMD-1808-143.pdf#page=9","Abrir facsímil")</f>
        <v>Abrir facsímil</v>
      </c>
      <c r="K2571" s="15" t="s">
        <v>23</v>
      </c>
    </row>
    <row r="2572" spans="1:11" ht="42" customHeight="1">
      <c r="A2572" s="4" t="s">
        <v>6802</v>
      </c>
      <c r="B2572" s="5" t="s">
        <v>6803</v>
      </c>
      <c r="C2572" s="5" t="s">
        <v>389</v>
      </c>
      <c r="D2572" s="5" t="s">
        <v>390</v>
      </c>
      <c r="E2572" s="5" t="s">
        <v>616</v>
      </c>
      <c r="F2572" s="9" t="s">
        <v>617</v>
      </c>
      <c r="G2572" s="9">
        <v>1041</v>
      </c>
      <c r="H2572" s="5" t="s">
        <v>21</v>
      </c>
      <c r="I2572" s="5" t="s">
        <v>6804</v>
      </c>
      <c r="J2572" s="12" t="str">
        <f>HYPERLINK("https://www.boe.es/gazeta/dias/1808/08/19/pdfs/GMD-1808-115.pdf#page=7","Abrir facsímil")</f>
        <v>Abrir facsímil</v>
      </c>
      <c r="K2572" s="15" t="s">
        <v>23</v>
      </c>
    </row>
    <row r="2573" spans="1:11" ht="42" customHeight="1">
      <c r="A2573" s="4" t="s">
        <v>6805</v>
      </c>
      <c r="B2573" s="5" t="s">
        <v>6805</v>
      </c>
      <c r="C2573" s="5" t="s">
        <v>17</v>
      </c>
      <c r="D2573" s="5" t="s">
        <v>18</v>
      </c>
      <c r="E2573" s="5" t="s">
        <v>68</v>
      </c>
      <c r="F2573" s="9" t="s">
        <v>69</v>
      </c>
      <c r="G2573" s="9">
        <v>1340</v>
      </c>
      <c r="H2573" s="5" t="s">
        <v>21</v>
      </c>
      <c r="I2573" s="5" t="s">
        <v>6806</v>
      </c>
      <c r="J2573" s="12" t="str">
        <f>HYPERLINK("https://www.boe.es/gazeta/dias/1808/10/21/pdfs/GMD-1808-136.pdf#page=12","Abrir facsímil")</f>
        <v>Abrir facsímil</v>
      </c>
      <c r="K2573" s="15" t="s">
        <v>23</v>
      </c>
    </row>
    <row r="2574" spans="1:11" ht="42" customHeight="1">
      <c r="A2574" s="4" t="s">
        <v>6807</v>
      </c>
      <c r="B2574" s="5" t="s">
        <v>6807</v>
      </c>
      <c r="C2574" s="5" t="s">
        <v>33</v>
      </c>
      <c r="D2574" s="5" t="s">
        <v>34</v>
      </c>
      <c r="E2574" s="5" t="s">
        <v>197</v>
      </c>
      <c r="F2574" s="9" t="s">
        <v>198</v>
      </c>
      <c r="G2574" s="9" t="s">
        <v>199</v>
      </c>
      <c r="H2574" s="5" t="s">
        <v>21</v>
      </c>
      <c r="I2574" s="5" t="s">
        <v>6808</v>
      </c>
      <c r="J2574" s="12" t="str">
        <f>HYPERLINK("https://www.boe.es/gazeta/dias/1808/11/01/pdfs/GMD-D-1808-140.pdf#page=2","Abrir facsímil")</f>
        <v>Abrir facsímil</v>
      </c>
      <c r="K2574" s="15" t="s">
        <v>23</v>
      </c>
    </row>
    <row r="2575" spans="1:11" ht="42" customHeight="1">
      <c r="A2575" s="4" t="s">
        <v>6809</v>
      </c>
      <c r="B2575" s="5" t="s">
        <v>6809</v>
      </c>
      <c r="C2575" s="5" t="s">
        <v>33</v>
      </c>
      <c r="D2575" s="5" t="s">
        <v>34</v>
      </c>
      <c r="E2575" s="5" t="s">
        <v>35</v>
      </c>
      <c r="F2575" s="9" t="s">
        <v>36</v>
      </c>
      <c r="G2575" s="9" t="s">
        <v>4783</v>
      </c>
      <c r="H2575" s="5" t="s">
        <v>21</v>
      </c>
      <c r="I2575" s="5" t="s">
        <v>6810</v>
      </c>
      <c r="J2575" s="12" t="str">
        <f>HYPERLINK("https://www.boe.es/gazeta/dias/1808/04/22/pdfs/GMD-C-1808-38.pdf#page=36","Abrir facsímil")</f>
        <v>Abrir facsímil</v>
      </c>
      <c r="K2575" s="15" t="s">
        <v>23</v>
      </c>
    </row>
    <row r="2576" spans="1:11" ht="42" customHeight="1">
      <c r="A2576" s="4" t="s">
        <v>6811</v>
      </c>
      <c r="B2576" s="5" t="s">
        <v>6811</v>
      </c>
      <c r="C2576" s="5" t="s">
        <v>94</v>
      </c>
      <c r="D2576" s="5" t="s">
        <v>95</v>
      </c>
      <c r="E2576" s="5" t="s">
        <v>203</v>
      </c>
      <c r="F2576" s="9" t="s">
        <v>204</v>
      </c>
      <c r="G2576" s="9">
        <v>141</v>
      </c>
      <c r="H2576" s="5" t="s">
        <v>21</v>
      </c>
      <c r="I2576" s="5" t="s">
        <v>6812</v>
      </c>
      <c r="J2576" s="12" t="str">
        <f>HYPERLINK("https://www.boe.es/gazeta/dias/1808/02/09/pdfs/GMD-1808-12.pdf#page=9","Abrir facsímil")</f>
        <v>Abrir facsímil</v>
      </c>
      <c r="K2576" s="15" t="s">
        <v>23</v>
      </c>
    </row>
    <row r="2577" spans="1:11" ht="42" customHeight="1">
      <c r="A2577" s="4" t="s">
        <v>6813</v>
      </c>
      <c r="B2577" s="5" t="s">
        <v>6813</v>
      </c>
      <c r="C2577" s="5" t="s">
        <v>33</v>
      </c>
      <c r="D2577" s="5" t="s">
        <v>34</v>
      </c>
      <c r="E2577" s="5" t="s">
        <v>115</v>
      </c>
      <c r="F2577" s="9" t="s">
        <v>116</v>
      </c>
      <c r="G2577" s="9" t="s">
        <v>106</v>
      </c>
      <c r="H2577" s="5" t="s">
        <v>21</v>
      </c>
      <c r="I2577" s="5" t="s">
        <v>6814</v>
      </c>
      <c r="J2577" s="12" t="str">
        <f>HYPERLINK("https://www.boe.es/gazeta/dias/1808/09/16/pdfs/GMD-C-1808-125.pdf#page=3","Abrir facsímil")</f>
        <v>Abrir facsímil</v>
      </c>
      <c r="K2577" s="15" t="s">
        <v>23</v>
      </c>
    </row>
    <row r="2578" spans="1:11" ht="42" customHeight="1">
      <c r="A2578" s="4" t="s">
        <v>6815</v>
      </c>
      <c r="B2578" s="5" t="s">
        <v>6815</v>
      </c>
      <c r="C2578" s="5" t="s">
        <v>260</v>
      </c>
      <c r="D2578" s="5" t="s">
        <v>42</v>
      </c>
      <c r="E2578" s="5" t="s">
        <v>1194</v>
      </c>
      <c r="F2578" s="9" t="s">
        <v>1195</v>
      </c>
      <c r="G2578" s="9">
        <v>448</v>
      </c>
      <c r="H2578" s="5" t="s">
        <v>21</v>
      </c>
      <c r="I2578" s="5" t="s">
        <v>6816</v>
      </c>
      <c r="J2578" s="12" t="str">
        <f>HYPERLINK("https://www.boe.es/gazeta/dias/1808/05/10/pdfs/GMD-1808-45.pdf#page=8","Abrir facsímil")</f>
        <v>Abrir facsímil</v>
      </c>
      <c r="K2578" s="15" t="s">
        <v>23</v>
      </c>
    </row>
    <row r="2579" spans="1:11" ht="42" customHeight="1">
      <c r="A2579" s="4" t="s">
        <v>6817</v>
      </c>
      <c r="B2579" s="5" t="s">
        <v>6817</v>
      </c>
      <c r="C2579" s="5" t="s">
        <v>33</v>
      </c>
      <c r="D2579" s="5" t="s">
        <v>34</v>
      </c>
      <c r="E2579" s="5" t="s">
        <v>28</v>
      </c>
      <c r="F2579" s="9" t="s">
        <v>446</v>
      </c>
      <c r="G2579" s="9" t="s">
        <v>199</v>
      </c>
      <c r="H2579" s="5" t="s">
        <v>21</v>
      </c>
      <c r="I2579" s="5" t="s">
        <v>6818</v>
      </c>
      <c r="J2579" s="12" t="str">
        <f>HYPERLINK("https://www.boe.es/gazeta/dias/1808/11/04/pdfs/GMD-D-1808-141.pdf#page=2","Abrir facsímil")</f>
        <v>Abrir facsímil</v>
      </c>
      <c r="K2579" s="15" t="s">
        <v>23</v>
      </c>
    </row>
    <row r="2580" spans="1:11" ht="42" customHeight="1">
      <c r="A2580" s="4" t="s">
        <v>6819</v>
      </c>
      <c r="B2580" s="5" t="s">
        <v>6819</v>
      </c>
      <c r="C2580" s="5" t="s">
        <v>17</v>
      </c>
      <c r="D2580" s="5" t="s">
        <v>18</v>
      </c>
      <c r="E2580" s="5" t="s">
        <v>185</v>
      </c>
      <c r="F2580" s="9" t="s">
        <v>186</v>
      </c>
      <c r="G2580" s="9">
        <v>1102</v>
      </c>
      <c r="H2580" s="5" t="s">
        <v>21</v>
      </c>
      <c r="I2580" s="5" t="s">
        <v>6820</v>
      </c>
      <c r="J2580" s="12" t="str">
        <f>HYPERLINK("https://www.boe.es/gazeta/dias/1808/08/30/pdfs/GMD-1808-118.pdf#page=8","Abrir facsímil")</f>
        <v>Abrir facsímil</v>
      </c>
      <c r="K2580" s="15" t="s">
        <v>23</v>
      </c>
    </row>
    <row r="2581" spans="1:11" ht="42" customHeight="1">
      <c r="A2581" s="4" t="s">
        <v>6821</v>
      </c>
      <c r="B2581" s="5" t="s">
        <v>6821</v>
      </c>
      <c r="C2581" s="5" t="s">
        <v>17</v>
      </c>
      <c r="D2581" s="5" t="s">
        <v>18</v>
      </c>
      <c r="E2581" s="5" t="s">
        <v>185</v>
      </c>
      <c r="F2581" s="9" t="s">
        <v>6822</v>
      </c>
      <c r="G2581" s="9">
        <v>214</v>
      </c>
      <c r="H2581" s="5" t="s">
        <v>21</v>
      </c>
      <c r="I2581" s="5" t="s">
        <v>6823</v>
      </c>
      <c r="J2581" s="12" t="str">
        <f>HYPERLINK("https://www.boe.es/gazeta/dias/1808/08/30/pdfs/GMS-1808-27.pdf#page=6","Abrir facsímil")</f>
        <v>Abrir facsímil</v>
      </c>
      <c r="K2581" s="15" t="s">
        <v>23</v>
      </c>
    </row>
    <row r="2582" spans="1:11" ht="42" customHeight="1">
      <c r="A2582" s="4" t="s">
        <v>6824</v>
      </c>
      <c r="B2582" s="5" t="s">
        <v>6825</v>
      </c>
      <c r="C2582" s="5" t="s">
        <v>17</v>
      </c>
      <c r="D2582" s="5" t="s">
        <v>18</v>
      </c>
      <c r="E2582" s="5" t="s">
        <v>130</v>
      </c>
      <c r="F2582" s="9" t="s">
        <v>131</v>
      </c>
      <c r="G2582" s="9">
        <v>1604</v>
      </c>
      <c r="H2582" s="5" t="s">
        <v>21</v>
      </c>
      <c r="I2582" s="5" t="s">
        <v>6826</v>
      </c>
      <c r="J2582" s="12" t="str">
        <f>HYPERLINK("https://www.boe.es/gazeta/dias/1808/12/15/pdfs/GMD-1808-155.pdf#page=8","Abrir facsímil")</f>
        <v>Abrir facsímil</v>
      </c>
      <c r="K2582" s="15" t="s">
        <v>23</v>
      </c>
    </row>
    <row r="2583" spans="1:11" ht="42" customHeight="1">
      <c r="A2583" s="4" t="s">
        <v>6827</v>
      </c>
      <c r="B2583" s="5" t="s">
        <v>6828</v>
      </c>
      <c r="C2583" s="5" t="s">
        <v>17</v>
      </c>
      <c r="D2583" s="5" t="s">
        <v>18</v>
      </c>
      <c r="E2583" s="5" t="s">
        <v>1791</v>
      </c>
      <c r="F2583" s="9" t="s">
        <v>1792</v>
      </c>
      <c r="G2583" s="9">
        <v>138</v>
      </c>
      <c r="H2583" s="5" t="s">
        <v>21</v>
      </c>
      <c r="I2583" s="5" t="s">
        <v>6829</v>
      </c>
      <c r="J2583" s="12" t="str">
        <f>HYPERLINK("https://www.boe.es/gazeta/dias/1808/07/30/pdfs/GMS-1808-18.pdf#page=2","Abrir facsímil")</f>
        <v>Abrir facsímil</v>
      </c>
      <c r="K2583" s="15" t="s">
        <v>23</v>
      </c>
    </row>
    <row r="2584" spans="1:11" ht="42" customHeight="1">
      <c r="A2584" s="4" t="s">
        <v>6830</v>
      </c>
      <c r="B2584" s="5" t="s">
        <v>6830</v>
      </c>
      <c r="C2584" s="5" t="s">
        <v>33</v>
      </c>
      <c r="D2584" s="5" t="s">
        <v>34</v>
      </c>
      <c r="E2584" s="5" t="s">
        <v>35</v>
      </c>
      <c r="F2584" s="9" t="s">
        <v>36</v>
      </c>
      <c r="G2584" s="9" t="s">
        <v>162</v>
      </c>
      <c r="H2584" s="5" t="s">
        <v>21</v>
      </c>
      <c r="I2584" s="5" t="s">
        <v>6831</v>
      </c>
      <c r="J2584" s="12" t="str">
        <f>HYPERLINK("https://www.boe.es/gazeta/dias/1808/04/22/pdfs/GMD-C-1808-38.pdf#page=31","Abrir facsímil")</f>
        <v>Abrir facsímil</v>
      </c>
      <c r="K2584" s="15" t="s">
        <v>23</v>
      </c>
    </row>
    <row r="2585" spans="1:11" ht="42" customHeight="1">
      <c r="A2585" s="4" t="s">
        <v>6832</v>
      </c>
      <c r="B2585" s="5" t="s">
        <v>6833</v>
      </c>
      <c r="C2585" s="5" t="s">
        <v>33</v>
      </c>
      <c r="D2585" s="5" t="s">
        <v>34</v>
      </c>
      <c r="E2585" s="5" t="s">
        <v>35</v>
      </c>
      <c r="F2585" s="9" t="s">
        <v>36</v>
      </c>
      <c r="G2585" s="9" t="s">
        <v>1006</v>
      </c>
      <c r="H2585" s="5" t="s">
        <v>21</v>
      </c>
      <c r="I2585" s="5" t="s">
        <v>6834</v>
      </c>
      <c r="J2585" s="12" t="str">
        <f>HYPERLINK("https://www.boe.es/gazeta/dias/1808/04/22/pdfs/GMD-C-1808-38.pdf#page=46","Abrir facsímil")</f>
        <v>Abrir facsímil</v>
      </c>
      <c r="K2585" s="15" t="s">
        <v>23</v>
      </c>
    </row>
    <row r="2586" spans="1:11" ht="42" customHeight="1">
      <c r="A2586" s="4" t="s">
        <v>6835</v>
      </c>
      <c r="B2586" s="5" t="s">
        <v>6836</v>
      </c>
      <c r="C2586" s="5" t="s">
        <v>33</v>
      </c>
      <c r="D2586" s="5" t="s">
        <v>34</v>
      </c>
      <c r="E2586" s="5" t="s">
        <v>35</v>
      </c>
      <c r="F2586" s="9" t="s">
        <v>36</v>
      </c>
      <c r="G2586" s="9" t="s">
        <v>75</v>
      </c>
      <c r="H2586" s="5" t="s">
        <v>21</v>
      </c>
      <c r="I2586" s="5" t="s">
        <v>6837</v>
      </c>
      <c r="J2586" s="12" t="str">
        <f>HYPERLINK("https://www.boe.es/gazeta/dias/1808/04/22/pdfs/GMD-C-1808-38.pdf#page=4","Abrir facsímil")</f>
        <v>Abrir facsímil</v>
      </c>
      <c r="K2586" s="15" t="s">
        <v>23</v>
      </c>
    </row>
    <row r="2587" spans="1:11" ht="42" customHeight="1">
      <c r="A2587" s="4" t="s">
        <v>6838</v>
      </c>
      <c r="B2587" s="5" t="s">
        <v>6838</v>
      </c>
      <c r="C2587" s="5" t="s">
        <v>33</v>
      </c>
      <c r="D2587" s="5" t="s">
        <v>34</v>
      </c>
      <c r="E2587" s="5" t="s">
        <v>35</v>
      </c>
      <c r="F2587" s="9" t="s">
        <v>36</v>
      </c>
      <c r="G2587" s="9" t="s">
        <v>707</v>
      </c>
      <c r="H2587" s="5" t="s">
        <v>21</v>
      </c>
      <c r="I2587" s="5" t="s">
        <v>6839</v>
      </c>
      <c r="J2587" s="12" t="str">
        <f>HYPERLINK("https://www.boe.es/gazeta/dias/1808/04/22/pdfs/GMD-C-1808-38.pdf#page=42","Abrir facsímil")</f>
        <v>Abrir facsímil</v>
      </c>
      <c r="K2587" s="15" t="s">
        <v>23</v>
      </c>
    </row>
    <row r="2588" spans="1:11" ht="42" customHeight="1">
      <c r="A2588" s="4" t="s">
        <v>6840</v>
      </c>
      <c r="B2588" s="5" t="s">
        <v>6840</v>
      </c>
      <c r="C2588" s="5" t="s">
        <v>17</v>
      </c>
      <c r="D2588" s="5" t="s">
        <v>18</v>
      </c>
      <c r="E2588" s="5" t="s">
        <v>65</v>
      </c>
      <c r="F2588" s="9" t="s">
        <v>66</v>
      </c>
      <c r="G2588" s="9">
        <v>1306</v>
      </c>
      <c r="H2588" s="5" t="s">
        <v>21</v>
      </c>
      <c r="I2588" s="5" t="s">
        <v>6841</v>
      </c>
      <c r="J2588" s="12" t="str">
        <f>HYPERLINK("https://www.boe.es/gazeta/dias/1808/10/18/pdfs/GMD-1808-135.pdf#page=6","Abrir facsímil")</f>
        <v>Abrir facsímil</v>
      </c>
      <c r="K2588" s="15" t="s">
        <v>23</v>
      </c>
    </row>
    <row r="2589" spans="1:11" ht="42" customHeight="1">
      <c r="A2589" s="4" t="s">
        <v>6842</v>
      </c>
      <c r="B2589" s="5" t="s">
        <v>6843</v>
      </c>
      <c r="C2589" s="5" t="s">
        <v>33</v>
      </c>
      <c r="D2589" s="5" t="s">
        <v>34</v>
      </c>
      <c r="E2589" s="5" t="s">
        <v>65</v>
      </c>
      <c r="F2589" s="9" t="s">
        <v>105</v>
      </c>
      <c r="G2589" s="9" t="s">
        <v>199</v>
      </c>
      <c r="H2589" s="5" t="s">
        <v>21</v>
      </c>
      <c r="I2589" s="5" t="s">
        <v>6844</v>
      </c>
      <c r="J2589" s="12" t="str">
        <f>HYPERLINK("https://www.boe.es/gazeta/dias/1808/10/18/pdfs/GMD-D-1808-135.pdf#page=2","Abrir facsímil")</f>
        <v>Abrir facsímil</v>
      </c>
      <c r="K2589" s="15" t="s">
        <v>23</v>
      </c>
    </row>
    <row r="2590" spans="1:11" ht="42" customHeight="1">
      <c r="A2590" s="4" t="s">
        <v>6845</v>
      </c>
      <c r="B2590" s="5" t="s">
        <v>6845</v>
      </c>
      <c r="C2590" s="5" t="s">
        <v>389</v>
      </c>
      <c r="D2590" s="5" t="s">
        <v>390</v>
      </c>
      <c r="E2590" s="5" t="s">
        <v>1148</v>
      </c>
      <c r="F2590" s="9" t="s">
        <v>1149</v>
      </c>
      <c r="G2590" s="9">
        <v>500</v>
      </c>
      <c r="H2590" s="5" t="s">
        <v>21</v>
      </c>
      <c r="I2590" s="5" t="s">
        <v>6846</v>
      </c>
      <c r="J2590" s="12" t="str">
        <f>HYPERLINK("https://www.boe.es/gazeta/dias/1808/05/27/pdfs/GMD-1808-50.pdf#page=4","Abrir facsímil")</f>
        <v>Abrir facsímil</v>
      </c>
      <c r="K2590" s="15" t="s">
        <v>23</v>
      </c>
    </row>
    <row r="2591" spans="1:11" ht="42" customHeight="1">
      <c r="A2591" s="4" t="s">
        <v>6847</v>
      </c>
      <c r="B2591" s="5" t="s">
        <v>6848</v>
      </c>
      <c r="C2591" s="5" t="s">
        <v>389</v>
      </c>
      <c r="D2591" s="5" t="s">
        <v>390</v>
      </c>
      <c r="E2591" s="5" t="s">
        <v>245</v>
      </c>
      <c r="F2591" s="9" t="s">
        <v>246</v>
      </c>
      <c r="G2591" s="9">
        <v>540</v>
      </c>
      <c r="H2591" s="5" t="s">
        <v>21</v>
      </c>
      <c r="I2591" s="5" t="s">
        <v>6849</v>
      </c>
      <c r="J2591" s="12" t="str">
        <f>HYPERLINK("https://www.boe.es/gazeta/dias/1808/06/07/pdfs/GMD-1808-54.pdf#page=6","Abrir facsímil")</f>
        <v>Abrir facsímil</v>
      </c>
      <c r="K2591" s="15" t="s">
        <v>23</v>
      </c>
    </row>
    <row r="2592" spans="1:11" ht="42" customHeight="1">
      <c r="A2592" s="4" t="s">
        <v>6850</v>
      </c>
      <c r="B2592" s="5" t="s">
        <v>6851</v>
      </c>
      <c r="C2592" s="5" t="s">
        <v>33</v>
      </c>
      <c r="D2592" s="5" t="s">
        <v>34</v>
      </c>
      <c r="E2592" s="5" t="s">
        <v>139</v>
      </c>
      <c r="F2592" s="9" t="s">
        <v>1089</v>
      </c>
      <c r="G2592" s="9" t="s">
        <v>199</v>
      </c>
      <c r="H2592" s="5" t="s">
        <v>21</v>
      </c>
      <c r="I2592" s="5" t="s">
        <v>6852</v>
      </c>
      <c r="J2592" s="12" t="str">
        <f>HYPERLINK("https://www.boe.es/gazeta/dias/1808/09/23/pdfs/GMD-C-1808-127.pdf#page=2","Abrir facsímil")</f>
        <v>Abrir facsímil</v>
      </c>
      <c r="K2592" s="15" t="s">
        <v>23</v>
      </c>
    </row>
    <row r="2593" spans="1:11" ht="42" customHeight="1">
      <c r="A2593" s="4" t="s">
        <v>6853</v>
      </c>
      <c r="B2593" s="5" t="s">
        <v>6853</v>
      </c>
      <c r="C2593" s="5" t="s">
        <v>17</v>
      </c>
      <c r="D2593" s="5" t="s">
        <v>18</v>
      </c>
      <c r="E2593" s="5" t="s">
        <v>222</v>
      </c>
      <c r="F2593" s="9" t="s">
        <v>223</v>
      </c>
      <c r="G2593" s="9">
        <v>355</v>
      </c>
      <c r="H2593" s="5" t="s">
        <v>21</v>
      </c>
      <c r="I2593" s="5" t="s">
        <v>6854</v>
      </c>
      <c r="J2593" s="12" t="str">
        <f>HYPERLINK("https://www.boe.es/gazeta/dias/1808/04/08/pdfs/GMD-1808-32.pdf#page=9","Abrir facsímil")</f>
        <v>Abrir facsímil</v>
      </c>
      <c r="K2593" s="15" t="s">
        <v>23</v>
      </c>
    </row>
    <row r="2594" spans="1:11" ht="42" customHeight="1">
      <c r="A2594" s="4" t="s">
        <v>6853</v>
      </c>
      <c r="B2594" s="5" t="s">
        <v>6853</v>
      </c>
      <c r="C2594" s="5" t="s">
        <v>17</v>
      </c>
      <c r="D2594" s="5" t="s">
        <v>18</v>
      </c>
      <c r="E2594" s="5" t="s">
        <v>3001</v>
      </c>
      <c r="F2594" s="9" t="s">
        <v>3002</v>
      </c>
      <c r="G2594" s="9">
        <v>1652</v>
      </c>
      <c r="H2594" s="5" t="s">
        <v>21</v>
      </c>
      <c r="I2594" s="5" t="s">
        <v>6855</v>
      </c>
      <c r="J2594" s="12" t="str">
        <f>HYPERLINK("https://www.boe.es/gazeta/dias/1808/12/21/pdfs/GMD-1808-161.pdf#page=2","Abrir facsímil")</f>
        <v>Abrir facsímil</v>
      </c>
      <c r="K2594" s="15" t="s">
        <v>23</v>
      </c>
    </row>
    <row r="2595" spans="1:11" ht="42" customHeight="1">
      <c r="A2595" s="4" t="s">
        <v>6856</v>
      </c>
      <c r="B2595" s="5" t="s">
        <v>6856</v>
      </c>
      <c r="C2595" s="5" t="s">
        <v>389</v>
      </c>
      <c r="D2595" s="5" t="s">
        <v>390</v>
      </c>
      <c r="E2595" s="5" t="s">
        <v>1896</v>
      </c>
      <c r="F2595" s="9" t="s">
        <v>1897</v>
      </c>
      <c r="G2595" s="9">
        <v>778</v>
      </c>
      <c r="H2595" s="5" t="s">
        <v>21</v>
      </c>
      <c r="I2595" s="5" t="s">
        <v>6857</v>
      </c>
      <c r="J2595" s="12" t="str">
        <f>HYPERLINK("https://www.boe.es/gazeta/dias/1808/07/11/pdfs/GMD-1808-83.pdf#page=4","Abrir facsímil")</f>
        <v>Abrir facsímil</v>
      </c>
      <c r="K2595" s="15" t="s">
        <v>23</v>
      </c>
    </row>
    <row r="2596" spans="1:11" ht="42" customHeight="1">
      <c r="A2596" s="4" t="s">
        <v>6856</v>
      </c>
      <c r="B2596" s="5" t="s">
        <v>6856</v>
      </c>
      <c r="C2596" s="5" t="s">
        <v>17</v>
      </c>
      <c r="D2596" s="5" t="s">
        <v>18</v>
      </c>
      <c r="E2596" s="5" t="s">
        <v>3001</v>
      </c>
      <c r="F2596" s="9" t="s">
        <v>3002</v>
      </c>
      <c r="G2596" s="9">
        <v>1652</v>
      </c>
      <c r="H2596" s="5" t="s">
        <v>21</v>
      </c>
      <c r="I2596" s="5" t="s">
        <v>6858</v>
      </c>
      <c r="J2596" s="12" t="str">
        <f>HYPERLINK("https://www.boe.es/gazeta/dias/1808/12/21/pdfs/GMD-1808-161.pdf#page=2","Abrir facsímil")</f>
        <v>Abrir facsímil</v>
      </c>
      <c r="K2596" s="15" t="s">
        <v>23</v>
      </c>
    </row>
    <row r="2597" spans="1:11" ht="42" customHeight="1">
      <c r="A2597" s="4" t="s">
        <v>6859</v>
      </c>
      <c r="B2597" s="5" t="s">
        <v>6860</v>
      </c>
      <c r="C2597" s="5" t="s">
        <v>94</v>
      </c>
      <c r="D2597" s="5" t="s">
        <v>95</v>
      </c>
      <c r="E2597" s="5" t="s">
        <v>35</v>
      </c>
      <c r="F2597" s="9" t="s">
        <v>36</v>
      </c>
      <c r="G2597" s="9" t="s">
        <v>924</v>
      </c>
      <c r="H2597" s="5" t="s">
        <v>21</v>
      </c>
      <c r="I2597" s="5" t="s">
        <v>6861</v>
      </c>
      <c r="J2597" s="12" t="str">
        <f>HYPERLINK("https://www.boe.es/gazeta/dias/1808/04/22/pdfs/GMD-C-1808-38.pdf#page=27","Abrir facsímil")</f>
        <v>Abrir facsímil</v>
      </c>
      <c r="K2597" s="15" t="s">
        <v>23</v>
      </c>
    </row>
    <row r="2598" spans="1:11" ht="42" customHeight="1">
      <c r="A2598" s="4" t="s">
        <v>6862</v>
      </c>
      <c r="B2598" s="5" t="s">
        <v>6863</v>
      </c>
      <c r="C2598" s="5" t="s">
        <v>94</v>
      </c>
      <c r="D2598" s="5" t="s">
        <v>95</v>
      </c>
      <c r="E2598" s="5" t="s">
        <v>960</v>
      </c>
      <c r="F2598" s="9" t="s">
        <v>961</v>
      </c>
      <c r="G2598" s="9">
        <v>855</v>
      </c>
      <c r="H2598" s="5" t="s">
        <v>21</v>
      </c>
      <c r="I2598" s="5" t="s">
        <v>6864</v>
      </c>
      <c r="J2598" s="12" t="str">
        <f>HYPERLINK("https://www.boe.es/gazeta/dias/1808/07/21/pdfs/GMD-1808-93.pdf#page=1","Abrir facsímil")</f>
        <v>Abrir facsímil</v>
      </c>
      <c r="K2598" s="15" t="s">
        <v>23</v>
      </c>
    </row>
    <row r="2599" spans="1:11" ht="42" customHeight="1">
      <c r="A2599" s="4" t="s">
        <v>6865</v>
      </c>
      <c r="B2599" s="5" t="s">
        <v>6866</v>
      </c>
      <c r="C2599" s="5" t="s">
        <v>33</v>
      </c>
      <c r="D2599" s="5" t="s">
        <v>34</v>
      </c>
      <c r="E2599" s="5" t="s">
        <v>153</v>
      </c>
      <c r="F2599" s="9" t="s">
        <v>154</v>
      </c>
      <c r="G2599" s="9" t="s">
        <v>117</v>
      </c>
      <c r="H2599" s="5" t="s">
        <v>21</v>
      </c>
      <c r="I2599" s="5" t="s">
        <v>6867</v>
      </c>
      <c r="J2599" s="12" t="str">
        <f>HYPERLINK("https://www.boe.es/gazeta/dias/1808/09/09/pdfs/GMD-C-1808-121.pdf#page=1","Abrir facsímil")</f>
        <v>Abrir facsímil</v>
      </c>
      <c r="K2599" s="15" t="s">
        <v>23</v>
      </c>
    </row>
    <row r="2600" spans="1:11" ht="42" customHeight="1">
      <c r="A2600" s="4" t="s">
        <v>6868</v>
      </c>
      <c r="B2600" s="5" t="s">
        <v>6869</v>
      </c>
      <c r="C2600" s="5" t="s">
        <v>17</v>
      </c>
      <c r="D2600" s="5" t="s">
        <v>18</v>
      </c>
      <c r="E2600" s="5" t="s">
        <v>2856</v>
      </c>
      <c r="F2600" s="9" t="s">
        <v>2857</v>
      </c>
      <c r="G2600" s="9">
        <v>145</v>
      </c>
      <c r="H2600" s="5" t="s">
        <v>21</v>
      </c>
      <c r="I2600" s="5" t="s">
        <v>6870</v>
      </c>
      <c r="J2600" s="12" t="str">
        <f>HYPERLINK("https://www.boe.es/gazeta/dias/1808/08/03/pdfs/GMS-1808-19.pdf#page=1","Abrir facsímil")</f>
        <v>Abrir facsímil</v>
      </c>
      <c r="K2600" s="15" t="s">
        <v>23</v>
      </c>
    </row>
    <row r="2601" spans="1:11" ht="42" customHeight="1">
      <c r="A2601" s="4" t="s">
        <v>6871</v>
      </c>
      <c r="B2601" s="5" t="s">
        <v>6872</v>
      </c>
      <c r="C2601" s="5" t="s">
        <v>17</v>
      </c>
      <c r="D2601" s="5" t="s">
        <v>18</v>
      </c>
      <c r="E2601" s="5" t="s">
        <v>539</v>
      </c>
      <c r="F2601" s="9" t="s">
        <v>540</v>
      </c>
      <c r="G2601" s="9">
        <v>1110</v>
      </c>
      <c r="H2601" s="5" t="s">
        <v>21</v>
      </c>
      <c r="I2601" s="5" t="s">
        <v>6873</v>
      </c>
      <c r="J2601" s="12" t="str">
        <f>HYPERLINK("https://www.boe.es/gazeta/dias/1808/09/02/pdfs/GMD-1808-119.pdf#page=4","Abrir facsímil")</f>
        <v>Abrir facsímil</v>
      </c>
      <c r="K2601" s="15" t="s">
        <v>23</v>
      </c>
    </row>
    <row r="2602" spans="1:11" ht="42" customHeight="1">
      <c r="A2602" s="4" t="s">
        <v>6874</v>
      </c>
      <c r="B2602" s="5" t="s">
        <v>6875</v>
      </c>
      <c r="C2602" s="5" t="s">
        <v>41</v>
      </c>
      <c r="D2602" s="5" t="s">
        <v>42</v>
      </c>
      <c r="E2602" s="5" t="s">
        <v>35</v>
      </c>
      <c r="F2602" s="9" t="s">
        <v>36</v>
      </c>
      <c r="G2602" s="9" t="s">
        <v>1128</v>
      </c>
      <c r="H2602" s="5" t="s">
        <v>21</v>
      </c>
      <c r="I2602" s="5" t="s">
        <v>6876</v>
      </c>
      <c r="J2602" s="12" t="str">
        <f>HYPERLINK("https://www.boe.es/gazeta/dias/1808/04/22/pdfs/GMD-C-1808-38.pdf#page=11","Abrir facsímil")</f>
        <v>Abrir facsímil</v>
      </c>
      <c r="K2602" s="15" t="s">
        <v>23</v>
      </c>
    </row>
    <row r="2603" spans="1:11" ht="42" customHeight="1">
      <c r="A2603" s="4" t="s">
        <v>6877</v>
      </c>
      <c r="B2603" s="5" t="s">
        <v>6878</v>
      </c>
      <c r="C2603" s="5" t="s">
        <v>33</v>
      </c>
      <c r="D2603" s="5" t="s">
        <v>34</v>
      </c>
      <c r="E2603" s="5" t="s">
        <v>65</v>
      </c>
      <c r="F2603" s="9" t="s">
        <v>105</v>
      </c>
      <c r="G2603" s="9" t="s">
        <v>199</v>
      </c>
      <c r="H2603" s="5" t="s">
        <v>21</v>
      </c>
      <c r="I2603" s="5" t="s">
        <v>6879</v>
      </c>
      <c r="J2603" s="12" t="str">
        <f>HYPERLINK("https://www.boe.es/gazeta/dias/1808/10/18/pdfs/GMD-D-1808-135.pdf#page=2","Abrir facsímil")</f>
        <v>Abrir facsímil</v>
      </c>
      <c r="K2603" s="15" t="s">
        <v>23</v>
      </c>
    </row>
    <row r="2604" spans="1:11" ht="42" customHeight="1">
      <c r="A2604" s="4" t="s">
        <v>6880</v>
      </c>
      <c r="B2604" s="5" t="s">
        <v>6881</v>
      </c>
      <c r="C2604" s="5" t="s">
        <v>94</v>
      </c>
      <c r="D2604" s="5" t="s">
        <v>95</v>
      </c>
      <c r="E2604" s="5" t="s">
        <v>35</v>
      </c>
      <c r="F2604" s="9" t="s">
        <v>3452</v>
      </c>
      <c r="G2604" s="9">
        <v>402</v>
      </c>
      <c r="H2604" s="5" t="s">
        <v>21</v>
      </c>
      <c r="I2604" s="5" t="s">
        <v>6882</v>
      </c>
      <c r="J2604" s="12" t="str">
        <f>HYPERLINK("https://www.boe.es/gazeta/dias/1808/04/22/pdfs/GMD-1808-38.pdf#page=10","Abrir facsímil")</f>
        <v>Abrir facsímil</v>
      </c>
      <c r="K2604" s="15" t="s">
        <v>23</v>
      </c>
    </row>
    <row r="2605" spans="1:11" ht="42" customHeight="1">
      <c r="A2605" s="4" t="s">
        <v>6883</v>
      </c>
      <c r="B2605" s="5" t="s">
        <v>6883</v>
      </c>
      <c r="C2605" s="5" t="s">
        <v>33</v>
      </c>
      <c r="D2605" s="5" t="s">
        <v>34</v>
      </c>
      <c r="E2605" s="5" t="s">
        <v>418</v>
      </c>
      <c r="F2605" s="9" t="s">
        <v>419</v>
      </c>
      <c r="G2605" s="9">
        <v>1127</v>
      </c>
      <c r="H2605" s="5" t="s">
        <v>21</v>
      </c>
      <c r="I2605" s="5" t="s">
        <v>6884</v>
      </c>
      <c r="J2605" s="12" t="str">
        <f>HYPERLINK("https://www.boe.es/gazeta/dias/1808/09/06/pdfs/GMD-C-1808-120.pdf#page=1","Abrir facsímil")</f>
        <v>Abrir facsímil</v>
      </c>
      <c r="K2605" s="15" t="s">
        <v>23</v>
      </c>
    </row>
    <row r="2606" spans="1:11" ht="42" customHeight="1">
      <c r="A2606" s="4" t="s">
        <v>6885</v>
      </c>
      <c r="B2606" s="5" t="s">
        <v>6886</v>
      </c>
      <c r="C2606" s="5" t="s">
        <v>41</v>
      </c>
      <c r="D2606" s="5" t="s">
        <v>42</v>
      </c>
      <c r="E2606" s="5" t="s">
        <v>35</v>
      </c>
      <c r="F2606" s="9" t="s">
        <v>36</v>
      </c>
      <c r="G2606" s="9" t="s">
        <v>837</v>
      </c>
      <c r="H2606" s="5" t="s">
        <v>21</v>
      </c>
      <c r="I2606" s="5" t="s">
        <v>6887</v>
      </c>
      <c r="J2606" s="12" t="str">
        <f>HYPERLINK("https://www.boe.es/gazeta/dias/1808/04/22/pdfs/GMD-C-1808-38.pdf#page=10","Abrir facsímil")</f>
        <v>Abrir facsímil</v>
      </c>
      <c r="K2606" s="15" t="s">
        <v>23</v>
      </c>
    </row>
    <row r="2607" spans="1:11" ht="42" customHeight="1">
      <c r="A2607" s="4" t="s">
        <v>6888</v>
      </c>
      <c r="B2607" s="5" t="s">
        <v>6889</v>
      </c>
      <c r="C2607" s="5" t="s">
        <v>33</v>
      </c>
      <c r="D2607" s="5" t="s">
        <v>34</v>
      </c>
      <c r="E2607" s="5" t="s">
        <v>35</v>
      </c>
      <c r="F2607" s="9" t="s">
        <v>36</v>
      </c>
      <c r="G2607" s="9" t="s">
        <v>501</v>
      </c>
      <c r="H2607" s="5" t="s">
        <v>21</v>
      </c>
      <c r="I2607" s="5" t="s">
        <v>6890</v>
      </c>
      <c r="J2607" s="12" t="str">
        <f>HYPERLINK("https://www.boe.es/gazeta/dias/1808/04/22/pdfs/GMD-C-1808-38.pdf#page=5","Abrir facsímil")</f>
        <v>Abrir facsímil</v>
      </c>
      <c r="K2607" s="15" t="s">
        <v>23</v>
      </c>
    </row>
    <row r="2608" spans="1:11" ht="42" customHeight="1">
      <c r="A2608" s="4" t="s">
        <v>6891</v>
      </c>
      <c r="B2608" s="5" t="s">
        <v>6892</v>
      </c>
      <c r="C2608" s="5" t="s">
        <v>94</v>
      </c>
      <c r="D2608" s="5" t="s">
        <v>95</v>
      </c>
      <c r="E2608" s="5" t="s">
        <v>89</v>
      </c>
      <c r="F2608" s="9" t="s">
        <v>1247</v>
      </c>
      <c r="G2608" s="9">
        <v>1373</v>
      </c>
      <c r="H2608" s="5" t="s">
        <v>21</v>
      </c>
      <c r="I2608" s="5" t="s">
        <v>6893</v>
      </c>
      <c r="J2608" s="12" t="str">
        <f>HYPERLINK("https://www.boe.es/gazeta/dias/1808/10/25/pdfs/GMD-C-1808-137.pdf#page=9","Abrir facsímil")</f>
        <v>Abrir facsímil</v>
      </c>
      <c r="K2608" s="15" t="s">
        <v>23</v>
      </c>
    </row>
    <row r="2609" spans="1:11" ht="42" customHeight="1">
      <c r="A2609" s="4" t="s">
        <v>6894</v>
      </c>
      <c r="B2609" s="5" t="s">
        <v>6895</v>
      </c>
      <c r="C2609" s="5" t="s">
        <v>17</v>
      </c>
      <c r="D2609" s="5" t="s">
        <v>18</v>
      </c>
      <c r="E2609" s="5" t="s">
        <v>157</v>
      </c>
      <c r="F2609" s="9" t="s">
        <v>158</v>
      </c>
      <c r="G2609" s="9">
        <v>46</v>
      </c>
      <c r="H2609" s="5" t="s">
        <v>21</v>
      </c>
      <c r="I2609" s="5" t="s">
        <v>6896</v>
      </c>
      <c r="J2609" s="12" t="str">
        <f>HYPERLINK("https://www.boe.es/gazeta/dias/1808/06/18/pdfs/GMS-1808-6.pdf#page=6","Abrir facsímil")</f>
        <v>Abrir facsímil</v>
      </c>
      <c r="K2609" s="15" t="s">
        <v>23</v>
      </c>
    </row>
    <row r="2610" spans="1:11" ht="42" customHeight="1">
      <c r="A2610" s="4" t="s">
        <v>6897</v>
      </c>
      <c r="B2610" s="5" t="s">
        <v>6897</v>
      </c>
      <c r="C2610" s="5" t="s">
        <v>17</v>
      </c>
      <c r="D2610" s="5" t="s">
        <v>18</v>
      </c>
      <c r="E2610" s="5" t="s">
        <v>6898</v>
      </c>
      <c r="F2610" s="9" t="s">
        <v>6899</v>
      </c>
      <c r="G2610" s="9">
        <v>714</v>
      </c>
      <c r="H2610" s="5" t="s">
        <v>21</v>
      </c>
      <c r="I2610" s="5" t="s">
        <v>6900</v>
      </c>
      <c r="J2610" s="12" t="str">
        <f>HYPERLINK("https://www.boe.es/gazeta/dias/1808/07/03/pdfs/GMD-1808-75.pdf#page=4","Abrir facsímil")</f>
        <v>Abrir facsímil</v>
      </c>
      <c r="K2610" s="15" t="s">
        <v>23</v>
      </c>
    </row>
    <row r="2611" spans="1:11" ht="42" customHeight="1">
      <c r="A2611" s="4" t="s">
        <v>6897</v>
      </c>
      <c r="B2611" s="5" t="s">
        <v>6897</v>
      </c>
      <c r="C2611" s="5" t="s">
        <v>17</v>
      </c>
      <c r="D2611" s="5" t="s">
        <v>18</v>
      </c>
      <c r="E2611" s="5" t="s">
        <v>192</v>
      </c>
      <c r="F2611" s="9" t="s">
        <v>193</v>
      </c>
      <c r="G2611" s="9">
        <v>764</v>
      </c>
      <c r="H2611" s="5" t="s">
        <v>21</v>
      </c>
      <c r="I2611" s="5" t="s">
        <v>6901</v>
      </c>
      <c r="J2611" s="12" t="str">
        <f>HYPERLINK("https://www.boe.es/gazeta/dias/1808/07/09/pdfs/GMD-1808-81.pdf#page=6","Abrir facsímil")</f>
        <v>Abrir facsímil</v>
      </c>
      <c r="K2611" s="15" t="s">
        <v>23</v>
      </c>
    </row>
    <row r="2612" spans="1:11" ht="42" customHeight="1">
      <c r="A2612" s="4" t="s">
        <v>6902</v>
      </c>
      <c r="B2612" s="5" t="s">
        <v>6903</v>
      </c>
      <c r="C2612" s="5" t="s">
        <v>389</v>
      </c>
      <c r="D2612" s="5" t="s">
        <v>390</v>
      </c>
      <c r="E2612" s="5" t="s">
        <v>157</v>
      </c>
      <c r="F2612" s="9" t="s">
        <v>158</v>
      </c>
      <c r="G2612" s="9">
        <v>46</v>
      </c>
      <c r="H2612" s="5" t="s">
        <v>21</v>
      </c>
      <c r="I2612" s="5" t="s">
        <v>6904</v>
      </c>
      <c r="J2612" s="12" t="str">
        <f>HYPERLINK("https://www.boe.es/gazeta/dias/1808/06/18/pdfs/GMS-1808-6.pdf#page=6","Abrir facsímil")</f>
        <v>Abrir facsímil</v>
      </c>
      <c r="K2612" s="15" t="s">
        <v>23</v>
      </c>
    </row>
    <row r="2613" spans="1:11" ht="42" customHeight="1">
      <c r="A2613" s="4" t="s">
        <v>6902</v>
      </c>
      <c r="B2613" s="5" t="s">
        <v>6903</v>
      </c>
      <c r="C2613" s="5" t="s">
        <v>17</v>
      </c>
      <c r="D2613" s="5" t="s">
        <v>18</v>
      </c>
      <c r="E2613" s="5" t="s">
        <v>1821</v>
      </c>
      <c r="F2613" s="9" t="s">
        <v>1822</v>
      </c>
      <c r="G2613" s="9">
        <v>52</v>
      </c>
      <c r="H2613" s="5" t="s">
        <v>21</v>
      </c>
      <c r="I2613" s="5" t="s">
        <v>6905</v>
      </c>
      <c r="J2613" s="12" t="str">
        <f>HYPERLINK("https://www.boe.es/gazeta/dias/1808/06/22/pdfs/GMS-1808-7.pdf#page=4","Abrir facsímil")</f>
        <v>Abrir facsímil</v>
      </c>
      <c r="K2613" s="15" t="s">
        <v>23</v>
      </c>
    </row>
    <row r="2614" spans="1:11" ht="42" customHeight="1">
      <c r="A2614" s="4" t="s">
        <v>6902</v>
      </c>
      <c r="B2614" s="5" t="s">
        <v>6903</v>
      </c>
      <c r="C2614" s="5" t="s">
        <v>94</v>
      </c>
      <c r="D2614" s="5" t="s">
        <v>95</v>
      </c>
      <c r="E2614" s="5" t="s">
        <v>3365</v>
      </c>
      <c r="F2614" s="9" t="s">
        <v>3366</v>
      </c>
      <c r="G2614" s="9">
        <v>128</v>
      </c>
      <c r="H2614" s="5" t="s">
        <v>21</v>
      </c>
      <c r="I2614" s="5" t="s">
        <v>6906</v>
      </c>
      <c r="J2614" s="12" t="str">
        <f>HYPERLINK("https://www.boe.es/gazeta/dias/1808/07/23/pdfs/GMS-1808-16.pdf#page=8","Abrir facsímil")</f>
        <v>Abrir facsímil</v>
      </c>
      <c r="K2614" s="15" t="s">
        <v>23</v>
      </c>
    </row>
    <row r="2615" spans="1:11" ht="42" customHeight="1">
      <c r="A2615" s="4" t="s">
        <v>6902</v>
      </c>
      <c r="B2615" s="5" t="s">
        <v>6903</v>
      </c>
      <c r="C2615" s="5" t="s">
        <v>41</v>
      </c>
      <c r="D2615" s="5" t="s">
        <v>42</v>
      </c>
      <c r="E2615" s="5" t="s">
        <v>1791</v>
      </c>
      <c r="F2615" s="9" t="s">
        <v>1792</v>
      </c>
      <c r="G2615" s="9">
        <v>143</v>
      </c>
      <c r="H2615" s="5" t="s">
        <v>21</v>
      </c>
      <c r="I2615" s="5" t="s">
        <v>6907</v>
      </c>
      <c r="J2615" s="12" t="str">
        <f>HYPERLINK("https://www.boe.es/gazeta/dias/1808/07/30/pdfs/GMS-1808-18.pdf#page=7","Abrir facsímil")</f>
        <v>Abrir facsímil</v>
      </c>
      <c r="K2615" s="15" t="s">
        <v>23</v>
      </c>
    </row>
    <row r="2616" spans="1:11" ht="42" customHeight="1">
      <c r="A2616" s="4" t="s">
        <v>6908</v>
      </c>
      <c r="B2616" s="5" t="s">
        <v>6909</v>
      </c>
      <c r="C2616" s="5" t="s">
        <v>17</v>
      </c>
      <c r="D2616" s="5" t="s">
        <v>18</v>
      </c>
      <c r="E2616" s="5" t="s">
        <v>1791</v>
      </c>
      <c r="F2616" s="9" t="s">
        <v>1792</v>
      </c>
      <c r="G2616" s="9">
        <v>143</v>
      </c>
      <c r="H2616" s="5" t="s">
        <v>21</v>
      </c>
      <c r="I2616" s="5" t="s">
        <v>6910</v>
      </c>
      <c r="J2616" s="12" t="str">
        <f>HYPERLINK("https://www.boe.es/gazeta/dias/1808/07/30/pdfs/GMS-1808-18.pdf#page=7","Abrir facsímil")</f>
        <v>Abrir facsímil</v>
      </c>
      <c r="K2616" s="15" t="s">
        <v>23</v>
      </c>
    </row>
    <row r="2617" spans="1:11" ht="42" customHeight="1">
      <c r="A2617" s="4" t="s">
        <v>6911</v>
      </c>
      <c r="B2617" s="5" t="s">
        <v>6912</v>
      </c>
      <c r="C2617" s="5" t="s">
        <v>33</v>
      </c>
      <c r="D2617" s="5" t="s">
        <v>34</v>
      </c>
      <c r="E2617" s="5" t="s">
        <v>508</v>
      </c>
      <c r="F2617" s="9" t="s">
        <v>1561</v>
      </c>
      <c r="G2617" s="9">
        <v>1031</v>
      </c>
      <c r="H2617" s="5" t="s">
        <v>21</v>
      </c>
      <c r="I2617" s="5" t="s">
        <v>6913</v>
      </c>
      <c r="J2617" s="12" t="str">
        <f>HYPERLINK("https://www.boe.es/gazeta/dias/1808/08/16/pdfs/GMD-C-1808-113.pdf#page=11","Abrir facsímil")</f>
        <v>Abrir facsímil</v>
      </c>
      <c r="K2617" s="15" t="s">
        <v>23</v>
      </c>
    </row>
    <row r="2618" spans="1:11" ht="42" customHeight="1">
      <c r="A2618" s="4" t="s">
        <v>6914</v>
      </c>
      <c r="B2618" s="5" t="s">
        <v>6915</v>
      </c>
      <c r="C2618" s="5" t="s">
        <v>17</v>
      </c>
      <c r="D2618" s="5" t="s">
        <v>18</v>
      </c>
      <c r="E2618" s="5" t="s">
        <v>218</v>
      </c>
      <c r="F2618" s="9" t="s">
        <v>219</v>
      </c>
      <c r="G2618" s="9">
        <v>331</v>
      </c>
      <c r="H2618" s="5" t="s">
        <v>21</v>
      </c>
      <c r="I2618" s="5" t="s">
        <v>6916</v>
      </c>
      <c r="J2618" s="12" t="str">
        <f>HYPERLINK("https://www.boe.es/gazeta/dias/1808/04/01/pdfs/GMD-1808-29.pdf#page=7","Abrir facsímil")</f>
        <v>Abrir facsímil</v>
      </c>
      <c r="K2618" s="15" t="s">
        <v>23</v>
      </c>
    </row>
    <row r="2619" spans="1:11" ht="42" customHeight="1">
      <c r="A2619" s="4" t="s">
        <v>6917</v>
      </c>
      <c r="B2619" s="5" t="s">
        <v>6917</v>
      </c>
      <c r="C2619" s="5" t="s">
        <v>101</v>
      </c>
      <c r="D2619" s="5" t="s">
        <v>102</v>
      </c>
      <c r="E2619" s="5" t="s">
        <v>1760</v>
      </c>
      <c r="F2619" s="9" t="s">
        <v>1761</v>
      </c>
      <c r="G2619" s="9">
        <v>427</v>
      </c>
      <c r="H2619" s="5" t="s">
        <v>21</v>
      </c>
      <c r="I2619" s="5" t="s">
        <v>6918</v>
      </c>
      <c r="J2619" s="12" t="str">
        <f>HYPERLINK("https://www.boe.es/gazeta/dias/1808/05/03/pdfs/GMD-1808-43.pdf#page=3","Abrir facsímil")</f>
        <v>Abrir facsímil</v>
      </c>
      <c r="K2619" s="15" t="s">
        <v>23</v>
      </c>
    </row>
    <row r="2620" spans="1:11" ht="42" customHeight="1">
      <c r="A2620" s="4" t="s">
        <v>6919</v>
      </c>
      <c r="B2620" s="5" t="s">
        <v>6919</v>
      </c>
      <c r="C2620" s="5" t="s">
        <v>41</v>
      </c>
      <c r="D2620" s="5" t="s">
        <v>42</v>
      </c>
      <c r="E2620" s="5" t="s">
        <v>245</v>
      </c>
      <c r="F2620" s="9" t="s">
        <v>246</v>
      </c>
      <c r="G2620" s="9">
        <v>541</v>
      </c>
      <c r="H2620" s="5" t="s">
        <v>21</v>
      </c>
      <c r="I2620" s="5" t="s">
        <v>6920</v>
      </c>
      <c r="J2620" s="12" t="str">
        <f>HYPERLINK("https://www.boe.es/gazeta/dias/1808/06/07/pdfs/GMD-1808-54.pdf#page=7","Abrir facsímil")</f>
        <v>Abrir facsímil</v>
      </c>
      <c r="K2620" s="15" t="s">
        <v>23</v>
      </c>
    </row>
    <row r="2621" spans="1:11" ht="42" customHeight="1">
      <c r="A2621" s="4" t="s">
        <v>6921</v>
      </c>
      <c r="B2621" s="5" t="s">
        <v>6922</v>
      </c>
      <c r="C2621" s="5" t="s">
        <v>17</v>
      </c>
      <c r="D2621" s="5" t="s">
        <v>18</v>
      </c>
      <c r="E2621" s="5" t="s">
        <v>35</v>
      </c>
      <c r="F2621" s="9" t="s">
        <v>3452</v>
      </c>
      <c r="G2621" s="9">
        <v>399</v>
      </c>
      <c r="H2621" s="5" t="s">
        <v>21</v>
      </c>
      <c r="I2621" s="5" t="s">
        <v>6923</v>
      </c>
      <c r="J2621" s="12" t="str">
        <f>HYPERLINK("https://www.boe.es/gazeta/dias/1808/04/22/pdfs/GMD-1808-38.pdf#page=7","Abrir facsímil")</f>
        <v>Abrir facsímil</v>
      </c>
      <c r="K2621" s="15" t="s">
        <v>23</v>
      </c>
    </row>
    <row r="2622" spans="1:11" ht="42" customHeight="1">
      <c r="A2622" s="4" t="s">
        <v>6924</v>
      </c>
      <c r="B2622" s="5" t="s">
        <v>6925</v>
      </c>
      <c r="C2622" s="5" t="s">
        <v>17</v>
      </c>
      <c r="D2622" s="5" t="s">
        <v>18</v>
      </c>
      <c r="E2622" s="5" t="s">
        <v>157</v>
      </c>
      <c r="F2622" s="9" t="s">
        <v>158</v>
      </c>
      <c r="G2622" s="9">
        <v>46</v>
      </c>
      <c r="H2622" s="5" t="s">
        <v>21</v>
      </c>
      <c r="I2622" s="5" t="s">
        <v>6926</v>
      </c>
      <c r="J2622" s="12" t="str">
        <f>HYPERLINK("https://www.boe.es/gazeta/dias/1808/06/18/pdfs/GMS-1808-6.pdf#page=6","Abrir facsímil")</f>
        <v>Abrir facsímil</v>
      </c>
      <c r="K2622" s="15" t="s">
        <v>23</v>
      </c>
    </row>
    <row r="2623" spans="1:11" ht="42" customHeight="1">
      <c r="A2623" s="4" t="s">
        <v>6927</v>
      </c>
      <c r="B2623" s="5" t="s">
        <v>6928</v>
      </c>
      <c r="C2623" s="5" t="s">
        <v>41</v>
      </c>
      <c r="D2623" s="5" t="s">
        <v>42</v>
      </c>
      <c r="E2623" s="5" t="s">
        <v>508</v>
      </c>
      <c r="F2623" s="9" t="s">
        <v>5993</v>
      </c>
      <c r="G2623" s="9">
        <v>184</v>
      </c>
      <c r="H2623" s="5" t="s">
        <v>21</v>
      </c>
      <c r="I2623" s="5" t="s">
        <v>6929</v>
      </c>
      <c r="J2623" s="12" t="str">
        <f>HYPERLINK("https://www.boe.es/gazeta/dias/1808/08/16/pdfs/GMS-1808-23.pdf#page=8","Abrir facsímil")</f>
        <v>Abrir facsímil</v>
      </c>
      <c r="K2623" s="15" t="s">
        <v>23</v>
      </c>
    </row>
    <row r="2624" spans="1:11" ht="42" customHeight="1">
      <c r="A2624" s="4" t="s">
        <v>6930</v>
      </c>
      <c r="B2624" s="5" t="s">
        <v>6931</v>
      </c>
      <c r="C2624" s="5" t="s">
        <v>94</v>
      </c>
      <c r="D2624" s="5" t="s">
        <v>95</v>
      </c>
      <c r="E2624" s="5" t="s">
        <v>203</v>
      </c>
      <c r="F2624" s="9" t="s">
        <v>204</v>
      </c>
      <c r="G2624" s="9">
        <v>141</v>
      </c>
      <c r="H2624" s="5" t="s">
        <v>21</v>
      </c>
      <c r="I2624" s="5" t="s">
        <v>6932</v>
      </c>
      <c r="J2624" s="12" t="str">
        <f>HYPERLINK("https://www.boe.es/gazeta/dias/1808/02/09/pdfs/GMD-1808-12.pdf#page=9","Abrir facsímil")</f>
        <v>Abrir facsímil</v>
      </c>
      <c r="K2624" s="15" t="s">
        <v>23</v>
      </c>
    </row>
    <row r="2625" spans="1:11" ht="42" customHeight="1">
      <c r="A2625" s="4" t="s">
        <v>6933</v>
      </c>
      <c r="B2625" s="5" t="s">
        <v>6934</v>
      </c>
      <c r="C2625" s="5" t="s">
        <v>94</v>
      </c>
      <c r="D2625" s="5" t="s">
        <v>95</v>
      </c>
      <c r="E2625" s="5" t="s">
        <v>203</v>
      </c>
      <c r="F2625" s="9" t="s">
        <v>204</v>
      </c>
      <c r="G2625" s="9">
        <v>142</v>
      </c>
      <c r="H2625" s="5" t="s">
        <v>21</v>
      </c>
      <c r="I2625" s="5" t="s">
        <v>6935</v>
      </c>
      <c r="J2625" s="12" t="str">
        <f>HYPERLINK("https://www.boe.es/gazeta/dias/1808/02/09/pdfs/GMD-1808-12.pdf#page=10","Abrir facsímil")</f>
        <v>Abrir facsímil</v>
      </c>
      <c r="K2625" s="15" t="s">
        <v>23</v>
      </c>
    </row>
    <row r="2626" spans="1:11" ht="42" customHeight="1">
      <c r="A2626" s="4" t="s">
        <v>6936</v>
      </c>
      <c r="B2626" s="5" t="s">
        <v>6937</v>
      </c>
      <c r="C2626" s="5" t="s">
        <v>41</v>
      </c>
      <c r="D2626" s="5" t="s">
        <v>42</v>
      </c>
      <c r="E2626" s="5" t="s">
        <v>508</v>
      </c>
      <c r="F2626" s="9" t="s">
        <v>1561</v>
      </c>
      <c r="G2626" s="9">
        <v>1032</v>
      </c>
      <c r="H2626" s="5" t="s">
        <v>21</v>
      </c>
      <c r="I2626" s="5" t="s">
        <v>6938</v>
      </c>
      <c r="J2626" s="12" t="str">
        <f>HYPERLINK("https://www.boe.es/gazeta/dias/1808/08/16/pdfs/GMD-C-1808-113.pdf#page=12","Abrir facsímil")</f>
        <v>Abrir facsímil</v>
      </c>
      <c r="K2626" s="15" t="s">
        <v>23</v>
      </c>
    </row>
    <row r="2627" spans="1:11" ht="42" customHeight="1">
      <c r="A2627" s="4" t="s">
        <v>6939</v>
      </c>
      <c r="B2627" s="5" t="s">
        <v>6940</v>
      </c>
      <c r="C2627" s="5" t="s">
        <v>94</v>
      </c>
      <c r="D2627" s="5" t="s">
        <v>95</v>
      </c>
      <c r="E2627" s="5" t="s">
        <v>54</v>
      </c>
      <c r="F2627" s="9" t="s">
        <v>55</v>
      </c>
      <c r="G2627" s="9">
        <v>1089</v>
      </c>
      <c r="H2627" s="5" t="s">
        <v>21</v>
      </c>
      <c r="I2627" s="5" t="s">
        <v>6941</v>
      </c>
      <c r="J2627" s="12" t="str">
        <f>HYPERLINK("https://www.boe.es/gazeta/dias/1808/08/26/pdfs/GMD-1808-117.pdf#page=11","Abrir facsímil")</f>
        <v>Abrir facsímil</v>
      </c>
      <c r="K2627" s="15" t="s">
        <v>23</v>
      </c>
    </row>
    <row r="2628" spans="1:11" ht="42" customHeight="1">
      <c r="A2628" s="4" t="s">
        <v>6942</v>
      </c>
      <c r="B2628" s="5" t="s">
        <v>6943</v>
      </c>
      <c r="C2628" s="5" t="s">
        <v>94</v>
      </c>
      <c r="D2628" s="5" t="s">
        <v>95</v>
      </c>
      <c r="E2628" s="5" t="s">
        <v>478</v>
      </c>
      <c r="F2628" s="9" t="s">
        <v>479</v>
      </c>
      <c r="G2628" s="9">
        <v>246</v>
      </c>
      <c r="H2628" s="5" t="s">
        <v>21</v>
      </c>
      <c r="I2628" s="5" t="s">
        <v>6944</v>
      </c>
      <c r="J2628" s="12" t="str">
        <f>HYPERLINK("https://www.boe.es/gazeta/dias/1808/03/08/pdfs/GMD-1808-20.pdf#page=12","Abrir facsímil")</f>
        <v>Abrir facsímil</v>
      </c>
      <c r="K2628" s="15" t="s">
        <v>23</v>
      </c>
    </row>
    <row r="2629" spans="1:11" ht="42" customHeight="1">
      <c r="A2629" s="4" t="s">
        <v>6945</v>
      </c>
      <c r="B2629" s="5" t="s">
        <v>6946</v>
      </c>
      <c r="C2629" s="5" t="s">
        <v>260</v>
      </c>
      <c r="D2629" s="5" t="s">
        <v>42</v>
      </c>
      <c r="E2629" s="5" t="s">
        <v>1085</v>
      </c>
      <c r="F2629" s="9" t="s">
        <v>1086</v>
      </c>
      <c r="G2629" s="9">
        <v>106</v>
      </c>
      <c r="H2629" s="5" t="s">
        <v>21</v>
      </c>
      <c r="I2629" s="5" t="s">
        <v>6947</v>
      </c>
      <c r="J2629" s="12" t="str">
        <f>HYPERLINK("https://www.boe.es/gazeta/dias/1808/01/29/pdfs/GMD-1808-9.pdf#page=10","Abrir facsímil")</f>
        <v>Abrir facsímil</v>
      </c>
      <c r="K2629" s="15" t="s">
        <v>23</v>
      </c>
    </row>
    <row r="2630" spans="1:11" ht="42" customHeight="1">
      <c r="A2630" s="4" t="s">
        <v>6945</v>
      </c>
      <c r="B2630" s="5" t="s">
        <v>6946</v>
      </c>
      <c r="C2630" s="5" t="s">
        <v>94</v>
      </c>
      <c r="D2630" s="5" t="s">
        <v>95</v>
      </c>
      <c r="E2630" s="5" t="s">
        <v>478</v>
      </c>
      <c r="F2630" s="9" t="s">
        <v>479</v>
      </c>
      <c r="G2630" s="9">
        <v>246</v>
      </c>
      <c r="H2630" s="5" t="s">
        <v>21</v>
      </c>
      <c r="I2630" s="5" t="s">
        <v>6948</v>
      </c>
      <c r="J2630" s="12" t="str">
        <f>HYPERLINK("https://www.boe.es/gazeta/dias/1808/03/08/pdfs/GMD-1808-20.pdf#page=12","Abrir facsímil")</f>
        <v>Abrir facsímil</v>
      </c>
      <c r="K2630" s="15" t="s">
        <v>23</v>
      </c>
    </row>
    <row r="2631" spans="1:11" ht="42" customHeight="1">
      <c r="A2631" s="4" t="s">
        <v>6949</v>
      </c>
      <c r="B2631" s="5" t="s">
        <v>6950</v>
      </c>
      <c r="C2631" s="5" t="s">
        <v>41</v>
      </c>
      <c r="D2631" s="5" t="s">
        <v>42</v>
      </c>
      <c r="E2631" s="5" t="s">
        <v>391</v>
      </c>
      <c r="F2631" s="9" t="s">
        <v>588</v>
      </c>
      <c r="G2631" s="9" t="s">
        <v>199</v>
      </c>
      <c r="H2631" s="5" t="s">
        <v>21</v>
      </c>
      <c r="I2631" s="5" t="s">
        <v>6951</v>
      </c>
      <c r="J2631" s="12" t="str">
        <f>HYPERLINK("https://www.boe.es/gazeta/dias/1808/09/27/pdfs/GMD-C-1808-128.pdf#page=2","Abrir facsímil")</f>
        <v>Abrir facsímil</v>
      </c>
      <c r="K2631" s="15" t="s">
        <v>23</v>
      </c>
    </row>
    <row r="2632" spans="1:11" ht="42" customHeight="1">
      <c r="A2632" s="4" t="s">
        <v>6952</v>
      </c>
      <c r="B2632" s="5" t="s">
        <v>6952</v>
      </c>
      <c r="C2632" s="5" t="s">
        <v>17</v>
      </c>
      <c r="D2632" s="5" t="s">
        <v>18</v>
      </c>
      <c r="E2632" s="5" t="s">
        <v>1385</v>
      </c>
      <c r="F2632" s="9" t="s">
        <v>1386</v>
      </c>
      <c r="G2632" s="9">
        <v>227</v>
      </c>
      <c r="H2632" s="5" t="s">
        <v>21</v>
      </c>
      <c r="I2632" s="5" t="s">
        <v>6953</v>
      </c>
      <c r="J2632" s="12" t="str">
        <f>HYPERLINK("https://www.boe.es/gazeta/dias/1808/03/04/pdfs/GMD-1808-19.pdf#page=5","Abrir facsímil")</f>
        <v>Abrir facsímil</v>
      </c>
      <c r="K2632" s="15" t="s">
        <v>23</v>
      </c>
    </row>
    <row r="2633" spans="1:11" ht="42" customHeight="1">
      <c r="A2633" s="4" t="s">
        <v>6954</v>
      </c>
      <c r="B2633" s="5" t="s">
        <v>6954</v>
      </c>
      <c r="C2633" s="5" t="s">
        <v>17</v>
      </c>
      <c r="D2633" s="5" t="s">
        <v>18</v>
      </c>
      <c r="E2633" s="5" t="s">
        <v>1148</v>
      </c>
      <c r="F2633" s="9" t="s">
        <v>1149</v>
      </c>
      <c r="G2633" s="9">
        <v>502</v>
      </c>
      <c r="H2633" s="5" t="s">
        <v>21</v>
      </c>
      <c r="I2633" s="5" t="s">
        <v>6955</v>
      </c>
      <c r="J2633" s="12" t="str">
        <f>HYPERLINK("https://www.boe.es/gazeta/dias/1808/05/27/pdfs/GMD-1808-50.pdf#page=6","Abrir facsímil")</f>
        <v>Abrir facsímil</v>
      </c>
      <c r="K2633" s="15" t="s">
        <v>23</v>
      </c>
    </row>
    <row r="2634" spans="1:11" ht="42" customHeight="1">
      <c r="A2634" s="4" t="s">
        <v>6956</v>
      </c>
      <c r="B2634" s="5" t="s">
        <v>6956</v>
      </c>
      <c r="C2634" s="5" t="s">
        <v>33</v>
      </c>
      <c r="D2634" s="5" t="s">
        <v>34</v>
      </c>
      <c r="E2634" s="5" t="s">
        <v>73</v>
      </c>
      <c r="F2634" s="9" t="s">
        <v>74</v>
      </c>
      <c r="G2634" s="9" t="s">
        <v>117</v>
      </c>
      <c r="H2634" s="5" t="s">
        <v>21</v>
      </c>
      <c r="I2634" s="5" t="s">
        <v>6957</v>
      </c>
      <c r="J2634" s="12" t="str">
        <f>HYPERLINK("https://www.boe.es/gazeta/dias/1808/11/11/pdfs/GMD-D-1808-143.pdf#page=1","Abrir facsímil")</f>
        <v>Abrir facsímil</v>
      </c>
      <c r="K2634" s="15" t="s">
        <v>23</v>
      </c>
    </row>
    <row r="2635" spans="1:11" ht="42" customHeight="1">
      <c r="A2635" s="4" t="s">
        <v>6958</v>
      </c>
      <c r="B2635" s="5" t="s">
        <v>6958</v>
      </c>
      <c r="C2635" s="5" t="s">
        <v>101</v>
      </c>
      <c r="D2635" s="5" t="s">
        <v>102</v>
      </c>
      <c r="E2635" s="5" t="s">
        <v>1676</v>
      </c>
      <c r="F2635" s="9" t="s">
        <v>1677</v>
      </c>
      <c r="G2635" s="9">
        <v>553</v>
      </c>
      <c r="H2635" s="5" t="s">
        <v>21</v>
      </c>
      <c r="I2635" s="5" t="s">
        <v>6959</v>
      </c>
      <c r="J2635" s="12" t="str">
        <f>HYPERLINK("https://www.boe.es/gazeta/dias/1808/06/10/pdfs/GMD-1808-55.pdf#page=7","Abrir facsímil")</f>
        <v>Abrir facsímil</v>
      </c>
      <c r="K2635" s="15" t="s">
        <v>23</v>
      </c>
    </row>
    <row r="2636" spans="1:11" ht="42" customHeight="1">
      <c r="A2636" s="4" t="s">
        <v>6960</v>
      </c>
      <c r="B2636" s="5" t="s">
        <v>6960</v>
      </c>
      <c r="C2636" s="5" t="s">
        <v>41</v>
      </c>
      <c r="D2636" s="5" t="s">
        <v>42</v>
      </c>
      <c r="E2636" s="5" t="s">
        <v>6961</v>
      </c>
      <c r="F2636" s="9" t="s">
        <v>6962</v>
      </c>
      <c r="G2636" s="9">
        <v>953</v>
      </c>
      <c r="H2636" s="5" t="s">
        <v>21</v>
      </c>
      <c r="I2636" s="5" t="s">
        <v>6963</v>
      </c>
      <c r="J2636" s="12" t="str">
        <f>HYPERLINK("https://www.boe.es/gazeta/dias/1808/08/02/pdfs/GMD-1808-105.pdf#page=3","Abrir facsímil")</f>
        <v>Abrir facsímil</v>
      </c>
      <c r="K2636" s="15" t="s">
        <v>23</v>
      </c>
    </row>
    <row r="2637" spans="1:11" ht="42" customHeight="1">
      <c r="A2637" s="4" t="s">
        <v>6964</v>
      </c>
      <c r="B2637" s="5" t="s">
        <v>6964</v>
      </c>
      <c r="C2637" s="5" t="s">
        <v>17</v>
      </c>
      <c r="D2637" s="5" t="s">
        <v>18</v>
      </c>
      <c r="E2637" s="5" t="s">
        <v>461</v>
      </c>
      <c r="F2637" s="9" t="s">
        <v>6965</v>
      </c>
      <c r="G2637" s="9">
        <v>369</v>
      </c>
      <c r="H2637" s="5" t="s">
        <v>21</v>
      </c>
      <c r="I2637" s="5" t="s">
        <v>6966</v>
      </c>
      <c r="J2637" s="12" t="str">
        <f>HYPERLINK("https://www.boe.es/gazeta/dias/1808/11/08/pdfs/GMS-1808-47.pdf#page=1","Abrir facsímil")</f>
        <v>Abrir facsímil</v>
      </c>
      <c r="K2637" s="15" t="s">
        <v>23</v>
      </c>
    </row>
    <row r="2638" spans="1:11" ht="42" customHeight="1">
      <c r="A2638" s="4" t="s">
        <v>6967</v>
      </c>
      <c r="B2638" s="5" t="s">
        <v>6967</v>
      </c>
      <c r="C2638" s="5" t="s">
        <v>17</v>
      </c>
      <c r="D2638" s="5" t="s">
        <v>18</v>
      </c>
      <c r="E2638" s="5" t="s">
        <v>65</v>
      </c>
      <c r="F2638" s="9" t="s">
        <v>66</v>
      </c>
      <c r="G2638" s="9">
        <v>1306</v>
      </c>
      <c r="H2638" s="5" t="s">
        <v>21</v>
      </c>
      <c r="I2638" s="5" t="s">
        <v>6968</v>
      </c>
      <c r="J2638" s="12" t="str">
        <f>HYPERLINK("https://www.boe.es/gazeta/dias/1808/10/18/pdfs/GMD-1808-135.pdf#page=6","Abrir facsímil")</f>
        <v>Abrir facsímil</v>
      </c>
      <c r="K2638" s="15" t="s">
        <v>23</v>
      </c>
    </row>
    <row r="2639" spans="1:11" ht="42" customHeight="1">
      <c r="A2639" s="4" t="s">
        <v>6969</v>
      </c>
      <c r="B2639" s="5" t="s">
        <v>6969</v>
      </c>
      <c r="C2639" s="5" t="s">
        <v>17</v>
      </c>
      <c r="D2639" s="5" t="s">
        <v>18</v>
      </c>
      <c r="E2639" s="5" t="s">
        <v>832</v>
      </c>
      <c r="F2639" s="9" t="s">
        <v>833</v>
      </c>
      <c r="G2639" s="9">
        <v>517</v>
      </c>
      <c r="H2639" s="5" t="s">
        <v>21</v>
      </c>
      <c r="I2639" s="5" t="s">
        <v>6970</v>
      </c>
      <c r="J2639" s="12" t="str">
        <f>HYPERLINK("https://www.boe.es/gazeta/dias/1808/05/31/pdfs/GMD-1808-52.pdf#page=7","Abrir facsímil")</f>
        <v>Abrir facsímil</v>
      </c>
      <c r="K2639" s="15" t="s">
        <v>23</v>
      </c>
    </row>
    <row r="2640" spans="1:11" ht="42" customHeight="1">
      <c r="A2640" s="4" t="s">
        <v>6971</v>
      </c>
      <c r="B2640" s="5" t="s">
        <v>6971</v>
      </c>
      <c r="C2640" s="5" t="s">
        <v>101</v>
      </c>
      <c r="D2640" s="5" t="s">
        <v>102</v>
      </c>
      <c r="E2640" s="5" t="s">
        <v>663</v>
      </c>
      <c r="F2640" s="9" t="s">
        <v>664</v>
      </c>
      <c r="G2640" s="9">
        <v>203</v>
      </c>
      <c r="H2640" s="5" t="s">
        <v>21</v>
      </c>
      <c r="I2640" s="5" t="s">
        <v>6972</v>
      </c>
      <c r="J2640" s="12" t="str">
        <f>HYPERLINK("https://www.boe.es/gazeta/dias/1808/02/26/pdfs/GMD-1808-17.pdf#page=5","Abrir facsímil")</f>
        <v>Abrir facsímil</v>
      </c>
      <c r="K2640" s="15" t="s">
        <v>23</v>
      </c>
    </row>
    <row r="2641" spans="1:11" ht="42" customHeight="1">
      <c r="A2641" s="4" t="s">
        <v>6973</v>
      </c>
      <c r="B2641" s="5" t="s">
        <v>6974</v>
      </c>
      <c r="C2641" s="5" t="s">
        <v>389</v>
      </c>
      <c r="D2641" s="5" t="s">
        <v>390</v>
      </c>
      <c r="E2641" s="5" t="s">
        <v>1345</v>
      </c>
      <c r="F2641" s="9" t="s">
        <v>1346</v>
      </c>
      <c r="G2641" s="9">
        <v>88</v>
      </c>
      <c r="H2641" s="5" t="s">
        <v>21</v>
      </c>
      <c r="I2641" s="5" t="s">
        <v>6975</v>
      </c>
      <c r="J2641" s="12" t="str">
        <f>HYPERLINK("https://www.boe.es/gazeta/dias/1808/07/06/pdfs/GMS-1808-11.pdf#page=8","Abrir facsímil")</f>
        <v>Abrir facsímil</v>
      </c>
      <c r="K2641" s="15" t="s">
        <v>23</v>
      </c>
    </row>
    <row r="2642" spans="1:11" ht="42" customHeight="1">
      <c r="A2642" s="4" t="s">
        <v>6976</v>
      </c>
      <c r="B2642" s="5" t="s">
        <v>6977</v>
      </c>
      <c r="C2642" s="5" t="s">
        <v>33</v>
      </c>
      <c r="D2642" s="5" t="s">
        <v>34</v>
      </c>
      <c r="E2642" s="5" t="s">
        <v>197</v>
      </c>
      <c r="F2642" s="9" t="s">
        <v>198</v>
      </c>
      <c r="G2642" s="9" t="s">
        <v>199</v>
      </c>
      <c r="H2642" s="5" t="s">
        <v>21</v>
      </c>
      <c r="I2642" s="5" t="s">
        <v>6978</v>
      </c>
      <c r="J2642" s="12" t="str">
        <f>HYPERLINK("https://www.boe.es/gazeta/dias/1808/11/01/pdfs/GMD-D-1808-140.pdf#page=2","Abrir facsímil")</f>
        <v>Abrir facsímil</v>
      </c>
      <c r="K2642" s="15" t="s">
        <v>23</v>
      </c>
    </row>
    <row r="2643" spans="1:11" ht="42" customHeight="1">
      <c r="A2643" s="4" t="s">
        <v>6979</v>
      </c>
      <c r="B2643" s="5" t="s">
        <v>6980</v>
      </c>
      <c r="C2643" s="5" t="s">
        <v>17</v>
      </c>
      <c r="D2643" s="5" t="s">
        <v>18</v>
      </c>
      <c r="E2643" s="5" t="s">
        <v>218</v>
      </c>
      <c r="F2643" s="9" t="s">
        <v>219</v>
      </c>
      <c r="G2643" s="9">
        <v>331</v>
      </c>
      <c r="H2643" s="5" t="s">
        <v>21</v>
      </c>
      <c r="I2643" s="5" t="s">
        <v>6981</v>
      </c>
      <c r="J2643" s="12" t="str">
        <f>HYPERLINK("https://www.boe.es/gazeta/dias/1808/04/01/pdfs/GMD-1808-29.pdf#page=7","Abrir facsímil")</f>
        <v>Abrir facsímil</v>
      </c>
      <c r="K2643" s="15" t="s">
        <v>23</v>
      </c>
    </row>
    <row r="2644" spans="1:11" ht="42" customHeight="1">
      <c r="A2644" s="4" t="s">
        <v>6982</v>
      </c>
      <c r="B2644" s="5" t="s">
        <v>6982</v>
      </c>
      <c r="C2644" s="5" t="s">
        <v>101</v>
      </c>
      <c r="D2644" s="5" t="s">
        <v>102</v>
      </c>
      <c r="E2644" s="5" t="s">
        <v>96</v>
      </c>
      <c r="F2644" s="9" t="s">
        <v>97</v>
      </c>
      <c r="G2644" s="9">
        <v>260</v>
      </c>
      <c r="H2644" s="5" t="s">
        <v>21</v>
      </c>
      <c r="I2644" s="5" t="s">
        <v>6983</v>
      </c>
      <c r="J2644" s="12" t="str">
        <f>HYPERLINK("https://www.boe.es/gazeta/dias/1808/03/15/pdfs/GMD-1808-22.pdf#page=2","Abrir facsímil")</f>
        <v>Abrir facsímil</v>
      </c>
      <c r="K2644" s="15" t="s">
        <v>23</v>
      </c>
    </row>
    <row r="2645" spans="1:11" ht="42" customHeight="1">
      <c r="A2645" s="4" t="s">
        <v>6984</v>
      </c>
      <c r="B2645" s="5" t="s">
        <v>6985</v>
      </c>
      <c r="C2645" s="5" t="s">
        <v>17</v>
      </c>
      <c r="D2645" s="5" t="s">
        <v>18</v>
      </c>
      <c r="E2645" s="5" t="s">
        <v>719</v>
      </c>
      <c r="F2645" s="9" t="s">
        <v>720</v>
      </c>
      <c r="G2645" s="9">
        <v>1611</v>
      </c>
      <c r="H2645" s="5" t="s">
        <v>21</v>
      </c>
      <c r="I2645" s="5" t="s">
        <v>6986</v>
      </c>
      <c r="J2645" s="12" t="str">
        <f>HYPERLINK("https://www.boe.es/gazeta/dias/1808/12/16/pdfs/GMD-1808-156.pdf#page=3","Abrir facsímil")</f>
        <v>Abrir facsímil</v>
      </c>
      <c r="K2645" s="15" t="s">
        <v>23</v>
      </c>
    </row>
    <row r="2646" spans="1:11" ht="42" customHeight="1">
      <c r="A2646" s="4" t="s">
        <v>6987</v>
      </c>
      <c r="B2646" s="5" t="s">
        <v>6988</v>
      </c>
      <c r="C2646" s="5" t="s">
        <v>17</v>
      </c>
      <c r="D2646" s="5" t="s">
        <v>18</v>
      </c>
      <c r="E2646" s="5" t="s">
        <v>513</v>
      </c>
      <c r="F2646" s="9" t="s">
        <v>514</v>
      </c>
      <c r="G2646" s="9">
        <v>289</v>
      </c>
      <c r="H2646" s="5" t="s">
        <v>21</v>
      </c>
      <c r="I2646" s="5" t="s">
        <v>6989</v>
      </c>
      <c r="J2646" s="12" t="str">
        <f>HYPERLINK("https://www.boe.es/gazeta/dias/1808/03/22/pdfs/GMD-1808-24.pdf#page=11","Abrir facsímil")</f>
        <v>Abrir facsímil</v>
      </c>
      <c r="K2646" s="15" t="s">
        <v>23</v>
      </c>
    </row>
    <row r="2647" spans="1:11" ht="42" customHeight="1">
      <c r="A2647" s="4" t="s">
        <v>6990</v>
      </c>
      <c r="B2647" s="5" t="s">
        <v>6991</v>
      </c>
      <c r="C2647" s="5" t="s">
        <v>33</v>
      </c>
      <c r="D2647" s="5" t="s">
        <v>34</v>
      </c>
      <c r="E2647" s="5" t="s">
        <v>89</v>
      </c>
      <c r="F2647" s="9" t="s">
        <v>563</v>
      </c>
      <c r="G2647" s="9" t="s">
        <v>106</v>
      </c>
      <c r="H2647" s="5" t="s">
        <v>21</v>
      </c>
      <c r="I2647" s="5" t="s">
        <v>6992</v>
      </c>
      <c r="J2647" s="12" t="str">
        <f>HYPERLINK("https://www.boe.es/gazeta/dias/1808/10/25/pdfs/GMD-D-1808-137.pdf#page=3","Abrir facsímil")</f>
        <v>Abrir facsímil</v>
      </c>
      <c r="K2647" s="15" t="s">
        <v>23</v>
      </c>
    </row>
    <row r="2648" spans="1:11" ht="42" customHeight="1">
      <c r="A2648" s="4" t="s">
        <v>6993</v>
      </c>
      <c r="B2648" s="5" t="s">
        <v>6993</v>
      </c>
      <c r="C2648" s="5" t="s">
        <v>94</v>
      </c>
      <c r="D2648" s="5" t="s">
        <v>95</v>
      </c>
      <c r="E2648" s="5" t="s">
        <v>115</v>
      </c>
      <c r="F2648" s="9" t="s">
        <v>1650</v>
      </c>
      <c r="G2648" s="9">
        <v>1177</v>
      </c>
      <c r="H2648" s="5" t="s">
        <v>21</v>
      </c>
      <c r="I2648" s="5" t="s">
        <v>6994</v>
      </c>
      <c r="J2648" s="12" t="str">
        <f>HYPERLINK("https://www.boe.es/gazeta/dias/1808/09/16/pdfs/GMD-1808-125.pdf#page=9","Abrir facsímil")</f>
        <v>Abrir facsímil</v>
      </c>
      <c r="K2648" s="15" t="s">
        <v>23</v>
      </c>
    </row>
    <row r="2649" spans="1:11" ht="42" customHeight="1">
      <c r="A2649" s="4" t="s">
        <v>6995</v>
      </c>
      <c r="B2649" s="5" t="s">
        <v>6995</v>
      </c>
      <c r="C2649" s="5" t="s">
        <v>33</v>
      </c>
      <c r="D2649" s="5" t="s">
        <v>34</v>
      </c>
      <c r="E2649" s="5" t="s">
        <v>456</v>
      </c>
      <c r="F2649" s="9" t="s">
        <v>748</v>
      </c>
      <c r="G2649" s="9" t="s">
        <v>106</v>
      </c>
      <c r="H2649" s="5" t="s">
        <v>21</v>
      </c>
      <c r="I2649" s="5" t="s">
        <v>6996</v>
      </c>
      <c r="J2649" s="12" t="str">
        <f>HYPERLINK("https://www.boe.es/gazeta/dias/1808/10/14/pdfs/GMD-C-1808-134.pdf#page=3","Abrir facsímil")</f>
        <v>Abrir facsímil</v>
      </c>
      <c r="K2649" s="15" t="s">
        <v>23</v>
      </c>
    </row>
    <row r="2650" spans="1:11" ht="42" customHeight="1">
      <c r="A2650" s="4" t="s">
        <v>6997</v>
      </c>
      <c r="B2650" s="5" t="s">
        <v>6998</v>
      </c>
      <c r="C2650" s="5" t="s">
        <v>17</v>
      </c>
      <c r="D2650" s="5" t="s">
        <v>18</v>
      </c>
      <c r="E2650" s="5" t="s">
        <v>427</v>
      </c>
      <c r="F2650" s="9" t="s">
        <v>1802</v>
      </c>
      <c r="G2650" s="9">
        <v>1525</v>
      </c>
      <c r="H2650" s="5" t="s">
        <v>21</v>
      </c>
      <c r="I2650" s="5" t="s">
        <v>6999</v>
      </c>
      <c r="J2650" s="12" t="str">
        <f>HYPERLINK("https://www.boe.es/gazeta/dias/1808/11/22/pdfs/GMD-1808-146.pdf#page=11","Abrir facsímil")</f>
        <v>Abrir facsímil</v>
      </c>
      <c r="K2650" s="15" t="s">
        <v>23</v>
      </c>
    </row>
    <row r="2651" spans="1:11" ht="42" customHeight="1">
      <c r="A2651" s="4" t="s">
        <v>7000</v>
      </c>
      <c r="B2651" s="5" t="s">
        <v>7001</v>
      </c>
      <c r="C2651" s="5" t="s">
        <v>33</v>
      </c>
      <c r="D2651" s="5" t="s">
        <v>34</v>
      </c>
      <c r="E2651" s="5" t="s">
        <v>125</v>
      </c>
      <c r="F2651" s="9" t="s">
        <v>126</v>
      </c>
      <c r="G2651" s="9" t="s">
        <v>106</v>
      </c>
      <c r="H2651" s="5" t="s">
        <v>21</v>
      </c>
      <c r="I2651" s="5" t="s">
        <v>7002</v>
      </c>
      <c r="J2651" s="12" t="str">
        <f>HYPERLINK("https://www.boe.es/gazeta/dias/1808/10/07/pdfs/GMD-C-1808-132.pdf#page=3","Abrir facsímil")</f>
        <v>Abrir facsímil</v>
      </c>
      <c r="K2651" s="15" t="s">
        <v>23</v>
      </c>
    </row>
    <row r="2652" spans="1:11" ht="42" customHeight="1">
      <c r="A2652" s="4" t="s">
        <v>7003</v>
      </c>
      <c r="B2652" s="5" t="s">
        <v>7004</v>
      </c>
      <c r="C2652" s="5" t="s">
        <v>17</v>
      </c>
      <c r="D2652" s="5" t="s">
        <v>18</v>
      </c>
      <c r="E2652" s="5" t="s">
        <v>218</v>
      </c>
      <c r="F2652" s="9" t="s">
        <v>219</v>
      </c>
      <c r="G2652" s="9">
        <v>331</v>
      </c>
      <c r="H2652" s="5" t="s">
        <v>21</v>
      </c>
      <c r="I2652" s="5" t="s">
        <v>7005</v>
      </c>
      <c r="J2652" s="12" t="str">
        <f>HYPERLINK("https://www.boe.es/gazeta/dias/1808/04/01/pdfs/GMD-1808-29.pdf#page=7","Abrir facsímil")</f>
        <v>Abrir facsímil</v>
      </c>
      <c r="K2652" s="15" t="s">
        <v>23</v>
      </c>
    </row>
    <row r="2653" spans="1:11" ht="42" customHeight="1">
      <c r="A2653" s="4" t="s">
        <v>7003</v>
      </c>
      <c r="B2653" s="5" t="s">
        <v>7004</v>
      </c>
      <c r="C2653" s="5" t="s">
        <v>17</v>
      </c>
      <c r="D2653" s="5" t="s">
        <v>18</v>
      </c>
      <c r="E2653" s="5" t="s">
        <v>1791</v>
      </c>
      <c r="F2653" s="9" t="s">
        <v>2814</v>
      </c>
      <c r="G2653" s="9">
        <v>930</v>
      </c>
      <c r="H2653" s="5" t="s">
        <v>21</v>
      </c>
      <c r="I2653" s="5" t="s">
        <v>7006</v>
      </c>
      <c r="J2653" s="12" t="str">
        <f>HYPERLINK("https://www.boe.es/gazeta/dias/1808/07/30/pdfs/GMD-1808-102.pdf#page=4","Abrir facsímil")</f>
        <v>Abrir facsímil</v>
      </c>
      <c r="K2653" s="15" t="s">
        <v>23</v>
      </c>
    </row>
    <row r="2654" spans="1:11" ht="42" customHeight="1">
      <c r="A2654" s="4" t="s">
        <v>7007</v>
      </c>
      <c r="B2654" s="5" t="s">
        <v>7007</v>
      </c>
      <c r="C2654" s="5" t="s">
        <v>17</v>
      </c>
      <c r="D2654" s="5" t="s">
        <v>18</v>
      </c>
      <c r="E2654" s="5" t="s">
        <v>287</v>
      </c>
      <c r="F2654" s="9" t="s">
        <v>489</v>
      </c>
      <c r="G2654" s="9">
        <v>999</v>
      </c>
      <c r="H2654" s="5" t="s">
        <v>21</v>
      </c>
      <c r="I2654" s="5" t="s">
        <v>7008</v>
      </c>
      <c r="J2654" s="12" t="str">
        <f>HYPERLINK("https://www.boe.es/gazeta/dias/1808/08/12/pdfs/GMD-1808-112.pdf#page=3","Abrir facsímil")</f>
        <v>Abrir facsímil</v>
      </c>
      <c r="K2654" s="15" t="s">
        <v>23</v>
      </c>
    </row>
    <row r="2655" spans="1:11" ht="42" customHeight="1">
      <c r="A2655" s="4" t="s">
        <v>7009</v>
      </c>
      <c r="B2655" s="5" t="s">
        <v>7009</v>
      </c>
      <c r="C2655" s="5" t="s">
        <v>17</v>
      </c>
      <c r="D2655" s="5" t="s">
        <v>18</v>
      </c>
      <c r="E2655" s="5" t="s">
        <v>1791</v>
      </c>
      <c r="F2655" s="9" t="s">
        <v>1792</v>
      </c>
      <c r="G2655" s="9">
        <v>138</v>
      </c>
      <c r="H2655" s="5" t="s">
        <v>21</v>
      </c>
      <c r="I2655" s="5" t="s">
        <v>7010</v>
      </c>
      <c r="J2655" s="12" t="str">
        <f>HYPERLINK("https://www.boe.es/gazeta/dias/1808/07/30/pdfs/GMS-1808-18.pdf#page=2","Abrir facsímil")</f>
        <v>Abrir facsímil</v>
      </c>
      <c r="K2655" s="15" t="s">
        <v>23</v>
      </c>
    </row>
    <row r="2656" spans="1:11" ht="42" customHeight="1">
      <c r="A2656" s="4" t="s">
        <v>7011</v>
      </c>
      <c r="B2656" s="5" t="s">
        <v>7012</v>
      </c>
      <c r="C2656" s="5" t="s">
        <v>389</v>
      </c>
      <c r="D2656" s="5" t="s">
        <v>390</v>
      </c>
      <c r="E2656" s="5" t="s">
        <v>139</v>
      </c>
      <c r="F2656" s="9" t="s">
        <v>3587</v>
      </c>
      <c r="G2656" s="9">
        <v>272</v>
      </c>
      <c r="H2656" s="5" t="s">
        <v>21</v>
      </c>
      <c r="I2656" s="5" t="s">
        <v>7013</v>
      </c>
      <c r="J2656" s="12" t="str">
        <f>HYPERLINK("https://www.boe.es/gazeta/dias/1808/09/23/pdfs/GMS-1808-34.pdf#page=8","Abrir facsímil")</f>
        <v>Abrir facsímil</v>
      </c>
      <c r="K2656" s="15" t="s">
        <v>23</v>
      </c>
    </row>
    <row r="2657" spans="1:11" ht="42" customHeight="1">
      <c r="A2657" s="4" t="s">
        <v>7014</v>
      </c>
      <c r="B2657" s="5" t="s">
        <v>7015</v>
      </c>
      <c r="C2657" s="5" t="s">
        <v>17</v>
      </c>
      <c r="D2657" s="5" t="s">
        <v>18</v>
      </c>
      <c r="E2657" s="5" t="s">
        <v>130</v>
      </c>
      <c r="F2657" s="9" t="s">
        <v>131</v>
      </c>
      <c r="G2657" s="9">
        <v>1602</v>
      </c>
      <c r="H2657" s="5" t="s">
        <v>21</v>
      </c>
      <c r="I2657" s="5" t="s">
        <v>7016</v>
      </c>
      <c r="J2657" s="12" t="str">
        <f>HYPERLINK("https://www.boe.es/gazeta/dias/1808/12/15/pdfs/GMD-1808-155.pdf#page=6","Abrir facsímil")</f>
        <v>Abrir facsímil</v>
      </c>
      <c r="K2657" s="15" t="s">
        <v>23</v>
      </c>
    </row>
    <row r="2658" spans="1:11" ht="42" customHeight="1">
      <c r="A2658" s="4" t="s">
        <v>7017</v>
      </c>
      <c r="B2658" s="5" t="s">
        <v>7017</v>
      </c>
      <c r="C2658" s="5" t="s">
        <v>17</v>
      </c>
      <c r="D2658" s="5" t="s">
        <v>18</v>
      </c>
      <c r="E2658" s="5" t="s">
        <v>139</v>
      </c>
      <c r="F2658" s="9" t="s">
        <v>140</v>
      </c>
      <c r="G2658" s="9">
        <v>1203</v>
      </c>
      <c r="H2658" s="5" t="s">
        <v>21</v>
      </c>
      <c r="I2658" s="5" t="s">
        <v>7018</v>
      </c>
      <c r="J2658" s="12" t="str">
        <f>HYPERLINK("https://www.boe.es/gazeta/dias/1808/09/23/pdfs/GMD-1808-127.pdf#page=11","Abrir facsímil")</f>
        <v>Abrir facsímil</v>
      </c>
      <c r="K2658" s="15" t="s">
        <v>23</v>
      </c>
    </row>
    <row r="2659" spans="1:11" ht="42" customHeight="1">
      <c r="A2659" s="4" t="s">
        <v>7019</v>
      </c>
      <c r="B2659" s="5" t="s">
        <v>7020</v>
      </c>
      <c r="C2659" s="5" t="s">
        <v>389</v>
      </c>
      <c r="D2659" s="5" t="s">
        <v>390</v>
      </c>
      <c r="E2659" s="5" t="s">
        <v>469</v>
      </c>
      <c r="F2659" s="9" t="s">
        <v>470</v>
      </c>
      <c r="G2659" s="9">
        <v>156</v>
      </c>
      <c r="H2659" s="5" t="s">
        <v>21</v>
      </c>
      <c r="I2659" s="5" t="s">
        <v>7021</v>
      </c>
      <c r="J2659" s="12" t="str">
        <f>HYPERLINK("https://www.boe.es/gazeta/dias/1808/02/12/pdfs/GMD-1808-13.pdf#page=12","Abrir facsímil")</f>
        <v>Abrir facsímil</v>
      </c>
      <c r="K2659" s="15" t="s">
        <v>23</v>
      </c>
    </row>
    <row r="2660" spans="1:11" ht="42" customHeight="1">
      <c r="A2660" s="4" t="s">
        <v>7022</v>
      </c>
      <c r="B2660" s="5" t="s">
        <v>7022</v>
      </c>
      <c r="C2660" s="5" t="s">
        <v>94</v>
      </c>
      <c r="D2660" s="5" t="s">
        <v>95</v>
      </c>
      <c r="E2660" s="5" t="s">
        <v>2849</v>
      </c>
      <c r="F2660" s="9" t="s">
        <v>2850</v>
      </c>
      <c r="G2660" s="9">
        <v>11</v>
      </c>
      <c r="H2660" s="5" t="s">
        <v>21</v>
      </c>
      <c r="I2660" s="5" t="s">
        <v>7023</v>
      </c>
      <c r="J2660" s="12" t="str">
        <f>HYPERLINK("https://www.boe.es/gazeta/dias/1808/06/04/pdfs/GMS-1808-2.pdf#page=3","Abrir facsímil")</f>
        <v>Abrir facsímil</v>
      </c>
      <c r="K2660" s="15" t="s">
        <v>23</v>
      </c>
    </row>
    <row r="2661" spans="1:11" ht="42" customHeight="1">
      <c r="A2661" s="4" t="s">
        <v>7024</v>
      </c>
      <c r="B2661" s="5" t="s">
        <v>7024</v>
      </c>
      <c r="C2661" s="5" t="s">
        <v>94</v>
      </c>
      <c r="D2661" s="5" t="s">
        <v>95</v>
      </c>
      <c r="E2661" s="5" t="s">
        <v>115</v>
      </c>
      <c r="F2661" s="9" t="s">
        <v>882</v>
      </c>
      <c r="G2661" s="9">
        <v>252</v>
      </c>
      <c r="H2661" s="5" t="s">
        <v>21</v>
      </c>
      <c r="I2661" s="5" t="s">
        <v>7025</v>
      </c>
      <c r="J2661" s="12" t="str">
        <f>HYPERLINK("https://www.boe.es/gazeta/dias/1808/09/16/pdfs/GMS-1808-32.pdf#page=4","Abrir facsímil")</f>
        <v>Abrir facsímil</v>
      </c>
      <c r="K2661" s="15" t="s">
        <v>23</v>
      </c>
    </row>
    <row r="2662" spans="1:11" ht="42" customHeight="1">
      <c r="A2662" s="4" t="s">
        <v>7026</v>
      </c>
      <c r="B2662" s="5" t="s">
        <v>7026</v>
      </c>
      <c r="C2662" s="5" t="s">
        <v>33</v>
      </c>
      <c r="D2662" s="5" t="s">
        <v>34</v>
      </c>
      <c r="E2662" s="5" t="s">
        <v>35</v>
      </c>
      <c r="F2662" s="9" t="s">
        <v>36</v>
      </c>
      <c r="G2662" s="9" t="s">
        <v>284</v>
      </c>
      <c r="H2662" s="5" t="s">
        <v>21</v>
      </c>
      <c r="I2662" s="5" t="s">
        <v>7027</v>
      </c>
      <c r="J2662" s="12" t="str">
        <f>HYPERLINK("https://www.boe.es/gazeta/dias/1808/04/22/pdfs/GMD-C-1808-38.pdf#page=35","Abrir facsímil")</f>
        <v>Abrir facsímil</v>
      </c>
      <c r="K2662" s="15" t="s">
        <v>23</v>
      </c>
    </row>
    <row r="2663" spans="1:11" ht="42" customHeight="1">
      <c r="A2663" s="4" t="s">
        <v>7028</v>
      </c>
      <c r="B2663" s="5" t="s">
        <v>7029</v>
      </c>
      <c r="C2663" s="5" t="s">
        <v>33</v>
      </c>
      <c r="D2663" s="5" t="s">
        <v>34</v>
      </c>
      <c r="E2663" s="5" t="s">
        <v>68</v>
      </c>
      <c r="F2663" s="9" t="s">
        <v>309</v>
      </c>
      <c r="G2663" s="9" t="s">
        <v>199</v>
      </c>
      <c r="H2663" s="5" t="s">
        <v>21</v>
      </c>
      <c r="I2663" s="5" t="s">
        <v>7030</v>
      </c>
      <c r="J2663" s="12" t="str">
        <f>HYPERLINK("https://www.boe.es/gazeta/dias/1808/10/21/pdfs/GMD-D-1808-136.pdf#page=2","Abrir facsímil")</f>
        <v>Abrir facsímil</v>
      </c>
      <c r="K2663" s="15" t="s">
        <v>23</v>
      </c>
    </row>
    <row r="2664" spans="1:11" ht="42" customHeight="1">
      <c r="A2664" s="4" t="s">
        <v>7031</v>
      </c>
      <c r="B2664" s="5" t="s">
        <v>7032</v>
      </c>
      <c r="C2664" s="5" t="s">
        <v>17</v>
      </c>
      <c r="D2664" s="5" t="s">
        <v>18</v>
      </c>
      <c r="E2664" s="5" t="s">
        <v>1258</v>
      </c>
      <c r="F2664" s="9" t="s">
        <v>1259</v>
      </c>
      <c r="G2664" s="9">
        <v>890</v>
      </c>
      <c r="H2664" s="5" t="s">
        <v>21</v>
      </c>
      <c r="I2664" s="5" t="s">
        <v>7033</v>
      </c>
      <c r="J2664" s="12" t="str">
        <f>HYPERLINK("https://www.boe.es/gazeta/dias/1808/07/25/pdfs/GMD-1808-97.pdf#page=4","Abrir facsímil")</f>
        <v>Abrir facsímil</v>
      </c>
      <c r="K2664" s="15" t="s">
        <v>23</v>
      </c>
    </row>
    <row r="2665" spans="1:11" ht="42" customHeight="1">
      <c r="A2665" s="4" t="s">
        <v>7034</v>
      </c>
      <c r="B2665" s="5" t="s">
        <v>7035</v>
      </c>
      <c r="C2665" s="5" t="s">
        <v>17</v>
      </c>
      <c r="D2665" s="5" t="s">
        <v>18</v>
      </c>
      <c r="E2665" s="5" t="s">
        <v>73</v>
      </c>
      <c r="F2665" s="9" t="s">
        <v>581</v>
      </c>
      <c r="G2665" s="9">
        <v>1469</v>
      </c>
      <c r="H2665" s="5" t="s">
        <v>21</v>
      </c>
      <c r="I2665" s="5" t="s">
        <v>7036</v>
      </c>
      <c r="J2665" s="12" t="str">
        <f>HYPERLINK("https://www.boe.es/gazeta/dias/1808/11/11/pdfs/GMD-1808-143.pdf#page=11","Abrir facsímil")</f>
        <v>Abrir facsímil</v>
      </c>
      <c r="K2665" s="15" t="s">
        <v>23</v>
      </c>
    </row>
    <row r="2666" spans="1:11" ht="42" customHeight="1">
      <c r="A2666" s="4" t="s">
        <v>7037</v>
      </c>
      <c r="B2666" s="5" t="s">
        <v>7038</v>
      </c>
      <c r="C2666" s="5" t="s">
        <v>389</v>
      </c>
      <c r="D2666" s="5" t="s">
        <v>390</v>
      </c>
      <c r="E2666" s="5" t="s">
        <v>508</v>
      </c>
      <c r="F2666" s="9" t="s">
        <v>5993</v>
      </c>
      <c r="G2666" s="9">
        <v>182</v>
      </c>
      <c r="H2666" s="5" t="s">
        <v>21</v>
      </c>
      <c r="I2666" s="5" t="s">
        <v>7039</v>
      </c>
      <c r="J2666" s="12" t="str">
        <f>HYPERLINK("https://www.boe.es/gazeta/dias/1808/08/16/pdfs/GMS-1808-23.pdf#page=6","Abrir facsímil")</f>
        <v>Abrir facsímil</v>
      </c>
      <c r="K2666" s="15" t="s">
        <v>23</v>
      </c>
    </row>
    <row r="2667" spans="1:11" ht="42" customHeight="1">
      <c r="A2667" s="4" t="s">
        <v>7040</v>
      </c>
      <c r="B2667" s="5" t="s">
        <v>7040</v>
      </c>
      <c r="C2667" s="5" t="s">
        <v>94</v>
      </c>
      <c r="D2667" s="5" t="s">
        <v>95</v>
      </c>
      <c r="E2667" s="5" t="s">
        <v>363</v>
      </c>
      <c r="F2667" s="9" t="s">
        <v>1224</v>
      </c>
      <c r="G2667" s="9">
        <v>1187</v>
      </c>
      <c r="H2667" s="5" t="s">
        <v>21</v>
      </c>
      <c r="I2667" s="5" t="s">
        <v>7041</v>
      </c>
      <c r="J2667" s="12" t="str">
        <f>HYPERLINK("https://www.boe.es/gazeta/dias/1808/09/20/pdfs/GMD-1808-126.pdf#page=7","Abrir facsímil")</f>
        <v>Abrir facsímil</v>
      </c>
      <c r="K2667" s="15" t="s">
        <v>23</v>
      </c>
    </row>
    <row r="2668" spans="1:11" ht="42" customHeight="1">
      <c r="A2668" s="4" t="s">
        <v>7042</v>
      </c>
      <c r="B2668" s="5" t="s">
        <v>7042</v>
      </c>
      <c r="C2668" s="5" t="s">
        <v>33</v>
      </c>
      <c r="D2668" s="5" t="s">
        <v>34</v>
      </c>
      <c r="E2668" s="5" t="s">
        <v>2194</v>
      </c>
      <c r="F2668" s="9" t="s">
        <v>2195</v>
      </c>
      <c r="G2668" s="9">
        <v>343</v>
      </c>
      <c r="H2668" s="5" t="s">
        <v>21</v>
      </c>
      <c r="I2668" s="5" t="s">
        <v>7043</v>
      </c>
      <c r="J2668" s="12" t="str">
        <f>HYPERLINK("https://www.boe.es/gazeta/dias/1808/04/05/pdfs/GMD-C-1808-31.pdf#page=1","Abrir facsímil")</f>
        <v>Abrir facsímil</v>
      </c>
      <c r="K2668" s="15" t="s">
        <v>23</v>
      </c>
    </row>
    <row r="2669" spans="1:11" ht="42" customHeight="1">
      <c r="A2669" s="4" t="s">
        <v>7044</v>
      </c>
      <c r="B2669" s="5" t="s">
        <v>7044</v>
      </c>
      <c r="C2669" s="5" t="s">
        <v>41</v>
      </c>
      <c r="D2669" s="5" t="s">
        <v>42</v>
      </c>
      <c r="E2669" s="5" t="s">
        <v>139</v>
      </c>
      <c r="F2669" s="9" t="s">
        <v>1089</v>
      </c>
      <c r="G2669" s="9" t="s">
        <v>106</v>
      </c>
      <c r="H2669" s="5" t="s">
        <v>21</v>
      </c>
      <c r="I2669" s="5" t="s">
        <v>7045</v>
      </c>
      <c r="J2669" s="12" t="str">
        <f>HYPERLINK("https://www.boe.es/gazeta/dias/1808/09/23/pdfs/GMD-C-1808-127.pdf#page=3","Abrir facsímil")</f>
        <v>Abrir facsímil</v>
      </c>
      <c r="K2669" s="15" t="s">
        <v>23</v>
      </c>
    </row>
    <row r="2670" spans="1:11" ht="42" customHeight="1">
      <c r="A2670" s="4" t="s">
        <v>7046</v>
      </c>
      <c r="B2670" s="5" t="s">
        <v>7047</v>
      </c>
      <c r="C2670" s="5" t="s">
        <v>94</v>
      </c>
      <c r="D2670" s="5" t="s">
        <v>95</v>
      </c>
      <c r="E2670" s="5" t="s">
        <v>1671</v>
      </c>
      <c r="F2670" s="9" t="s">
        <v>1672</v>
      </c>
      <c r="G2670" s="9">
        <v>481</v>
      </c>
      <c r="H2670" s="5" t="s">
        <v>21</v>
      </c>
      <c r="I2670" s="5" t="s">
        <v>7048</v>
      </c>
      <c r="J2670" s="12" t="str">
        <f>HYPERLINK("https://www.boe.es/gazeta/dias/1808/05/20/pdfs/GMD-1808-48.pdf#page=9","Abrir facsímil")</f>
        <v>Abrir facsímil</v>
      </c>
      <c r="K2670" s="15" t="s">
        <v>23</v>
      </c>
    </row>
    <row r="2671" spans="1:11" ht="42" customHeight="1">
      <c r="A2671" s="4" t="s">
        <v>7049</v>
      </c>
      <c r="B2671" s="5" t="s">
        <v>7049</v>
      </c>
      <c r="C2671" s="5" t="s">
        <v>33</v>
      </c>
      <c r="D2671" s="5" t="s">
        <v>34</v>
      </c>
      <c r="E2671" s="5" t="s">
        <v>35</v>
      </c>
      <c r="F2671" s="9" t="s">
        <v>36</v>
      </c>
      <c r="G2671" s="9" t="s">
        <v>1806</v>
      </c>
      <c r="H2671" s="5" t="s">
        <v>21</v>
      </c>
      <c r="I2671" s="5" t="s">
        <v>7050</v>
      </c>
      <c r="J2671" s="12" t="str">
        <f>HYPERLINK("https://www.boe.es/gazeta/dias/1808/04/22/pdfs/GMD-C-1808-38.pdf#page=6","Abrir facsímil")</f>
        <v>Abrir facsímil</v>
      </c>
      <c r="K2671" s="15" t="s">
        <v>23</v>
      </c>
    </row>
    <row r="2672" spans="1:11" ht="42" customHeight="1">
      <c r="A2672" s="4" t="s">
        <v>7051</v>
      </c>
      <c r="B2672" s="5" t="s">
        <v>7052</v>
      </c>
      <c r="C2672" s="5" t="s">
        <v>33</v>
      </c>
      <c r="D2672" s="5" t="s">
        <v>34</v>
      </c>
      <c r="E2672" s="5" t="s">
        <v>19</v>
      </c>
      <c r="F2672" s="9" t="s">
        <v>949</v>
      </c>
      <c r="G2672" s="9" t="s">
        <v>117</v>
      </c>
      <c r="H2672" s="5" t="s">
        <v>21</v>
      </c>
      <c r="I2672" s="5" t="s">
        <v>7053</v>
      </c>
      <c r="J2672" s="12" t="str">
        <f>HYPERLINK("https://www.boe.es/gazeta/dias/1808/09/30/pdfs/GMD-C-1808-130.pdf#page=1","Abrir facsímil")</f>
        <v>Abrir facsímil</v>
      </c>
      <c r="K2672" s="15" t="s">
        <v>23</v>
      </c>
    </row>
    <row r="2673" spans="1:11" ht="42" customHeight="1">
      <c r="A2673" s="4" t="s">
        <v>7054</v>
      </c>
      <c r="B2673" s="5" t="s">
        <v>7054</v>
      </c>
      <c r="C2673" s="5" t="s">
        <v>41</v>
      </c>
      <c r="D2673" s="5" t="s">
        <v>42</v>
      </c>
      <c r="E2673" s="5" t="s">
        <v>960</v>
      </c>
      <c r="F2673" s="9" t="s">
        <v>961</v>
      </c>
      <c r="G2673" s="9">
        <v>855</v>
      </c>
      <c r="H2673" s="5" t="s">
        <v>21</v>
      </c>
      <c r="I2673" s="5" t="s">
        <v>7055</v>
      </c>
      <c r="J2673" s="12" t="str">
        <f>HYPERLINK("https://www.boe.es/gazeta/dias/1808/07/21/pdfs/GMD-1808-93.pdf#page=1","Abrir facsímil")</f>
        <v>Abrir facsímil</v>
      </c>
      <c r="K2673" s="15" t="s">
        <v>23</v>
      </c>
    </row>
    <row r="2674" spans="1:11" ht="42" customHeight="1">
      <c r="A2674" s="4" t="s">
        <v>7056</v>
      </c>
      <c r="B2674" s="5" t="s">
        <v>7056</v>
      </c>
      <c r="C2674" s="5" t="s">
        <v>94</v>
      </c>
      <c r="D2674" s="5" t="s">
        <v>95</v>
      </c>
      <c r="E2674" s="5" t="s">
        <v>269</v>
      </c>
      <c r="F2674" s="9" t="s">
        <v>270</v>
      </c>
      <c r="G2674" s="9">
        <v>61</v>
      </c>
      <c r="H2674" s="5" t="s">
        <v>21</v>
      </c>
      <c r="I2674" s="5" t="s">
        <v>7057</v>
      </c>
      <c r="J2674" s="12" t="str">
        <f>HYPERLINK("https://www.boe.es/gazeta/dias/1808/01/19/pdfs/GMD-1808-6.pdf#page=1","Abrir facsímil")</f>
        <v>Abrir facsímil</v>
      </c>
      <c r="K2674" s="15" t="s">
        <v>23</v>
      </c>
    </row>
    <row r="2675" spans="1:11" ht="42" customHeight="1">
      <c r="A2675" s="4" t="s">
        <v>7056</v>
      </c>
      <c r="B2675" s="5" t="s">
        <v>7056</v>
      </c>
      <c r="C2675" s="5" t="s">
        <v>101</v>
      </c>
      <c r="D2675" s="5" t="s">
        <v>102</v>
      </c>
      <c r="E2675" s="5" t="s">
        <v>203</v>
      </c>
      <c r="F2675" s="9" t="s">
        <v>204</v>
      </c>
      <c r="G2675" s="9">
        <v>133</v>
      </c>
      <c r="H2675" s="5" t="s">
        <v>21</v>
      </c>
      <c r="I2675" s="5" t="s">
        <v>7058</v>
      </c>
      <c r="J2675" s="12" t="str">
        <f>HYPERLINK("https://www.boe.es/gazeta/dias/1808/02/09/pdfs/GMD-1808-12.pdf#page=1","Abrir facsímil")</f>
        <v>Abrir facsímil</v>
      </c>
      <c r="K2675" s="15" t="s">
        <v>23</v>
      </c>
    </row>
    <row r="2676" spans="1:11" ht="42" customHeight="1">
      <c r="A2676" s="4" t="s">
        <v>7056</v>
      </c>
      <c r="B2676" s="5" t="s">
        <v>7056</v>
      </c>
      <c r="C2676" s="5" t="s">
        <v>101</v>
      </c>
      <c r="D2676" s="5" t="s">
        <v>102</v>
      </c>
      <c r="E2676" s="5" t="s">
        <v>1671</v>
      </c>
      <c r="F2676" s="9" t="s">
        <v>1672</v>
      </c>
      <c r="G2676" s="9">
        <v>476</v>
      </c>
      <c r="H2676" s="5" t="s">
        <v>21</v>
      </c>
      <c r="I2676" s="5" t="s">
        <v>7059</v>
      </c>
      <c r="J2676" s="12" t="str">
        <f>HYPERLINK("https://www.boe.es/gazeta/dias/1808/05/20/pdfs/GMD-1808-48.pdf#page=4","Abrir facsímil")</f>
        <v>Abrir facsímil</v>
      </c>
      <c r="K2676" s="15" t="s">
        <v>23</v>
      </c>
    </row>
    <row r="2677" spans="1:11" ht="42" customHeight="1">
      <c r="A2677" s="4" t="s">
        <v>7060</v>
      </c>
      <c r="B2677" s="5" t="s">
        <v>7061</v>
      </c>
      <c r="C2677" s="5" t="s">
        <v>17</v>
      </c>
      <c r="D2677" s="5" t="s">
        <v>18</v>
      </c>
      <c r="E2677" s="5" t="s">
        <v>110</v>
      </c>
      <c r="F2677" s="9" t="s">
        <v>111</v>
      </c>
      <c r="G2677" s="9">
        <v>1383</v>
      </c>
      <c r="H2677" s="5" t="s">
        <v>21</v>
      </c>
      <c r="I2677" s="5" t="s">
        <v>7062</v>
      </c>
      <c r="J2677" s="12" t="str">
        <f>HYPERLINK("https://www.boe.es/gazeta/dias/1808/10/28/pdfs/GMD-1808-138.pdf#page=9","Abrir facsímil")</f>
        <v>Abrir facsímil</v>
      </c>
      <c r="K2677" s="15" t="s">
        <v>23</v>
      </c>
    </row>
    <row r="2678" spans="1:11" ht="42" customHeight="1">
      <c r="A2678" s="4" t="s">
        <v>7063</v>
      </c>
      <c r="B2678" s="5" t="s">
        <v>7063</v>
      </c>
      <c r="C2678" s="5" t="s">
        <v>17</v>
      </c>
      <c r="D2678" s="5" t="s">
        <v>18</v>
      </c>
      <c r="E2678" s="5" t="s">
        <v>1361</v>
      </c>
      <c r="F2678" s="9" t="s">
        <v>1362</v>
      </c>
      <c r="G2678" s="9">
        <v>471</v>
      </c>
      <c r="H2678" s="5" t="s">
        <v>21</v>
      </c>
      <c r="I2678" s="5" t="s">
        <v>7064</v>
      </c>
      <c r="J2678" s="12" t="str">
        <f>HYPERLINK("https://www.boe.es/gazeta/dias/1808/05/17/pdfs/GMD-1808-47.pdf#page=11","Abrir facsímil")</f>
        <v>Abrir facsímil</v>
      </c>
      <c r="K2678" s="15" t="s">
        <v>23</v>
      </c>
    </row>
    <row r="2679" spans="1:11" ht="42" customHeight="1">
      <c r="A2679" s="4" t="s">
        <v>7065</v>
      </c>
      <c r="B2679" s="5" t="s">
        <v>7066</v>
      </c>
      <c r="C2679" s="5" t="s">
        <v>17</v>
      </c>
      <c r="D2679" s="5" t="s">
        <v>18</v>
      </c>
      <c r="E2679" s="5" t="s">
        <v>139</v>
      </c>
      <c r="F2679" s="9" t="s">
        <v>140</v>
      </c>
      <c r="G2679" s="9">
        <v>1201</v>
      </c>
      <c r="H2679" s="5" t="s">
        <v>21</v>
      </c>
      <c r="I2679" s="5" t="s">
        <v>7067</v>
      </c>
      <c r="J2679" s="12" t="str">
        <f>HYPERLINK("https://www.boe.es/gazeta/dias/1808/09/23/pdfs/GMD-1808-127.pdf#page=9","Abrir facsímil")</f>
        <v>Abrir facsímil</v>
      </c>
      <c r="K2679" s="15" t="s">
        <v>23</v>
      </c>
    </row>
    <row r="2680" spans="1:11" ht="42" customHeight="1">
      <c r="A2680" s="4" t="s">
        <v>7068</v>
      </c>
      <c r="B2680" s="5" t="s">
        <v>7069</v>
      </c>
      <c r="C2680" s="5" t="s">
        <v>33</v>
      </c>
      <c r="D2680" s="5" t="s">
        <v>34</v>
      </c>
      <c r="E2680" s="5" t="s">
        <v>110</v>
      </c>
      <c r="F2680" s="9" t="s">
        <v>4354</v>
      </c>
      <c r="G2680" s="9">
        <v>1391</v>
      </c>
      <c r="H2680" s="5" t="s">
        <v>21</v>
      </c>
      <c r="I2680" s="5" t="s">
        <v>7070</v>
      </c>
      <c r="J2680" s="12" t="str">
        <f>HYPERLINK("https://www.boe.es/gazeta/dias/1808/10/28/pdfs/GMD-C-1808-138.pdf#page=5","Abrir facsímil")</f>
        <v>Abrir facsímil</v>
      </c>
      <c r="K2680" s="15" t="s">
        <v>23</v>
      </c>
    </row>
    <row r="2681" spans="1:11" ht="42" customHeight="1">
      <c r="A2681" s="4" t="s">
        <v>7068</v>
      </c>
      <c r="B2681" s="5" t="s">
        <v>7069</v>
      </c>
      <c r="C2681" s="5" t="s">
        <v>17</v>
      </c>
      <c r="D2681" s="5" t="s">
        <v>18</v>
      </c>
      <c r="E2681" s="5" t="s">
        <v>1371</v>
      </c>
      <c r="F2681" s="9" t="s">
        <v>1372</v>
      </c>
      <c r="G2681" s="9">
        <v>1673</v>
      </c>
      <c r="H2681" s="5" t="s">
        <v>21</v>
      </c>
      <c r="I2681" s="5" t="s">
        <v>7071</v>
      </c>
      <c r="J2681" s="12" t="str">
        <f>HYPERLINK("https://www.boe.es/gazeta/dias/1808/12/24/pdfs/GMD-1808-164.pdf#page=7","Abrir facsímil")</f>
        <v>Abrir facsímil</v>
      </c>
      <c r="K2681" s="15" t="s">
        <v>23</v>
      </c>
    </row>
    <row r="2682" spans="1:11" ht="42" customHeight="1">
      <c r="A2682" s="4" t="s">
        <v>7072</v>
      </c>
      <c r="B2682" s="5" t="s">
        <v>7073</v>
      </c>
      <c r="C2682" s="5" t="s">
        <v>17</v>
      </c>
      <c r="D2682" s="5" t="s">
        <v>18</v>
      </c>
      <c r="E2682" s="5" t="s">
        <v>110</v>
      </c>
      <c r="F2682" s="9" t="s">
        <v>111</v>
      </c>
      <c r="G2682" s="9">
        <v>1379</v>
      </c>
      <c r="H2682" s="5" t="s">
        <v>21</v>
      </c>
      <c r="I2682" s="5" t="s">
        <v>7074</v>
      </c>
      <c r="J2682" s="12" t="str">
        <f>HYPERLINK("https://www.boe.es/gazeta/dias/1808/10/28/pdfs/GMD-1808-138.pdf#page=5","Abrir facsímil")</f>
        <v>Abrir facsímil</v>
      </c>
      <c r="K2682" s="15" t="s">
        <v>23</v>
      </c>
    </row>
    <row r="2683" spans="1:11" ht="42" customHeight="1">
      <c r="A2683" s="4" t="s">
        <v>7075</v>
      </c>
      <c r="B2683" s="5" t="s">
        <v>7076</v>
      </c>
      <c r="C2683" s="5" t="s">
        <v>17</v>
      </c>
      <c r="D2683" s="5" t="s">
        <v>18</v>
      </c>
      <c r="E2683" s="5" t="s">
        <v>68</v>
      </c>
      <c r="F2683" s="9" t="s">
        <v>69</v>
      </c>
      <c r="G2683" s="9">
        <v>1336</v>
      </c>
      <c r="H2683" s="5" t="s">
        <v>21</v>
      </c>
      <c r="I2683" s="5" t="s">
        <v>7077</v>
      </c>
      <c r="J2683" s="12" t="str">
        <f>HYPERLINK("https://www.boe.es/gazeta/dias/1808/10/21/pdfs/GMD-1808-136.pdf#page=8","Abrir facsímil")</f>
        <v>Abrir facsímil</v>
      </c>
      <c r="K2683" s="15" t="s">
        <v>23</v>
      </c>
    </row>
    <row r="2684" spans="1:11" ht="42" customHeight="1">
      <c r="A2684" s="4" t="s">
        <v>7078</v>
      </c>
      <c r="B2684" s="5" t="s">
        <v>7079</v>
      </c>
      <c r="C2684" s="5" t="s">
        <v>94</v>
      </c>
      <c r="D2684" s="5" t="s">
        <v>95</v>
      </c>
      <c r="E2684" s="5" t="s">
        <v>3439</v>
      </c>
      <c r="F2684" s="9" t="s">
        <v>3440</v>
      </c>
      <c r="G2684" s="9">
        <v>940</v>
      </c>
      <c r="H2684" s="5" t="s">
        <v>21</v>
      </c>
      <c r="I2684" s="5" t="s">
        <v>7080</v>
      </c>
      <c r="J2684" s="12" t="str">
        <f>HYPERLINK("https://www.boe.es/gazeta/dias/1808/07/31/pdfs/GMD-1808-103.pdf#page=6","Abrir facsímil")</f>
        <v>Abrir facsímil</v>
      </c>
      <c r="K2684" s="15" t="s">
        <v>23</v>
      </c>
    </row>
    <row r="2685" spans="1:11" ht="42" customHeight="1">
      <c r="A2685" s="4" t="s">
        <v>7078</v>
      </c>
      <c r="B2685" s="5" t="s">
        <v>7079</v>
      </c>
      <c r="C2685" s="5" t="s">
        <v>17</v>
      </c>
      <c r="D2685" s="5" t="s">
        <v>18</v>
      </c>
      <c r="E2685" s="5" t="s">
        <v>68</v>
      </c>
      <c r="F2685" s="9" t="s">
        <v>69</v>
      </c>
      <c r="G2685" s="9">
        <v>1336</v>
      </c>
      <c r="H2685" s="5" t="s">
        <v>21</v>
      </c>
      <c r="I2685" s="5" t="s">
        <v>7081</v>
      </c>
      <c r="J2685" s="12" t="str">
        <f>HYPERLINK("https://www.boe.es/gazeta/dias/1808/10/21/pdfs/GMD-1808-136.pdf#page=8","Abrir facsímil")</f>
        <v>Abrir facsímil</v>
      </c>
      <c r="K2685" s="15" t="s">
        <v>23</v>
      </c>
    </row>
    <row r="2686" spans="1:11" ht="42" customHeight="1">
      <c r="A2686" s="4" t="s">
        <v>7082</v>
      </c>
      <c r="B2686" s="5" t="s">
        <v>7083</v>
      </c>
      <c r="C2686" s="5" t="s">
        <v>17</v>
      </c>
      <c r="D2686" s="5" t="s">
        <v>18</v>
      </c>
      <c r="E2686" s="5" t="s">
        <v>130</v>
      </c>
      <c r="F2686" s="9" t="s">
        <v>131</v>
      </c>
      <c r="G2686" s="9">
        <v>1603</v>
      </c>
      <c r="H2686" s="5" t="s">
        <v>21</v>
      </c>
      <c r="I2686" s="5" t="s">
        <v>7084</v>
      </c>
      <c r="J2686" s="12" t="str">
        <f>HYPERLINK("https://www.boe.es/gazeta/dias/1808/12/15/pdfs/GMD-1808-155.pdf#page=7","Abrir facsímil")</f>
        <v>Abrir facsímil</v>
      </c>
      <c r="K2686" s="15" t="s">
        <v>23</v>
      </c>
    </row>
    <row r="2687" spans="1:11" ht="42" customHeight="1">
      <c r="A2687" s="4" t="s">
        <v>7085</v>
      </c>
      <c r="B2687" s="5" t="s">
        <v>7086</v>
      </c>
      <c r="C2687" s="5" t="s">
        <v>41</v>
      </c>
      <c r="D2687" s="5" t="s">
        <v>42</v>
      </c>
      <c r="E2687" s="5" t="s">
        <v>35</v>
      </c>
      <c r="F2687" s="9" t="s">
        <v>36</v>
      </c>
      <c r="G2687" s="9" t="s">
        <v>1860</v>
      </c>
      <c r="H2687" s="5" t="s">
        <v>21</v>
      </c>
      <c r="I2687" s="5" t="s">
        <v>7087</v>
      </c>
      <c r="J2687" s="12" t="str">
        <f>HYPERLINK("https://www.boe.es/gazeta/dias/1808/04/22/pdfs/GMD-C-1808-38.pdf#page=37","Abrir facsímil")</f>
        <v>Abrir facsímil</v>
      </c>
      <c r="K2687" s="15" t="s">
        <v>23</v>
      </c>
    </row>
    <row r="2688" spans="1:11" ht="42" customHeight="1">
      <c r="A2688" s="4" t="s">
        <v>7088</v>
      </c>
      <c r="B2688" s="5" t="s">
        <v>7088</v>
      </c>
      <c r="C2688" s="5" t="s">
        <v>389</v>
      </c>
      <c r="D2688" s="5" t="s">
        <v>390</v>
      </c>
      <c r="E2688" s="5" t="s">
        <v>1345</v>
      </c>
      <c r="F2688" s="9" t="s">
        <v>3321</v>
      </c>
      <c r="G2688" s="9">
        <v>738</v>
      </c>
      <c r="H2688" s="5" t="s">
        <v>21</v>
      </c>
      <c r="I2688" s="5" t="s">
        <v>7089</v>
      </c>
      <c r="J2688" s="12" t="str">
        <f>HYPERLINK("https://www.boe.es/gazeta/dias/1808/07/06/pdfs/GMD-1808-78.pdf#page=4","Abrir facsímil")</f>
        <v>Abrir facsímil</v>
      </c>
      <c r="K2688" s="15" t="s">
        <v>23</v>
      </c>
    </row>
    <row r="2689" spans="1:11" ht="42" customHeight="1">
      <c r="A2689" s="4" t="s">
        <v>7090</v>
      </c>
      <c r="B2689" s="5" t="s">
        <v>7091</v>
      </c>
      <c r="C2689" s="5" t="s">
        <v>642</v>
      </c>
      <c r="D2689" s="5" t="s">
        <v>643</v>
      </c>
      <c r="E2689" s="5" t="s">
        <v>644</v>
      </c>
      <c r="F2689" s="9" t="s">
        <v>645</v>
      </c>
      <c r="G2689" s="9">
        <v>322</v>
      </c>
      <c r="H2689" s="5" t="s">
        <v>21</v>
      </c>
      <c r="I2689" s="5" t="s">
        <v>7092</v>
      </c>
      <c r="J2689" s="12" t="str">
        <f>HYPERLINK("https://www.boe.es/gazeta/dias/1808/03/31/pdfs/GMD-1808-28E.pdf#page=6","Abrir facsímil")</f>
        <v>Abrir facsímil</v>
      </c>
      <c r="K2689" s="15" t="s">
        <v>23</v>
      </c>
    </row>
    <row r="2690" spans="1:11" ht="42" customHeight="1">
      <c r="A2690" s="4" t="s">
        <v>7093</v>
      </c>
      <c r="B2690" s="5" t="s">
        <v>7094</v>
      </c>
      <c r="C2690" s="5" t="s">
        <v>642</v>
      </c>
      <c r="D2690" s="5" t="s">
        <v>643</v>
      </c>
      <c r="E2690" s="5" t="s">
        <v>644</v>
      </c>
      <c r="F2690" s="9" t="s">
        <v>645</v>
      </c>
      <c r="G2690" s="9">
        <v>318</v>
      </c>
      <c r="H2690" s="5" t="s">
        <v>21</v>
      </c>
      <c r="I2690" s="5" t="s">
        <v>7095</v>
      </c>
      <c r="J2690" s="12" t="str">
        <f>HYPERLINK("https://www.boe.es/gazeta/dias/1808/03/31/pdfs/GMD-1808-28E.pdf#page=2","Abrir facsímil")</f>
        <v>Abrir facsímil</v>
      </c>
      <c r="K2690" s="15" t="s">
        <v>23</v>
      </c>
    </row>
    <row r="2691" spans="1:11" ht="42" customHeight="1">
      <c r="A2691" s="4" t="s">
        <v>7096</v>
      </c>
      <c r="B2691" s="5" t="s">
        <v>7097</v>
      </c>
      <c r="C2691" s="5" t="s">
        <v>389</v>
      </c>
      <c r="D2691" s="5" t="s">
        <v>390</v>
      </c>
      <c r="E2691" s="5" t="s">
        <v>644</v>
      </c>
      <c r="F2691" s="9" t="s">
        <v>645</v>
      </c>
      <c r="G2691" s="9">
        <v>320</v>
      </c>
      <c r="H2691" s="5" t="s">
        <v>21</v>
      </c>
      <c r="I2691" s="5" t="s">
        <v>7098</v>
      </c>
      <c r="J2691" s="12" t="str">
        <f>HYPERLINK("https://www.boe.es/gazeta/dias/1808/03/31/pdfs/GMD-1808-28E.pdf#page=4","Abrir facsímil")</f>
        <v>Abrir facsímil</v>
      </c>
      <c r="K2691" s="15" t="s">
        <v>23</v>
      </c>
    </row>
    <row r="2692" spans="1:11" ht="42" customHeight="1">
      <c r="A2692" s="4" t="s">
        <v>7096</v>
      </c>
      <c r="B2692" s="5" t="s">
        <v>7097</v>
      </c>
      <c r="C2692" s="5" t="s">
        <v>642</v>
      </c>
      <c r="D2692" s="5" t="s">
        <v>643</v>
      </c>
      <c r="E2692" s="5" t="s">
        <v>644</v>
      </c>
      <c r="F2692" s="9" t="s">
        <v>645</v>
      </c>
      <c r="G2692" s="9">
        <v>321</v>
      </c>
      <c r="H2692" s="5" t="s">
        <v>21</v>
      </c>
      <c r="I2692" s="5" t="s">
        <v>7099</v>
      </c>
      <c r="J2692" s="12" t="str">
        <f>HYPERLINK("https://www.boe.es/gazeta/dias/1808/03/31/pdfs/GMD-1808-28E.pdf#page=5","Abrir facsímil")</f>
        <v>Abrir facsímil</v>
      </c>
      <c r="K2692" s="15" t="s">
        <v>23</v>
      </c>
    </row>
    <row r="2693" spans="1:11" ht="42" customHeight="1">
      <c r="A2693" s="4" t="s">
        <v>7100</v>
      </c>
      <c r="B2693" s="5" t="s">
        <v>7101</v>
      </c>
      <c r="C2693" s="5" t="s">
        <v>17</v>
      </c>
      <c r="D2693" s="5" t="s">
        <v>18</v>
      </c>
      <c r="E2693" s="5" t="s">
        <v>877</v>
      </c>
      <c r="F2693" s="9" t="s">
        <v>878</v>
      </c>
      <c r="G2693" s="9">
        <v>118</v>
      </c>
      <c r="H2693" s="5" t="s">
        <v>21</v>
      </c>
      <c r="I2693" s="5" t="s">
        <v>7102</v>
      </c>
      <c r="J2693" s="12" t="str">
        <f>HYPERLINK("https://www.boe.es/gazeta/dias/1808/02/02/pdfs/GMD-1808-10.pdf#page=10","Abrir facsímil")</f>
        <v>Abrir facsímil</v>
      </c>
      <c r="K2693" s="15" t="s">
        <v>23</v>
      </c>
    </row>
    <row r="2694" spans="1:11" ht="42" customHeight="1">
      <c r="A2694" s="4" t="s">
        <v>7103</v>
      </c>
      <c r="B2694" s="5" t="s">
        <v>7104</v>
      </c>
      <c r="C2694" s="5" t="s">
        <v>41</v>
      </c>
      <c r="D2694" s="5" t="s">
        <v>42</v>
      </c>
      <c r="E2694" s="5" t="s">
        <v>35</v>
      </c>
      <c r="F2694" s="9" t="s">
        <v>36</v>
      </c>
      <c r="G2694" s="9" t="s">
        <v>162</v>
      </c>
      <c r="H2694" s="5" t="s">
        <v>21</v>
      </c>
      <c r="I2694" s="5" t="s">
        <v>7105</v>
      </c>
      <c r="J2694" s="12" t="str">
        <f>HYPERLINK("https://www.boe.es/gazeta/dias/1808/04/22/pdfs/GMD-C-1808-38.pdf#page=31","Abrir facsímil")</f>
        <v>Abrir facsímil</v>
      </c>
      <c r="K2694" s="15" t="s">
        <v>23</v>
      </c>
    </row>
    <row r="2695" spans="1:11" ht="42" customHeight="1">
      <c r="A2695" s="4" t="s">
        <v>7106</v>
      </c>
      <c r="B2695" s="5" t="s">
        <v>7107</v>
      </c>
      <c r="C2695" s="5" t="s">
        <v>94</v>
      </c>
      <c r="D2695" s="5" t="s">
        <v>95</v>
      </c>
      <c r="E2695" s="5" t="s">
        <v>991</v>
      </c>
      <c r="F2695" s="9" t="s">
        <v>992</v>
      </c>
      <c r="G2695" s="9">
        <v>219</v>
      </c>
      <c r="H2695" s="5" t="s">
        <v>21</v>
      </c>
      <c r="I2695" s="5" t="s">
        <v>7108</v>
      </c>
      <c r="J2695" s="12" t="str">
        <f>HYPERLINK("https://www.boe.es/gazeta/dias/1808/03/01/pdfs/GMD-1808-18.pdf#page=9","Abrir facsímil")</f>
        <v>Abrir facsímil</v>
      </c>
      <c r="K2695" s="15" t="s">
        <v>23</v>
      </c>
    </row>
    <row r="2696" spans="1:11" ht="42" customHeight="1">
      <c r="A2696" s="4" t="s">
        <v>7109</v>
      </c>
      <c r="B2696" s="5" t="s">
        <v>7110</v>
      </c>
      <c r="C2696" s="5" t="s">
        <v>260</v>
      </c>
      <c r="D2696" s="5" t="s">
        <v>42</v>
      </c>
      <c r="E2696" s="5" t="s">
        <v>493</v>
      </c>
      <c r="F2696" s="9" t="s">
        <v>494</v>
      </c>
      <c r="G2696" s="9">
        <v>45</v>
      </c>
      <c r="H2696" s="5" t="s">
        <v>21</v>
      </c>
      <c r="I2696" s="5" t="s">
        <v>7111</v>
      </c>
      <c r="J2696" s="12" t="str">
        <f>HYPERLINK("https://www.boe.es/gazeta/dias/1808/01/12/pdfs/GMD-1808-4.pdf#page=9","Abrir facsímil")</f>
        <v>Abrir facsímil</v>
      </c>
      <c r="K2696" s="15" t="s">
        <v>23</v>
      </c>
    </row>
    <row r="2697" spans="1:11" ht="42" customHeight="1">
      <c r="A2697" s="4" t="s">
        <v>7112</v>
      </c>
      <c r="B2697" s="5" t="s">
        <v>7113</v>
      </c>
      <c r="C2697" s="5" t="s">
        <v>41</v>
      </c>
      <c r="D2697" s="5" t="s">
        <v>42</v>
      </c>
      <c r="E2697" s="5" t="s">
        <v>7114</v>
      </c>
      <c r="F2697" s="9" t="s">
        <v>7115</v>
      </c>
      <c r="G2697" s="9">
        <v>439</v>
      </c>
      <c r="H2697" s="5" t="s">
        <v>21</v>
      </c>
      <c r="I2697" s="5" t="s">
        <v>7116</v>
      </c>
      <c r="J2697" s="12" t="str">
        <f>HYPERLINK("https://www.boe.es/gazeta/dias/1808/05/06/pdfs/GMD-1808-44.pdf#page=7","Abrir facsímil")</f>
        <v>Abrir facsímil</v>
      </c>
      <c r="K2697" s="15" t="s">
        <v>23</v>
      </c>
    </row>
    <row r="2698" spans="1:11" ht="42" customHeight="1">
      <c r="A2698" s="4" t="s">
        <v>7117</v>
      </c>
      <c r="B2698" s="5" t="s">
        <v>7118</v>
      </c>
      <c r="C2698" s="5" t="s">
        <v>389</v>
      </c>
      <c r="D2698" s="5" t="s">
        <v>390</v>
      </c>
      <c r="E2698" s="5" t="s">
        <v>35</v>
      </c>
      <c r="F2698" s="9" t="s">
        <v>36</v>
      </c>
      <c r="G2698" s="9" t="s">
        <v>1806</v>
      </c>
      <c r="H2698" s="5" t="s">
        <v>21</v>
      </c>
      <c r="I2698" s="5" t="s">
        <v>7119</v>
      </c>
      <c r="J2698" s="12" t="str">
        <f>HYPERLINK("https://www.boe.es/gazeta/dias/1808/04/22/pdfs/GMD-C-1808-38.pdf#page=6","Abrir facsímil")</f>
        <v>Abrir facsímil</v>
      </c>
      <c r="K2698" s="15" t="s">
        <v>23</v>
      </c>
    </row>
    <row r="2699" spans="1:11" ht="42" customHeight="1">
      <c r="A2699" s="4" t="s">
        <v>7120</v>
      </c>
      <c r="B2699" s="5" t="s">
        <v>7121</v>
      </c>
      <c r="C2699" s="5" t="s">
        <v>17</v>
      </c>
      <c r="D2699" s="5" t="s">
        <v>18</v>
      </c>
      <c r="E2699" s="5" t="s">
        <v>89</v>
      </c>
      <c r="F2699" s="9" t="s">
        <v>90</v>
      </c>
      <c r="G2699" s="9">
        <v>1363</v>
      </c>
      <c r="H2699" s="5" t="s">
        <v>21</v>
      </c>
      <c r="I2699" s="5" t="s">
        <v>7122</v>
      </c>
      <c r="J2699" s="12" t="str">
        <f>HYPERLINK("https://www.boe.es/gazeta/dias/1808/10/25/pdfs/GMD-1808-137.pdf#page=11","Abrir facsímil")</f>
        <v>Abrir facsímil</v>
      </c>
      <c r="K2699" s="15" t="s">
        <v>23</v>
      </c>
    </row>
    <row r="2700" spans="1:11" ht="42" customHeight="1">
      <c r="A2700" s="4" t="s">
        <v>7123</v>
      </c>
      <c r="B2700" s="5" t="s">
        <v>7124</v>
      </c>
      <c r="C2700" s="5" t="s">
        <v>17</v>
      </c>
      <c r="D2700" s="5" t="s">
        <v>18</v>
      </c>
      <c r="E2700" s="5" t="s">
        <v>110</v>
      </c>
      <c r="F2700" s="9" t="s">
        <v>111</v>
      </c>
      <c r="G2700" s="9">
        <v>1384</v>
      </c>
      <c r="H2700" s="5" t="s">
        <v>21</v>
      </c>
      <c r="I2700" s="5" t="s">
        <v>7125</v>
      </c>
      <c r="J2700" s="12" t="str">
        <f>HYPERLINK("https://www.boe.es/gazeta/dias/1808/10/28/pdfs/GMD-1808-138.pdf#page=10","Abrir facsímil")</f>
        <v>Abrir facsímil</v>
      </c>
      <c r="K2700" s="15" t="s">
        <v>23</v>
      </c>
    </row>
    <row r="2701" spans="1:11" ht="42" customHeight="1">
      <c r="A2701" s="4" t="s">
        <v>7123</v>
      </c>
      <c r="B2701" s="5" t="s">
        <v>7124</v>
      </c>
      <c r="C2701" s="5" t="s">
        <v>17</v>
      </c>
      <c r="D2701" s="5" t="s">
        <v>18</v>
      </c>
      <c r="E2701" s="5" t="s">
        <v>197</v>
      </c>
      <c r="F2701" s="9" t="s">
        <v>790</v>
      </c>
      <c r="G2701" s="9">
        <v>1407</v>
      </c>
      <c r="H2701" s="5" t="s">
        <v>21</v>
      </c>
      <c r="I2701" s="5" t="s">
        <v>7126</v>
      </c>
      <c r="J2701" s="12" t="str">
        <f>HYPERLINK("https://www.boe.es/gazeta/dias/1808/11/01/pdfs/GMD-1808-140.pdf#page=9","Abrir facsímil")</f>
        <v>Abrir facsímil</v>
      </c>
      <c r="K2701" s="15" t="s">
        <v>23</v>
      </c>
    </row>
    <row r="2702" spans="1:11" ht="42" customHeight="1">
      <c r="A2702" s="4" t="s">
        <v>7127</v>
      </c>
      <c r="B2702" s="5" t="s">
        <v>7128</v>
      </c>
      <c r="C2702" s="5" t="s">
        <v>33</v>
      </c>
      <c r="D2702" s="5" t="s">
        <v>34</v>
      </c>
      <c r="E2702" s="5" t="s">
        <v>461</v>
      </c>
      <c r="F2702" s="9" t="s">
        <v>1404</v>
      </c>
      <c r="G2702" s="9">
        <v>1454</v>
      </c>
      <c r="H2702" s="5" t="s">
        <v>21</v>
      </c>
      <c r="I2702" s="5" t="s">
        <v>7129</v>
      </c>
      <c r="J2702" s="12" t="str">
        <f>HYPERLINK("https://www.boe.es/gazeta/dias/1808/11/08/pdfs/GMD-C-1808-142.pdf#page=4","Abrir facsímil")</f>
        <v>Abrir facsímil</v>
      </c>
      <c r="K2702" s="15" t="s">
        <v>23</v>
      </c>
    </row>
    <row r="2703" spans="1:11" ht="42" customHeight="1">
      <c r="A2703" s="4" t="s">
        <v>7130</v>
      </c>
      <c r="B2703" s="5" t="s">
        <v>7131</v>
      </c>
      <c r="C2703" s="5" t="s">
        <v>33</v>
      </c>
      <c r="D2703" s="5" t="s">
        <v>34</v>
      </c>
      <c r="E2703" s="5" t="s">
        <v>35</v>
      </c>
      <c r="F2703" s="9" t="s">
        <v>36</v>
      </c>
      <c r="G2703" s="9" t="s">
        <v>313</v>
      </c>
      <c r="H2703" s="5" t="s">
        <v>21</v>
      </c>
      <c r="I2703" s="5" t="s">
        <v>7132</v>
      </c>
      <c r="J2703" s="12" t="str">
        <f>HYPERLINK("https://www.boe.es/gazeta/dias/1808/04/22/pdfs/GMD-C-1808-38.pdf#page=29","Abrir facsímil")</f>
        <v>Abrir facsímil</v>
      </c>
      <c r="K2703" s="15" t="s">
        <v>23</v>
      </c>
    </row>
    <row r="2704" spans="1:11" ht="42" customHeight="1">
      <c r="A2704" s="4" t="s">
        <v>7133</v>
      </c>
      <c r="B2704" s="5" t="s">
        <v>7133</v>
      </c>
      <c r="C2704" s="5" t="s">
        <v>389</v>
      </c>
      <c r="D2704" s="5" t="s">
        <v>390</v>
      </c>
      <c r="E2704" s="5" t="s">
        <v>35</v>
      </c>
      <c r="F2704" s="9" t="s">
        <v>3452</v>
      </c>
      <c r="G2704" s="9">
        <v>403</v>
      </c>
      <c r="H2704" s="5" t="s">
        <v>21</v>
      </c>
      <c r="I2704" s="5" t="s">
        <v>7134</v>
      </c>
      <c r="J2704" s="12" t="str">
        <f>HYPERLINK("https://www.boe.es/gazeta/dias/1808/04/22/pdfs/GMD-1808-38.pdf#page=11","Abrir facsímil")</f>
        <v>Abrir facsímil</v>
      </c>
      <c r="K2704" s="15" t="s">
        <v>23</v>
      </c>
    </row>
    <row r="2705" spans="1:11" ht="42" customHeight="1">
      <c r="A2705" s="4" t="s">
        <v>7135</v>
      </c>
      <c r="B2705" s="5" t="s">
        <v>7136</v>
      </c>
      <c r="C2705" s="5" t="s">
        <v>33</v>
      </c>
      <c r="D2705" s="5" t="s">
        <v>34</v>
      </c>
      <c r="E2705" s="5" t="s">
        <v>35</v>
      </c>
      <c r="F2705" s="9" t="s">
        <v>36</v>
      </c>
      <c r="G2705" s="9" t="s">
        <v>4783</v>
      </c>
      <c r="H2705" s="5" t="s">
        <v>21</v>
      </c>
      <c r="I2705" s="5" t="s">
        <v>7137</v>
      </c>
      <c r="J2705" s="12" t="str">
        <f>HYPERLINK("https://www.boe.es/gazeta/dias/1808/04/22/pdfs/GMD-C-1808-38.pdf#page=36","Abrir facsímil")</f>
        <v>Abrir facsímil</v>
      </c>
      <c r="K2705" s="15" t="s">
        <v>23</v>
      </c>
    </row>
    <row r="2706" spans="1:11" ht="42" customHeight="1">
      <c r="A2706" s="4" t="s">
        <v>7138</v>
      </c>
      <c r="B2706" s="5" t="s">
        <v>7139</v>
      </c>
      <c r="C2706" s="5" t="s">
        <v>33</v>
      </c>
      <c r="D2706" s="5" t="s">
        <v>34</v>
      </c>
      <c r="E2706" s="5" t="s">
        <v>461</v>
      </c>
      <c r="F2706" s="9" t="s">
        <v>462</v>
      </c>
      <c r="G2706" s="9" t="s">
        <v>117</v>
      </c>
      <c r="H2706" s="5" t="s">
        <v>21</v>
      </c>
      <c r="I2706" s="5" t="s">
        <v>7140</v>
      </c>
      <c r="J2706" s="12" t="str">
        <f>HYPERLINK("https://www.boe.es/gazeta/dias/1808/11/08/pdfs/GMD-D-1808-142.pdf#page=1","Abrir facsímil")</f>
        <v>Abrir facsímil</v>
      </c>
      <c r="K2706" s="15" t="s">
        <v>23</v>
      </c>
    </row>
    <row r="2707" spans="1:11" ht="42" customHeight="1">
      <c r="A2707" s="4" t="s">
        <v>7141</v>
      </c>
      <c r="B2707" s="5" t="s">
        <v>7142</v>
      </c>
      <c r="C2707" s="5" t="s">
        <v>33</v>
      </c>
      <c r="D2707" s="5" t="s">
        <v>34</v>
      </c>
      <c r="E2707" s="5" t="s">
        <v>68</v>
      </c>
      <c r="F2707" s="9" t="s">
        <v>309</v>
      </c>
      <c r="G2707" s="9" t="s">
        <v>75</v>
      </c>
      <c r="H2707" s="5" t="s">
        <v>21</v>
      </c>
      <c r="I2707" s="5" t="s">
        <v>7143</v>
      </c>
      <c r="J2707" s="12" t="str">
        <f>HYPERLINK("https://www.boe.es/gazeta/dias/1808/10/21/pdfs/GMD-D-1808-136.pdf#page=4","Abrir facsímil")</f>
        <v>Abrir facsímil</v>
      </c>
      <c r="K2707" s="15" t="s">
        <v>23</v>
      </c>
    </row>
    <row r="2708" spans="1:11" ht="42" customHeight="1">
      <c r="A2708" s="4" t="s">
        <v>7144</v>
      </c>
      <c r="B2708" s="5" t="s">
        <v>7145</v>
      </c>
      <c r="C2708" s="5" t="s">
        <v>33</v>
      </c>
      <c r="D2708" s="5" t="s">
        <v>34</v>
      </c>
      <c r="E2708" s="5" t="s">
        <v>125</v>
      </c>
      <c r="F2708" s="9" t="s">
        <v>126</v>
      </c>
      <c r="G2708" s="9" t="s">
        <v>117</v>
      </c>
      <c r="H2708" s="5" t="s">
        <v>21</v>
      </c>
      <c r="I2708" s="5" t="s">
        <v>7146</v>
      </c>
      <c r="J2708" s="12" t="str">
        <f>HYPERLINK("https://www.boe.es/gazeta/dias/1808/10/07/pdfs/GMD-C-1808-132.pdf#page=1","Abrir facsímil")</f>
        <v>Abrir facsímil</v>
      </c>
      <c r="K2708" s="15" t="s">
        <v>23</v>
      </c>
    </row>
    <row r="2709" spans="1:11" ht="42" customHeight="1">
      <c r="A2709" s="4" t="s">
        <v>7147</v>
      </c>
      <c r="B2709" s="5" t="s">
        <v>7148</v>
      </c>
      <c r="C2709" s="5" t="s">
        <v>33</v>
      </c>
      <c r="D2709" s="5" t="s">
        <v>34</v>
      </c>
      <c r="E2709" s="5" t="s">
        <v>461</v>
      </c>
      <c r="F2709" s="9" t="s">
        <v>462</v>
      </c>
      <c r="G2709" s="9" t="s">
        <v>117</v>
      </c>
      <c r="H2709" s="5" t="s">
        <v>21</v>
      </c>
      <c r="I2709" s="5" t="s">
        <v>7149</v>
      </c>
      <c r="J2709" s="12" t="str">
        <f>HYPERLINK("https://www.boe.es/gazeta/dias/1808/11/08/pdfs/GMD-D-1808-142.pdf#page=1","Abrir facsímil")</f>
        <v>Abrir facsímil</v>
      </c>
      <c r="K2709" s="15" t="s">
        <v>23</v>
      </c>
    </row>
    <row r="2710" spans="1:11" ht="42" customHeight="1">
      <c r="A2710" s="4" t="s">
        <v>7150</v>
      </c>
      <c r="B2710" s="5" t="s">
        <v>7151</v>
      </c>
      <c r="C2710" s="5" t="s">
        <v>41</v>
      </c>
      <c r="D2710" s="5" t="s">
        <v>42</v>
      </c>
      <c r="E2710" s="5" t="s">
        <v>125</v>
      </c>
      <c r="F2710" s="9" t="s">
        <v>126</v>
      </c>
      <c r="G2710" s="9" t="s">
        <v>117</v>
      </c>
      <c r="H2710" s="5" t="s">
        <v>21</v>
      </c>
      <c r="I2710" s="5" t="s">
        <v>7152</v>
      </c>
      <c r="J2710" s="12" t="str">
        <f>HYPERLINK("https://www.boe.es/gazeta/dias/1808/10/07/pdfs/GMD-C-1808-132.pdf#page=1","Abrir facsímil")</f>
        <v>Abrir facsímil</v>
      </c>
      <c r="K2710" s="15" t="s">
        <v>23</v>
      </c>
    </row>
    <row r="2711" spans="1:11" ht="42" customHeight="1">
      <c r="A2711" s="4" t="s">
        <v>7153</v>
      </c>
      <c r="B2711" s="5" t="s">
        <v>7154</v>
      </c>
      <c r="C2711" s="5" t="s">
        <v>33</v>
      </c>
      <c r="D2711" s="5" t="s">
        <v>34</v>
      </c>
      <c r="E2711" s="5" t="s">
        <v>35</v>
      </c>
      <c r="F2711" s="9" t="s">
        <v>36</v>
      </c>
      <c r="G2711" s="9" t="s">
        <v>75</v>
      </c>
      <c r="H2711" s="5" t="s">
        <v>21</v>
      </c>
      <c r="I2711" s="5" t="s">
        <v>7155</v>
      </c>
      <c r="J2711" s="12" t="str">
        <f>HYPERLINK("https://www.boe.es/gazeta/dias/1808/04/22/pdfs/GMD-C-1808-38.pdf#page=4","Abrir facsímil")</f>
        <v>Abrir facsímil</v>
      </c>
      <c r="K2711" s="15" t="s">
        <v>23</v>
      </c>
    </row>
    <row r="2712" spans="1:11" ht="42" customHeight="1">
      <c r="A2712" s="4" t="s">
        <v>7156</v>
      </c>
      <c r="B2712" s="5" t="s">
        <v>7157</v>
      </c>
      <c r="C2712" s="5" t="s">
        <v>33</v>
      </c>
      <c r="D2712" s="5" t="s">
        <v>34</v>
      </c>
      <c r="E2712" s="5" t="s">
        <v>391</v>
      </c>
      <c r="F2712" s="9" t="s">
        <v>588</v>
      </c>
      <c r="G2712" s="9" t="s">
        <v>106</v>
      </c>
      <c r="H2712" s="5" t="s">
        <v>21</v>
      </c>
      <c r="I2712" s="5" t="s">
        <v>7158</v>
      </c>
      <c r="J2712" s="12" t="str">
        <f>HYPERLINK("https://www.boe.es/gazeta/dias/1808/09/27/pdfs/GMD-C-1808-128.pdf#page=3","Abrir facsímil")</f>
        <v>Abrir facsímil</v>
      </c>
      <c r="K2712" s="15" t="s">
        <v>23</v>
      </c>
    </row>
    <row r="2713" spans="1:11" ht="42" customHeight="1">
      <c r="A2713" s="4" t="s">
        <v>7159</v>
      </c>
      <c r="B2713" s="5" t="s">
        <v>7159</v>
      </c>
      <c r="C2713" s="5" t="s">
        <v>17</v>
      </c>
      <c r="D2713" s="5" t="s">
        <v>18</v>
      </c>
      <c r="E2713" s="5" t="s">
        <v>61</v>
      </c>
      <c r="F2713" s="9" t="s">
        <v>62</v>
      </c>
      <c r="G2713" s="9">
        <v>1286</v>
      </c>
      <c r="H2713" s="5" t="s">
        <v>21</v>
      </c>
      <c r="I2713" s="5" t="s">
        <v>7160</v>
      </c>
      <c r="J2713" s="12" t="str">
        <f>HYPERLINK("https://www.boe.es/gazeta/dias/1808/10/11/pdfs/GMD-1808-133.pdf#page=14","Abrir facsímil")</f>
        <v>Abrir facsímil</v>
      </c>
      <c r="K2713" s="15" t="s">
        <v>23</v>
      </c>
    </row>
    <row r="2714" spans="1:11" ht="42" customHeight="1">
      <c r="A2714" s="4" t="s">
        <v>7159</v>
      </c>
      <c r="B2714" s="5" t="s">
        <v>7159</v>
      </c>
      <c r="C2714" s="5" t="s">
        <v>26</v>
      </c>
      <c r="D2714" s="5" t="s">
        <v>27</v>
      </c>
      <c r="E2714" s="5" t="s">
        <v>461</v>
      </c>
      <c r="F2714" s="9" t="s">
        <v>733</v>
      </c>
      <c r="G2714" s="9">
        <v>1447</v>
      </c>
      <c r="H2714" s="5" t="s">
        <v>21</v>
      </c>
      <c r="I2714" s="5" t="s">
        <v>7161</v>
      </c>
      <c r="J2714" s="12" t="str">
        <f>HYPERLINK("https://www.boe.es/gazeta/dias/1808/11/08/pdfs/GMD-1808-142.pdf#page=9","Abrir facsímil")</f>
        <v>Abrir facsímil</v>
      </c>
      <c r="K2714" s="15" t="s">
        <v>23</v>
      </c>
    </row>
    <row r="2715" spans="1:11" ht="42" customHeight="1">
      <c r="A2715" s="4" t="s">
        <v>7162</v>
      </c>
      <c r="B2715" s="5" t="s">
        <v>7162</v>
      </c>
      <c r="C2715" s="5" t="s">
        <v>33</v>
      </c>
      <c r="D2715" s="5" t="s">
        <v>34</v>
      </c>
      <c r="E2715" s="5" t="s">
        <v>89</v>
      </c>
      <c r="F2715" s="9" t="s">
        <v>563</v>
      </c>
      <c r="G2715" s="9" t="s">
        <v>75</v>
      </c>
      <c r="H2715" s="5" t="s">
        <v>21</v>
      </c>
      <c r="I2715" s="5" t="s">
        <v>7163</v>
      </c>
      <c r="J2715" s="12" t="str">
        <f>HYPERLINK("https://www.boe.es/gazeta/dias/1808/10/25/pdfs/GMD-D-1808-137.pdf#page=4","Abrir facsímil")</f>
        <v>Abrir facsímil</v>
      </c>
      <c r="K2715" s="15" t="s">
        <v>23</v>
      </c>
    </row>
    <row r="2716" spans="1:11" ht="42" customHeight="1">
      <c r="A2716" s="4" t="s">
        <v>7164</v>
      </c>
      <c r="B2716" s="5" t="s">
        <v>7164</v>
      </c>
      <c r="C2716" s="5" t="s">
        <v>33</v>
      </c>
      <c r="D2716" s="5" t="s">
        <v>34</v>
      </c>
      <c r="E2716" s="5" t="s">
        <v>558</v>
      </c>
      <c r="F2716" s="9" t="s">
        <v>758</v>
      </c>
      <c r="G2716" s="9" t="s">
        <v>199</v>
      </c>
      <c r="H2716" s="5" t="s">
        <v>21</v>
      </c>
      <c r="I2716" s="5" t="s">
        <v>7165</v>
      </c>
      <c r="J2716" s="12" t="str">
        <f>HYPERLINK("https://www.boe.es/gazeta/dias/1808/11/25/pdfs/GMD-E-1808-147.pdf#page=2","Abrir facsímil")</f>
        <v>Abrir facsímil</v>
      </c>
      <c r="K2716" s="15" t="s">
        <v>23</v>
      </c>
    </row>
    <row r="2717" spans="1:11" ht="42" customHeight="1">
      <c r="A2717" s="4" t="s">
        <v>7166</v>
      </c>
      <c r="B2717" s="5" t="s">
        <v>7166</v>
      </c>
      <c r="C2717" s="5" t="s">
        <v>33</v>
      </c>
      <c r="D2717" s="5" t="s">
        <v>34</v>
      </c>
      <c r="E2717" s="5" t="s">
        <v>35</v>
      </c>
      <c r="F2717" s="9" t="s">
        <v>36</v>
      </c>
      <c r="G2717" s="9" t="s">
        <v>75</v>
      </c>
      <c r="H2717" s="5" t="s">
        <v>21</v>
      </c>
      <c r="I2717" s="5" t="s">
        <v>7167</v>
      </c>
      <c r="J2717" s="12" t="str">
        <f>HYPERLINK("https://www.boe.es/gazeta/dias/1808/04/22/pdfs/GMD-C-1808-38.pdf#page=4","Abrir facsímil")</f>
        <v>Abrir facsímil</v>
      </c>
      <c r="K2717" s="15" t="s">
        <v>23</v>
      </c>
    </row>
    <row r="2718" spans="1:11" ht="42" customHeight="1">
      <c r="A2718" s="4" t="s">
        <v>7168</v>
      </c>
      <c r="B2718" s="5" t="s">
        <v>7168</v>
      </c>
      <c r="C2718" s="5" t="s">
        <v>17</v>
      </c>
      <c r="D2718" s="5" t="s">
        <v>18</v>
      </c>
      <c r="E2718" s="5" t="s">
        <v>968</v>
      </c>
      <c r="F2718" s="9" t="s">
        <v>969</v>
      </c>
      <c r="G2718" s="9">
        <v>899</v>
      </c>
      <c r="H2718" s="5" t="s">
        <v>21</v>
      </c>
      <c r="I2718" s="5" t="s">
        <v>7169</v>
      </c>
      <c r="J2718" s="12" t="str">
        <f>HYPERLINK("https://www.boe.es/gazeta/dias/1808/07/26/pdfs/GMD-1808-98.pdf#page=5","Abrir facsímil")</f>
        <v>Abrir facsímil</v>
      </c>
      <c r="K2718" s="15" t="s">
        <v>23</v>
      </c>
    </row>
    <row r="2719" spans="1:11" ht="42" customHeight="1">
      <c r="A2719" s="4" t="s">
        <v>7168</v>
      </c>
      <c r="B2719" s="5" t="s">
        <v>7168</v>
      </c>
      <c r="C2719" s="5" t="s">
        <v>41</v>
      </c>
      <c r="D2719" s="5" t="s">
        <v>42</v>
      </c>
      <c r="E2719" s="5" t="s">
        <v>427</v>
      </c>
      <c r="F2719" s="9" t="s">
        <v>428</v>
      </c>
      <c r="G2719" s="9" t="s">
        <v>75</v>
      </c>
      <c r="H2719" s="5" t="s">
        <v>21</v>
      </c>
      <c r="I2719" s="5" t="s">
        <v>7170</v>
      </c>
      <c r="J2719" s="12" t="str">
        <f>HYPERLINK("https://www.boe.es/gazeta/dias/1808/11/22/pdfs/GMD-D-1808-146.pdf#page=4","Abrir facsímil")</f>
        <v>Abrir facsímil</v>
      </c>
      <c r="K2719" s="15" t="s">
        <v>23</v>
      </c>
    </row>
    <row r="2720" spans="1:11" ht="42" customHeight="1">
      <c r="A2720" s="4" t="s">
        <v>7171</v>
      </c>
      <c r="B2720" s="5" t="s">
        <v>7171</v>
      </c>
      <c r="C2720" s="5" t="s">
        <v>33</v>
      </c>
      <c r="D2720" s="5" t="s">
        <v>34</v>
      </c>
      <c r="E2720" s="5" t="s">
        <v>68</v>
      </c>
      <c r="F2720" s="9" t="s">
        <v>309</v>
      </c>
      <c r="G2720" s="9" t="s">
        <v>106</v>
      </c>
      <c r="H2720" s="5" t="s">
        <v>21</v>
      </c>
      <c r="I2720" s="5" t="s">
        <v>7172</v>
      </c>
      <c r="J2720" s="12" t="str">
        <f>HYPERLINK("https://www.boe.es/gazeta/dias/1808/10/21/pdfs/GMD-D-1808-136.pdf#page=3","Abrir facsímil")</f>
        <v>Abrir facsímil</v>
      </c>
      <c r="K2720" s="15" t="s">
        <v>23</v>
      </c>
    </row>
    <row r="2721" spans="1:11" ht="42" customHeight="1">
      <c r="A2721" s="4" t="s">
        <v>7173</v>
      </c>
      <c r="B2721" s="5" t="s">
        <v>7173</v>
      </c>
      <c r="C2721" s="5" t="s">
        <v>94</v>
      </c>
      <c r="D2721" s="5" t="s">
        <v>95</v>
      </c>
      <c r="E2721" s="5" t="s">
        <v>919</v>
      </c>
      <c r="F2721" s="9" t="s">
        <v>920</v>
      </c>
      <c r="G2721" s="9">
        <v>492</v>
      </c>
      <c r="H2721" s="5" t="s">
        <v>21</v>
      </c>
      <c r="I2721" s="5" t="s">
        <v>7174</v>
      </c>
      <c r="J2721" s="12" t="str">
        <f>HYPERLINK("https://www.boe.es/gazeta/dias/1808/05/24/pdfs/GMD-1808-49.pdf#page=8","Abrir facsímil")</f>
        <v>Abrir facsímil</v>
      </c>
      <c r="K2721" s="15" t="s">
        <v>23</v>
      </c>
    </row>
    <row r="2722" spans="1:11" ht="42" customHeight="1">
      <c r="A2722" s="4" t="s">
        <v>7175</v>
      </c>
      <c r="B2722" s="5" t="s">
        <v>7175</v>
      </c>
      <c r="C2722" s="5" t="s">
        <v>33</v>
      </c>
      <c r="D2722" s="5" t="s">
        <v>34</v>
      </c>
      <c r="E2722" s="5" t="s">
        <v>68</v>
      </c>
      <c r="F2722" s="9" t="s">
        <v>849</v>
      </c>
      <c r="G2722" s="9">
        <v>1344</v>
      </c>
      <c r="H2722" s="5" t="s">
        <v>21</v>
      </c>
      <c r="I2722" s="5" t="s">
        <v>7176</v>
      </c>
      <c r="J2722" s="12" t="str">
        <f>HYPERLINK("https://www.boe.es/gazeta/dias/1808/10/21/pdfs/GMD-C-1808-136.pdf#page=4","Abrir facsímil")</f>
        <v>Abrir facsímil</v>
      </c>
      <c r="K2722" s="15" t="s">
        <v>23</v>
      </c>
    </row>
    <row r="2723" spans="1:11" ht="42" customHeight="1">
      <c r="A2723" s="4" t="s">
        <v>7177</v>
      </c>
      <c r="B2723" s="5" t="s">
        <v>7178</v>
      </c>
      <c r="C2723" s="5" t="s">
        <v>17</v>
      </c>
      <c r="D2723" s="5" t="s">
        <v>18</v>
      </c>
      <c r="E2723" s="5" t="s">
        <v>418</v>
      </c>
      <c r="F2723" s="9" t="s">
        <v>1218</v>
      </c>
      <c r="G2723" s="9">
        <v>1122</v>
      </c>
      <c r="H2723" s="5" t="s">
        <v>21</v>
      </c>
      <c r="I2723" s="5" t="s">
        <v>7179</v>
      </c>
      <c r="J2723" s="12" t="str">
        <f>HYPERLINK("https://www.boe.es/gazeta/dias/1808/09/06/pdfs/GMD-1808-120.pdf#page=4","Abrir facsímil")</f>
        <v>Abrir facsímil</v>
      </c>
      <c r="K2723" s="15" t="s">
        <v>23</v>
      </c>
    </row>
    <row r="2724" spans="1:11" ht="42" customHeight="1">
      <c r="A2724" s="4" t="s">
        <v>7180</v>
      </c>
      <c r="B2724" s="5" t="s">
        <v>7180</v>
      </c>
      <c r="C2724" s="5" t="s">
        <v>41</v>
      </c>
      <c r="D2724" s="5" t="s">
        <v>42</v>
      </c>
      <c r="E2724" s="5" t="s">
        <v>974</v>
      </c>
      <c r="F2724" s="9" t="s">
        <v>975</v>
      </c>
      <c r="G2724" s="9">
        <v>392</v>
      </c>
      <c r="H2724" s="5" t="s">
        <v>21</v>
      </c>
      <c r="I2724" s="5" t="s">
        <v>7181</v>
      </c>
      <c r="J2724" s="12" t="str">
        <f>HYPERLINK("https://www.boe.es/gazeta/dias/1808/04/19/pdfs/GMD-1808-37.pdf#page=8","Abrir facsímil")</f>
        <v>Abrir facsímil</v>
      </c>
      <c r="K2724" s="15" t="s">
        <v>23</v>
      </c>
    </row>
    <row r="2725" spans="1:11" ht="42" customHeight="1">
      <c r="A2725" s="4" t="s">
        <v>7182</v>
      </c>
      <c r="B2725" s="5" t="s">
        <v>7182</v>
      </c>
      <c r="C2725" s="5" t="s">
        <v>17</v>
      </c>
      <c r="D2725" s="5" t="s">
        <v>18</v>
      </c>
      <c r="E2725" s="5" t="s">
        <v>461</v>
      </c>
      <c r="F2725" s="9" t="s">
        <v>733</v>
      </c>
      <c r="G2725" s="9">
        <v>1448</v>
      </c>
      <c r="H2725" s="5" t="s">
        <v>21</v>
      </c>
      <c r="I2725" s="5" t="s">
        <v>7183</v>
      </c>
      <c r="J2725" s="12" t="str">
        <f>HYPERLINK("https://www.boe.es/gazeta/dias/1808/11/08/pdfs/GMD-1808-142.pdf#page=10","Abrir facsímil")</f>
        <v>Abrir facsímil</v>
      </c>
      <c r="K2725" s="15" t="s">
        <v>23</v>
      </c>
    </row>
    <row r="2726" spans="1:11" ht="42" customHeight="1">
      <c r="A2726" s="4" t="s">
        <v>7184</v>
      </c>
      <c r="B2726" s="5" t="s">
        <v>7184</v>
      </c>
      <c r="C2726" s="5" t="s">
        <v>389</v>
      </c>
      <c r="D2726" s="5" t="s">
        <v>390</v>
      </c>
      <c r="E2726" s="5" t="s">
        <v>264</v>
      </c>
      <c r="F2726" s="9" t="s">
        <v>2256</v>
      </c>
      <c r="G2726" s="9">
        <v>1566</v>
      </c>
      <c r="H2726" s="5" t="s">
        <v>21</v>
      </c>
      <c r="I2726" s="5" t="s">
        <v>7185</v>
      </c>
      <c r="J2726" s="12" t="str">
        <f>HYPERLINK("https://www.boe.es/gazeta/dias/1808/11/29/pdfs/GMD-1808-148.pdf#page=12","Abrir facsímil")</f>
        <v>Abrir facsímil</v>
      </c>
      <c r="K2726" s="15" t="s">
        <v>23</v>
      </c>
    </row>
    <row r="2727" spans="1:11" ht="42" customHeight="1">
      <c r="A2727" s="4" t="s">
        <v>7186</v>
      </c>
      <c r="B2727" s="5" t="s">
        <v>7186</v>
      </c>
      <c r="C2727" s="5" t="s">
        <v>17</v>
      </c>
      <c r="D2727" s="5" t="s">
        <v>18</v>
      </c>
      <c r="E2727" s="5" t="s">
        <v>89</v>
      </c>
      <c r="F2727" s="9" t="s">
        <v>90</v>
      </c>
      <c r="G2727" s="9">
        <v>1363</v>
      </c>
      <c r="H2727" s="5" t="s">
        <v>21</v>
      </c>
      <c r="I2727" s="5" t="s">
        <v>7187</v>
      </c>
      <c r="J2727" s="12" t="str">
        <f>HYPERLINK("https://www.boe.es/gazeta/dias/1808/10/25/pdfs/GMD-1808-137.pdf#page=11","Abrir facsímil")</f>
        <v>Abrir facsímil</v>
      </c>
      <c r="K2727" s="15" t="s">
        <v>23</v>
      </c>
    </row>
    <row r="2728" spans="1:11" ht="42" customHeight="1">
      <c r="A2728" s="4" t="s">
        <v>7188</v>
      </c>
      <c r="B2728" s="5" t="s">
        <v>7189</v>
      </c>
      <c r="C2728" s="5" t="s">
        <v>94</v>
      </c>
      <c r="D2728" s="5" t="s">
        <v>95</v>
      </c>
      <c r="E2728" s="5" t="s">
        <v>228</v>
      </c>
      <c r="F2728" s="9" t="s">
        <v>229</v>
      </c>
      <c r="G2728" s="9">
        <v>836</v>
      </c>
      <c r="H2728" s="5" t="s">
        <v>21</v>
      </c>
      <c r="I2728" s="5" t="s">
        <v>7190</v>
      </c>
      <c r="J2728" s="12" t="str">
        <f>HYPERLINK("https://www.boe.es/gazeta/dias/1808/07/18/pdfs/GMD-1808-90.pdf#page=6","Abrir facsímil")</f>
        <v>Abrir facsímil</v>
      </c>
      <c r="K2728" s="15" t="s">
        <v>23</v>
      </c>
    </row>
    <row r="2729" spans="1:11" ht="42" customHeight="1">
      <c r="A2729" s="4" t="s">
        <v>7191</v>
      </c>
      <c r="B2729" s="5" t="s">
        <v>7192</v>
      </c>
      <c r="C2729" s="5" t="s">
        <v>101</v>
      </c>
      <c r="D2729" s="5" t="s">
        <v>102</v>
      </c>
      <c r="E2729" s="5" t="s">
        <v>2856</v>
      </c>
      <c r="F2729" s="9" t="s">
        <v>6466</v>
      </c>
      <c r="G2729" s="9">
        <v>962</v>
      </c>
      <c r="H2729" s="5" t="s">
        <v>21</v>
      </c>
      <c r="I2729" s="5" t="s">
        <v>7193</v>
      </c>
      <c r="J2729" s="12" t="str">
        <f>HYPERLINK("https://www.boe.es/gazeta/dias/1808/08/03/pdfs/GMD-1808-106.pdf#page=4","Abrir facsímil")</f>
        <v>Abrir facsímil</v>
      </c>
      <c r="K2729" s="15" t="s">
        <v>23</v>
      </c>
    </row>
    <row r="2730" spans="1:11" ht="42" customHeight="1">
      <c r="A2730" s="4" t="s">
        <v>7194</v>
      </c>
      <c r="B2730" s="5" t="s">
        <v>7195</v>
      </c>
      <c r="C2730" s="5" t="s">
        <v>94</v>
      </c>
      <c r="D2730" s="5" t="s">
        <v>95</v>
      </c>
      <c r="E2730" s="5" t="s">
        <v>1821</v>
      </c>
      <c r="F2730" s="9" t="s">
        <v>1874</v>
      </c>
      <c r="G2730" s="9">
        <v>628</v>
      </c>
      <c r="H2730" s="5" t="s">
        <v>21</v>
      </c>
      <c r="I2730" s="5" t="s">
        <v>7196</v>
      </c>
      <c r="J2730" s="12" t="str">
        <f>HYPERLINK("https://www.boe.es/gazeta/dias/1808/06/22/pdfs/GMD-1808-64.pdf#page=6","Abrir facsímil")</f>
        <v>Abrir facsímil</v>
      </c>
      <c r="K2730" s="15" t="s">
        <v>23</v>
      </c>
    </row>
    <row r="2731" spans="1:11" ht="42" customHeight="1">
      <c r="A2731" s="4" t="s">
        <v>7194</v>
      </c>
      <c r="B2731" s="5" t="s">
        <v>7195</v>
      </c>
      <c r="C2731" s="5" t="s">
        <v>17</v>
      </c>
      <c r="D2731" s="5" t="s">
        <v>18</v>
      </c>
      <c r="E2731" s="5" t="s">
        <v>719</v>
      </c>
      <c r="F2731" s="9" t="s">
        <v>720</v>
      </c>
      <c r="G2731" s="9">
        <v>1610</v>
      </c>
      <c r="H2731" s="5" t="s">
        <v>21</v>
      </c>
      <c r="I2731" s="5" t="s">
        <v>7197</v>
      </c>
      <c r="J2731" s="12" t="str">
        <f>HYPERLINK("https://www.boe.es/gazeta/dias/1808/12/16/pdfs/GMD-1808-156.pdf#page=2","Abrir facsímil")</f>
        <v>Abrir facsímil</v>
      </c>
      <c r="K2731" s="15" t="s">
        <v>23</v>
      </c>
    </row>
    <row r="2732" spans="1:11" ht="42" customHeight="1">
      <c r="A2732" s="4" t="s">
        <v>7198</v>
      </c>
      <c r="B2732" s="5" t="s">
        <v>7199</v>
      </c>
      <c r="C2732" s="5" t="s">
        <v>94</v>
      </c>
      <c r="D2732" s="5" t="s">
        <v>95</v>
      </c>
      <c r="E2732" s="5" t="s">
        <v>139</v>
      </c>
      <c r="F2732" s="9" t="s">
        <v>1089</v>
      </c>
      <c r="G2732" s="9" t="s">
        <v>106</v>
      </c>
      <c r="H2732" s="5" t="s">
        <v>21</v>
      </c>
      <c r="I2732" s="5" t="s">
        <v>7200</v>
      </c>
      <c r="J2732" s="12" t="str">
        <f>HYPERLINK("https://www.boe.es/gazeta/dias/1808/09/23/pdfs/GMD-C-1808-127.pdf#page=3","Abrir facsímil")</f>
        <v>Abrir facsímil</v>
      </c>
      <c r="K2732" s="15" t="s">
        <v>23</v>
      </c>
    </row>
    <row r="2733" spans="1:11" ht="42" customHeight="1">
      <c r="A2733" s="4" t="s">
        <v>7201</v>
      </c>
      <c r="B2733" s="5" t="s">
        <v>7202</v>
      </c>
      <c r="C2733" s="5" t="s">
        <v>33</v>
      </c>
      <c r="D2733" s="5" t="s">
        <v>34</v>
      </c>
      <c r="E2733" s="5" t="s">
        <v>35</v>
      </c>
      <c r="F2733" s="9" t="s">
        <v>36</v>
      </c>
      <c r="G2733" s="9" t="s">
        <v>322</v>
      </c>
      <c r="H2733" s="5" t="s">
        <v>21</v>
      </c>
      <c r="I2733" s="5" t="s">
        <v>7203</v>
      </c>
      <c r="J2733" s="12" t="str">
        <f>HYPERLINK("https://www.boe.es/gazeta/dias/1808/04/22/pdfs/GMD-C-1808-38.pdf#page=15","Abrir facsímil")</f>
        <v>Abrir facsímil</v>
      </c>
      <c r="K2733" s="15" t="s">
        <v>23</v>
      </c>
    </row>
    <row r="2734" spans="1:11" ht="42" customHeight="1">
      <c r="A2734" s="4" t="s">
        <v>7204</v>
      </c>
      <c r="B2734" s="5" t="s">
        <v>7205</v>
      </c>
      <c r="C2734" s="5" t="s">
        <v>33</v>
      </c>
      <c r="D2734" s="5" t="s">
        <v>34</v>
      </c>
      <c r="E2734" s="5" t="s">
        <v>125</v>
      </c>
      <c r="F2734" s="9" t="s">
        <v>126</v>
      </c>
      <c r="G2734" s="9" t="s">
        <v>106</v>
      </c>
      <c r="H2734" s="5" t="s">
        <v>21</v>
      </c>
      <c r="I2734" s="5" t="s">
        <v>7206</v>
      </c>
      <c r="J2734" s="12" t="str">
        <f>HYPERLINK("https://www.boe.es/gazeta/dias/1808/10/07/pdfs/GMD-C-1808-132.pdf#page=3","Abrir facsímil")</f>
        <v>Abrir facsímil</v>
      </c>
      <c r="K2734" s="15" t="s">
        <v>23</v>
      </c>
    </row>
    <row r="2735" spans="1:11" ht="42" customHeight="1">
      <c r="A2735" s="4" t="s">
        <v>7207</v>
      </c>
      <c r="B2735" s="5" t="s">
        <v>7208</v>
      </c>
      <c r="C2735" s="5" t="s">
        <v>33</v>
      </c>
      <c r="D2735" s="5" t="s">
        <v>34</v>
      </c>
      <c r="E2735" s="5" t="s">
        <v>35</v>
      </c>
      <c r="F2735" s="9" t="s">
        <v>36</v>
      </c>
      <c r="G2735" s="9" t="s">
        <v>324</v>
      </c>
      <c r="H2735" s="5" t="s">
        <v>21</v>
      </c>
      <c r="I2735" s="5" t="s">
        <v>7209</v>
      </c>
      <c r="J2735" s="12" t="str">
        <f>HYPERLINK("https://www.boe.es/gazeta/dias/1808/04/22/pdfs/GMD-C-1808-38.pdf#page=24","Abrir facsímil")</f>
        <v>Abrir facsímil</v>
      </c>
      <c r="K2735" s="15" t="s">
        <v>23</v>
      </c>
    </row>
    <row r="2736" spans="1:11" ht="42" customHeight="1">
      <c r="A2736" s="4" t="s">
        <v>7207</v>
      </c>
      <c r="B2736" s="5" t="s">
        <v>7208</v>
      </c>
      <c r="C2736" s="5" t="s">
        <v>33</v>
      </c>
      <c r="D2736" s="5" t="s">
        <v>34</v>
      </c>
      <c r="E2736" s="5" t="s">
        <v>35</v>
      </c>
      <c r="F2736" s="9" t="s">
        <v>36</v>
      </c>
      <c r="G2736" s="9" t="s">
        <v>279</v>
      </c>
      <c r="H2736" s="5" t="s">
        <v>21</v>
      </c>
      <c r="I2736" s="5" t="s">
        <v>7210</v>
      </c>
      <c r="J2736" s="12" t="str">
        <f>HYPERLINK("https://www.boe.es/gazeta/dias/1808/04/22/pdfs/GMD-C-1808-38.pdf#page=44","Abrir facsímil")</f>
        <v>Abrir facsímil</v>
      </c>
      <c r="K2736" s="15" t="s">
        <v>23</v>
      </c>
    </row>
    <row r="2737" spans="1:11" ht="42" customHeight="1">
      <c r="A2737" s="4" t="s">
        <v>7211</v>
      </c>
      <c r="B2737" s="5" t="s">
        <v>7212</v>
      </c>
      <c r="C2737" s="5" t="s">
        <v>33</v>
      </c>
      <c r="D2737" s="5" t="s">
        <v>34</v>
      </c>
      <c r="E2737" s="5" t="s">
        <v>73</v>
      </c>
      <c r="F2737" s="9" t="s">
        <v>74</v>
      </c>
      <c r="G2737" s="9" t="s">
        <v>117</v>
      </c>
      <c r="H2737" s="5" t="s">
        <v>21</v>
      </c>
      <c r="I2737" s="5" t="s">
        <v>7213</v>
      </c>
      <c r="J2737" s="12" t="str">
        <f>HYPERLINK("https://www.boe.es/gazeta/dias/1808/11/11/pdfs/GMD-D-1808-143.pdf#page=1","Abrir facsímil")</f>
        <v>Abrir facsímil</v>
      </c>
      <c r="K2737" s="15" t="s">
        <v>23</v>
      </c>
    </row>
    <row r="2738" spans="1:11" ht="42" customHeight="1">
      <c r="A2738" s="4" t="s">
        <v>7214</v>
      </c>
      <c r="B2738" s="5" t="s">
        <v>7215</v>
      </c>
      <c r="C2738" s="5" t="s">
        <v>33</v>
      </c>
      <c r="D2738" s="5" t="s">
        <v>34</v>
      </c>
      <c r="E2738" s="5" t="s">
        <v>65</v>
      </c>
      <c r="F2738" s="9" t="s">
        <v>691</v>
      </c>
      <c r="G2738" s="9">
        <v>1328</v>
      </c>
      <c r="H2738" s="5" t="s">
        <v>21</v>
      </c>
      <c r="I2738" s="5" t="s">
        <v>7216</v>
      </c>
      <c r="J2738" s="12" t="str">
        <f>HYPERLINK("https://www.boe.es/gazeta/dias/1808/10/18/pdfs/GMD-C-1808-135.pdf#page=12","Abrir facsímil")</f>
        <v>Abrir facsímil</v>
      </c>
      <c r="K2738" s="15" t="s">
        <v>23</v>
      </c>
    </row>
    <row r="2739" spans="1:11" ht="42" customHeight="1">
      <c r="A2739" s="4" t="s">
        <v>7217</v>
      </c>
      <c r="B2739" s="5" t="s">
        <v>7217</v>
      </c>
      <c r="C2739" s="5" t="s">
        <v>17</v>
      </c>
      <c r="D2739" s="5" t="s">
        <v>18</v>
      </c>
      <c r="E2739" s="5" t="s">
        <v>19</v>
      </c>
      <c r="F2739" s="9" t="s">
        <v>59</v>
      </c>
      <c r="G2739" s="9">
        <v>1229</v>
      </c>
      <c r="H2739" s="5" t="s">
        <v>21</v>
      </c>
      <c r="I2739" s="5" t="s">
        <v>7218</v>
      </c>
      <c r="J2739" s="12" t="str">
        <f>HYPERLINK("https://www.boe.es/gazeta/dias/1808/09/30/pdfs/GMD-1808-130.pdf#page=9","Abrir facsímil")</f>
        <v>Abrir facsímil</v>
      </c>
      <c r="K2739" s="15" t="s">
        <v>23</v>
      </c>
    </row>
    <row r="2740" spans="1:11" ht="42" customHeight="1">
      <c r="A2740" s="4" t="s">
        <v>7219</v>
      </c>
      <c r="B2740" s="5" t="s">
        <v>7220</v>
      </c>
      <c r="C2740" s="5" t="s">
        <v>33</v>
      </c>
      <c r="D2740" s="5" t="s">
        <v>34</v>
      </c>
      <c r="E2740" s="5" t="s">
        <v>461</v>
      </c>
      <c r="F2740" s="9" t="s">
        <v>462</v>
      </c>
      <c r="G2740" s="9" t="s">
        <v>106</v>
      </c>
      <c r="H2740" s="5" t="s">
        <v>21</v>
      </c>
      <c r="I2740" s="5" t="s">
        <v>7221</v>
      </c>
      <c r="J2740" s="12" t="str">
        <f>HYPERLINK("https://www.boe.es/gazeta/dias/1808/11/08/pdfs/GMD-D-1808-142.pdf#page=3","Abrir facsímil")</f>
        <v>Abrir facsímil</v>
      </c>
      <c r="K2740" s="15" t="s">
        <v>23</v>
      </c>
    </row>
    <row r="2741" spans="1:11" ht="42" customHeight="1">
      <c r="A2741" s="4" t="s">
        <v>7222</v>
      </c>
      <c r="B2741" s="5" t="s">
        <v>7222</v>
      </c>
      <c r="C2741" s="5" t="s">
        <v>17</v>
      </c>
      <c r="D2741" s="5" t="s">
        <v>18</v>
      </c>
      <c r="E2741" s="5" t="s">
        <v>68</v>
      </c>
      <c r="F2741" s="9" t="s">
        <v>69</v>
      </c>
      <c r="G2741" s="9">
        <v>1339</v>
      </c>
      <c r="H2741" s="5" t="s">
        <v>21</v>
      </c>
      <c r="I2741" s="5" t="s">
        <v>7223</v>
      </c>
      <c r="J2741" s="12" t="str">
        <f>HYPERLINK("https://www.boe.es/gazeta/dias/1808/10/21/pdfs/GMD-1808-136.pdf#page=11","Abrir facsímil")</f>
        <v>Abrir facsímil</v>
      </c>
      <c r="K2741" s="15" t="s">
        <v>23</v>
      </c>
    </row>
    <row r="2742" spans="1:11" ht="42" customHeight="1">
      <c r="A2742" s="4" t="s">
        <v>7224</v>
      </c>
      <c r="B2742" s="5" t="s">
        <v>7224</v>
      </c>
      <c r="C2742" s="5" t="s">
        <v>33</v>
      </c>
      <c r="D2742" s="5" t="s">
        <v>34</v>
      </c>
      <c r="E2742" s="5" t="s">
        <v>19</v>
      </c>
      <c r="F2742" s="9" t="s">
        <v>949</v>
      </c>
      <c r="G2742" s="9" t="s">
        <v>106</v>
      </c>
      <c r="H2742" s="5" t="s">
        <v>21</v>
      </c>
      <c r="I2742" s="5" t="s">
        <v>7225</v>
      </c>
      <c r="J2742" s="12" t="str">
        <f>HYPERLINK("https://www.boe.es/gazeta/dias/1808/09/30/pdfs/GMD-C-1808-130.pdf#page=3","Abrir facsímil")</f>
        <v>Abrir facsímil</v>
      </c>
      <c r="K2742" s="15" t="s">
        <v>23</v>
      </c>
    </row>
    <row r="2743" spans="1:11" ht="42" customHeight="1">
      <c r="A2743" s="4" t="s">
        <v>7226</v>
      </c>
      <c r="B2743" s="5" t="s">
        <v>7226</v>
      </c>
      <c r="C2743" s="5" t="s">
        <v>17</v>
      </c>
      <c r="D2743" s="5" t="s">
        <v>18</v>
      </c>
      <c r="E2743" s="5" t="s">
        <v>203</v>
      </c>
      <c r="F2743" s="9" t="s">
        <v>204</v>
      </c>
      <c r="G2743" s="9">
        <v>141</v>
      </c>
      <c r="H2743" s="5" t="s">
        <v>21</v>
      </c>
      <c r="I2743" s="5" t="s">
        <v>7227</v>
      </c>
      <c r="J2743" s="12" t="str">
        <f>HYPERLINK("https://www.boe.es/gazeta/dias/1808/02/09/pdfs/GMD-1808-12.pdf#page=9","Abrir facsímil")</f>
        <v>Abrir facsímil</v>
      </c>
      <c r="K2743" s="15" t="s">
        <v>23</v>
      </c>
    </row>
    <row r="2744" spans="1:11" ht="42" customHeight="1">
      <c r="A2744" s="4" t="s">
        <v>7228</v>
      </c>
      <c r="B2744" s="5" t="s">
        <v>7229</v>
      </c>
      <c r="C2744" s="5" t="s">
        <v>41</v>
      </c>
      <c r="D2744" s="5" t="s">
        <v>42</v>
      </c>
      <c r="E2744" s="5" t="s">
        <v>35</v>
      </c>
      <c r="F2744" s="9" t="s">
        <v>36</v>
      </c>
      <c r="G2744" s="9" t="s">
        <v>75</v>
      </c>
      <c r="H2744" s="5" t="s">
        <v>21</v>
      </c>
      <c r="I2744" s="5" t="s">
        <v>7230</v>
      </c>
      <c r="J2744" s="12" t="str">
        <f>HYPERLINK("https://www.boe.es/gazeta/dias/1808/04/22/pdfs/GMD-C-1808-38.pdf#page=4","Abrir facsímil")</f>
        <v>Abrir facsímil</v>
      </c>
      <c r="K2744" s="15" t="s">
        <v>23</v>
      </c>
    </row>
    <row r="2745" spans="1:11" ht="42" customHeight="1">
      <c r="A2745" s="4" t="s">
        <v>7231</v>
      </c>
      <c r="B2745" s="5" t="s">
        <v>7231</v>
      </c>
      <c r="C2745" s="5" t="s">
        <v>33</v>
      </c>
      <c r="D2745" s="5" t="s">
        <v>34</v>
      </c>
      <c r="E2745" s="5" t="s">
        <v>391</v>
      </c>
      <c r="F2745" s="9" t="s">
        <v>588</v>
      </c>
      <c r="G2745" s="9" t="s">
        <v>117</v>
      </c>
      <c r="H2745" s="5" t="s">
        <v>21</v>
      </c>
      <c r="I2745" s="5" t="s">
        <v>7232</v>
      </c>
      <c r="J2745" s="12" t="str">
        <f>HYPERLINK("https://www.boe.es/gazeta/dias/1808/09/27/pdfs/GMD-C-1808-128.pdf#page=1","Abrir facsímil")</f>
        <v>Abrir facsímil</v>
      </c>
      <c r="K2745" s="15" t="s">
        <v>23</v>
      </c>
    </row>
    <row r="2746" spans="1:11" ht="42" customHeight="1">
      <c r="A2746" s="4" t="s">
        <v>7233</v>
      </c>
      <c r="B2746" s="5" t="s">
        <v>7233</v>
      </c>
      <c r="C2746" s="5" t="s">
        <v>33</v>
      </c>
      <c r="D2746" s="5" t="s">
        <v>34</v>
      </c>
      <c r="E2746" s="5" t="s">
        <v>456</v>
      </c>
      <c r="F2746" s="9" t="s">
        <v>748</v>
      </c>
      <c r="G2746" s="9" t="s">
        <v>117</v>
      </c>
      <c r="H2746" s="5" t="s">
        <v>21</v>
      </c>
      <c r="I2746" s="5" t="s">
        <v>7234</v>
      </c>
      <c r="J2746" s="12" t="str">
        <f>HYPERLINK("https://www.boe.es/gazeta/dias/1808/10/14/pdfs/GMD-C-1808-134.pdf#page=1","Abrir facsímil")</f>
        <v>Abrir facsímil</v>
      </c>
      <c r="K2746" s="15" t="s">
        <v>23</v>
      </c>
    </row>
    <row r="2747" spans="1:11" ht="42" customHeight="1">
      <c r="A2747" s="4" t="s">
        <v>7235</v>
      </c>
      <c r="B2747" s="5" t="s">
        <v>7235</v>
      </c>
      <c r="C2747" s="5" t="s">
        <v>17</v>
      </c>
      <c r="D2747" s="5" t="s">
        <v>18</v>
      </c>
      <c r="E2747" s="5" t="s">
        <v>130</v>
      </c>
      <c r="F2747" s="9" t="s">
        <v>131</v>
      </c>
      <c r="G2747" s="9">
        <v>1602</v>
      </c>
      <c r="H2747" s="5" t="s">
        <v>21</v>
      </c>
      <c r="I2747" s="5" t="s">
        <v>7236</v>
      </c>
      <c r="J2747" s="12" t="str">
        <f>HYPERLINK("https://www.boe.es/gazeta/dias/1808/12/15/pdfs/GMD-1808-155.pdf#page=6","Abrir facsímil")</f>
        <v>Abrir facsímil</v>
      </c>
      <c r="K2747" s="15" t="s">
        <v>23</v>
      </c>
    </row>
    <row r="2748" spans="1:11" ht="42" customHeight="1">
      <c r="A2748" s="4" t="s">
        <v>7235</v>
      </c>
      <c r="B2748" s="5" t="s">
        <v>7235</v>
      </c>
      <c r="C2748" s="5" t="s">
        <v>41</v>
      </c>
      <c r="D2748" s="5" t="s">
        <v>42</v>
      </c>
      <c r="E2748" s="5" t="s">
        <v>719</v>
      </c>
      <c r="F2748" s="9" t="s">
        <v>720</v>
      </c>
      <c r="G2748" s="9">
        <v>1611</v>
      </c>
      <c r="H2748" s="5" t="s">
        <v>21</v>
      </c>
      <c r="I2748" s="5" t="s">
        <v>7237</v>
      </c>
      <c r="J2748" s="12" t="str">
        <f>HYPERLINK("https://www.boe.es/gazeta/dias/1808/12/16/pdfs/GMD-1808-156.pdf#page=3","Abrir facsímil")</f>
        <v>Abrir facsímil</v>
      </c>
      <c r="K2748" s="15" t="s">
        <v>23</v>
      </c>
    </row>
    <row r="2749" spans="1:11" ht="42" customHeight="1">
      <c r="A2749" s="4" t="s">
        <v>7235</v>
      </c>
      <c r="B2749" s="5" t="s">
        <v>7235</v>
      </c>
      <c r="C2749" s="5" t="s">
        <v>17</v>
      </c>
      <c r="D2749" s="5" t="s">
        <v>18</v>
      </c>
      <c r="E2749" s="5" t="s">
        <v>719</v>
      </c>
      <c r="F2749" s="9" t="s">
        <v>720</v>
      </c>
      <c r="G2749" s="9">
        <v>1612</v>
      </c>
      <c r="H2749" s="5" t="s">
        <v>21</v>
      </c>
      <c r="I2749" s="5" t="s">
        <v>7238</v>
      </c>
      <c r="J2749" s="12" t="str">
        <f>HYPERLINK("https://www.boe.es/gazeta/dias/1808/12/16/pdfs/GMD-1808-156.pdf#page=4","Abrir facsímil")</f>
        <v>Abrir facsímil</v>
      </c>
      <c r="K2749" s="15" t="s">
        <v>23</v>
      </c>
    </row>
    <row r="2750" spans="1:11" ht="42" customHeight="1">
      <c r="A2750" s="4" t="s">
        <v>7239</v>
      </c>
      <c r="B2750" s="5" t="s">
        <v>7239</v>
      </c>
      <c r="C2750" s="5" t="s">
        <v>33</v>
      </c>
      <c r="D2750" s="5" t="s">
        <v>34</v>
      </c>
      <c r="E2750" s="5" t="s">
        <v>456</v>
      </c>
      <c r="F2750" s="9" t="s">
        <v>748</v>
      </c>
      <c r="G2750" s="9" t="s">
        <v>117</v>
      </c>
      <c r="H2750" s="5" t="s">
        <v>21</v>
      </c>
      <c r="I2750" s="5" t="s">
        <v>7240</v>
      </c>
      <c r="J2750" s="12" t="str">
        <f>HYPERLINK("https://www.boe.es/gazeta/dias/1808/10/14/pdfs/GMD-C-1808-134.pdf#page=1","Abrir facsímil")</f>
        <v>Abrir facsímil</v>
      </c>
      <c r="K2750" s="15" t="s">
        <v>23</v>
      </c>
    </row>
    <row r="2751" spans="1:11" ht="42" customHeight="1">
      <c r="A2751" s="4" t="s">
        <v>7241</v>
      </c>
      <c r="B2751" s="5" t="s">
        <v>7241</v>
      </c>
      <c r="C2751" s="5" t="s">
        <v>94</v>
      </c>
      <c r="D2751" s="5" t="s">
        <v>95</v>
      </c>
      <c r="E2751" s="5" t="s">
        <v>469</v>
      </c>
      <c r="F2751" s="9" t="s">
        <v>470</v>
      </c>
      <c r="G2751" s="9">
        <v>152</v>
      </c>
      <c r="H2751" s="5" t="s">
        <v>21</v>
      </c>
      <c r="I2751" s="5" t="s">
        <v>7242</v>
      </c>
      <c r="J2751" s="12" t="str">
        <f>HYPERLINK("https://www.boe.es/gazeta/dias/1808/02/12/pdfs/GMD-1808-13.pdf#page=8","Abrir facsímil")</f>
        <v>Abrir facsímil</v>
      </c>
      <c r="K2751" s="15" t="s">
        <v>23</v>
      </c>
    </row>
    <row r="2752" spans="1:11" ht="42" customHeight="1">
      <c r="A2752" s="4" t="s">
        <v>7243</v>
      </c>
      <c r="B2752" s="5" t="s">
        <v>7243</v>
      </c>
      <c r="C2752" s="5" t="s">
        <v>642</v>
      </c>
      <c r="D2752" s="5" t="s">
        <v>643</v>
      </c>
      <c r="E2752" s="5" t="s">
        <v>644</v>
      </c>
      <c r="F2752" s="9" t="s">
        <v>645</v>
      </c>
      <c r="G2752" s="9">
        <v>321</v>
      </c>
      <c r="H2752" s="5" t="s">
        <v>21</v>
      </c>
      <c r="I2752" s="5" t="s">
        <v>7244</v>
      </c>
      <c r="J2752" s="12" t="str">
        <f>HYPERLINK("https://www.boe.es/gazeta/dias/1808/03/31/pdfs/GMD-1808-28E.pdf#page=5","Abrir facsímil")</f>
        <v>Abrir facsímil</v>
      </c>
      <c r="K2752" s="15" t="s">
        <v>23</v>
      </c>
    </row>
    <row r="2753" spans="1:11" ht="42" customHeight="1">
      <c r="A2753" s="4" t="s">
        <v>7245</v>
      </c>
      <c r="B2753" s="5" t="s">
        <v>7245</v>
      </c>
      <c r="C2753" s="5" t="s">
        <v>94</v>
      </c>
      <c r="D2753" s="5" t="s">
        <v>95</v>
      </c>
      <c r="E2753" s="5" t="s">
        <v>644</v>
      </c>
      <c r="F2753" s="9" t="s">
        <v>645</v>
      </c>
      <c r="G2753" s="9">
        <v>321</v>
      </c>
      <c r="H2753" s="5" t="s">
        <v>21</v>
      </c>
      <c r="I2753" s="5" t="s">
        <v>7246</v>
      </c>
      <c r="J2753" s="12" t="str">
        <f>HYPERLINK("https://www.boe.es/gazeta/dias/1808/03/31/pdfs/GMD-1808-28E.pdf#page=5","Abrir facsímil")</f>
        <v>Abrir facsímil</v>
      </c>
      <c r="K2753" s="15" t="s">
        <v>23</v>
      </c>
    </row>
    <row r="2754" spans="1:11" ht="42" customHeight="1">
      <c r="A2754" s="4" t="s">
        <v>7245</v>
      </c>
      <c r="B2754" s="5" t="s">
        <v>7245</v>
      </c>
      <c r="C2754" s="5" t="s">
        <v>642</v>
      </c>
      <c r="D2754" s="5" t="s">
        <v>643</v>
      </c>
      <c r="E2754" s="5" t="s">
        <v>644</v>
      </c>
      <c r="F2754" s="9" t="s">
        <v>645</v>
      </c>
      <c r="G2754" s="9">
        <v>322</v>
      </c>
      <c r="H2754" s="5" t="s">
        <v>21</v>
      </c>
      <c r="I2754" s="5" t="s">
        <v>7247</v>
      </c>
      <c r="J2754" s="12" t="str">
        <f>HYPERLINK("https://www.boe.es/gazeta/dias/1808/03/31/pdfs/GMD-1808-28E.pdf#page=6","Abrir facsímil")</f>
        <v>Abrir facsímil</v>
      </c>
      <c r="K2754" s="15" t="s">
        <v>23</v>
      </c>
    </row>
    <row r="2755" spans="1:11" ht="42" customHeight="1">
      <c r="A2755" s="4" t="s">
        <v>7248</v>
      </c>
      <c r="B2755" s="5" t="s">
        <v>7249</v>
      </c>
      <c r="C2755" s="5" t="s">
        <v>17</v>
      </c>
      <c r="D2755" s="5" t="s">
        <v>18</v>
      </c>
      <c r="E2755" s="5" t="s">
        <v>1154</v>
      </c>
      <c r="F2755" s="9" t="s">
        <v>1155</v>
      </c>
      <c r="G2755" s="9">
        <v>867</v>
      </c>
      <c r="H2755" s="5" t="s">
        <v>21</v>
      </c>
      <c r="I2755" s="5" t="s">
        <v>7250</v>
      </c>
      <c r="J2755" s="12" t="str">
        <f>HYPERLINK("https://www.boe.es/gazeta/dias/1808/07/22/pdfs/GMD-1808-94.pdf#page=5","Abrir facsímil")</f>
        <v>Abrir facsímil</v>
      </c>
      <c r="K2755" s="15" t="s">
        <v>23</v>
      </c>
    </row>
    <row r="2756" spans="1:11" ht="42" customHeight="1">
      <c r="A2756" s="4" t="s">
        <v>7251</v>
      </c>
      <c r="B2756" s="5" t="s">
        <v>7251</v>
      </c>
      <c r="C2756" s="5" t="s">
        <v>17</v>
      </c>
      <c r="D2756" s="5" t="s">
        <v>18</v>
      </c>
      <c r="E2756" s="5" t="s">
        <v>222</v>
      </c>
      <c r="F2756" s="9" t="s">
        <v>223</v>
      </c>
      <c r="G2756" s="9">
        <v>355</v>
      </c>
      <c r="H2756" s="5" t="s">
        <v>21</v>
      </c>
      <c r="I2756" s="5" t="s">
        <v>7252</v>
      </c>
      <c r="J2756" s="12" t="str">
        <f>HYPERLINK("https://www.boe.es/gazeta/dias/1808/04/08/pdfs/GMD-1808-32.pdf#page=9","Abrir facsímil")</f>
        <v>Abrir facsímil</v>
      </c>
      <c r="K2756" s="15" t="s">
        <v>23</v>
      </c>
    </row>
    <row r="2757" spans="1:11" ht="42" customHeight="1">
      <c r="A2757" s="4" t="s">
        <v>7253</v>
      </c>
      <c r="B2757" s="5" t="s">
        <v>7253</v>
      </c>
      <c r="C2757" s="5" t="s">
        <v>389</v>
      </c>
      <c r="D2757" s="5" t="s">
        <v>390</v>
      </c>
      <c r="E2757" s="5" t="s">
        <v>73</v>
      </c>
      <c r="F2757" s="9" t="s">
        <v>581</v>
      </c>
      <c r="G2757" s="9">
        <v>1470</v>
      </c>
      <c r="H2757" s="5" t="s">
        <v>21</v>
      </c>
      <c r="I2757" s="5" t="s">
        <v>7254</v>
      </c>
      <c r="J2757" s="12" t="str">
        <f>HYPERLINK("https://www.boe.es/gazeta/dias/1808/11/11/pdfs/GMD-1808-143.pdf#page=12","Abrir facsímil")</f>
        <v>Abrir facsímil</v>
      </c>
      <c r="K2757" s="15" t="s">
        <v>23</v>
      </c>
    </row>
    <row r="2758" spans="1:11" ht="42" customHeight="1">
      <c r="A2758" s="4" t="s">
        <v>7255</v>
      </c>
      <c r="B2758" s="5" t="s">
        <v>7255</v>
      </c>
      <c r="C2758" s="5" t="s">
        <v>94</v>
      </c>
      <c r="D2758" s="5" t="s">
        <v>95</v>
      </c>
      <c r="E2758" s="5" t="s">
        <v>35</v>
      </c>
      <c r="F2758" s="9" t="s">
        <v>36</v>
      </c>
      <c r="G2758" s="9" t="s">
        <v>135</v>
      </c>
      <c r="H2758" s="5" t="s">
        <v>21</v>
      </c>
      <c r="I2758" s="5" t="s">
        <v>7256</v>
      </c>
      <c r="J2758" s="12" t="str">
        <f>HYPERLINK("https://www.boe.es/gazeta/dias/1808/04/22/pdfs/GMD-C-1808-38.pdf#page=26","Abrir facsímil")</f>
        <v>Abrir facsímil</v>
      </c>
      <c r="K2758" s="15" t="s">
        <v>23</v>
      </c>
    </row>
    <row r="2759" spans="1:11" ht="42" customHeight="1">
      <c r="A2759" s="4" t="s">
        <v>7257</v>
      </c>
      <c r="B2759" s="5" t="s">
        <v>7257</v>
      </c>
      <c r="C2759" s="5" t="s">
        <v>389</v>
      </c>
      <c r="D2759" s="5" t="s">
        <v>390</v>
      </c>
      <c r="E2759" s="5" t="s">
        <v>508</v>
      </c>
      <c r="F2759" s="9" t="s">
        <v>509</v>
      </c>
      <c r="G2759" s="9">
        <v>1020</v>
      </c>
      <c r="H2759" s="5" t="s">
        <v>21</v>
      </c>
      <c r="I2759" s="5" t="s">
        <v>7258</v>
      </c>
      <c r="J2759" s="12" t="str">
        <f>HYPERLINK("https://www.boe.es/gazeta/dias/1808/08/16/pdfs/GMD-1808-113.pdf#page=12","Abrir facsímil")</f>
        <v>Abrir facsímil</v>
      </c>
      <c r="K2759" s="15" t="s">
        <v>23</v>
      </c>
    </row>
    <row r="2760" spans="1:11" ht="42" customHeight="1">
      <c r="A2760" s="4" t="s">
        <v>7259</v>
      </c>
      <c r="B2760" s="5" t="s">
        <v>7259</v>
      </c>
      <c r="C2760" s="5" t="s">
        <v>41</v>
      </c>
      <c r="D2760" s="5" t="s">
        <v>42</v>
      </c>
      <c r="E2760" s="5" t="s">
        <v>180</v>
      </c>
      <c r="F2760" s="9" t="s">
        <v>768</v>
      </c>
      <c r="G2760" s="9" t="s">
        <v>117</v>
      </c>
      <c r="H2760" s="5" t="s">
        <v>21</v>
      </c>
      <c r="I2760" s="5" t="s">
        <v>7260</v>
      </c>
      <c r="J2760" s="12" t="str">
        <f>HYPERLINK("https://www.boe.es/gazeta/dias/1808/11/15/pdfs/GMD-D-1808-144.pdf#page=1","Abrir facsímil")</f>
        <v>Abrir facsímil</v>
      </c>
      <c r="K2760" s="15" t="s">
        <v>23</v>
      </c>
    </row>
    <row r="2761" spans="1:11" ht="42" customHeight="1">
      <c r="A2761" s="4" t="s">
        <v>7261</v>
      </c>
      <c r="B2761" s="5" t="s">
        <v>7262</v>
      </c>
      <c r="C2761" s="5" t="s">
        <v>260</v>
      </c>
      <c r="D2761" s="5" t="s">
        <v>42</v>
      </c>
      <c r="E2761" s="5" t="s">
        <v>238</v>
      </c>
      <c r="F2761" s="9" t="s">
        <v>239</v>
      </c>
      <c r="G2761" s="9">
        <v>29</v>
      </c>
      <c r="H2761" s="5" t="s">
        <v>21</v>
      </c>
      <c r="I2761" s="5" t="s">
        <v>7263</v>
      </c>
      <c r="J2761" s="12" t="str">
        <f>HYPERLINK("https://www.boe.es/gazeta/dias/1808/01/08/pdfs/GMD-1808-3.pdf#page=5","Abrir facsímil")</f>
        <v>Abrir facsímil</v>
      </c>
      <c r="K2761" s="15" t="s">
        <v>23</v>
      </c>
    </row>
    <row r="2762" spans="1:11" ht="42" customHeight="1">
      <c r="A2762" s="4" t="s">
        <v>7264</v>
      </c>
      <c r="B2762" s="5" t="s">
        <v>7264</v>
      </c>
      <c r="C2762" s="5" t="s">
        <v>260</v>
      </c>
      <c r="D2762" s="5" t="s">
        <v>42</v>
      </c>
      <c r="E2762" s="5" t="s">
        <v>96</v>
      </c>
      <c r="F2762" s="9" t="s">
        <v>97</v>
      </c>
      <c r="G2762" s="9">
        <v>265</v>
      </c>
      <c r="H2762" s="5" t="s">
        <v>21</v>
      </c>
      <c r="I2762" s="5" t="s">
        <v>7265</v>
      </c>
      <c r="J2762" s="12" t="str">
        <f>HYPERLINK("https://www.boe.es/gazeta/dias/1808/03/15/pdfs/GMD-1808-22.pdf#page=7","Abrir facsímil")</f>
        <v>Abrir facsímil</v>
      </c>
      <c r="K2762" s="15" t="s">
        <v>23</v>
      </c>
    </row>
    <row r="2763" spans="1:11" ht="42" customHeight="1">
      <c r="A2763" s="4" t="s">
        <v>7266</v>
      </c>
      <c r="B2763" s="5" t="s">
        <v>7266</v>
      </c>
      <c r="C2763" s="5" t="s">
        <v>33</v>
      </c>
      <c r="D2763" s="5" t="s">
        <v>34</v>
      </c>
      <c r="E2763" s="5" t="s">
        <v>35</v>
      </c>
      <c r="F2763" s="9" t="s">
        <v>36</v>
      </c>
      <c r="G2763" s="9" t="s">
        <v>313</v>
      </c>
      <c r="H2763" s="5" t="s">
        <v>21</v>
      </c>
      <c r="I2763" s="5" t="s">
        <v>7267</v>
      </c>
      <c r="J2763" s="12" t="str">
        <f>HYPERLINK("https://www.boe.es/gazeta/dias/1808/04/22/pdfs/GMD-C-1808-38.pdf#page=29","Abrir facsímil")</f>
        <v>Abrir facsímil</v>
      </c>
      <c r="K2763" s="15" t="s">
        <v>23</v>
      </c>
    </row>
    <row r="2764" spans="1:11" ht="42" customHeight="1">
      <c r="A2764" s="4" t="s">
        <v>7268</v>
      </c>
      <c r="B2764" s="5" t="s">
        <v>7268</v>
      </c>
      <c r="C2764" s="5" t="s">
        <v>17</v>
      </c>
      <c r="D2764" s="5" t="s">
        <v>18</v>
      </c>
      <c r="E2764" s="5" t="s">
        <v>61</v>
      </c>
      <c r="F2764" s="9" t="s">
        <v>62</v>
      </c>
      <c r="G2764" s="9">
        <v>1284</v>
      </c>
      <c r="H2764" s="5" t="s">
        <v>21</v>
      </c>
      <c r="I2764" s="5" t="s">
        <v>7269</v>
      </c>
      <c r="J2764" s="12" t="str">
        <f>HYPERLINK("https://www.boe.es/gazeta/dias/1808/10/11/pdfs/GMD-1808-133.pdf#page=12","Abrir facsímil")</f>
        <v>Abrir facsímil</v>
      </c>
      <c r="K2764" s="15" t="s">
        <v>23</v>
      </c>
    </row>
    <row r="2765" spans="1:11" ht="42" customHeight="1">
      <c r="A2765" s="4" t="s">
        <v>7270</v>
      </c>
      <c r="B2765" s="5" t="s">
        <v>7271</v>
      </c>
      <c r="C2765" s="5" t="s">
        <v>94</v>
      </c>
      <c r="D2765" s="5" t="s">
        <v>95</v>
      </c>
      <c r="E2765" s="5" t="s">
        <v>461</v>
      </c>
      <c r="F2765" s="9" t="s">
        <v>733</v>
      </c>
      <c r="G2765" s="9">
        <v>1446</v>
      </c>
      <c r="H2765" s="5" t="s">
        <v>21</v>
      </c>
      <c r="I2765" s="5" t="s">
        <v>7272</v>
      </c>
      <c r="J2765" s="12" t="str">
        <f>HYPERLINK("https://www.boe.es/gazeta/dias/1808/11/08/pdfs/GMD-1808-142.pdf#page=8","Abrir facsímil")</f>
        <v>Abrir facsímil</v>
      </c>
      <c r="K2765" s="15" t="s">
        <v>23</v>
      </c>
    </row>
    <row r="2766" spans="1:11" ht="42" customHeight="1">
      <c r="A2766" s="4" t="s">
        <v>7270</v>
      </c>
      <c r="B2766" s="5" t="s">
        <v>7271</v>
      </c>
      <c r="C2766" s="5" t="s">
        <v>94</v>
      </c>
      <c r="D2766" s="5" t="s">
        <v>95</v>
      </c>
      <c r="E2766" s="5" t="s">
        <v>166</v>
      </c>
      <c r="F2766" s="9" t="s">
        <v>5028</v>
      </c>
      <c r="G2766" s="9">
        <v>400</v>
      </c>
      <c r="H2766" s="5" t="s">
        <v>21</v>
      </c>
      <c r="I2766" s="5" t="s">
        <v>7273</v>
      </c>
      <c r="J2766" s="12" t="str">
        <f>HYPERLINK("https://www.boe.es/gazeta/dias/1808/11/18/pdfs/GMS-1808-50.pdf#page=8","Abrir facsímil")</f>
        <v>Abrir facsímil</v>
      </c>
      <c r="K2766" s="15" t="s">
        <v>23</v>
      </c>
    </row>
    <row r="2767" spans="1:11" ht="42" customHeight="1">
      <c r="A2767" s="4" t="s">
        <v>7274</v>
      </c>
      <c r="B2767" s="5" t="s">
        <v>7274</v>
      </c>
      <c r="C2767" s="5" t="s">
        <v>33</v>
      </c>
      <c r="D2767" s="5" t="s">
        <v>34</v>
      </c>
      <c r="E2767" s="5" t="s">
        <v>35</v>
      </c>
      <c r="F2767" s="9" t="s">
        <v>36</v>
      </c>
      <c r="G2767" s="9" t="s">
        <v>162</v>
      </c>
      <c r="H2767" s="5" t="s">
        <v>21</v>
      </c>
      <c r="I2767" s="5" t="s">
        <v>7275</v>
      </c>
      <c r="J2767" s="12" t="str">
        <f>HYPERLINK("https://www.boe.es/gazeta/dias/1808/04/22/pdfs/GMD-C-1808-38.pdf#page=31","Abrir facsímil")</f>
        <v>Abrir facsímil</v>
      </c>
      <c r="K2767" s="15" t="s">
        <v>23</v>
      </c>
    </row>
    <row r="2768" spans="1:11" ht="42" customHeight="1">
      <c r="A2768" s="4" t="s">
        <v>7276</v>
      </c>
      <c r="B2768" s="5" t="s">
        <v>7276</v>
      </c>
      <c r="C2768" s="5" t="s">
        <v>33</v>
      </c>
      <c r="D2768" s="5" t="s">
        <v>34</v>
      </c>
      <c r="E2768" s="5" t="s">
        <v>391</v>
      </c>
      <c r="F2768" s="9" t="s">
        <v>588</v>
      </c>
      <c r="G2768" s="9" t="s">
        <v>106</v>
      </c>
      <c r="H2768" s="5" t="s">
        <v>21</v>
      </c>
      <c r="I2768" s="5" t="s">
        <v>7277</v>
      </c>
      <c r="J2768" s="12" t="str">
        <f>HYPERLINK("https://www.boe.es/gazeta/dias/1808/09/27/pdfs/GMD-C-1808-128.pdf#page=3","Abrir facsímil")</f>
        <v>Abrir facsímil</v>
      </c>
      <c r="K2768" s="15" t="s">
        <v>23</v>
      </c>
    </row>
    <row r="2769" spans="1:11" ht="42" customHeight="1">
      <c r="A2769" s="4" t="s">
        <v>7278</v>
      </c>
      <c r="B2769" s="5" t="s">
        <v>7278</v>
      </c>
      <c r="C2769" s="5" t="s">
        <v>17</v>
      </c>
      <c r="D2769" s="5" t="s">
        <v>18</v>
      </c>
      <c r="E2769" s="5" t="s">
        <v>2849</v>
      </c>
      <c r="F2769" s="9" t="s">
        <v>2850</v>
      </c>
      <c r="G2769" s="9">
        <v>10</v>
      </c>
      <c r="H2769" s="5" t="s">
        <v>21</v>
      </c>
      <c r="I2769" s="5" t="s">
        <v>7279</v>
      </c>
      <c r="J2769" s="12" t="str">
        <f>HYPERLINK("https://www.boe.es/gazeta/dias/1808/06/04/pdfs/GMS-1808-2.pdf#page=2","Abrir facsímil")</f>
        <v>Abrir facsímil</v>
      </c>
      <c r="K2769" s="15" t="s">
        <v>23</v>
      </c>
    </row>
    <row r="2770" spans="1:11" ht="42" customHeight="1">
      <c r="A2770" s="4" t="s">
        <v>7280</v>
      </c>
      <c r="B2770" s="5" t="s">
        <v>7280</v>
      </c>
      <c r="C2770" s="5" t="s">
        <v>33</v>
      </c>
      <c r="D2770" s="5" t="s">
        <v>34</v>
      </c>
      <c r="E2770" s="5" t="s">
        <v>418</v>
      </c>
      <c r="F2770" s="9" t="s">
        <v>419</v>
      </c>
      <c r="G2770" s="9">
        <v>1134</v>
      </c>
      <c r="H2770" s="5" t="s">
        <v>21</v>
      </c>
      <c r="I2770" s="5" t="s">
        <v>7281</v>
      </c>
      <c r="J2770" s="12" t="str">
        <f>HYPERLINK("https://www.boe.es/gazeta/dias/1808/09/06/pdfs/GMD-C-1808-120.pdf#page=8","Abrir facsímil")</f>
        <v>Abrir facsímil</v>
      </c>
      <c r="K2770" s="15" t="s">
        <v>23</v>
      </c>
    </row>
    <row r="2771" spans="1:11" ht="42" customHeight="1">
      <c r="A2771" s="4" t="s">
        <v>7282</v>
      </c>
      <c r="B2771" s="5" t="s">
        <v>7282</v>
      </c>
      <c r="C2771" s="5" t="s">
        <v>94</v>
      </c>
      <c r="D2771" s="5" t="s">
        <v>95</v>
      </c>
      <c r="E2771" s="5" t="s">
        <v>256</v>
      </c>
      <c r="F2771" s="9" t="s">
        <v>257</v>
      </c>
      <c r="G2771" s="9">
        <v>528</v>
      </c>
      <c r="H2771" s="5" t="s">
        <v>21</v>
      </c>
      <c r="I2771" s="5" t="s">
        <v>7283</v>
      </c>
      <c r="J2771" s="12" t="str">
        <f>HYPERLINK("https://www.boe.es/gazeta/dias/1808/06/03/pdfs/GMD-1808-53.pdf#page=6","Abrir facsímil")</f>
        <v>Abrir facsímil</v>
      </c>
      <c r="K2771" s="15" t="s">
        <v>23</v>
      </c>
    </row>
    <row r="2772" spans="1:11" ht="42" customHeight="1">
      <c r="A2772" s="4" t="s">
        <v>7284</v>
      </c>
      <c r="B2772" s="5" t="s">
        <v>7284</v>
      </c>
      <c r="C2772" s="5" t="s">
        <v>33</v>
      </c>
      <c r="D2772" s="5" t="s">
        <v>34</v>
      </c>
      <c r="E2772" s="5" t="s">
        <v>418</v>
      </c>
      <c r="F2772" s="9" t="s">
        <v>419</v>
      </c>
      <c r="G2772" s="9">
        <v>1134</v>
      </c>
      <c r="H2772" s="5" t="s">
        <v>21</v>
      </c>
      <c r="I2772" s="5" t="s">
        <v>7285</v>
      </c>
      <c r="J2772" s="12" t="str">
        <f>HYPERLINK("https://www.boe.es/gazeta/dias/1808/09/06/pdfs/GMD-C-1808-120.pdf#page=8","Abrir facsímil")</f>
        <v>Abrir facsímil</v>
      </c>
      <c r="K2772" s="15" t="s">
        <v>23</v>
      </c>
    </row>
    <row r="2773" spans="1:11" ht="42" customHeight="1">
      <c r="A2773" s="4" t="s">
        <v>7286</v>
      </c>
      <c r="B2773" s="5" t="s">
        <v>7287</v>
      </c>
      <c r="C2773" s="5" t="s">
        <v>33</v>
      </c>
      <c r="D2773" s="5" t="s">
        <v>34</v>
      </c>
      <c r="E2773" s="5" t="s">
        <v>35</v>
      </c>
      <c r="F2773" s="9" t="s">
        <v>36</v>
      </c>
      <c r="G2773" s="9" t="s">
        <v>47</v>
      </c>
      <c r="H2773" s="5" t="s">
        <v>21</v>
      </c>
      <c r="I2773" s="5" t="s">
        <v>7288</v>
      </c>
      <c r="J2773" s="12" t="str">
        <f>HYPERLINK("https://www.boe.es/gazeta/dias/1808/04/22/pdfs/GMD-C-1808-38.pdf#page=13","Abrir facsímil")</f>
        <v>Abrir facsímil</v>
      </c>
      <c r="K2773" s="15" t="s">
        <v>23</v>
      </c>
    </row>
    <row r="2774" spans="1:11" ht="42" customHeight="1">
      <c r="A2774" s="4" t="s">
        <v>7289</v>
      </c>
      <c r="B2774" s="5" t="s">
        <v>7289</v>
      </c>
      <c r="C2774" s="5" t="s">
        <v>94</v>
      </c>
      <c r="D2774" s="5" t="s">
        <v>95</v>
      </c>
      <c r="E2774" s="5" t="s">
        <v>376</v>
      </c>
      <c r="F2774" s="9" t="s">
        <v>377</v>
      </c>
      <c r="G2774" s="9">
        <v>456</v>
      </c>
      <c r="H2774" s="5" t="s">
        <v>21</v>
      </c>
      <c r="I2774" s="5" t="s">
        <v>7290</v>
      </c>
      <c r="J2774" s="12" t="str">
        <f>HYPERLINK("https://www.boe.es/gazeta/dias/1808/12/13/pdfs/GMS-1808-57.pdf#page=8","Abrir facsímil")</f>
        <v>Abrir facsímil</v>
      </c>
      <c r="K2774" s="15" t="s">
        <v>23</v>
      </c>
    </row>
    <row r="2775" spans="1:11" ht="42" customHeight="1">
      <c r="A2775" s="4" t="s">
        <v>7291</v>
      </c>
      <c r="B2775" s="5" t="s">
        <v>7291</v>
      </c>
      <c r="C2775" s="5" t="s">
        <v>17</v>
      </c>
      <c r="D2775" s="5" t="s">
        <v>18</v>
      </c>
      <c r="E2775" s="5" t="s">
        <v>65</v>
      </c>
      <c r="F2775" s="9" t="s">
        <v>66</v>
      </c>
      <c r="G2775" s="9">
        <v>1307</v>
      </c>
      <c r="H2775" s="5" t="s">
        <v>21</v>
      </c>
      <c r="I2775" s="5" t="s">
        <v>7292</v>
      </c>
      <c r="J2775" s="12" t="str">
        <f>HYPERLINK("https://www.boe.es/gazeta/dias/1808/10/18/pdfs/GMD-1808-135.pdf#page=7","Abrir facsímil")</f>
        <v>Abrir facsímil</v>
      </c>
      <c r="K2775" s="15" t="s">
        <v>23</v>
      </c>
    </row>
    <row r="2776" spans="1:11" ht="42" customHeight="1">
      <c r="A2776" s="4" t="s">
        <v>7293</v>
      </c>
      <c r="B2776" s="5" t="s">
        <v>7293</v>
      </c>
      <c r="C2776" s="5" t="s">
        <v>17</v>
      </c>
      <c r="D2776" s="5" t="s">
        <v>18</v>
      </c>
      <c r="E2776" s="5" t="s">
        <v>719</v>
      </c>
      <c r="F2776" s="9" t="s">
        <v>720</v>
      </c>
      <c r="G2776" s="9">
        <v>1611</v>
      </c>
      <c r="H2776" s="5" t="s">
        <v>21</v>
      </c>
      <c r="I2776" s="5" t="s">
        <v>7294</v>
      </c>
      <c r="J2776" s="12" t="str">
        <f>HYPERLINK("https://www.boe.es/gazeta/dias/1808/12/16/pdfs/GMD-1808-156.pdf#page=3","Abrir facsímil")</f>
        <v>Abrir facsímil</v>
      </c>
      <c r="K2776" s="15" t="s">
        <v>23</v>
      </c>
    </row>
    <row r="2777" spans="1:11" ht="42" customHeight="1">
      <c r="A2777" s="4" t="s">
        <v>7295</v>
      </c>
      <c r="B2777" s="5" t="s">
        <v>7295</v>
      </c>
      <c r="C2777" s="5" t="s">
        <v>33</v>
      </c>
      <c r="D2777" s="5" t="s">
        <v>34</v>
      </c>
      <c r="E2777" s="5" t="s">
        <v>68</v>
      </c>
      <c r="F2777" s="9" t="s">
        <v>309</v>
      </c>
      <c r="G2777" s="9" t="s">
        <v>199</v>
      </c>
      <c r="H2777" s="5" t="s">
        <v>21</v>
      </c>
      <c r="I2777" s="5" t="s">
        <v>7296</v>
      </c>
      <c r="J2777" s="12" t="str">
        <f>HYPERLINK("https://www.boe.es/gazeta/dias/1808/10/21/pdfs/GMD-D-1808-136.pdf#page=2","Abrir facsímil")</f>
        <v>Abrir facsímil</v>
      </c>
      <c r="K2777" s="15" t="s">
        <v>23</v>
      </c>
    </row>
    <row r="2778" spans="1:11" ht="42" customHeight="1">
      <c r="A2778" s="4" t="s">
        <v>7297</v>
      </c>
      <c r="B2778" s="5" t="s">
        <v>7297</v>
      </c>
      <c r="C2778" s="5" t="s">
        <v>33</v>
      </c>
      <c r="D2778" s="5" t="s">
        <v>34</v>
      </c>
      <c r="E2778" s="5" t="s">
        <v>35</v>
      </c>
      <c r="F2778" s="9" t="s">
        <v>36</v>
      </c>
      <c r="G2778" s="9" t="s">
        <v>1806</v>
      </c>
      <c r="H2778" s="5" t="s">
        <v>21</v>
      </c>
      <c r="I2778" s="5" t="s">
        <v>7298</v>
      </c>
      <c r="J2778" s="12" t="str">
        <f>HYPERLINK("https://www.boe.es/gazeta/dias/1808/04/22/pdfs/GMD-C-1808-38.pdf#page=6","Abrir facsímil")</f>
        <v>Abrir facsímil</v>
      </c>
      <c r="K2778" s="15" t="s">
        <v>23</v>
      </c>
    </row>
    <row r="2779" spans="1:11" ht="42" customHeight="1">
      <c r="A2779" s="4" t="s">
        <v>7299</v>
      </c>
      <c r="B2779" s="5" t="s">
        <v>7299</v>
      </c>
      <c r="C2779" s="5" t="s">
        <v>33</v>
      </c>
      <c r="D2779" s="5" t="s">
        <v>34</v>
      </c>
      <c r="E2779" s="5" t="s">
        <v>558</v>
      </c>
      <c r="F2779" s="9" t="s">
        <v>758</v>
      </c>
      <c r="G2779" s="9" t="s">
        <v>117</v>
      </c>
      <c r="H2779" s="5" t="s">
        <v>21</v>
      </c>
      <c r="I2779" s="5" t="s">
        <v>7300</v>
      </c>
      <c r="J2779" s="12" t="str">
        <f>HYPERLINK("https://www.boe.es/gazeta/dias/1808/11/25/pdfs/GMD-E-1808-147.pdf#page=1","Abrir facsímil")</f>
        <v>Abrir facsímil</v>
      </c>
      <c r="K2779" s="15" t="s">
        <v>23</v>
      </c>
    </row>
    <row r="2780" spans="1:11" ht="42" customHeight="1">
      <c r="A2780" s="4" t="s">
        <v>7301</v>
      </c>
      <c r="B2780" s="5" t="s">
        <v>7301</v>
      </c>
      <c r="C2780" s="5" t="s">
        <v>94</v>
      </c>
      <c r="D2780" s="5" t="s">
        <v>95</v>
      </c>
      <c r="E2780" s="5" t="s">
        <v>203</v>
      </c>
      <c r="F2780" s="9" t="s">
        <v>204</v>
      </c>
      <c r="G2780" s="9">
        <v>142</v>
      </c>
      <c r="H2780" s="5" t="s">
        <v>21</v>
      </c>
      <c r="I2780" s="5" t="s">
        <v>7302</v>
      </c>
      <c r="J2780" s="12" t="str">
        <f>HYPERLINK("https://www.boe.es/gazeta/dias/1808/02/09/pdfs/GMD-1808-12.pdf#page=10","Abrir facsímil")</f>
        <v>Abrir facsímil</v>
      </c>
      <c r="K2780" s="15" t="s">
        <v>23</v>
      </c>
    </row>
    <row r="2781" spans="1:11" ht="42" customHeight="1">
      <c r="A2781" s="4" t="s">
        <v>7303</v>
      </c>
      <c r="B2781" s="5" t="s">
        <v>7304</v>
      </c>
      <c r="C2781" s="5" t="s">
        <v>94</v>
      </c>
      <c r="D2781" s="5" t="s">
        <v>95</v>
      </c>
      <c r="E2781" s="5" t="s">
        <v>1085</v>
      </c>
      <c r="F2781" s="9" t="s">
        <v>1086</v>
      </c>
      <c r="G2781" s="9">
        <v>104</v>
      </c>
      <c r="H2781" s="5" t="s">
        <v>21</v>
      </c>
      <c r="I2781" s="5" t="s">
        <v>7305</v>
      </c>
      <c r="J2781" s="12" t="str">
        <f>HYPERLINK("https://www.boe.es/gazeta/dias/1808/01/29/pdfs/GMD-1808-9.pdf#page=8","Abrir facsímil")</f>
        <v>Abrir facsímil</v>
      </c>
      <c r="K2781" s="15" t="s">
        <v>23</v>
      </c>
    </row>
    <row r="2782" spans="1:11" ht="42" customHeight="1">
      <c r="A2782" s="4" t="s">
        <v>7306</v>
      </c>
      <c r="B2782" s="5" t="s">
        <v>7306</v>
      </c>
      <c r="C2782" s="5" t="s">
        <v>17</v>
      </c>
      <c r="D2782" s="5" t="s">
        <v>18</v>
      </c>
      <c r="E2782" s="5" t="s">
        <v>28</v>
      </c>
      <c r="F2782" s="9" t="s">
        <v>29</v>
      </c>
      <c r="G2782" s="9">
        <v>1429</v>
      </c>
      <c r="H2782" s="5" t="s">
        <v>21</v>
      </c>
      <c r="I2782" s="5" t="s">
        <v>7307</v>
      </c>
      <c r="J2782" s="12" t="str">
        <f>HYPERLINK("https://www.boe.es/gazeta/dias/1808/11/04/pdfs/GMD-1808-141.pdf#page=11","Abrir facsímil")</f>
        <v>Abrir facsímil</v>
      </c>
      <c r="K2782" s="15" t="s">
        <v>23</v>
      </c>
    </row>
    <row r="2783" spans="1:11" ht="42" customHeight="1">
      <c r="A2783" s="4" t="s">
        <v>7308</v>
      </c>
      <c r="B2783" s="5" t="s">
        <v>7308</v>
      </c>
      <c r="C2783" s="5" t="s">
        <v>17</v>
      </c>
      <c r="D2783" s="5" t="s">
        <v>18</v>
      </c>
      <c r="E2783" s="5" t="s">
        <v>61</v>
      </c>
      <c r="F2783" s="9" t="s">
        <v>62</v>
      </c>
      <c r="G2783" s="9">
        <v>1286</v>
      </c>
      <c r="H2783" s="5" t="s">
        <v>21</v>
      </c>
      <c r="I2783" s="5" t="s">
        <v>7309</v>
      </c>
      <c r="J2783" s="12" t="str">
        <f>HYPERLINK("https://www.boe.es/gazeta/dias/1808/10/11/pdfs/GMD-1808-133.pdf#page=14","Abrir facsímil")</f>
        <v>Abrir facsímil</v>
      </c>
      <c r="K2783" s="15" t="s">
        <v>23</v>
      </c>
    </row>
    <row r="2784" spans="1:11" ht="42" customHeight="1">
      <c r="A2784" s="4" t="s">
        <v>7310</v>
      </c>
      <c r="B2784" s="5" t="s">
        <v>7310</v>
      </c>
      <c r="C2784" s="5" t="s">
        <v>33</v>
      </c>
      <c r="D2784" s="5" t="s">
        <v>34</v>
      </c>
      <c r="E2784" s="5" t="s">
        <v>363</v>
      </c>
      <c r="F2784" s="9" t="s">
        <v>364</v>
      </c>
      <c r="G2784" s="9" t="s">
        <v>199</v>
      </c>
      <c r="H2784" s="5" t="s">
        <v>21</v>
      </c>
      <c r="I2784" s="5" t="s">
        <v>7311</v>
      </c>
      <c r="J2784" s="12" t="str">
        <f>HYPERLINK("https://www.boe.es/gazeta/dias/1808/09/20/pdfs/GMD-C-1808-126.pdf#page=2","Abrir facsímil")</f>
        <v>Abrir facsímil</v>
      </c>
      <c r="K2784" s="15" t="s">
        <v>23</v>
      </c>
    </row>
    <row r="2785" spans="1:11" ht="42" customHeight="1">
      <c r="A2785" s="4" t="s">
        <v>7312</v>
      </c>
      <c r="B2785" s="5" t="s">
        <v>7312</v>
      </c>
      <c r="C2785" s="5" t="s">
        <v>17</v>
      </c>
      <c r="D2785" s="5" t="s">
        <v>18</v>
      </c>
      <c r="E2785" s="5" t="s">
        <v>558</v>
      </c>
      <c r="F2785" s="9" t="s">
        <v>559</v>
      </c>
      <c r="G2785" s="9">
        <v>1545</v>
      </c>
      <c r="H2785" s="5" t="s">
        <v>21</v>
      </c>
      <c r="I2785" s="5" t="s">
        <v>7313</v>
      </c>
      <c r="J2785" s="12" t="str">
        <f>HYPERLINK("https://www.boe.es/gazeta/dias/1808/11/25/pdfs/GMD-1808-147.pdf#page=11","Abrir facsímil")</f>
        <v>Abrir facsímil</v>
      </c>
      <c r="K2785" s="15" t="s">
        <v>23</v>
      </c>
    </row>
    <row r="2786" spans="1:11" ht="42" customHeight="1">
      <c r="A2786" s="4" t="s">
        <v>7314</v>
      </c>
      <c r="B2786" s="5" t="s">
        <v>7314</v>
      </c>
      <c r="C2786" s="5" t="s">
        <v>94</v>
      </c>
      <c r="D2786" s="5" t="s">
        <v>95</v>
      </c>
      <c r="E2786" s="5" t="s">
        <v>7114</v>
      </c>
      <c r="F2786" s="9" t="s">
        <v>7115</v>
      </c>
      <c r="G2786" s="9">
        <v>434</v>
      </c>
      <c r="H2786" s="5" t="s">
        <v>21</v>
      </c>
      <c r="I2786" s="5" t="s">
        <v>7315</v>
      </c>
      <c r="J2786" s="12" t="str">
        <f>HYPERLINK("https://www.boe.es/gazeta/dias/1808/05/06/pdfs/GMD-1808-44.pdf#page=2","Abrir facsímil")</f>
        <v>Abrir facsímil</v>
      </c>
      <c r="K2786" s="15" t="s">
        <v>23</v>
      </c>
    </row>
    <row r="2787" spans="1:11" ht="42" customHeight="1">
      <c r="A2787" s="4" t="s">
        <v>7316</v>
      </c>
      <c r="B2787" s="5" t="s">
        <v>7317</v>
      </c>
      <c r="C2787" s="5" t="s">
        <v>94</v>
      </c>
      <c r="D2787" s="5" t="s">
        <v>95</v>
      </c>
      <c r="E2787" s="5" t="s">
        <v>1385</v>
      </c>
      <c r="F2787" s="9" t="s">
        <v>1386</v>
      </c>
      <c r="G2787" s="9">
        <v>231</v>
      </c>
      <c r="H2787" s="5" t="s">
        <v>21</v>
      </c>
      <c r="I2787" s="5" t="s">
        <v>7318</v>
      </c>
      <c r="J2787" s="12" t="str">
        <f>HYPERLINK("https://www.boe.es/gazeta/dias/1808/03/04/pdfs/GMD-1808-19.pdf#page=9","Abrir facsímil")</f>
        <v>Abrir facsímil</v>
      </c>
      <c r="K2787" s="15" t="s">
        <v>23</v>
      </c>
    </row>
    <row r="2788" spans="1:11" ht="42" customHeight="1">
      <c r="A2788" s="4" t="s">
        <v>7319</v>
      </c>
      <c r="B2788" s="5" t="s">
        <v>7320</v>
      </c>
      <c r="C2788" s="5" t="s">
        <v>33</v>
      </c>
      <c r="D2788" s="5" t="s">
        <v>34</v>
      </c>
      <c r="E2788" s="5" t="s">
        <v>35</v>
      </c>
      <c r="F2788" s="9" t="s">
        <v>36</v>
      </c>
      <c r="G2788" s="9" t="s">
        <v>47</v>
      </c>
      <c r="H2788" s="5" t="s">
        <v>21</v>
      </c>
      <c r="I2788" s="5" t="s">
        <v>7321</v>
      </c>
      <c r="J2788" s="12" t="str">
        <f>HYPERLINK("https://www.boe.es/gazeta/dias/1808/04/22/pdfs/GMD-C-1808-38.pdf#page=13","Abrir facsímil")</f>
        <v>Abrir facsímil</v>
      </c>
      <c r="K2788" s="15" t="s">
        <v>23</v>
      </c>
    </row>
    <row r="2789" spans="1:11" ht="42" customHeight="1">
      <c r="A2789" s="4" t="s">
        <v>7322</v>
      </c>
      <c r="B2789" s="5" t="s">
        <v>7323</v>
      </c>
      <c r="C2789" s="5" t="s">
        <v>260</v>
      </c>
      <c r="D2789" s="5" t="s">
        <v>42</v>
      </c>
      <c r="E2789" s="5" t="s">
        <v>516</v>
      </c>
      <c r="F2789" s="9" t="s">
        <v>517</v>
      </c>
      <c r="G2789" s="9">
        <v>602</v>
      </c>
      <c r="H2789" s="5" t="s">
        <v>21</v>
      </c>
      <c r="I2789" s="5" t="s">
        <v>7324</v>
      </c>
      <c r="J2789" s="12" t="str">
        <f>HYPERLINK("https://www.boe.es/gazeta/dias/1808/06/19/pdfs/GMD-1808-61.pdf#page=8","Abrir facsímil")</f>
        <v>Abrir facsímil</v>
      </c>
      <c r="K2789" s="15" t="s">
        <v>23</v>
      </c>
    </row>
    <row r="2790" spans="1:11" ht="42" customHeight="1">
      <c r="A2790" s="4" t="s">
        <v>7325</v>
      </c>
      <c r="B2790" s="5" t="s">
        <v>7326</v>
      </c>
      <c r="C2790" s="5" t="s">
        <v>17</v>
      </c>
      <c r="D2790" s="5" t="s">
        <v>18</v>
      </c>
      <c r="E2790" s="5" t="s">
        <v>130</v>
      </c>
      <c r="F2790" s="9" t="s">
        <v>131</v>
      </c>
      <c r="G2790" s="9">
        <v>1603</v>
      </c>
      <c r="H2790" s="5" t="s">
        <v>21</v>
      </c>
      <c r="I2790" s="5" t="s">
        <v>7327</v>
      </c>
      <c r="J2790" s="12" t="str">
        <f>HYPERLINK("https://www.boe.es/gazeta/dias/1808/12/15/pdfs/GMD-1808-155.pdf#page=7","Abrir facsímil")</f>
        <v>Abrir facsímil</v>
      </c>
      <c r="K2790" s="15" t="s">
        <v>23</v>
      </c>
    </row>
    <row r="2791" spans="1:11" ht="42" customHeight="1">
      <c r="A2791" s="4" t="s">
        <v>7328</v>
      </c>
      <c r="B2791" s="5" t="s">
        <v>7329</v>
      </c>
      <c r="C2791" s="5" t="s">
        <v>33</v>
      </c>
      <c r="D2791" s="5" t="s">
        <v>34</v>
      </c>
      <c r="E2791" s="5" t="s">
        <v>558</v>
      </c>
      <c r="F2791" s="9" t="s">
        <v>758</v>
      </c>
      <c r="G2791" s="9" t="s">
        <v>75</v>
      </c>
      <c r="H2791" s="5" t="s">
        <v>21</v>
      </c>
      <c r="I2791" s="5" t="s">
        <v>7330</v>
      </c>
      <c r="J2791" s="12" t="str">
        <f>HYPERLINK("https://www.boe.es/gazeta/dias/1808/11/25/pdfs/GMD-E-1808-147.pdf#page=4","Abrir facsímil")</f>
        <v>Abrir facsímil</v>
      </c>
      <c r="K2791" s="15" t="s">
        <v>23</v>
      </c>
    </row>
    <row r="2792" spans="1:11" ht="42" customHeight="1">
      <c r="A2792" s="4" t="s">
        <v>7331</v>
      </c>
      <c r="B2792" s="5" t="s">
        <v>7332</v>
      </c>
      <c r="C2792" s="5" t="s">
        <v>17</v>
      </c>
      <c r="D2792" s="5" t="s">
        <v>18</v>
      </c>
      <c r="E2792" s="5" t="s">
        <v>3365</v>
      </c>
      <c r="F2792" s="9" t="s">
        <v>3366</v>
      </c>
      <c r="G2792" s="9">
        <v>121</v>
      </c>
      <c r="H2792" s="5" t="s">
        <v>21</v>
      </c>
      <c r="I2792" s="5" t="s">
        <v>7333</v>
      </c>
      <c r="J2792" s="12" t="str">
        <f>HYPERLINK("https://www.boe.es/gazeta/dias/1808/07/23/pdfs/GMS-1808-16.pdf#page=1","Abrir facsímil")</f>
        <v>Abrir facsímil</v>
      </c>
      <c r="K2792" s="15" t="s">
        <v>23</v>
      </c>
    </row>
    <row r="2793" spans="1:11" ht="42" customHeight="1">
      <c r="A2793" s="4" t="s">
        <v>7334</v>
      </c>
      <c r="B2793" s="5" t="s">
        <v>7335</v>
      </c>
      <c r="C2793" s="5" t="s">
        <v>17</v>
      </c>
      <c r="D2793" s="5" t="s">
        <v>18</v>
      </c>
      <c r="E2793" s="5" t="s">
        <v>125</v>
      </c>
      <c r="F2793" s="9" t="s">
        <v>397</v>
      </c>
      <c r="G2793" s="9">
        <v>1269</v>
      </c>
      <c r="H2793" s="5" t="s">
        <v>21</v>
      </c>
      <c r="I2793" s="5" t="s">
        <v>7336</v>
      </c>
      <c r="J2793" s="12" t="str">
        <f>HYPERLINK("https://www.boe.es/gazeta/dias/1808/10/07/pdfs/GMD-1808-132.pdf#page=9","Abrir facsímil")</f>
        <v>Abrir facsímil</v>
      </c>
      <c r="K2793" s="15" t="s">
        <v>23</v>
      </c>
    </row>
    <row r="2794" spans="1:11" ht="42" customHeight="1">
      <c r="A2794" s="4" t="s">
        <v>7337</v>
      </c>
      <c r="B2794" s="5" t="s">
        <v>7337</v>
      </c>
      <c r="C2794" s="5" t="s">
        <v>389</v>
      </c>
      <c r="D2794" s="5" t="s">
        <v>390</v>
      </c>
      <c r="E2794" s="5" t="s">
        <v>89</v>
      </c>
      <c r="F2794" s="9" t="s">
        <v>2031</v>
      </c>
      <c r="G2794" s="9">
        <v>344</v>
      </c>
      <c r="H2794" s="5" t="s">
        <v>21</v>
      </c>
      <c r="I2794" s="5" t="s">
        <v>7338</v>
      </c>
      <c r="J2794" s="12" t="str">
        <f>HYPERLINK("https://www.boe.es/gazeta/dias/1808/10/25/pdfs/GMS-1808-43.pdf#page=8","Abrir facsímil")</f>
        <v>Abrir facsímil</v>
      </c>
      <c r="K2794" s="15" t="s">
        <v>23</v>
      </c>
    </row>
    <row r="2795" spans="1:11" ht="42" customHeight="1">
      <c r="A2795" s="4" t="s">
        <v>7339</v>
      </c>
      <c r="B2795" s="5" t="s">
        <v>7339</v>
      </c>
      <c r="C2795" s="5" t="s">
        <v>94</v>
      </c>
      <c r="D2795" s="5" t="s">
        <v>95</v>
      </c>
      <c r="E2795" s="5" t="s">
        <v>7340</v>
      </c>
      <c r="F2795" s="9" t="s">
        <v>7341</v>
      </c>
      <c r="G2795" s="9">
        <v>440</v>
      </c>
      <c r="H2795" s="5" t="s">
        <v>21</v>
      </c>
      <c r="I2795" s="5" t="s">
        <v>7342</v>
      </c>
      <c r="J2795" s="12" t="str">
        <f>HYPERLINK("https://www.boe.es/gazeta/dias/1808/12/06/pdfs/GMS-1808-55.pdf#page=8","Abrir facsímil")</f>
        <v>Abrir facsímil</v>
      </c>
      <c r="K2795" s="15" t="s">
        <v>23</v>
      </c>
    </row>
    <row r="2796" spans="1:11" ht="42" customHeight="1">
      <c r="A2796" s="4" t="s">
        <v>7343</v>
      </c>
      <c r="B2796" s="5" t="s">
        <v>7343</v>
      </c>
      <c r="C2796" s="5" t="s">
        <v>17</v>
      </c>
      <c r="D2796" s="5" t="s">
        <v>18</v>
      </c>
      <c r="E2796" s="5" t="s">
        <v>1371</v>
      </c>
      <c r="F2796" s="9" t="s">
        <v>1372</v>
      </c>
      <c r="G2796" s="9">
        <v>1673</v>
      </c>
      <c r="H2796" s="5" t="s">
        <v>21</v>
      </c>
      <c r="I2796" s="5" t="s">
        <v>7344</v>
      </c>
      <c r="J2796" s="12" t="str">
        <f>HYPERLINK("https://www.boe.es/gazeta/dias/1808/12/24/pdfs/GMD-1808-164.pdf#page=7","Abrir facsímil")</f>
        <v>Abrir facsímil</v>
      </c>
      <c r="K2796" s="15" t="s">
        <v>23</v>
      </c>
    </row>
    <row r="2797" spans="1:11" ht="42" customHeight="1">
      <c r="A2797" s="4" t="s">
        <v>7345</v>
      </c>
      <c r="B2797" s="5" t="s">
        <v>7346</v>
      </c>
      <c r="C2797" s="5" t="s">
        <v>94</v>
      </c>
      <c r="D2797" s="5" t="s">
        <v>95</v>
      </c>
      <c r="E2797" s="5" t="s">
        <v>180</v>
      </c>
      <c r="F2797" s="9" t="s">
        <v>7347</v>
      </c>
      <c r="G2797" s="9">
        <v>390</v>
      </c>
      <c r="H2797" s="5" t="s">
        <v>21</v>
      </c>
      <c r="I2797" s="5" t="s">
        <v>7348</v>
      </c>
      <c r="J2797" s="12" t="str">
        <f>HYPERLINK("https://www.boe.es/gazeta/dias/1808/11/15/pdfs/GMS-1808-49.pdf#page=6","Abrir facsímil")</f>
        <v>Abrir facsímil</v>
      </c>
      <c r="K2797" s="15" t="s">
        <v>23</v>
      </c>
    </row>
    <row r="2798" spans="1:11" ht="42" customHeight="1">
      <c r="A2798" s="4" t="s">
        <v>7349</v>
      </c>
      <c r="B2798" s="5" t="s">
        <v>7350</v>
      </c>
      <c r="C2798" s="5" t="s">
        <v>17</v>
      </c>
      <c r="D2798" s="5" t="s">
        <v>18</v>
      </c>
      <c r="E2798" s="5" t="s">
        <v>461</v>
      </c>
      <c r="F2798" s="9" t="s">
        <v>733</v>
      </c>
      <c r="G2798" s="9">
        <v>1442</v>
      </c>
      <c r="H2798" s="5" t="s">
        <v>21</v>
      </c>
      <c r="I2798" s="5" t="s">
        <v>7351</v>
      </c>
      <c r="J2798" s="12" t="str">
        <f>HYPERLINK("https://www.boe.es/gazeta/dias/1808/11/08/pdfs/GMD-1808-142.pdf#page=4","Abrir facsímil")</f>
        <v>Abrir facsímil</v>
      </c>
      <c r="K2798" s="15" t="s">
        <v>23</v>
      </c>
    </row>
    <row r="2799" spans="1:11" ht="42" customHeight="1">
      <c r="A2799" s="4" t="s">
        <v>7352</v>
      </c>
      <c r="B2799" s="5" t="s">
        <v>7353</v>
      </c>
      <c r="C2799" s="5" t="s">
        <v>33</v>
      </c>
      <c r="D2799" s="5" t="s">
        <v>34</v>
      </c>
      <c r="E2799" s="5" t="s">
        <v>68</v>
      </c>
      <c r="F2799" s="9" t="s">
        <v>849</v>
      </c>
      <c r="G2799" s="9">
        <v>1341</v>
      </c>
      <c r="H2799" s="5" t="s">
        <v>21</v>
      </c>
      <c r="I2799" s="5" t="s">
        <v>7354</v>
      </c>
      <c r="J2799" s="12" t="str">
        <f>HYPERLINK("https://www.boe.es/gazeta/dias/1808/10/21/pdfs/GMD-C-1808-136.pdf#page=1","Abrir facsímil")</f>
        <v>Abrir facsímil</v>
      </c>
      <c r="K2799" s="15" t="s">
        <v>23</v>
      </c>
    </row>
    <row r="2800" spans="1:11" ht="42" customHeight="1">
      <c r="A2800" s="4" t="s">
        <v>7355</v>
      </c>
      <c r="B2800" s="5" t="s">
        <v>7355</v>
      </c>
      <c r="C2800" s="5" t="s">
        <v>101</v>
      </c>
      <c r="D2800" s="5" t="s">
        <v>102</v>
      </c>
      <c r="E2800" s="5" t="s">
        <v>473</v>
      </c>
      <c r="F2800" s="9" t="s">
        <v>474</v>
      </c>
      <c r="G2800" s="9">
        <v>705</v>
      </c>
      <c r="H2800" s="5" t="s">
        <v>21</v>
      </c>
      <c r="I2800" s="5" t="s">
        <v>7356</v>
      </c>
      <c r="J2800" s="12" t="str">
        <f>HYPERLINK("https://www.boe.es/gazeta/dias/1808/07/02/pdfs/GMD-1808-74.pdf#page=3","Abrir facsímil")</f>
        <v>Abrir facsímil</v>
      </c>
      <c r="K2800" s="15" t="s">
        <v>23</v>
      </c>
    </row>
    <row r="2801" spans="1:11" ht="42" customHeight="1">
      <c r="A2801" s="4" t="s">
        <v>7357</v>
      </c>
      <c r="B2801" s="5" t="s">
        <v>7358</v>
      </c>
      <c r="C2801" s="5" t="s">
        <v>94</v>
      </c>
      <c r="D2801" s="5" t="s">
        <v>95</v>
      </c>
      <c r="E2801" s="5" t="s">
        <v>264</v>
      </c>
      <c r="F2801" s="9" t="s">
        <v>2256</v>
      </c>
      <c r="G2801" s="9">
        <v>1565</v>
      </c>
      <c r="H2801" s="5" t="s">
        <v>21</v>
      </c>
      <c r="I2801" s="5" t="s">
        <v>7359</v>
      </c>
      <c r="J2801" s="12" t="str">
        <f>HYPERLINK("https://www.boe.es/gazeta/dias/1808/11/29/pdfs/GMD-1808-148.pdf#page=11","Abrir facsímil")</f>
        <v>Abrir facsímil</v>
      </c>
      <c r="K2801" s="15" t="s">
        <v>23</v>
      </c>
    </row>
    <row r="2802" spans="1:11" ht="42" customHeight="1">
      <c r="A2802" s="4" t="s">
        <v>7360</v>
      </c>
      <c r="B2802" s="5" t="s">
        <v>7360</v>
      </c>
      <c r="C2802" s="5" t="s">
        <v>33</v>
      </c>
      <c r="D2802" s="5" t="s">
        <v>34</v>
      </c>
      <c r="E2802" s="5" t="s">
        <v>65</v>
      </c>
      <c r="F2802" s="9" t="s">
        <v>691</v>
      </c>
      <c r="G2802" s="9">
        <v>1327</v>
      </c>
      <c r="H2802" s="5" t="s">
        <v>21</v>
      </c>
      <c r="I2802" s="5" t="s">
        <v>7361</v>
      </c>
      <c r="J2802" s="12" t="str">
        <f>HYPERLINK("https://www.boe.es/gazeta/dias/1808/10/18/pdfs/GMD-C-1808-135.pdf#page=11","Abrir facsímil")</f>
        <v>Abrir facsímil</v>
      </c>
      <c r="K2802" s="15" t="s">
        <v>23</v>
      </c>
    </row>
    <row r="2803" spans="1:11" ht="42" customHeight="1">
      <c r="A2803" s="4" t="s">
        <v>7362</v>
      </c>
      <c r="B2803" s="5" t="s">
        <v>7363</v>
      </c>
      <c r="C2803" s="5" t="s">
        <v>33</v>
      </c>
      <c r="D2803" s="5" t="s">
        <v>34</v>
      </c>
      <c r="E2803" s="5" t="s">
        <v>558</v>
      </c>
      <c r="F2803" s="9" t="s">
        <v>758</v>
      </c>
      <c r="G2803" s="9" t="s">
        <v>199</v>
      </c>
      <c r="H2803" s="5" t="s">
        <v>21</v>
      </c>
      <c r="I2803" s="5" t="s">
        <v>7364</v>
      </c>
      <c r="J2803" s="12" t="str">
        <f>HYPERLINK("https://www.boe.es/gazeta/dias/1808/11/25/pdfs/GMD-E-1808-147.pdf#page=2","Abrir facsímil")</f>
        <v>Abrir facsímil</v>
      </c>
      <c r="K2803" s="15" t="s">
        <v>23</v>
      </c>
    </row>
    <row r="2804" spans="1:11" ht="42" customHeight="1">
      <c r="A2804" s="4" t="s">
        <v>7365</v>
      </c>
      <c r="B2804" s="5" t="s">
        <v>7366</v>
      </c>
      <c r="C2804" s="5" t="s">
        <v>260</v>
      </c>
      <c r="D2804" s="5" t="s">
        <v>42</v>
      </c>
      <c r="E2804" s="5" t="s">
        <v>663</v>
      </c>
      <c r="F2804" s="9" t="s">
        <v>664</v>
      </c>
      <c r="G2804" s="9">
        <v>208</v>
      </c>
      <c r="H2804" s="5" t="s">
        <v>21</v>
      </c>
      <c r="I2804" s="5" t="s">
        <v>7367</v>
      </c>
      <c r="J2804" s="12" t="str">
        <f>HYPERLINK("https://www.boe.es/gazeta/dias/1808/02/26/pdfs/GMD-1808-17.pdf#page=10","Abrir facsímil")</f>
        <v>Abrir facsímil</v>
      </c>
      <c r="K2804" s="15" t="s">
        <v>23</v>
      </c>
    </row>
    <row r="2805" spans="1:11" ht="42" customHeight="1">
      <c r="A2805" s="4" t="s">
        <v>7368</v>
      </c>
      <c r="B2805" s="5" t="s">
        <v>7369</v>
      </c>
      <c r="C2805" s="5" t="s">
        <v>41</v>
      </c>
      <c r="D2805" s="5" t="s">
        <v>42</v>
      </c>
      <c r="E2805" s="5" t="s">
        <v>35</v>
      </c>
      <c r="F2805" s="9" t="s">
        <v>36</v>
      </c>
      <c r="G2805" s="9" t="s">
        <v>37</v>
      </c>
      <c r="H2805" s="5" t="s">
        <v>21</v>
      </c>
      <c r="I2805" s="5" t="s">
        <v>7370</v>
      </c>
      <c r="J2805" s="12" t="str">
        <f>HYPERLINK("https://www.boe.es/gazeta/dias/1808/04/22/pdfs/GMD-C-1808-38.pdf#page=33","Abrir facsímil")</f>
        <v>Abrir facsímil</v>
      </c>
      <c r="K2805" s="15" t="s">
        <v>23</v>
      </c>
    </row>
    <row r="2806" spans="1:11" ht="42" customHeight="1">
      <c r="A2806" s="4" t="s">
        <v>7371</v>
      </c>
      <c r="B2806" s="5" t="s">
        <v>7372</v>
      </c>
      <c r="C2806" s="5" t="s">
        <v>33</v>
      </c>
      <c r="D2806" s="5" t="s">
        <v>34</v>
      </c>
      <c r="E2806" s="5" t="s">
        <v>19</v>
      </c>
      <c r="F2806" s="9" t="s">
        <v>949</v>
      </c>
      <c r="G2806" s="9" t="s">
        <v>75</v>
      </c>
      <c r="H2806" s="5" t="s">
        <v>21</v>
      </c>
      <c r="I2806" s="5" t="s">
        <v>7373</v>
      </c>
      <c r="J2806" s="12" t="str">
        <f>HYPERLINK("https://www.boe.es/gazeta/dias/1808/09/30/pdfs/GMD-C-1808-130.pdf#page=4","Abrir facsímil")</f>
        <v>Abrir facsímil</v>
      </c>
      <c r="K2806" s="15" t="s">
        <v>23</v>
      </c>
    </row>
    <row r="2807" spans="1:11" ht="42" customHeight="1">
      <c r="A2807" s="4" t="s">
        <v>7374</v>
      </c>
      <c r="B2807" s="5" t="s">
        <v>7374</v>
      </c>
      <c r="C2807" s="5" t="s">
        <v>17</v>
      </c>
      <c r="D2807" s="5" t="s">
        <v>18</v>
      </c>
      <c r="E2807" s="5" t="s">
        <v>139</v>
      </c>
      <c r="F2807" s="9" t="s">
        <v>140</v>
      </c>
      <c r="G2807" s="9">
        <v>1203</v>
      </c>
      <c r="H2807" s="5" t="s">
        <v>21</v>
      </c>
      <c r="I2807" s="5" t="s">
        <v>7375</v>
      </c>
      <c r="J2807" s="12" t="str">
        <f>HYPERLINK("https://www.boe.es/gazeta/dias/1808/09/23/pdfs/GMD-1808-127.pdf#page=11","Abrir facsímil")</f>
        <v>Abrir facsímil</v>
      </c>
      <c r="K2807" s="15" t="s">
        <v>23</v>
      </c>
    </row>
    <row r="2808" spans="1:11" ht="42" customHeight="1">
      <c r="A2808" s="4" t="s">
        <v>7376</v>
      </c>
      <c r="B2808" s="5" t="s">
        <v>7376</v>
      </c>
      <c r="C2808" s="5" t="s">
        <v>17</v>
      </c>
      <c r="D2808" s="5" t="s">
        <v>18</v>
      </c>
      <c r="E2808" s="5" t="s">
        <v>110</v>
      </c>
      <c r="F2808" s="9" t="s">
        <v>111</v>
      </c>
      <c r="G2808" s="9">
        <v>1384</v>
      </c>
      <c r="H2808" s="5" t="s">
        <v>21</v>
      </c>
      <c r="I2808" s="5" t="s">
        <v>7377</v>
      </c>
      <c r="J2808" s="12" t="str">
        <f>HYPERLINK("https://www.boe.es/gazeta/dias/1808/10/28/pdfs/GMD-1808-138.pdf#page=10","Abrir facsímil")</f>
        <v>Abrir facsímil</v>
      </c>
      <c r="K2808" s="15" t="s">
        <v>23</v>
      </c>
    </row>
    <row r="2809" spans="1:11" ht="42" customHeight="1">
      <c r="A2809" s="4" t="s">
        <v>7378</v>
      </c>
      <c r="B2809" s="5" t="s">
        <v>7378</v>
      </c>
      <c r="C2809" s="5" t="s">
        <v>33</v>
      </c>
      <c r="D2809" s="5" t="s">
        <v>34</v>
      </c>
      <c r="E2809" s="5" t="s">
        <v>35</v>
      </c>
      <c r="F2809" s="9" t="s">
        <v>36</v>
      </c>
      <c r="G2809" s="9" t="s">
        <v>148</v>
      </c>
      <c r="H2809" s="5" t="s">
        <v>21</v>
      </c>
      <c r="I2809" s="5" t="s">
        <v>7379</v>
      </c>
      <c r="J2809" s="12" t="str">
        <f>HYPERLINK("https://www.boe.es/gazeta/dias/1808/04/22/pdfs/GMD-C-1808-38.pdf#page=38","Abrir facsímil")</f>
        <v>Abrir facsímil</v>
      </c>
      <c r="K2809" s="15" t="s">
        <v>23</v>
      </c>
    </row>
    <row r="2810" spans="1:11" ht="42" customHeight="1">
      <c r="A2810" s="4" t="s">
        <v>7380</v>
      </c>
      <c r="B2810" s="5" t="s">
        <v>7380</v>
      </c>
      <c r="C2810" s="5" t="s">
        <v>389</v>
      </c>
      <c r="D2810" s="5" t="s">
        <v>390</v>
      </c>
      <c r="E2810" s="5" t="s">
        <v>73</v>
      </c>
      <c r="F2810" s="9" t="s">
        <v>74</v>
      </c>
      <c r="G2810" s="9" t="s">
        <v>75</v>
      </c>
      <c r="H2810" s="5" t="s">
        <v>21</v>
      </c>
      <c r="I2810" s="5" t="s">
        <v>7381</v>
      </c>
      <c r="J2810" s="12" t="str">
        <f>HYPERLINK("https://www.boe.es/gazeta/dias/1808/11/11/pdfs/GMD-D-1808-143.pdf#page=4","Abrir facsímil")</f>
        <v>Abrir facsímil</v>
      </c>
      <c r="K2810" s="15" t="s">
        <v>23</v>
      </c>
    </row>
    <row r="2811" spans="1:11" ht="42" customHeight="1">
      <c r="A2811" s="4" t="s">
        <v>7382</v>
      </c>
      <c r="B2811" s="5" t="s">
        <v>7382</v>
      </c>
      <c r="C2811" s="5" t="s">
        <v>94</v>
      </c>
      <c r="D2811" s="5" t="s">
        <v>95</v>
      </c>
      <c r="E2811" s="5" t="s">
        <v>877</v>
      </c>
      <c r="F2811" s="9" t="s">
        <v>878</v>
      </c>
      <c r="G2811" s="9">
        <v>118</v>
      </c>
      <c r="H2811" s="5" t="s">
        <v>21</v>
      </c>
      <c r="I2811" s="5" t="s">
        <v>7383</v>
      </c>
      <c r="J2811" s="12" t="str">
        <f>HYPERLINK("https://www.boe.es/gazeta/dias/1808/02/02/pdfs/GMD-1808-10.pdf#page=10","Abrir facsímil")</f>
        <v>Abrir facsímil</v>
      </c>
      <c r="K2811" s="15" t="s">
        <v>23</v>
      </c>
    </row>
    <row r="2812" spans="1:11" ht="42" customHeight="1">
      <c r="A2812" s="4" t="s">
        <v>7384</v>
      </c>
      <c r="B2812" s="5" t="s">
        <v>7384</v>
      </c>
      <c r="C2812" s="5" t="s">
        <v>94</v>
      </c>
      <c r="D2812" s="5" t="s">
        <v>95</v>
      </c>
      <c r="E2812" s="5" t="s">
        <v>558</v>
      </c>
      <c r="F2812" s="9" t="s">
        <v>559</v>
      </c>
      <c r="G2812" s="9">
        <v>1543</v>
      </c>
      <c r="H2812" s="5" t="s">
        <v>21</v>
      </c>
      <c r="I2812" s="5" t="s">
        <v>7385</v>
      </c>
      <c r="J2812" s="12" t="str">
        <f>HYPERLINK("https://www.boe.es/gazeta/dias/1808/11/25/pdfs/GMD-1808-147.pdf#page=9","Abrir facsímil")</f>
        <v>Abrir facsímil</v>
      </c>
      <c r="K2812" s="15" t="s">
        <v>23</v>
      </c>
    </row>
    <row r="2813" spans="1:11" ht="42" customHeight="1">
      <c r="A2813" s="4" t="s">
        <v>7386</v>
      </c>
      <c r="B2813" s="5" t="s">
        <v>7386</v>
      </c>
      <c r="C2813" s="5" t="s">
        <v>33</v>
      </c>
      <c r="D2813" s="5" t="s">
        <v>34</v>
      </c>
      <c r="E2813" s="5" t="s">
        <v>35</v>
      </c>
      <c r="F2813" s="9" t="s">
        <v>36</v>
      </c>
      <c r="G2813" s="9" t="s">
        <v>655</v>
      </c>
      <c r="H2813" s="5" t="s">
        <v>21</v>
      </c>
      <c r="I2813" s="5" t="s">
        <v>7387</v>
      </c>
      <c r="J2813" s="12" t="str">
        <f>HYPERLINK("https://www.boe.es/gazeta/dias/1808/04/22/pdfs/GMD-C-1808-38.pdf#page=43","Abrir facsímil")</f>
        <v>Abrir facsímil</v>
      </c>
      <c r="K2813" s="15" t="s">
        <v>23</v>
      </c>
    </row>
    <row r="2814" spans="1:11" ht="42" customHeight="1">
      <c r="A2814" s="4" t="s">
        <v>7388</v>
      </c>
      <c r="B2814" s="5" t="s">
        <v>7389</v>
      </c>
      <c r="C2814" s="5" t="s">
        <v>17</v>
      </c>
      <c r="D2814" s="5" t="s">
        <v>18</v>
      </c>
      <c r="E2814" s="5" t="s">
        <v>65</v>
      </c>
      <c r="F2814" s="9" t="s">
        <v>66</v>
      </c>
      <c r="G2814" s="9">
        <v>1303</v>
      </c>
      <c r="H2814" s="5" t="s">
        <v>21</v>
      </c>
      <c r="I2814" s="5" t="s">
        <v>7390</v>
      </c>
      <c r="J2814" s="12" t="str">
        <f>HYPERLINK("https://www.boe.es/gazeta/dias/1808/10/18/pdfs/GMD-1808-135.pdf#page=3","Abrir facsímil")</f>
        <v>Abrir facsímil</v>
      </c>
      <c r="K2814" s="15" t="s">
        <v>23</v>
      </c>
    </row>
    <row r="2815" spans="1:11" ht="42" customHeight="1">
      <c r="A2815" s="4" t="s">
        <v>7391</v>
      </c>
      <c r="B2815" s="5" t="s">
        <v>7392</v>
      </c>
      <c r="C2815" s="5" t="s">
        <v>41</v>
      </c>
      <c r="D2815" s="5" t="s">
        <v>42</v>
      </c>
      <c r="E2815" s="5" t="s">
        <v>1791</v>
      </c>
      <c r="F2815" s="9" t="s">
        <v>2814</v>
      </c>
      <c r="G2815" s="9">
        <v>930</v>
      </c>
      <c r="H2815" s="5" t="s">
        <v>21</v>
      </c>
      <c r="I2815" s="5" t="s">
        <v>7393</v>
      </c>
      <c r="J2815" s="12" t="str">
        <f>HYPERLINK("https://www.boe.es/gazeta/dias/1808/07/30/pdfs/GMD-1808-102.pdf#page=4","Abrir facsímil")</f>
        <v>Abrir facsímil</v>
      </c>
      <c r="K2815" s="15" t="s">
        <v>23</v>
      </c>
    </row>
    <row r="2816" spans="1:11" ht="42" customHeight="1">
      <c r="A2816" s="4" t="s">
        <v>7394</v>
      </c>
      <c r="B2816" s="5" t="s">
        <v>7394</v>
      </c>
      <c r="C2816" s="5" t="s">
        <v>33</v>
      </c>
      <c r="D2816" s="5" t="s">
        <v>34</v>
      </c>
      <c r="E2816" s="5" t="s">
        <v>73</v>
      </c>
      <c r="F2816" s="9" t="s">
        <v>74</v>
      </c>
      <c r="G2816" s="9" t="s">
        <v>75</v>
      </c>
      <c r="H2816" s="5" t="s">
        <v>21</v>
      </c>
      <c r="I2816" s="5" t="s">
        <v>7395</v>
      </c>
      <c r="J2816" s="12" t="str">
        <f>HYPERLINK("https://www.boe.es/gazeta/dias/1808/11/11/pdfs/GMD-D-1808-143.pdf#page=4","Abrir facsímil")</f>
        <v>Abrir facsímil</v>
      </c>
      <c r="K2816" s="15" t="s">
        <v>23</v>
      </c>
    </row>
    <row r="2817" spans="1:11" ht="42" customHeight="1">
      <c r="A2817" s="4" t="s">
        <v>7396</v>
      </c>
      <c r="B2817" s="5" t="s">
        <v>7396</v>
      </c>
      <c r="C2817" s="5" t="s">
        <v>41</v>
      </c>
      <c r="D2817" s="5" t="s">
        <v>42</v>
      </c>
      <c r="E2817" s="5" t="s">
        <v>207</v>
      </c>
      <c r="F2817" s="9" t="s">
        <v>208</v>
      </c>
      <c r="G2817" s="9">
        <v>198</v>
      </c>
      <c r="H2817" s="5" t="s">
        <v>21</v>
      </c>
      <c r="I2817" s="5" t="s">
        <v>7397</v>
      </c>
      <c r="J2817" s="12" t="str">
        <f>HYPERLINK("https://www.boe.es/gazeta/dias/1808/02/23/pdfs/GMD-1808-16.pdf#page=12","Abrir facsímil")</f>
        <v>Abrir facsímil</v>
      </c>
      <c r="K2817" s="15" t="s">
        <v>23</v>
      </c>
    </row>
    <row r="2818" spans="1:11" ht="42" customHeight="1">
      <c r="A2818" s="4" t="s">
        <v>7398</v>
      </c>
      <c r="B2818" s="5" t="s">
        <v>7398</v>
      </c>
      <c r="C2818" s="5" t="s">
        <v>33</v>
      </c>
      <c r="D2818" s="5" t="s">
        <v>34</v>
      </c>
      <c r="E2818" s="5" t="s">
        <v>558</v>
      </c>
      <c r="F2818" s="9" t="s">
        <v>758</v>
      </c>
      <c r="G2818" s="9" t="s">
        <v>106</v>
      </c>
      <c r="H2818" s="5" t="s">
        <v>21</v>
      </c>
      <c r="I2818" s="5" t="s">
        <v>7399</v>
      </c>
      <c r="J2818" s="12" t="str">
        <f>HYPERLINK("https://www.boe.es/gazeta/dias/1808/11/25/pdfs/GMD-E-1808-147.pdf#page=3","Abrir facsímil")</f>
        <v>Abrir facsímil</v>
      </c>
      <c r="K2818" s="15" t="s">
        <v>23</v>
      </c>
    </row>
    <row r="2819" spans="1:11" ht="42" customHeight="1">
      <c r="A2819" s="4" t="s">
        <v>7400</v>
      </c>
      <c r="B2819" s="5" t="s">
        <v>7400</v>
      </c>
      <c r="C2819" s="5" t="s">
        <v>389</v>
      </c>
      <c r="D2819" s="5" t="s">
        <v>390</v>
      </c>
      <c r="E2819" s="5" t="s">
        <v>832</v>
      </c>
      <c r="F2819" s="9" t="s">
        <v>833</v>
      </c>
      <c r="G2819" s="9">
        <v>522</v>
      </c>
      <c r="H2819" s="5" t="s">
        <v>21</v>
      </c>
      <c r="I2819" s="5" t="s">
        <v>7401</v>
      </c>
      <c r="J2819" s="12" t="str">
        <f>HYPERLINK("https://www.boe.es/gazeta/dias/1808/05/31/pdfs/GMD-1808-52.pdf#page=12","Abrir facsímil")</f>
        <v>Abrir facsímil</v>
      </c>
      <c r="K2819" s="15" t="s">
        <v>23</v>
      </c>
    </row>
    <row r="2820" spans="1:11" ht="42" customHeight="1">
      <c r="A2820" s="4" t="s">
        <v>7400</v>
      </c>
      <c r="B2820" s="5" t="s">
        <v>7400</v>
      </c>
      <c r="C2820" s="5" t="s">
        <v>17</v>
      </c>
      <c r="D2820" s="5" t="s">
        <v>18</v>
      </c>
      <c r="E2820" s="5" t="s">
        <v>2204</v>
      </c>
      <c r="F2820" s="9" t="s">
        <v>2205</v>
      </c>
      <c r="G2820" s="9">
        <v>68</v>
      </c>
      <c r="H2820" s="5" t="s">
        <v>21</v>
      </c>
      <c r="I2820" s="5" t="s">
        <v>7402</v>
      </c>
      <c r="J2820" s="12" t="str">
        <f>HYPERLINK("https://www.boe.es/gazeta/dias/1808/06/29/pdfs/GMS-1808-9.pdf#page=4","Abrir facsímil")</f>
        <v>Abrir facsímil</v>
      </c>
      <c r="K2820" s="15" t="s">
        <v>23</v>
      </c>
    </row>
    <row r="2821" spans="1:11" ht="42" customHeight="1">
      <c r="A2821" s="4" t="s">
        <v>7400</v>
      </c>
      <c r="B2821" s="5" t="s">
        <v>7400</v>
      </c>
      <c r="C2821" s="5" t="s">
        <v>17</v>
      </c>
      <c r="D2821" s="5" t="s">
        <v>18</v>
      </c>
      <c r="E2821" s="5" t="s">
        <v>51</v>
      </c>
      <c r="F2821" s="9" t="s">
        <v>52</v>
      </c>
      <c r="G2821" s="9">
        <v>986</v>
      </c>
      <c r="H2821" s="5" t="s">
        <v>21</v>
      </c>
      <c r="I2821" s="5" t="s">
        <v>7403</v>
      </c>
      <c r="J2821" s="12" t="str">
        <f>HYPERLINK("https://www.boe.es/gazeta/dias/1808/08/09/pdfs/GMD-1808-111.pdf#page=2","Abrir facsímil")</f>
        <v>Abrir facsímil</v>
      </c>
      <c r="K2821" s="15" t="s">
        <v>23</v>
      </c>
    </row>
    <row r="2822" spans="1:11" ht="42" customHeight="1">
      <c r="A2822" s="4" t="s">
        <v>7400</v>
      </c>
      <c r="B2822" s="5" t="s">
        <v>7400</v>
      </c>
      <c r="C2822" s="5" t="s">
        <v>17</v>
      </c>
      <c r="D2822" s="5" t="s">
        <v>18</v>
      </c>
      <c r="E2822" s="5" t="s">
        <v>185</v>
      </c>
      <c r="F2822" s="9" t="s">
        <v>186</v>
      </c>
      <c r="G2822" s="9">
        <v>1103</v>
      </c>
      <c r="H2822" s="5" t="s">
        <v>21</v>
      </c>
      <c r="I2822" s="5" t="s">
        <v>7404</v>
      </c>
      <c r="J2822" s="12" t="str">
        <f>HYPERLINK("https://www.boe.es/gazeta/dias/1808/08/30/pdfs/GMD-1808-118.pdf#page=9","Abrir facsímil")</f>
        <v>Abrir facsímil</v>
      </c>
      <c r="K2822" s="15" t="s">
        <v>23</v>
      </c>
    </row>
    <row r="2823" spans="1:11" ht="42" customHeight="1">
      <c r="A2823" s="4" t="s">
        <v>7400</v>
      </c>
      <c r="B2823" s="5" t="s">
        <v>7400</v>
      </c>
      <c r="C2823" s="5" t="s">
        <v>17</v>
      </c>
      <c r="D2823" s="5" t="s">
        <v>18</v>
      </c>
      <c r="E2823" s="5" t="s">
        <v>185</v>
      </c>
      <c r="F2823" s="9" t="s">
        <v>6822</v>
      </c>
      <c r="G2823" s="9">
        <v>213</v>
      </c>
      <c r="H2823" s="5" t="s">
        <v>21</v>
      </c>
      <c r="I2823" s="5" t="s">
        <v>7405</v>
      </c>
      <c r="J2823" s="12" t="str">
        <f>HYPERLINK("https://www.boe.es/gazeta/dias/1808/08/30/pdfs/GMS-1808-27.pdf#page=5","Abrir facsímil")</f>
        <v>Abrir facsímil</v>
      </c>
      <c r="K2823" s="15" t="s">
        <v>23</v>
      </c>
    </row>
    <row r="2824" spans="1:11" ht="42" customHeight="1">
      <c r="A2824" s="4" t="s">
        <v>7400</v>
      </c>
      <c r="B2824" s="5" t="s">
        <v>7400</v>
      </c>
      <c r="C2824" s="5" t="s">
        <v>17</v>
      </c>
      <c r="D2824" s="5" t="s">
        <v>18</v>
      </c>
      <c r="E2824" s="5" t="s">
        <v>185</v>
      </c>
      <c r="F2824" s="9" t="s">
        <v>6822</v>
      </c>
      <c r="G2824" s="9">
        <v>214</v>
      </c>
      <c r="H2824" s="5" t="s">
        <v>21</v>
      </c>
      <c r="I2824" s="5" t="s">
        <v>7406</v>
      </c>
      <c r="J2824" s="12" t="str">
        <f>HYPERLINK("https://www.boe.es/gazeta/dias/1808/08/30/pdfs/GMS-1808-27.pdf#page=6","Abrir facsímil")</f>
        <v>Abrir facsímil</v>
      </c>
      <c r="K2824" s="15" t="s">
        <v>23</v>
      </c>
    </row>
    <row r="2825" spans="1:11" ht="42" customHeight="1">
      <c r="A2825" s="4" t="s">
        <v>7407</v>
      </c>
      <c r="B2825" s="5" t="s">
        <v>7407</v>
      </c>
      <c r="C2825" s="5" t="s">
        <v>389</v>
      </c>
      <c r="D2825" s="5" t="s">
        <v>390</v>
      </c>
      <c r="E2825" s="5" t="s">
        <v>1671</v>
      </c>
      <c r="F2825" s="9" t="s">
        <v>1672</v>
      </c>
      <c r="G2825" s="9">
        <v>481</v>
      </c>
      <c r="H2825" s="5" t="s">
        <v>21</v>
      </c>
      <c r="I2825" s="5" t="s">
        <v>7408</v>
      </c>
      <c r="J2825" s="12" t="str">
        <f>HYPERLINK("https://www.boe.es/gazeta/dias/1808/05/20/pdfs/GMD-1808-48.pdf#page=9","Abrir facsímil")</f>
        <v>Abrir facsímil</v>
      </c>
      <c r="K2825" s="15" t="s">
        <v>23</v>
      </c>
    </row>
    <row r="2826" spans="1:11" ht="42" customHeight="1">
      <c r="A2826" s="4" t="s">
        <v>7409</v>
      </c>
      <c r="B2826" s="5" t="s">
        <v>7409</v>
      </c>
      <c r="C2826" s="5" t="s">
        <v>17</v>
      </c>
      <c r="D2826" s="5" t="s">
        <v>18</v>
      </c>
      <c r="E2826" s="5" t="s">
        <v>508</v>
      </c>
      <c r="F2826" s="9" t="s">
        <v>509</v>
      </c>
      <c r="G2826" s="9">
        <v>1013</v>
      </c>
      <c r="H2826" s="5" t="s">
        <v>21</v>
      </c>
      <c r="I2826" s="5" t="s">
        <v>7410</v>
      </c>
      <c r="J2826" s="12" t="str">
        <f>HYPERLINK("https://www.boe.es/gazeta/dias/1808/08/16/pdfs/GMD-1808-113.pdf#page=5","Abrir facsímil")</f>
        <v>Abrir facsímil</v>
      </c>
      <c r="K2826" s="15" t="s">
        <v>23</v>
      </c>
    </row>
    <row r="2827" spans="1:11" ht="42" customHeight="1">
      <c r="A2827" s="4" t="s">
        <v>7411</v>
      </c>
      <c r="B2827" s="5" t="s">
        <v>7411</v>
      </c>
      <c r="C2827" s="5" t="s">
        <v>33</v>
      </c>
      <c r="D2827" s="5" t="s">
        <v>34</v>
      </c>
      <c r="E2827" s="5" t="s">
        <v>35</v>
      </c>
      <c r="F2827" s="9" t="s">
        <v>36</v>
      </c>
      <c r="G2827" s="9" t="s">
        <v>75</v>
      </c>
      <c r="H2827" s="5" t="s">
        <v>21</v>
      </c>
      <c r="I2827" s="5" t="s">
        <v>7412</v>
      </c>
      <c r="J2827" s="12" t="str">
        <f>HYPERLINK("https://www.boe.es/gazeta/dias/1808/04/22/pdfs/GMD-C-1808-38.pdf#page=4","Abrir facsímil")</f>
        <v>Abrir facsímil</v>
      </c>
      <c r="K2827" s="15" t="s">
        <v>23</v>
      </c>
    </row>
    <row r="2828" spans="1:11" ht="42" customHeight="1">
      <c r="A2828" s="4" t="s">
        <v>7413</v>
      </c>
      <c r="B2828" s="5" t="s">
        <v>7413</v>
      </c>
      <c r="C2828" s="5" t="s">
        <v>17</v>
      </c>
      <c r="D2828" s="5" t="s">
        <v>18</v>
      </c>
      <c r="E2828" s="5" t="s">
        <v>264</v>
      </c>
      <c r="F2828" s="9" t="s">
        <v>2256</v>
      </c>
      <c r="G2828" s="9">
        <v>1560</v>
      </c>
      <c r="H2828" s="5" t="s">
        <v>21</v>
      </c>
      <c r="I2828" s="5" t="s">
        <v>7414</v>
      </c>
      <c r="J2828" s="12" t="str">
        <f>HYPERLINK("https://www.boe.es/gazeta/dias/1808/11/29/pdfs/GMD-1808-148.pdf#page=6","Abrir facsímil")</f>
        <v>Abrir facsímil</v>
      </c>
      <c r="K2828" s="15" t="s">
        <v>23</v>
      </c>
    </row>
    <row r="2829" spans="1:11" ht="42" customHeight="1">
      <c r="A2829" s="4" t="s">
        <v>7415</v>
      </c>
      <c r="B2829" s="5" t="s">
        <v>7415</v>
      </c>
      <c r="C2829" s="5" t="s">
        <v>101</v>
      </c>
      <c r="D2829" s="5" t="s">
        <v>102</v>
      </c>
      <c r="E2829" s="5" t="s">
        <v>2555</v>
      </c>
      <c r="F2829" s="9" t="s">
        <v>2556</v>
      </c>
      <c r="G2829" s="9">
        <v>127</v>
      </c>
      <c r="H2829" s="5" t="s">
        <v>21</v>
      </c>
      <c r="I2829" s="5" t="s">
        <v>7416</v>
      </c>
      <c r="J2829" s="12" t="str">
        <f>HYPERLINK("https://www.boe.es/gazeta/dias/1808/02/05/pdfs/GMD-1808-11.pdf#page=7","Abrir facsímil")</f>
        <v>Abrir facsímil</v>
      </c>
      <c r="K2829" s="15" t="s">
        <v>23</v>
      </c>
    </row>
    <row r="2830" spans="1:11" ht="42" customHeight="1">
      <c r="A2830" s="4" t="s">
        <v>7417</v>
      </c>
      <c r="B2830" s="5" t="s">
        <v>7417</v>
      </c>
      <c r="C2830" s="5" t="s">
        <v>17</v>
      </c>
      <c r="D2830" s="5" t="s">
        <v>18</v>
      </c>
      <c r="E2830" s="5" t="s">
        <v>2204</v>
      </c>
      <c r="F2830" s="9" t="s">
        <v>2285</v>
      </c>
      <c r="G2830" s="9">
        <v>685</v>
      </c>
      <c r="H2830" s="5" t="s">
        <v>21</v>
      </c>
      <c r="I2830" s="5" t="s">
        <v>7418</v>
      </c>
      <c r="J2830" s="12" t="str">
        <f>HYPERLINK("https://www.boe.es/gazeta/dias/1808/06/29/pdfs/GMD-1808-71.pdf#page=7","Abrir facsímil")</f>
        <v>Abrir facsímil</v>
      </c>
      <c r="K2830" s="15" t="s">
        <v>23</v>
      </c>
    </row>
    <row r="2831" spans="1:11" ht="42" customHeight="1">
      <c r="A2831" s="4" t="s">
        <v>7417</v>
      </c>
      <c r="B2831" s="5" t="s">
        <v>7417</v>
      </c>
      <c r="C2831" s="5" t="s">
        <v>17</v>
      </c>
      <c r="D2831" s="5" t="s">
        <v>18</v>
      </c>
      <c r="E2831" s="5" t="s">
        <v>28</v>
      </c>
      <c r="F2831" s="9" t="s">
        <v>29</v>
      </c>
      <c r="G2831" s="9">
        <v>1430</v>
      </c>
      <c r="H2831" s="5" t="s">
        <v>21</v>
      </c>
      <c r="I2831" s="5" t="s">
        <v>7419</v>
      </c>
      <c r="J2831" s="12" t="str">
        <f>HYPERLINK("https://www.boe.es/gazeta/dias/1808/11/04/pdfs/GMD-1808-141.pdf#page=12","Abrir facsímil")</f>
        <v>Abrir facsímil</v>
      </c>
      <c r="K2831" s="15" t="s">
        <v>23</v>
      </c>
    </row>
    <row r="2832" spans="1:11" ht="42" customHeight="1">
      <c r="A2832" s="4" t="s">
        <v>7420</v>
      </c>
      <c r="B2832" s="5" t="s">
        <v>7420</v>
      </c>
      <c r="C2832" s="5" t="s">
        <v>17</v>
      </c>
      <c r="D2832" s="5" t="s">
        <v>18</v>
      </c>
      <c r="E2832" s="5" t="s">
        <v>714</v>
      </c>
      <c r="F2832" s="9" t="s">
        <v>715</v>
      </c>
      <c r="G2832" s="9">
        <v>112</v>
      </c>
      <c r="H2832" s="5" t="s">
        <v>21</v>
      </c>
      <c r="I2832" s="5" t="s">
        <v>7421</v>
      </c>
      <c r="J2832" s="12" t="str">
        <f>HYPERLINK("https://www.boe.es/gazeta/dias/1808/07/16/pdfs/GMS-1808-14.pdf#page=8","Abrir facsímil")</f>
        <v>Abrir facsímil</v>
      </c>
      <c r="K2832" s="15" t="s">
        <v>23</v>
      </c>
    </row>
    <row r="2833" spans="1:11" ht="42" customHeight="1">
      <c r="A2833" s="4" t="s">
        <v>7422</v>
      </c>
      <c r="B2833" s="5" t="s">
        <v>7422</v>
      </c>
      <c r="C2833" s="5" t="s">
        <v>41</v>
      </c>
      <c r="D2833" s="5" t="s">
        <v>42</v>
      </c>
      <c r="E2833" s="5" t="s">
        <v>110</v>
      </c>
      <c r="F2833" s="9" t="s">
        <v>828</v>
      </c>
      <c r="G2833" s="9" t="s">
        <v>199</v>
      </c>
      <c r="H2833" s="5" t="s">
        <v>21</v>
      </c>
      <c r="I2833" s="5" t="s">
        <v>7423</v>
      </c>
      <c r="J2833" s="12" t="str">
        <f>HYPERLINK("https://www.boe.es/gazeta/dias/1808/10/28/pdfs/GMD-D-1808-138.pdf#page=2","Abrir facsímil")</f>
        <v>Abrir facsímil</v>
      </c>
      <c r="K2833" s="15" t="s">
        <v>23</v>
      </c>
    </row>
    <row r="2834" spans="1:11" ht="42" customHeight="1">
      <c r="A2834" s="4" t="s">
        <v>7424</v>
      </c>
      <c r="B2834" s="5" t="s">
        <v>7424</v>
      </c>
      <c r="C2834" s="5" t="s">
        <v>17</v>
      </c>
      <c r="D2834" s="5" t="s">
        <v>18</v>
      </c>
      <c r="E2834" s="5" t="s">
        <v>130</v>
      </c>
      <c r="F2834" s="9" t="s">
        <v>131</v>
      </c>
      <c r="G2834" s="9">
        <v>1603</v>
      </c>
      <c r="H2834" s="5" t="s">
        <v>21</v>
      </c>
      <c r="I2834" s="5" t="s">
        <v>7425</v>
      </c>
      <c r="J2834" s="12" t="str">
        <f>HYPERLINK("https://www.boe.es/gazeta/dias/1808/12/15/pdfs/GMD-1808-155.pdf#page=7","Abrir facsímil")</f>
        <v>Abrir facsímil</v>
      </c>
      <c r="K2834" s="15" t="s">
        <v>23</v>
      </c>
    </row>
    <row r="2835" spans="1:11" ht="42" customHeight="1">
      <c r="A2835" s="4" t="s">
        <v>7426</v>
      </c>
      <c r="B2835" s="5" t="s">
        <v>7426</v>
      </c>
      <c r="C2835" s="5" t="s">
        <v>33</v>
      </c>
      <c r="D2835" s="5" t="s">
        <v>34</v>
      </c>
      <c r="E2835" s="5" t="s">
        <v>89</v>
      </c>
      <c r="F2835" s="9" t="s">
        <v>563</v>
      </c>
      <c r="G2835" s="9" t="s">
        <v>199</v>
      </c>
      <c r="H2835" s="5" t="s">
        <v>21</v>
      </c>
      <c r="I2835" s="5" t="s">
        <v>7427</v>
      </c>
      <c r="J2835" s="12" t="str">
        <f>HYPERLINK("https://www.boe.es/gazeta/dias/1808/10/25/pdfs/GMD-D-1808-137.pdf#page=2","Abrir facsímil")</f>
        <v>Abrir facsímil</v>
      </c>
      <c r="K2835" s="15" t="s">
        <v>23</v>
      </c>
    </row>
    <row r="2836" spans="1:11" ht="42" customHeight="1">
      <c r="A2836" s="4" t="s">
        <v>7428</v>
      </c>
      <c r="B2836" s="5" t="s">
        <v>7428</v>
      </c>
      <c r="C2836" s="5" t="s">
        <v>33</v>
      </c>
      <c r="D2836" s="5" t="s">
        <v>34</v>
      </c>
      <c r="E2836" s="5" t="s">
        <v>115</v>
      </c>
      <c r="F2836" s="9" t="s">
        <v>116</v>
      </c>
      <c r="G2836" s="9" t="s">
        <v>106</v>
      </c>
      <c r="H2836" s="5" t="s">
        <v>21</v>
      </c>
      <c r="I2836" s="5" t="s">
        <v>7429</v>
      </c>
      <c r="J2836" s="12" t="str">
        <f>HYPERLINK("https://www.boe.es/gazeta/dias/1808/09/16/pdfs/GMD-C-1808-125.pdf#page=3","Abrir facsímil")</f>
        <v>Abrir facsímil</v>
      </c>
      <c r="K2836" s="15" t="s">
        <v>23</v>
      </c>
    </row>
    <row r="2837" spans="1:11" ht="42" customHeight="1">
      <c r="A2837" s="4" t="s">
        <v>7430</v>
      </c>
      <c r="B2837" s="5" t="s">
        <v>7430</v>
      </c>
      <c r="C2837" s="5" t="s">
        <v>33</v>
      </c>
      <c r="D2837" s="5" t="s">
        <v>34</v>
      </c>
      <c r="E2837" s="5" t="s">
        <v>65</v>
      </c>
      <c r="F2837" s="9" t="s">
        <v>105</v>
      </c>
      <c r="G2837" s="9" t="s">
        <v>199</v>
      </c>
      <c r="H2837" s="5" t="s">
        <v>21</v>
      </c>
      <c r="I2837" s="5" t="s">
        <v>7431</v>
      </c>
      <c r="J2837" s="12" t="str">
        <f>HYPERLINK("https://www.boe.es/gazeta/dias/1808/10/18/pdfs/GMD-D-1808-135.pdf#page=2","Abrir facsímil")</f>
        <v>Abrir facsímil</v>
      </c>
      <c r="K2837" s="15" t="s">
        <v>23</v>
      </c>
    </row>
    <row r="2838" spans="1:11" ht="42" customHeight="1">
      <c r="A2838" s="4" t="s">
        <v>7432</v>
      </c>
      <c r="B2838" s="5" t="s">
        <v>7433</v>
      </c>
      <c r="C2838" s="5" t="s">
        <v>33</v>
      </c>
      <c r="D2838" s="5" t="s">
        <v>34</v>
      </c>
      <c r="E2838" s="5" t="s">
        <v>65</v>
      </c>
      <c r="F2838" s="9" t="s">
        <v>691</v>
      </c>
      <c r="G2838" s="9">
        <v>1327</v>
      </c>
      <c r="H2838" s="5" t="s">
        <v>21</v>
      </c>
      <c r="I2838" s="5" t="s">
        <v>7434</v>
      </c>
      <c r="J2838" s="12" t="str">
        <f>HYPERLINK("https://www.boe.es/gazeta/dias/1808/10/18/pdfs/GMD-C-1808-135.pdf#page=11","Abrir facsímil")</f>
        <v>Abrir facsímil</v>
      </c>
      <c r="K2838" s="15" t="s">
        <v>23</v>
      </c>
    </row>
    <row r="2839" spans="1:11" ht="42" customHeight="1">
      <c r="A2839" s="4" t="s">
        <v>7435</v>
      </c>
      <c r="B2839" s="5" t="s">
        <v>7435</v>
      </c>
      <c r="C2839" s="5" t="s">
        <v>17</v>
      </c>
      <c r="D2839" s="5" t="s">
        <v>18</v>
      </c>
      <c r="E2839" s="5" t="s">
        <v>115</v>
      </c>
      <c r="F2839" s="9" t="s">
        <v>1650</v>
      </c>
      <c r="G2839" s="9">
        <v>1177</v>
      </c>
      <c r="H2839" s="5" t="s">
        <v>21</v>
      </c>
      <c r="I2839" s="5" t="s">
        <v>7436</v>
      </c>
      <c r="J2839" s="12" t="str">
        <f>HYPERLINK("https://www.boe.es/gazeta/dias/1808/09/16/pdfs/GMD-1808-125.pdf#page=9","Abrir facsímil")</f>
        <v>Abrir facsímil</v>
      </c>
      <c r="K2839" s="15" t="s">
        <v>23</v>
      </c>
    </row>
    <row r="2840" spans="1:11" ht="42" customHeight="1">
      <c r="A2840" s="4" t="s">
        <v>7437</v>
      </c>
      <c r="B2840" s="5" t="s">
        <v>7438</v>
      </c>
      <c r="C2840" s="5" t="s">
        <v>17</v>
      </c>
      <c r="D2840" s="5" t="s">
        <v>18</v>
      </c>
      <c r="E2840" s="5" t="s">
        <v>125</v>
      </c>
      <c r="F2840" s="9" t="s">
        <v>397</v>
      </c>
      <c r="G2840" s="9">
        <v>1269</v>
      </c>
      <c r="H2840" s="5" t="s">
        <v>21</v>
      </c>
      <c r="I2840" s="5" t="s">
        <v>7439</v>
      </c>
      <c r="J2840" s="12" t="str">
        <f>HYPERLINK("https://www.boe.es/gazeta/dias/1808/10/07/pdfs/GMD-1808-132.pdf#page=9","Abrir facsímil")</f>
        <v>Abrir facsímil</v>
      </c>
      <c r="K2840" s="15" t="s">
        <v>23</v>
      </c>
    </row>
    <row r="2841" spans="1:11" ht="42" customHeight="1">
      <c r="A2841" s="4" t="s">
        <v>7440</v>
      </c>
      <c r="B2841" s="5" t="s">
        <v>7440</v>
      </c>
      <c r="C2841" s="5" t="s">
        <v>17</v>
      </c>
      <c r="D2841" s="5" t="s">
        <v>18</v>
      </c>
      <c r="E2841" s="5" t="s">
        <v>115</v>
      </c>
      <c r="F2841" s="9" t="s">
        <v>1650</v>
      </c>
      <c r="G2841" s="9">
        <v>1177</v>
      </c>
      <c r="H2841" s="5" t="s">
        <v>21</v>
      </c>
      <c r="I2841" s="5" t="s">
        <v>7441</v>
      </c>
      <c r="J2841" s="12" t="str">
        <f>HYPERLINK("https://www.boe.es/gazeta/dias/1808/09/16/pdfs/GMD-1808-125.pdf#page=9","Abrir facsímil")</f>
        <v>Abrir facsímil</v>
      </c>
      <c r="K2841" s="15" t="s">
        <v>23</v>
      </c>
    </row>
    <row r="2842" spans="1:11" ht="42" customHeight="1">
      <c r="A2842" s="4" t="s">
        <v>7442</v>
      </c>
      <c r="B2842" s="5" t="s">
        <v>7443</v>
      </c>
      <c r="C2842" s="5" t="s">
        <v>33</v>
      </c>
      <c r="D2842" s="5" t="s">
        <v>34</v>
      </c>
      <c r="E2842" s="5" t="s">
        <v>139</v>
      </c>
      <c r="F2842" s="9" t="s">
        <v>1089</v>
      </c>
      <c r="G2842" s="9" t="s">
        <v>75</v>
      </c>
      <c r="H2842" s="5" t="s">
        <v>21</v>
      </c>
      <c r="I2842" s="5" t="s">
        <v>7444</v>
      </c>
      <c r="J2842" s="12" t="str">
        <f>HYPERLINK("https://www.boe.es/gazeta/dias/1808/09/23/pdfs/GMD-C-1808-127.pdf#page=4","Abrir facsímil")</f>
        <v>Abrir facsímil</v>
      </c>
      <c r="K2842" s="15" t="s">
        <v>23</v>
      </c>
    </row>
    <row r="2843" spans="1:11" ht="42" customHeight="1">
      <c r="A2843" s="4" t="s">
        <v>7445</v>
      </c>
      <c r="B2843" s="5" t="s">
        <v>7445</v>
      </c>
      <c r="C2843" s="5" t="s">
        <v>33</v>
      </c>
      <c r="D2843" s="5" t="s">
        <v>34</v>
      </c>
      <c r="E2843" s="5" t="s">
        <v>35</v>
      </c>
      <c r="F2843" s="9" t="s">
        <v>36</v>
      </c>
      <c r="G2843" s="9" t="s">
        <v>818</v>
      </c>
      <c r="H2843" s="5" t="s">
        <v>21</v>
      </c>
      <c r="I2843" s="5" t="s">
        <v>7446</v>
      </c>
      <c r="J2843" s="12" t="str">
        <f>HYPERLINK("https://www.boe.es/gazeta/dias/1808/04/22/pdfs/GMD-C-1808-38.pdf#page=7","Abrir facsímil")</f>
        <v>Abrir facsímil</v>
      </c>
      <c r="K2843" s="15" t="s">
        <v>23</v>
      </c>
    </row>
    <row r="2844" spans="1:11" ht="42" customHeight="1">
      <c r="A2844" s="4" t="s">
        <v>7447</v>
      </c>
      <c r="B2844" s="5" t="s">
        <v>7447</v>
      </c>
      <c r="C2844" s="5" t="s">
        <v>101</v>
      </c>
      <c r="D2844" s="5" t="s">
        <v>102</v>
      </c>
      <c r="E2844" s="5" t="s">
        <v>5675</v>
      </c>
      <c r="F2844" s="9" t="s">
        <v>5676</v>
      </c>
      <c r="G2844" s="9">
        <v>641</v>
      </c>
      <c r="H2844" s="5" t="s">
        <v>21</v>
      </c>
      <c r="I2844" s="5" t="s">
        <v>7448</v>
      </c>
      <c r="J2844" s="12" t="str">
        <f>HYPERLINK("https://www.boe.es/gazeta/dias/1808/06/24/pdfs/GMD-1808-66.pdf#page=3","Abrir facsímil")</f>
        <v>Abrir facsímil</v>
      </c>
      <c r="K2844" s="15" t="s">
        <v>23</v>
      </c>
    </row>
    <row r="2845" spans="1:11" ht="42" customHeight="1">
      <c r="A2845" s="4" t="s">
        <v>7447</v>
      </c>
      <c r="B2845" s="5" t="s">
        <v>7447</v>
      </c>
      <c r="C2845" s="5" t="s">
        <v>101</v>
      </c>
      <c r="D2845" s="5" t="s">
        <v>102</v>
      </c>
      <c r="E2845" s="5" t="s">
        <v>2177</v>
      </c>
      <c r="F2845" s="9" t="s">
        <v>2178</v>
      </c>
      <c r="G2845" s="9">
        <v>723</v>
      </c>
      <c r="H2845" s="5" t="s">
        <v>21</v>
      </c>
      <c r="I2845" s="5" t="s">
        <v>7449</v>
      </c>
      <c r="J2845" s="12" t="str">
        <f>HYPERLINK("https://www.boe.es/gazeta/dias/1808/07/04/pdfs/GMD-1808-76.pdf#page=5","Abrir facsímil")</f>
        <v>Abrir facsímil</v>
      </c>
      <c r="K2845" s="15" t="s">
        <v>23</v>
      </c>
    </row>
    <row r="2846" spans="1:11" ht="42" customHeight="1">
      <c r="A2846" s="4" t="s">
        <v>7450</v>
      </c>
      <c r="B2846" s="5" t="s">
        <v>7451</v>
      </c>
      <c r="C2846" s="5" t="s">
        <v>33</v>
      </c>
      <c r="D2846" s="5" t="s">
        <v>34</v>
      </c>
      <c r="E2846" s="5" t="s">
        <v>35</v>
      </c>
      <c r="F2846" s="9" t="s">
        <v>36</v>
      </c>
      <c r="G2846" s="9" t="s">
        <v>985</v>
      </c>
      <c r="H2846" s="5" t="s">
        <v>21</v>
      </c>
      <c r="I2846" s="5" t="s">
        <v>7452</v>
      </c>
      <c r="J2846" s="12" t="str">
        <f>HYPERLINK("https://www.boe.es/gazeta/dias/1808/04/22/pdfs/GMD-C-1808-38.pdf#page=39","Abrir facsímil")</f>
        <v>Abrir facsímil</v>
      </c>
      <c r="K2846" s="15" t="s">
        <v>23</v>
      </c>
    </row>
    <row r="2847" spans="1:11" ht="42" customHeight="1">
      <c r="A2847" s="4" t="s">
        <v>7453</v>
      </c>
      <c r="B2847" s="5" t="s">
        <v>7453</v>
      </c>
      <c r="C2847" s="5" t="s">
        <v>17</v>
      </c>
      <c r="D2847" s="5" t="s">
        <v>18</v>
      </c>
      <c r="E2847" s="5" t="s">
        <v>61</v>
      </c>
      <c r="F2847" s="9" t="s">
        <v>62</v>
      </c>
      <c r="G2847" s="9">
        <v>1285</v>
      </c>
      <c r="H2847" s="5" t="s">
        <v>21</v>
      </c>
      <c r="I2847" s="5" t="s">
        <v>7454</v>
      </c>
      <c r="J2847" s="12" t="str">
        <f>HYPERLINK("https://www.boe.es/gazeta/dias/1808/10/11/pdfs/GMD-1808-133.pdf#page=13","Abrir facsímil")</f>
        <v>Abrir facsímil</v>
      </c>
      <c r="K2847" s="15" t="s">
        <v>23</v>
      </c>
    </row>
    <row r="2848" spans="1:11" ht="42" customHeight="1">
      <c r="A2848" s="4" t="s">
        <v>7455</v>
      </c>
      <c r="B2848" s="5" t="s">
        <v>7455</v>
      </c>
      <c r="C2848" s="5" t="s">
        <v>94</v>
      </c>
      <c r="D2848" s="5" t="s">
        <v>95</v>
      </c>
      <c r="E2848" s="5" t="s">
        <v>234</v>
      </c>
      <c r="F2848" s="9" t="s">
        <v>1871</v>
      </c>
      <c r="G2848" s="9">
        <v>500</v>
      </c>
      <c r="H2848" s="5" t="s">
        <v>21</v>
      </c>
      <c r="I2848" s="5" t="s">
        <v>7456</v>
      </c>
      <c r="J2848" s="12" t="str">
        <f>HYPERLINK("https://www.boe.es/gazeta/dias/1808/12/30/pdfs/GMS-1808-62.pdf#page=8","Abrir facsímil")</f>
        <v>Abrir facsímil</v>
      </c>
      <c r="K2848" s="15" t="s">
        <v>23</v>
      </c>
    </row>
    <row r="2849" spans="1:11" ht="42" customHeight="1">
      <c r="A2849" s="4" t="s">
        <v>7457</v>
      </c>
      <c r="B2849" s="5" t="s">
        <v>7458</v>
      </c>
      <c r="C2849" s="5" t="s">
        <v>101</v>
      </c>
      <c r="D2849" s="5" t="s">
        <v>102</v>
      </c>
      <c r="E2849" s="5" t="s">
        <v>96</v>
      </c>
      <c r="F2849" s="9" t="s">
        <v>97</v>
      </c>
      <c r="G2849" s="9">
        <v>263</v>
      </c>
      <c r="H2849" s="5" t="s">
        <v>21</v>
      </c>
      <c r="I2849" s="5" t="s">
        <v>7459</v>
      </c>
      <c r="J2849" s="12" t="str">
        <f>HYPERLINK("https://www.boe.es/gazeta/dias/1808/03/15/pdfs/GMD-1808-22.pdf#page=5","Abrir facsímil")</f>
        <v>Abrir facsímil</v>
      </c>
      <c r="K2849" s="15" t="s">
        <v>23</v>
      </c>
    </row>
    <row r="2850" spans="1:11" ht="42" customHeight="1">
      <c r="A2850" s="4" t="s">
        <v>7460</v>
      </c>
      <c r="B2850" s="5" t="s">
        <v>7461</v>
      </c>
      <c r="C2850" s="5" t="s">
        <v>33</v>
      </c>
      <c r="D2850" s="5" t="s">
        <v>34</v>
      </c>
      <c r="E2850" s="5" t="s">
        <v>65</v>
      </c>
      <c r="F2850" s="9" t="s">
        <v>691</v>
      </c>
      <c r="G2850" s="9">
        <v>1327</v>
      </c>
      <c r="H2850" s="5" t="s">
        <v>21</v>
      </c>
      <c r="I2850" s="5" t="s">
        <v>7462</v>
      </c>
      <c r="J2850" s="12" t="str">
        <f>HYPERLINK("https://www.boe.es/gazeta/dias/1808/10/18/pdfs/GMD-C-1808-135.pdf#page=11","Abrir facsímil")</f>
        <v>Abrir facsímil</v>
      </c>
      <c r="K2850" s="15" t="s">
        <v>23</v>
      </c>
    </row>
    <row r="2851" spans="1:11" ht="42" customHeight="1">
      <c r="A2851" s="4" t="s">
        <v>7463</v>
      </c>
      <c r="B2851" s="5" t="s">
        <v>7463</v>
      </c>
      <c r="C2851" s="5" t="s">
        <v>33</v>
      </c>
      <c r="D2851" s="5" t="s">
        <v>34</v>
      </c>
      <c r="E2851" s="5" t="s">
        <v>197</v>
      </c>
      <c r="F2851" s="9" t="s">
        <v>2269</v>
      </c>
      <c r="G2851" s="9">
        <v>1412</v>
      </c>
      <c r="H2851" s="5" t="s">
        <v>21</v>
      </c>
      <c r="I2851" s="5" t="s">
        <v>7464</v>
      </c>
      <c r="J2851" s="12" t="str">
        <f>HYPERLINK("https://www.boe.es/gazeta/dias/1808/11/01/pdfs/GMD-C-1808-140.pdf#page=2","Abrir facsímil")</f>
        <v>Abrir facsímil</v>
      </c>
      <c r="K2851" s="15" t="s">
        <v>23</v>
      </c>
    </row>
    <row r="2852" spans="1:11" ht="42" customHeight="1">
      <c r="A2852" s="4" t="s">
        <v>7465</v>
      </c>
      <c r="B2852" s="5" t="s">
        <v>7465</v>
      </c>
      <c r="C2852" s="5" t="s">
        <v>41</v>
      </c>
      <c r="D2852" s="5" t="s">
        <v>42</v>
      </c>
      <c r="E2852" s="5" t="s">
        <v>418</v>
      </c>
      <c r="F2852" s="9" t="s">
        <v>419</v>
      </c>
      <c r="G2852" s="9">
        <v>1140</v>
      </c>
      <c r="H2852" s="5" t="s">
        <v>21</v>
      </c>
      <c r="I2852" s="5" t="s">
        <v>7466</v>
      </c>
      <c r="J2852" s="12" t="str">
        <f>HYPERLINK("https://www.boe.es/gazeta/dias/1808/09/06/pdfs/GMD-C-1808-120.pdf#page=14","Abrir facsímil")</f>
        <v>Abrir facsímil</v>
      </c>
      <c r="K2852" s="15" t="s">
        <v>23</v>
      </c>
    </row>
    <row r="2853" spans="1:11" ht="42" customHeight="1">
      <c r="A2853" s="4" t="s">
        <v>7467</v>
      </c>
      <c r="B2853" s="5" t="s">
        <v>7467</v>
      </c>
      <c r="C2853" s="5" t="s">
        <v>33</v>
      </c>
      <c r="D2853" s="5" t="s">
        <v>34</v>
      </c>
      <c r="E2853" s="5" t="s">
        <v>35</v>
      </c>
      <c r="F2853" s="9" t="s">
        <v>36</v>
      </c>
      <c r="G2853" s="9" t="s">
        <v>299</v>
      </c>
      <c r="H2853" s="5" t="s">
        <v>21</v>
      </c>
      <c r="I2853" s="5" t="s">
        <v>7468</v>
      </c>
      <c r="J2853" s="12" t="str">
        <f>HYPERLINK("https://www.boe.es/gazeta/dias/1808/04/22/pdfs/GMD-C-1808-38.pdf#page=14","Abrir facsímil")</f>
        <v>Abrir facsímil</v>
      </c>
      <c r="K2853" s="15" t="s">
        <v>23</v>
      </c>
    </row>
    <row r="2854" spans="1:11" ht="42" customHeight="1">
      <c r="A2854" s="4" t="s">
        <v>7469</v>
      </c>
      <c r="B2854" s="5" t="s">
        <v>7469</v>
      </c>
      <c r="C2854" s="5" t="s">
        <v>33</v>
      </c>
      <c r="D2854" s="5" t="s">
        <v>34</v>
      </c>
      <c r="E2854" s="5" t="s">
        <v>68</v>
      </c>
      <c r="F2854" s="9" t="s">
        <v>309</v>
      </c>
      <c r="G2854" s="9" t="s">
        <v>199</v>
      </c>
      <c r="H2854" s="5" t="s">
        <v>21</v>
      </c>
      <c r="I2854" s="5" t="s">
        <v>7470</v>
      </c>
      <c r="J2854" s="12" t="str">
        <f>HYPERLINK("https://www.boe.es/gazeta/dias/1808/10/21/pdfs/GMD-D-1808-136.pdf#page=2","Abrir facsímil")</f>
        <v>Abrir facsímil</v>
      </c>
      <c r="K2854" s="15" t="s">
        <v>23</v>
      </c>
    </row>
    <row r="2855" spans="1:11" ht="42" customHeight="1">
      <c r="A2855" s="4" t="s">
        <v>7471</v>
      </c>
      <c r="B2855" s="5" t="s">
        <v>7471</v>
      </c>
      <c r="C2855" s="5" t="s">
        <v>17</v>
      </c>
      <c r="D2855" s="5" t="s">
        <v>18</v>
      </c>
      <c r="E2855" s="5" t="s">
        <v>61</v>
      </c>
      <c r="F2855" s="9" t="s">
        <v>62</v>
      </c>
      <c r="G2855" s="9">
        <v>1284</v>
      </c>
      <c r="H2855" s="5" t="s">
        <v>21</v>
      </c>
      <c r="I2855" s="5" t="s">
        <v>7472</v>
      </c>
      <c r="J2855" s="12" t="str">
        <f>HYPERLINK("https://www.boe.es/gazeta/dias/1808/10/11/pdfs/GMD-1808-133.pdf#page=12","Abrir facsímil")</f>
        <v>Abrir facsímil</v>
      </c>
      <c r="K2855" s="15" t="s">
        <v>23</v>
      </c>
    </row>
    <row r="2856" spans="1:11" ht="42" customHeight="1">
      <c r="A2856" s="4" t="s">
        <v>7473</v>
      </c>
      <c r="B2856" s="5" t="s">
        <v>7473</v>
      </c>
      <c r="C2856" s="5" t="s">
        <v>33</v>
      </c>
      <c r="D2856" s="5" t="s">
        <v>34</v>
      </c>
      <c r="E2856" s="5" t="s">
        <v>264</v>
      </c>
      <c r="F2856" s="9" t="s">
        <v>318</v>
      </c>
      <c r="G2856" s="9" t="s">
        <v>199</v>
      </c>
      <c r="H2856" s="5" t="s">
        <v>21</v>
      </c>
      <c r="I2856" s="5" t="s">
        <v>7474</v>
      </c>
      <c r="J2856" s="12" t="str">
        <f>HYPERLINK("https://www.boe.es/gazeta/dias/1808/11/29/pdfs/GMD-C-1808-148.pdf#page=2","Abrir facsímil")</f>
        <v>Abrir facsímil</v>
      </c>
      <c r="K2856" s="15" t="s">
        <v>23</v>
      </c>
    </row>
    <row r="2857" spans="1:11" ht="42" customHeight="1">
      <c r="A2857" s="4" t="s">
        <v>7475</v>
      </c>
      <c r="B2857" s="5" t="s">
        <v>7475</v>
      </c>
      <c r="C2857" s="5" t="s">
        <v>41</v>
      </c>
      <c r="D2857" s="5" t="s">
        <v>42</v>
      </c>
      <c r="E2857" s="5" t="s">
        <v>153</v>
      </c>
      <c r="F2857" s="9" t="s">
        <v>1185</v>
      </c>
      <c r="G2857" s="9">
        <v>1150</v>
      </c>
      <c r="H2857" s="5" t="s">
        <v>21</v>
      </c>
      <c r="I2857" s="5" t="s">
        <v>7476</v>
      </c>
      <c r="J2857" s="12" t="str">
        <f>HYPERLINK("https://www.boe.es/gazeta/dias/1808/09/09/pdfs/GMD-1808-121.pdf#page=8","Abrir facsímil")</f>
        <v>Abrir facsímil</v>
      </c>
      <c r="K2857" s="15" t="s">
        <v>23</v>
      </c>
    </row>
    <row r="2858" spans="1:11" ht="42" customHeight="1">
      <c r="A2858" s="4" t="s">
        <v>7477</v>
      </c>
      <c r="B2858" s="5" t="s">
        <v>7477</v>
      </c>
      <c r="C2858" s="5" t="s">
        <v>33</v>
      </c>
      <c r="D2858" s="5" t="s">
        <v>34</v>
      </c>
      <c r="E2858" s="5" t="s">
        <v>35</v>
      </c>
      <c r="F2858" s="9" t="s">
        <v>36</v>
      </c>
      <c r="G2858" s="9" t="s">
        <v>450</v>
      </c>
      <c r="H2858" s="5" t="s">
        <v>21</v>
      </c>
      <c r="I2858" s="5" t="s">
        <v>7478</v>
      </c>
      <c r="J2858" s="12" t="str">
        <f>HYPERLINK("https://www.boe.es/gazeta/dias/1808/04/22/pdfs/GMD-C-1808-38.pdf#page=45","Abrir facsímil")</f>
        <v>Abrir facsímil</v>
      </c>
      <c r="K2858" s="15" t="s">
        <v>23</v>
      </c>
    </row>
    <row r="2859" spans="1:11" ht="42" customHeight="1">
      <c r="A2859" s="4" t="s">
        <v>7479</v>
      </c>
      <c r="B2859" s="5" t="s">
        <v>7479</v>
      </c>
      <c r="C2859" s="5" t="s">
        <v>33</v>
      </c>
      <c r="D2859" s="5" t="s">
        <v>34</v>
      </c>
      <c r="E2859" s="5" t="s">
        <v>153</v>
      </c>
      <c r="F2859" s="9" t="s">
        <v>154</v>
      </c>
      <c r="G2859" s="9" t="s">
        <v>75</v>
      </c>
      <c r="H2859" s="5" t="s">
        <v>21</v>
      </c>
      <c r="I2859" s="5" t="s">
        <v>7480</v>
      </c>
      <c r="J2859" s="12" t="str">
        <f>HYPERLINK("https://www.boe.es/gazeta/dias/1808/09/09/pdfs/GMD-C-1808-121.pdf#page=4","Abrir facsímil")</f>
        <v>Abrir facsímil</v>
      </c>
      <c r="K2859" s="15" t="s">
        <v>23</v>
      </c>
    </row>
    <row r="2860" spans="1:11" ht="42" customHeight="1">
      <c r="A2860" s="4" t="s">
        <v>7481</v>
      </c>
      <c r="B2860" s="5" t="s">
        <v>7481</v>
      </c>
      <c r="C2860" s="5" t="s">
        <v>17</v>
      </c>
      <c r="D2860" s="5" t="s">
        <v>18</v>
      </c>
      <c r="E2860" s="5" t="s">
        <v>1258</v>
      </c>
      <c r="F2860" s="9" t="s">
        <v>1259</v>
      </c>
      <c r="G2860" s="9">
        <v>890</v>
      </c>
      <c r="H2860" s="5" t="s">
        <v>21</v>
      </c>
      <c r="I2860" s="5" t="s">
        <v>7482</v>
      </c>
      <c r="J2860" s="12" t="str">
        <f>HYPERLINK("https://www.boe.es/gazeta/dias/1808/07/25/pdfs/GMD-1808-97.pdf#page=4","Abrir facsímil")</f>
        <v>Abrir facsímil</v>
      </c>
      <c r="K2860" s="15" t="s">
        <v>23</v>
      </c>
    </row>
    <row r="2861" spans="1:11" ht="42" customHeight="1">
      <c r="A2861" s="4" t="s">
        <v>7483</v>
      </c>
      <c r="B2861" s="5" t="s">
        <v>7483</v>
      </c>
      <c r="C2861" s="5" t="s">
        <v>94</v>
      </c>
      <c r="D2861" s="5" t="s">
        <v>95</v>
      </c>
      <c r="E2861" s="5" t="s">
        <v>558</v>
      </c>
      <c r="F2861" s="9" t="s">
        <v>758</v>
      </c>
      <c r="G2861" s="9" t="s">
        <v>117</v>
      </c>
      <c r="H2861" s="5" t="s">
        <v>21</v>
      </c>
      <c r="I2861" s="5" t="s">
        <v>7484</v>
      </c>
      <c r="J2861" s="12" t="str">
        <f>HYPERLINK("https://www.boe.es/gazeta/dias/1808/11/25/pdfs/GMD-E-1808-147.pdf#page=1","Abrir facsímil")</f>
        <v>Abrir facsímil</v>
      </c>
      <c r="K2861" s="15" t="s">
        <v>23</v>
      </c>
    </row>
    <row r="2862" spans="1:11" ht="42" customHeight="1">
      <c r="A2862" s="4" t="s">
        <v>7485</v>
      </c>
      <c r="B2862" s="5" t="s">
        <v>7485</v>
      </c>
      <c r="C2862" s="5" t="s">
        <v>33</v>
      </c>
      <c r="D2862" s="5" t="s">
        <v>34</v>
      </c>
      <c r="E2862" s="5" t="s">
        <v>68</v>
      </c>
      <c r="F2862" s="9" t="s">
        <v>309</v>
      </c>
      <c r="G2862" s="9" t="s">
        <v>75</v>
      </c>
      <c r="H2862" s="5" t="s">
        <v>21</v>
      </c>
      <c r="I2862" s="5" t="s">
        <v>7486</v>
      </c>
      <c r="J2862" s="12" t="str">
        <f>HYPERLINK("https://www.boe.es/gazeta/dias/1808/10/21/pdfs/GMD-D-1808-136.pdf#page=4","Abrir facsímil")</f>
        <v>Abrir facsímil</v>
      </c>
      <c r="K2862" s="15" t="s">
        <v>23</v>
      </c>
    </row>
    <row r="2863" spans="1:11" ht="42" customHeight="1">
      <c r="A2863" s="4" t="s">
        <v>7487</v>
      </c>
      <c r="B2863" s="5" t="s">
        <v>7487</v>
      </c>
      <c r="C2863" s="5" t="s">
        <v>17</v>
      </c>
      <c r="D2863" s="5" t="s">
        <v>18</v>
      </c>
      <c r="E2863" s="5" t="s">
        <v>139</v>
      </c>
      <c r="F2863" s="9" t="s">
        <v>140</v>
      </c>
      <c r="G2863" s="9">
        <v>1203</v>
      </c>
      <c r="H2863" s="5" t="s">
        <v>21</v>
      </c>
      <c r="I2863" s="5" t="s">
        <v>7488</v>
      </c>
      <c r="J2863" s="12" t="str">
        <f>HYPERLINK("https://www.boe.es/gazeta/dias/1808/09/23/pdfs/GMD-1808-127.pdf#page=11","Abrir facsímil")</f>
        <v>Abrir facsímil</v>
      </c>
      <c r="K2863" s="15" t="s">
        <v>23</v>
      </c>
    </row>
    <row r="2864" spans="1:11" ht="42" customHeight="1">
      <c r="A2864" s="4" t="s">
        <v>7489</v>
      </c>
      <c r="B2864" s="5" t="s">
        <v>7489</v>
      </c>
      <c r="C2864" s="5" t="s">
        <v>33</v>
      </c>
      <c r="D2864" s="5" t="s">
        <v>34</v>
      </c>
      <c r="E2864" s="5" t="s">
        <v>461</v>
      </c>
      <c r="F2864" s="9" t="s">
        <v>462</v>
      </c>
      <c r="G2864" s="9" t="s">
        <v>106</v>
      </c>
      <c r="H2864" s="5" t="s">
        <v>21</v>
      </c>
      <c r="I2864" s="5" t="s">
        <v>7490</v>
      </c>
      <c r="J2864" s="12" t="str">
        <f>HYPERLINK("https://www.boe.es/gazeta/dias/1808/11/08/pdfs/GMD-D-1808-142.pdf#page=3","Abrir facsímil")</f>
        <v>Abrir facsímil</v>
      </c>
      <c r="K2864" s="15" t="s">
        <v>23</v>
      </c>
    </row>
    <row r="2865" spans="1:11" ht="42" customHeight="1">
      <c r="A2865" s="4" t="s">
        <v>7491</v>
      </c>
      <c r="B2865" s="5" t="s">
        <v>7491</v>
      </c>
      <c r="C2865" s="5" t="s">
        <v>17</v>
      </c>
      <c r="D2865" s="5" t="s">
        <v>18</v>
      </c>
      <c r="E2865" s="5" t="s">
        <v>130</v>
      </c>
      <c r="F2865" s="9" t="s">
        <v>131</v>
      </c>
      <c r="G2865" s="9">
        <v>1604</v>
      </c>
      <c r="H2865" s="5" t="s">
        <v>21</v>
      </c>
      <c r="I2865" s="5" t="s">
        <v>7492</v>
      </c>
      <c r="J2865" s="12" t="str">
        <f>HYPERLINK("https://www.boe.es/gazeta/dias/1808/12/15/pdfs/GMD-1808-155.pdf#page=8","Abrir facsímil")</f>
        <v>Abrir facsímil</v>
      </c>
      <c r="K2865" s="15" t="s">
        <v>23</v>
      </c>
    </row>
    <row r="2866" spans="1:11" ht="42" customHeight="1">
      <c r="A2866" s="4" t="s">
        <v>7493</v>
      </c>
      <c r="B2866" s="5" t="s">
        <v>7493</v>
      </c>
      <c r="C2866" s="5" t="s">
        <v>41</v>
      </c>
      <c r="D2866" s="5" t="s">
        <v>42</v>
      </c>
      <c r="E2866" s="5" t="s">
        <v>1182</v>
      </c>
      <c r="F2866" s="9" t="s">
        <v>1183</v>
      </c>
      <c r="G2866" s="9">
        <v>64</v>
      </c>
      <c r="H2866" s="5" t="s">
        <v>21</v>
      </c>
      <c r="I2866" s="5" t="s">
        <v>7494</v>
      </c>
      <c r="J2866" s="12" t="str">
        <f>HYPERLINK("https://www.boe.es/gazeta/dias/1808/06/26/pdfs/GMS-1808-8.pdf#page=8","Abrir facsímil")</f>
        <v>Abrir facsímil</v>
      </c>
      <c r="K2866" s="15" t="s">
        <v>23</v>
      </c>
    </row>
    <row r="2867" spans="1:11" ht="42" customHeight="1">
      <c r="A2867" s="4" t="s">
        <v>7495</v>
      </c>
      <c r="B2867" s="5" t="s">
        <v>7495</v>
      </c>
      <c r="C2867" s="5" t="s">
        <v>260</v>
      </c>
      <c r="D2867" s="5" t="s">
        <v>42</v>
      </c>
      <c r="E2867" s="5" t="s">
        <v>516</v>
      </c>
      <c r="F2867" s="9" t="s">
        <v>517</v>
      </c>
      <c r="G2867" s="9">
        <v>602</v>
      </c>
      <c r="H2867" s="5" t="s">
        <v>21</v>
      </c>
      <c r="I2867" s="5" t="s">
        <v>7496</v>
      </c>
      <c r="J2867" s="12" t="str">
        <f>HYPERLINK("https://www.boe.es/gazeta/dias/1808/06/19/pdfs/GMD-1808-61.pdf#page=8","Abrir facsímil")</f>
        <v>Abrir facsímil</v>
      </c>
      <c r="K2867" s="15" t="s">
        <v>23</v>
      </c>
    </row>
    <row r="2868" spans="1:11" ht="42" customHeight="1">
      <c r="A2868" s="4" t="s">
        <v>7497</v>
      </c>
      <c r="B2868" s="5" t="s">
        <v>7497</v>
      </c>
      <c r="C2868" s="5" t="s">
        <v>260</v>
      </c>
      <c r="D2868" s="5" t="s">
        <v>42</v>
      </c>
      <c r="E2868" s="5" t="s">
        <v>5675</v>
      </c>
      <c r="F2868" s="9" t="s">
        <v>5676</v>
      </c>
      <c r="G2868" s="9">
        <v>646</v>
      </c>
      <c r="H2868" s="5" t="s">
        <v>21</v>
      </c>
      <c r="I2868" s="5" t="s">
        <v>7498</v>
      </c>
      <c r="J2868" s="12" t="str">
        <f>HYPERLINK("https://www.boe.es/gazeta/dias/1808/06/24/pdfs/GMD-1808-66.pdf#page=8","Abrir facsímil")</f>
        <v>Abrir facsímil</v>
      </c>
      <c r="K2868" s="15" t="s">
        <v>23</v>
      </c>
    </row>
    <row r="2869" spans="1:11" ht="42" customHeight="1">
      <c r="A2869" s="4" t="s">
        <v>7499</v>
      </c>
      <c r="B2869" s="5" t="s">
        <v>7499</v>
      </c>
      <c r="C2869" s="5" t="s">
        <v>17</v>
      </c>
      <c r="D2869" s="5" t="s">
        <v>18</v>
      </c>
      <c r="E2869" s="5" t="s">
        <v>558</v>
      </c>
      <c r="F2869" s="9" t="s">
        <v>559</v>
      </c>
      <c r="G2869" s="9">
        <v>1544</v>
      </c>
      <c r="H2869" s="5" t="s">
        <v>21</v>
      </c>
      <c r="I2869" s="5" t="s">
        <v>7500</v>
      </c>
      <c r="J2869" s="12" t="str">
        <f>HYPERLINK("https://www.boe.es/gazeta/dias/1808/11/25/pdfs/GMD-1808-147.pdf#page=10","Abrir facsímil")</f>
        <v>Abrir facsímil</v>
      </c>
      <c r="K2869" s="15" t="s">
        <v>23</v>
      </c>
    </row>
    <row r="2870" spans="1:11" ht="42" customHeight="1">
      <c r="A2870" s="4" t="s">
        <v>7501</v>
      </c>
      <c r="B2870" s="5" t="s">
        <v>7501</v>
      </c>
      <c r="C2870" s="5" t="s">
        <v>17</v>
      </c>
      <c r="D2870" s="5" t="s">
        <v>18</v>
      </c>
      <c r="E2870" s="5" t="s">
        <v>89</v>
      </c>
      <c r="F2870" s="9" t="s">
        <v>90</v>
      </c>
      <c r="G2870" s="9">
        <v>1363</v>
      </c>
      <c r="H2870" s="5" t="s">
        <v>21</v>
      </c>
      <c r="I2870" s="5" t="s">
        <v>7502</v>
      </c>
      <c r="J2870" s="12" t="str">
        <f>HYPERLINK("https://www.boe.es/gazeta/dias/1808/10/25/pdfs/GMD-1808-137.pdf#page=11","Abrir facsímil")</f>
        <v>Abrir facsímil</v>
      </c>
      <c r="K2870" s="15" t="s">
        <v>23</v>
      </c>
    </row>
    <row r="2871" spans="1:11" ht="42" customHeight="1">
      <c r="A2871" s="4" t="s">
        <v>7503</v>
      </c>
      <c r="B2871" s="5" t="s">
        <v>7503</v>
      </c>
      <c r="C2871" s="5" t="s">
        <v>41</v>
      </c>
      <c r="D2871" s="5" t="s">
        <v>42</v>
      </c>
      <c r="E2871" s="5" t="s">
        <v>28</v>
      </c>
      <c r="F2871" s="9" t="s">
        <v>29</v>
      </c>
      <c r="G2871" s="9">
        <v>1427</v>
      </c>
      <c r="H2871" s="5" t="s">
        <v>21</v>
      </c>
      <c r="I2871" s="5" t="s">
        <v>7504</v>
      </c>
      <c r="J2871" s="12" t="str">
        <f>HYPERLINK("https://www.boe.es/gazeta/dias/1808/11/04/pdfs/GMD-1808-141.pdf#page=9","Abrir facsímil")</f>
        <v>Abrir facsímil</v>
      </c>
      <c r="K2871" s="15" t="s">
        <v>23</v>
      </c>
    </row>
    <row r="2872" spans="1:11" ht="42" customHeight="1">
      <c r="A2872" s="4" t="s">
        <v>7505</v>
      </c>
      <c r="B2872" s="5" t="s">
        <v>7505</v>
      </c>
      <c r="C2872" s="5" t="s">
        <v>33</v>
      </c>
      <c r="D2872" s="5" t="s">
        <v>34</v>
      </c>
      <c r="E2872" s="5" t="s">
        <v>35</v>
      </c>
      <c r="F2872" s="9" t="s">
        <v>36</v>
      </c>
      <c r="G2872" s="9" t="s">
        <v>117</v>
      </c>
      <c r="H2872" s="5" t="s">
        <v>21</v>
      </c>
      <c r="I2872" s="5" t="s">
        <v>7506</v>
      </c>
      <c r="J2872" s="12" t="str">
        <f>HYPERLINK("https://www.boe.es/gazeta/dias/1808/04/22/pdfs/GMD-C-1808-38.pdf#page=1","Abrir facsímil")</f>
        <v>Abrir facsímil</v>
      </c>
      <c r="K2872" s="15" t="s">
        <v>23</v>
      </c>
    </row>
    <row r="2873" spans="1:11" ht="42" customHeight="1">
      <c r="A2873" s="4" t="s">
        <v>7507</v>
      </c>
      <c r="B2873" s="5" t="s">
        <v>7507</v>
      </c>
      <c r="C2873" s="5" t="s">
        <v>33</v>
      </c>
      <c r="D2873" s="5" t="s">
        <v>34</v>
      </c>
      <c r="E2873" s="5" t="s">
        <v>35</v>
      </c>
      <c r="F2873" s="9" t="s">
        <v>36</v>
      </c>
      <c r="G2873" s="9" t="s">
        <v>443</v>
      </c>
      <c r="H2873" s="5" t="s">
        <v>21</v>
      </c>
      <c r="I2873" s="5" t="s">
        <v>7508</v>
      </c>
      <c r="J2873" s="12" t="str">
        <f>HYPERLINK("https://www.boe.es/gazeta/dias/1808/04/22/pdfs/GMD-C-1808-38.pdf#page=16","Abrir facsímil")</f>
        <v>Abrir facsímil</v>
      </c>
      <c r="K2873" s="15" t="s">
        <v>23</v>
      </c>
    </row>
    <row r="2874" spans="1:11" ht="42" customHeight="1">
      <c r="A2874" s="4" t="s">
        <v>7509</v>
      </c>
      <c r="B2874" s="5" t="s">
        <v>7510</v>
      </c>
      <c r="C2874" s="5" t="s">
        <v>94</v>
      </c>
      <c r="D2874" s="5" t="s">
        <v>95</v>
      </c>
      <c r="E2874" s="5" t="s">
        <v>548</v>
      </c>
      <c r="F2874" s="9" t="s">
        <v>549</v>
      </c>
      <c r="G2874" s="9">
        <v>276</v>
      </c>
      <c r="H2874" s="5" t="s">
        <v>21</v>
      </c>
      <c r="I2874" s="5" t="s">
        <v>7511</v>
      </c>
      <c r="J2874" s="12" t="str">
        <f>HYPERLINK("https://www.boe.es/gazeta/dias/1808/03/18/pdfs/GMD-1808-23.pdf#page=6","Abrir facsímil")</f>
        <v>Abrir facsímil</v>
      </c>
      <c r="K2874" s="15" t="s">
        <v>23</v>
      </c>
    </row>
    <row r="2875" spans="1:11" ht="42" customHeight="1">
      <c r="A2875" s="4" t="s">
        <v>7509</v>
      </c>
      <c r="B2875" s="5" t="s">
        <v>7510</v>
      </c>
      <c r="C2875" s="5" t="s">
        <v>94</v>
      </c>
      <c r="D2875" s="5" t="s">
        <v>95</v>
      </c>
      <c r="E2875" s="5" t="s">
        <v>4337</v>
      </c>
      <c r="F2875" s="9" t="s">
        <v>4338</v>
      </c>
      <c r="G2875" s="9">
        <v>1570</v>
      </c>
      <c r="H2875" s="5" t="s">
        <v>21</v>
      </c>
      <c r="I2875" s="5" t="s">
        <v>7512</v>
      </c>
      <c r="J2875" s="12" t="str">
        <f>HYPERLINK("https://www.boe.es/gazeta/dias/1808/11/30/pdfs/GMD-1808-149E.pdf#page=4","Abrir facsímil")</f>
        <v>Abrir facsímil</v>
      </c>
      <c r="K2875" s="15" t="s">
        <v>23</v>
      </c>
    </row>
    <row r="2876" spans="1:11" ht="42" customHeight="1">
      <c r="A2876" s="4" t="s">
        <v>7513</v>
      </c>
      <c r="B2876" s="5" t="s">
        <v>7513</v>
      </c>
      <c r="C2876" s="5" t="s">
        <v>41</v>
      </c>
      <c r="D2876" s="5" t="s">
        <v>42</v>
      </c>
      <c r="E2876" s="5" t="s">
        <v>35</v>
      </c>
      <c r="F2876" s="9" t="s">
        <v>36</v>
      </c>
      <c r="G2876" s="9" t="s">
        <v>281</v>
      </c>
      <c r="H2876" s="5" t="s">
        <v>21</v>
      </c>
      <c r="I2876" s="5" t="s">
        <v>7514</v>
      </c>
      <c r="J2876" s="12" t="str">
        <f>HYPERLINK("https://www.boe.es/gazeta/dias/1808/04/22/pdfs/GMD-C-1808-38.pdf#page=47","Abrir facsímil")</f>
        <v>Abrir facsímil</v>
      </c>
      <c r="K2876" s="15" t="s">
        <v>23</v>
      </c>
    </row>
    <row r="2877" spans="1:11" ht="42" customHeight="1">
      <c r="A2877" s="4" t="s">
        <v>7513</v>
      </c>
      <c r="B2877" s="5" t="s">
        <v>7513</v>
      </c>
      <c r="C2877" s="5" t="s">
        <v>33</v>
      </c>
      <c r="D2877" s="5" t="s">
        <v>34</v>
      </c>
      <c r="E2877" s="5" t="s">
        <v>35</v>
      </c>
      <c r="F2877" s="9" t="s">
        <v>36</v>
      </c>
      <c r="G2877" s="9" t="s">
        <v>501</v>
      </c>
      <c r="H2877" s="5" t="s">
        <v>21</v>
      </c>
      <c r="I2877" s="5" t="s">
        <v>7515</v>
      </c>
      <c r="J2877" s="12" t="str">
        <f>HYPERLINK("https://www.boe.es/gazeta/dias/1808/04/22/pdfs/GMD-C-1808-38.pdf#page=5","Abrir facsímil")</f>
        <v>Abrir facsímil</v>
      </c>
      <c r="K2877" s="15" t="s">
        <v>23</v>
      </c>
    </row>
    <row r="2878" spans="1:11" ht="42" customHeight="1">
      <c r="A2878" s="4" t="s">
        <v>7516</v>
      </c>
      <c r="B2878" s="5" t="s">
        <v>7516</v>
      </c>
      <c r="C2878" s="5" t="s">
        <v>41</v>
      </c>
      <c r="D2878" s="5" t="s">
        <v>42</v>
      </c>
      <c r="E2878" s="5" t="s">
        <v>558</v>
      </c>
      <c r="F2878" s="9" t="s">
        <v>758</v>
      </c>
      <c r="G2878" s="9" t="s">
        <v>106</v>
      </c>
      <c r="H2878" s="5" t="s">
        <v>21</v>
      </c>
      <c r="I2878" s="5" t="s">
        <v>7517</v>
      </c>
      <c r="J2878" s="12" t="str">
        <f>HYPERLINK("https://www.boe.es/gazeta/dias/1808/11/25/pdfs/GMD-E-1808-147.pdf#page=3","Abrir facsímil")</f>
        <v>Abrir facsímil</v>
      </c>
      <c r="K2878" s="15" t="s">
        <v>23</v>
      </c>
    </row>
    <row r="2879" spans="1:11" ht="42" customHeight="1">
      <c r="A2879" s="4" t="s">
        <v>7518</v>
      </c>
      <c r="B2879" s="5" t="s">
        <v>7518</v>
      </c>
      <c r="C2879" s="5" t="s">
        <v>33</v>
      </c>
      <c r="D2879" s="5" t="s">
        <v>34</v>
      </c>
      <c r="E2879" s="5" t="s">
        <v>89</v>
      </c>
      <c r="F2879" s="9" t="s">
        <v>1247</v>
      </c>
      <c r="G2879" s="9">
        <v>1372</v>
      </c>
      <c r="H2879" s="5" t="s">
        <v>21</v>
      </c>
      <c r="I2879" s="5" t="s">
        <v>7519</v>
      </c>
      <c r="J2879" s="12" t="str">
        <f>HYPERLINK("https://www.boe.es/gazeta/dias/1808/10/25/pdfs/GMD-C-1808-137.pdf#page=8","Abrir facsímil")</f>
        <v>Abrir facsímil</v>
      </c>
      <c r="K2879" s="15" t="s">
        <v>23</v>
      </c>
    </row>
    <row r="2880" spans="1:11" ht="42" customHeight="1">
      <c r="A2880" s="4" t="s">
        <v>7520</v>
      </c>
      <c r="B2880" s="5" t="s">
        <v>7520</v>
      </c>
      <c r="C2880" s="5" t="s">
        <v>17</v>
      </c>
      <c r="D2880" s="5" t="s">
        <v>18</v>
      </c>
      <c r="E2880" s="5" t="s">
        <v>51</v>
      </c>
      <c r="F2880" s="9" t="s">
        <v>52</v>
      </c>
      <c r="G2880" s="9">
        <v>986</v>
      </c>
      <c r="H2880" s="5" t="s">
        <v>21</v>
      </c>
      <c r="I2880" s="5" t="s">
        <v>7521</v>
      </c>
      <c r="J2880" s="12" t="str">
        <f>HYPERLINK("https://www.boe.es/gazeta/dias/1808/08/09/pdfs/GMD-1808-111.pdf#page=2","Abrir facsímil")</f>
        <v>Abrir facsímil</v>
      </c>
      <c r="K2880" s="15" t="s">
        <v>23</v>
      </c>
    </row>
    <row r="2881" spans="1:11" ht="42" customHeight="1">
      <c r="A2881" s="4" t="s">
        <v>7520</v>
      </c>
      <c r="B2881" s="5" t="s">
        <v>7520</v>
      </c>
      <c r="C2881" s="5" t="s">
        <v>17</v>
      </c>
      <c r="D2881" s="5" t="s">
        <v>18</v>
      </c>
      <c r="E2881" s="5" t="s">
        <v>508</v>
      </c>
      <c r="F2881" s="9" t="s">
        <v>509</v>
      </c>
      <c r="G2881" s="9">
        <v>1018</v>
      </c>
      <c r="H2881" s="5" t="s">
        <v>21</v>
      </c>
      <c r="I2881" s="5" t="s">
        <v>7522</v>
      </c>
      <c r="J2881" s="12" t="str">
        <f>HYPERLINK("https://www.boe.es/gazeta/dias/1808/08/16/pdfs/GMD-1808-113.pdf#page=10","Abrir facsímil")</f>
        <v>Abrir facsímil</v>
      </c>
      <c r="K2881" s="15" t="s">
        <v>23</v>
      </c>
    </row>
    <row r="2882" spans="1:11" ht="42" customHeight="1">
      <c r="A2882" s="4" t="s">
        <v>7520</v>
      </c>
      <c r="B2882" s="5" t="s">
        <v>7520</v>
      </c>
      <c r="C2882" s="5" t="s">
        <v>17</v>
      </c>
      <c r="D2882" s="5" t="s">
        <v>18</v>
      </c>
      <c r="E2882" s="5" t="s">
        <v>264</v>
      </c>
      <c r="F2882" s="9" t="s">
        <v>2256</v>
      </c>
      <c r="G2882" s="9">
        <v>1556</v>
      </c>
      <c r="H2882" s="5" t="s">
        <v>21</v>
      </c>
      <c r="I2882" s="5" t="s">
        <v>7523</v>
      </c>
      <c r="J2882" s="12" t="str">
        <f>HYPERLINK("https://www.boe.es/gazeta/dias/1808/11/29/pdfs/GMD-1808-148.pdf#page=2","Abrir facsímil")</f>
        <v>Abrir facsímil</v>
      </c>
      <c r="K2882" s="15" t="s">
        <v>23</v>
      </c>
    </row>
    <row r="2883" spans="1:11" ht="42" customHeight="1">
      <c r="A2883" s="4" t="s">
        <v>7524</v>
      </c>
      <c r="B2883" s="5" t="s">
        <v>7525</v>
      </c>
      <c r="C2883" s="5" t="s">
        <v>33</v>
      </c>
      <c r="D2883" s="5" t="s">
        <v>34</v>
      </c>
      <c r="E2883" s="5" t="s">
        <v>197</v>
      </c>
      <c r="F2883" s="9" t="s">
        <v>198</v>
      </c>
      <c r="G2883" s="9" t="s">
        <v>199</v>
      </c>
      <c r="H2883" s="5" t="s">
        <v>21</v>
      </c>
      <c r="I2883" s="5" t="s">
        <v>7526</v>
      </c>
      <c r="J2883" s="12" t="str">
        <f>HYPERLINK("https://www.boe.es/gazeta/dias/1808/11/01/pdfs/GMD-D-1808-140.pdf#page=2","Abrir facsímil")</f>
        <v>Abrir facsímil</v>
      </c>
      <c r="K2883" s="15" t="s">
        <v>23</v>
      </c>
    </row>
    <row r="2884" spans="1:11" ht="42" customHeight="1">
      <c r="A2884" s="4" t="s">
        <v>7527</v>
      </c>
      <c r="B2884" s="5" t="s">
        <v>7528</v>
      </c>
      <c r="C2884" s="5" t="s">
        <v>17</v>
      </c>
      <c r="D2884" s="5" t="s">
        <v>18</v>
      </c>
      <c r="E2884" s="5" t="s">
        <v>461</v>
      </c>
      <c r="F2884" s="9" t="s">
        <v>733</v>
      </c>
      <c r="G2884" s="9">
        <v>1447</v>
      </c>
      <c r="H2884" s="5" t="s">
        <v>21</v>
      </c>
      <c r="I2884" s="5" t="s">
        <v>7529</v>
      </c>
      <c r="J2884" s="12" t="str">
        <f>HYPERLINK("https://www.boe.es/gazeta/dias/1808/11/08/pdfs/GMD-1808-142.pdf#page=9","Abrir facsímil")</f>
        <v>Abrir facsímil</v>
      </c>
      <c r="K2884" s="15" t="s">
        <v>23</v>
      </c>
    </row>
    <row r="2885" spans="1:11" ht="42" customHeight="1">
      <c r="A2885" s="4" t="s">
        <v>7530</v>
      </c>
      <c r="B2885" s="5" t="s">
        <v>7531</v>
      </c>
      <c r="C2885" s="5" t="s">
        <v>94</v>
      </c>
      <c r="D2885" s="5" t="s">
        <v>95</v>
      </c>
      <c r="E2885" s="5" t="s">
        <v>469</v>
      </c>
      <c r="F2885" s="9" t="s">
        <v>470</v>
      </c>
      <c r="G2885" s="9">
        <v>153</v>
      </c>
      <c r="H2885" s="5" t="s">
        <v>21</v>
      </c>
      <c r="I2885" s="5" t="s">
        <v>7532</v>
      </c>
      <c r="J2885" s="12" t="str">
        <f>HYPERLINK("https://www.boe.es/gazeta/dias/1808/02/12/pdfs/GMD-1808-13.pdf#page=9","Abrir facsímil")</f>
        <v>Abrir facsímil</v>
      </c>
      <c r="K2885" s="15" t="s">
        <v>23</v>
      </c>
    </row>
    <row r="2886" spans="1:11" ht="42" customHeight="1">
      <c r="A2886" s="4" t="s">
        <v>7530</v>
      </c>
      <c r="B2886" s="5" t="s">
        <v>7531</v>
      </c>
      <c r="C2886" s="5" t="s">
        <v>17</v>
      </c>
      <c r="D2886" s="5" t="s">
        <v>18</v>
      </c>
      <c r="E2886" s="5" t="s">
        <v>663</v>
      </c>
      <c r="F2886" s="9" t="s">
        <v>664</v>
      </c>
      <c r="G2886" s="9">
        <v>208</v>
      </c>
      <c r="H2886" s="5" t="s">
        <v>21</v>
      </c>
      <c r="I2886" s="5" t="s">
        <v>7533</v>
      </c>
      <c r="J2886" s="12" t="str">
        <f>HYPERLINK("https://www.boe.es/gazeta/dias/1808/02/26/pdfs/GMD-1808-17.pdf#page=10","Abrir facsímil")</f>
        <v>Abrir facsímil</v>
      </c>
      <c r="K2886" s="15" t="s">
        <v>23</v>
      </c>
    </row>
    <row r="2887" spans="1:11" ht="42" customHeight="1">
      <c r="A2887" s="4" t="s">
        <v>7534</v>
      </c>
      <c r="B2887" s="5" t="s">
        <v>7535</v>
      </c>
      <c r="C2887" s="5" t="s">
        <v>33</v>
      </c>
      <c r="D2887" s="5" t="s">
        <v>34</v>
      </c>
      <c r="E2887" s="5" t="s">
        <v>35</v>
      </c>
      <c r="F2887" s="9" t="s">
        <v>36</v>
      </c>
      <c r="G2887" s="9" t="s">
        <v>80</v>
      </c>
      <c r="H2887" s="5" t="s">
        <v>21</v>
      </c>
      <c r="I2887" s="5" t="s">
        <v>7536</v>
      </c>
      <c r="J2887" s="12" t="str">
        <f>HYPERLINK("https://www.boe.es/gazeta/dias/1808/04/22/pdfs/GMD-C-1808-38.pdf#page=18","Abrir facsímil")</f>
        <v>Abrir facsímil</v>
      </c>
      <c r="K2887" s="15" t="s">
        <v>23</v>
      </c>
    </row>
    <row r="2888" spans="1:11" ht="42" customHeight="1">
      <c r="A2888" s="4" t="s">
        <v>7537</v>
      </c>
      <c r="B2888" s="5" t="s">
        <v>7538</v>
      </c>
      <c r="C2888" s="5" t="s">
        <v>94</v>
      </c>
      <c r="D2888" s="5" t="s">
        <v>95</v>
      </c>
      <c r="E2888" s="5" t="s">
        <v>644</v>
      </c>
      <c r="F2888" s="9" t="s">
        <v>645</v>
      </c>
      <c r="G2888" s="9">
        <v>321</v>
      </c>
      <c r="H2888" s="5" t="s">
        <v>21</v>
      </c>
      <c r="I2888" s="5" t="s">
        <v>7539</v>
      </c>
      <c r="J2888" s="12" t="str">
        <f>HYPERLINK("https://www.boe.es/gazeta/dias/1808/03/31/pdfs/GMD-1808-28E.pdf#page=5","Abrir facsímil")</f>
        <v>Abrir facsímil</v>
      </c>
      <c r="K2888" s="15" t="s">
        <v>23</v>
      </c>
    </row>
    <row r="2889" spans="1:11" ht="42" customHeight="1">
      <c r="A2889" s="4" t="s">
        <v>7540</v>
      </c>
      <c r="B2889" s="5" t="s">
        <v>7541</v>
      </c>
      <c r="C2889" s="5" t="s">
        <v>41</v>
      </c>
      <c r="D2889" s="5" t="s">
        <v>42</v>
      </c>
      <c r="E2889" s="5" t="s">
        <v>558</v>
      </c>
      <c r="F2889" s="9" t="s">
        <v>758</v>
      </c>
      <c r="G2889" s="9" t="s">
        <v>117</v>
      </c>
      <c r="H2889" s="5" t="s">
        <v>21</v>
      </c>
      <c r="I2889" s="5" t="s">
        <v>7542</v>
      </c>
      <c r="J2889" s="12" t="str">
        <f>HYPERLINK("https://www.boe.es/gazeta/dias/1808/11/25/pdfs/GMD-E-1808-147.pdf#page=1","Abrir facsímil")</f>
        <v>Abrir facsímil</v>
      </c>
      <c r="K2889" s="15" t="s">
        <v>23</v>
      </c>
    </row>
    <row r="2890" spans="1:11" ht="42" customHeight="1">
      <c r="A2890" s="4" t="s">
        <v>7543</v>
      </c>
      <c r="B2890" s="5" t="s">
        <v>7544</v>
      </c>
      <c r="C2890" s="5" t="s">
        <v>17</v>
      </c>
      <c r="D2890" s="5" t="s">
        <v>18</v>
      </c>
      <c r="E2890" s="5" t="s">
        <v>28</v>
      </c>
      <c r="F2890" s="9" t="s">
        <v>29</v>
      </c>
      <c r="G2890" s="9">
        <v>1428</v>
      </c>
      <c r="H2890" s="5" t="s">
        <v>21</v>
      </c>
      <c r="I2890" s="5" t="s">
        <v>7545</v>
      </c>
      <c r="J2890" s="12" t="str">
        <f>HYPERLINK("https://www.boe.es/gazeta/dias/1808/11/04/pdfs/GMD-1808-141.pdf#page=10","Abrir facsímil")</f>
        <v>Abrir facsímil</v>
      </c>
      <c r="K2890" s="15" t="s">
        <v>23</v>
      </c>
    </row>
    <row r="2891" spans="1:11" ht="42" customHeight="1">
      <c r="A2891" s="4" t="s">
        <v>7546</v>
      </c>
      <c r="B2891" s="5" t="s">
        <v>7547</v>
      </c>
      <c r="C2891" s="5" t="s">
        <v>41</v>
      </c>
      <c r="D2891" s="5" t="s">
        <v>42</v>
      </c>
      <c r="E2891" s="5" t="s">
        <v>558</v>
      </c>
      <c r="F2891" s="9" t="s">
        <v>559</v>
      </c>
      <c r="G2891" s="9">
        <v>1546</v>
      </c>
      <c r="H2891" s="5" t="s">
        <v>21</v>
      </c>
      <c r="I2891" s="5" t="s">
        <v>7548</v>
      </c>
      <c r="J2891" s="12" t="str">
        <f>HYPERLINK("https://www.boe.es/gazeta/dias/1808/11/25/pdfs/GMD-1808-147.pdf#page=12","Abrir facsímil")</f>
        <v>Abrir facsímil</v>
      </c>
      <c r="K2891" s="15" t="s">
        <v>23</v>
      </c>
    </row>
    <row r="2892" spans="1:11" ht="42" customHeight="1">
      <c r="A2892" s="4" t="s">
        <v>7549</v>
      </c>
      <c r="B2892" s="5" t="s">
        <v>7550</v>
      </c>
      <c r="C2892" s="5" t="s">
        <v>94</v>
      </c>
      <c r="D2892" s="5" t="s">
        <v>95</v>
      </c>
      <c r="E2892" s="5" t="s">
        <v>1194</v>
      </c>
      <c r="F2892" s="9" t="s">
        <v>1195</v>
      </c>
      <c r="G2892" s="9">
        <v>445</v>
      </c>
      <c r="H2892" s="5" t="s">
        <v>21</v>
      </c>
      <c r="I2892" s="5" t="s">
        <v>7551</v>
      </c>
      <c r="J2892" s="12" t="str">
        <f>HYPERLINK("https://www.boe.es/gazeta/dias/1808/05/10/pdfs/GMD-1808-45.pdf#page=5","Abrir facsímil")</f>
        <v>Abrir facsímil</v>
      </c>
      <c r="K2892" s="15" t="s">
        <v>23</v>
      </c>
    </row>
    <row r="2893" spans="1:11" ht="42" customHeight="1">
      <c r="A2893" s="4" t="s">
        <v>7549</v>
      </c>
      <c r="B2893" s="5" t="s">
        <v>7550</v>
      </c>
      <c r="C2893" s="5" t="s">
        <v>41</v>
      </c>
      <c r="D2893" s="5" t="s">
        <v>42</v>
      </c>
      <c r="E2893" s="5" t="s">
        <v>19</v>
      </c>
      <c r="F2893" s="9" t="s">
        <v>59</v>
      </c>
      <c r="G2893" s="9">
        <v>1231</v>
      </c>
      <c r="H2893" s="5" t="s">
        <v>21</v>
      </c>
      <c r="I2893" s="5" t="s">
        <v>7552</v>
      </c>
      <c r="J2893" s="12" t="str">
        <f>HYPERLINK("https://www.boe.es/gazeta/dias/1808/09/30/pdfs/GMD-1808-130.pdf#page=11","Abrir facsímil")</f>
        <v>Abrir facsímil</v>
      </c>
      <c r="K2893" s="15" t="s">
        <v>23</v>
      </c>
    </row>
    <row r="2894" spans="1:11" ht="42" customHeight="1">
      <c r="A2894" s="4" t="s">
        <v>7549</v>
      </c>
      <c r="B2894" s="5" t="s">
        <v>7550</v>
      </c>
      <c r="C2894" s="5" t="s">
        <v>41</v>
      </c>
      <c r="D2894" s="5" t="s">
        <v>42</v>
      </c>
      <c r="E2894" s="5" t="s">
        <v>197</v>
      </c>
      <c r="F2894" s="9" t="s">
        <v>198</v>
      </c>
      <c r="G2894" s="9" t="s">
        <v>117</v>
      </c>
      <c r="H2894" s="5" t="s">
        <v>21</v>
      </c>
      <c r="I2894" s="5" t="s">
        <v>7553</v>
      </c>
      <c r="J2894" s="12" t="str">
        <f>HYPERLINK("https://www.boe.es/gazeta/dias/1808/11/01/pdfs/GMD-D-1808-140.pdf#page=1","Abrir facsímil")</f>
        <v>Abrir facsímil</v>
      </c>
      <c r="K2894" s="15" t="s">
        <v>23</v>
      </c>
    </row>
    <row r="2895" spans="1:11" ht="42" customHeight="1">
      <c r="A2895" s="4" t="s">
        <v>7549</v>
      </c>
      <c r="B2895" s="5" t="s">
        <v>7550</v>
      </c>
      <c r="C2895" s="5" t="s">
        <v>17</v>
      </c>
      <c r="D2895" s="5" t="s">
        <v>18</v>
      </c>
      <c r="E2895" s="5" t="s">
        <v>180</v>
      </c>
      <c r="F2895" s="9" t="s">
        <v>2568</v>
      </c>
      <c r="G2895" s="9">
        <v>1498</v>
      </c>
      <c r="H2895" s="5" t="s">
        <v>21</v>
      </c>
      <c r="I2895" s="5" t="s">
        <v>7554</v>
      </c>
      <c r="J2895" s="12" t="str">
        <f>HYPERLINK("https://www.boe.es/gazeta/dias/1808/11/15/pdfs/GMD-1808-144.pdf#page=12","Abrir facsímil")</f>
        <v>Abrir facsímil</v>
      </c>
      <c r="K2895" s="15" t="s">
        <v>23</v>
      </c>
    </row>
    <row r="2896" spans="1:11" ht="42" customHeight="1">
      <c r="A2896" s="4" t="s">
        <v>7555</v>
      </c>
      <c r="B2896" s="5" t="s">
        <v>7556</v>
      </c>
      <c r="C2896" s="5" t="s">
        <v>41</v>
      </c>
      <c r="D2896" s="5" t="s">
        <v>42</v>
      </c>
      <c r="E2896" s="5" t="s">
        <v>115</v>
      </c>
      <c r="F2896" s="9" t="s">
        <v>1650</v>
      </c>
      <c r="G2896" s="9">
        <v>1179</v>
      </c>
      <c r="H2896" s="5" t="s">
        <v>21</v>
      </c>
      <c r="I2896" s="5" t="s">
        <v>7557</v>
      </c>
      <c r="J2896" s="12" t="str">
        <f>HYPERLINK("https://www.boe.es/gazeta/dias/1808/09/16/pdfs/GMD-1808-125.pdf#page=11","Abrir facsímil")</f>
        <v>Abrir facsímil</v>
      </c>
      <c r="K2896" s="15" t="s">
        <v>23</v>
      </c>
    </row>
    <row r="2897" spans="1:11" ht="42" customHeight="1">
      <c r="A2897" s="4" t="s">
        <v>7558</v>
      </c>
      <c r="B2897" s="5" t="s">
        <v>7559</v>
      </c>
      <c r="C2897" s="5" t="s">
        <v>41</v>
      </c>
      <c r="D2897" s="5" t="s">
        <v>42</v>
      </c>
      <c r="E2897" s="5" t="s">
        <v>19</v>
      </c>
      <c r="F2897" s="9" t="s">
        <v>949</v>
      </c>
      <c r="G2897" s="9" t="s">
        <v>106</v>
      </c>
      <c r="H2897" s="5" t="s">
        <v>21</v>
      </c>
      <c r="I2897" s="5" t="s">
        <v>7560</v>
      </c>
      <c r="J2897" s="12" t="str">
        <f>HYPERLINK("https://www.boe.es/gazeta/dias/1808/09/30/pdfs/GMD-C-1808-130.pdf#page=3","Abrir facsímil")</f>
        <v>Abrir facsímil</v>
      </c>
      <c r="K2897" s="15" t="s">
        <v>23</v>
      </c>
    </row>
    <row r="2898" spans="1:11" ht="42" customHeight="1">
      <c r="A2898" s="4" t="s">
        <v>7561</v>
      </c>
      <c r="B2898" s="5" t="s">
        <v>7562</v>
      </c>
      <c r="C2898" s="5" t="s">
        <v>26</v>
      </c>
      <c r="D2898" s="5" t="s">
        <v>27</v>
      </c>
      <c r="E2898" s="5" t="s">
        <v>125</v>
      </c>
      <c r="F2898" s="9" t="s">
        <v>397</v>
      </c>
      <c r="G2898" s="9">
        <v>1271</v>
      </c>
      <c r="H2898" s="5" t="s">
        <v>21</v>
      </c>
      <c r="I2898" s="5" t="s">
        <v>7563</v>
      </c>
      <c r="J2898" s="12" t="str">
        <f>HYPERLINK("https://www.boe.es/gazeta/dias/1808/10/07/pdfs/GMD-1808-132.pdf#page=11","Abrir facsímil")</f>
        <v>Abrir facsímil</v>
      </c>
      <c r="K2898" s="15" t="s">
        <v>23</v>
      </c>
    </row>
    <row r="2899" spans="1:11" ht="42" customHeight="1">
      <c r="A2899" s="4" t="s">
        <v>7564</v>
      </c>
      <c r="B2899" s="5" t="s">
        <v>7565</v>
      </c>
      <c r="C2899" s="5" t="s">
        <v>389</v>
      </c>
      <c r="D2899" s="5" t="s">
        <v>390</v>
      </c>
      <c r="E2899" s="5" t="s">
        <v>427</v>
      </c>
      <c r="F2899" s="9" t="s">
        <v>428</v>
      </c>
      <c r="G2899" s="9" t="s">
        <v>75</v>
      </c>
      <c r="H2899" s="5" t="s">
        <v>21</v>
      </c>
      <c r="I2899" s="5" t="s">
        <v>7566</v>
      </c>
      <c r="J2899" s="12" t="str">
        <f>HYPERLINK("https://www.boe.es/gazeta/dias/1808/11/22/pdfs/GMD-D-1808-146.pdf#page=4","Abrir facsímil")</f>
        <v>Abrir facsímil</v>
      </c>
      <c r="K2899" s="15" t="s">
        <v>23</v>
      </c>
    </row>
    <row r="2900" spans="1:11" ht="42" customHeight="1">
      <c r="A2900" s="4" t="s">
        <v>7567</v>
      </c>
      <c r="B2900" s="5" t="s">
        <v>7568</v>
      </c>
      <c r="C2900" s="5" t="s">
        <v>41</v>
      </c>
      <c r="D2900" s="5" t="s">
        <v>42</v>
      </c>
      <c r="E2900" s="5" t="s">
        <v>110</v>
      </c>
      <c r="F2900" s="9" t="s">
        <v>111</v>
      </c>
      <c r="G2900" s="9">
        <v>1385</v>
      </c>
      <c r="H2900" s="5" t="s">
        <v>21</v>
      </c>
      <c r="I2900" s="5" t="s">
        <v>7569</v>
      </c>
      <c r="J2900" s="12" t="str">
        <f>HYPERLINK("https://www.boe.es/gazeta/dias/1808/10/28/pdfs/GMD-1808-138.pdf#page=11","Abrir facsímil")</f>
        <v>Abrir facsímil</v>
      </c>
      <c r="K2900" s="15" t="s">
        <v>23</v>
      </c>
    </row>
    <row r="2901" spans="1:11" ht="42" customHeight="1">
      <c r="A2901" s="4" t="s">
        <v>7570</v>
      </c>
      <c r="B2901" s="5" t="s">
        <v>7571</v>
      </c>
      <c r="C2901" s="5" t="s">
        <v>33</v>
      </c>
      <c r="D2901" s="5" t="s">
        <v>34</v>
      </c>
      <c r="E2901" s="5" t="s">
        <v>19</v>
      </c>
      <c r="F2901" s="9" t="s">
        <v>949</v>
      </c>
      <c r="G2901" s="9" t="s">
        <v>117</v>
      </c>
      <c r="H2901" s="5" t="s">
        <v>21</v>
      </c>
      <c r="I2901" s="5" t="s">
        <v>7572</v>
      </c>
      <c r="J2901" s="12" t="str">
        <f>HYPERLINK("https://www.boe.es/gazeta/dias/1808/09/30/pdfs/GMD-C-1808-130.pdf#page=1","Abrir facsímil")</f>
        <v>Abrir facsímil</v>
      </c>
      <c r="K2901" s="15" t="s">
        <v>23</v>
      </c>
    </row>
    <row r="2902" spans="1:11" ht="42" customHeight="1">
      <c r="A2902" s="4" t="s">
        <v>7573</v>
      </c>
      <c r="B2902" s="5" t="s">
        <v>7574</v>
      </c>
      <c r="C2902" s="5" t="s">
        <v>33</v>
      </c>
      <c r="D2902" s="5" t="s">
        <v>34</v>
      </c>
      <c r="E2902" s="5" t="s">
        <v>35</v>
      </c>
      <c r="F2902" s="9" t="s">
        <v>36</v>
      </c>
      <c r="G2902" s="9" t="s">
        <v>148</v>
      </c>
      <c r="H2902" s="5" t="s">
        <v>21</v>
      </c>
      <c r="I2902" s="5" t="s">
        <v>7575</v>
      </c>
      <c r="J2902" s="12" t="str">
        <f>HYPERLINK("https://www.boe.es/gazeta/dias/1808/04/22/pdfs/GMD-C-1808-38.pdf#page=38","Abrir facsímil")</f>
        <v>Abrir facsímil</v>
      </c>
      <c r="K2902" s="15" t="s">
        <v>23</v>
      </c>
    </row>
    <row r="2903" spans="1:11" ht="42" customHeight="1">
      <c r="A2903" s="4" t="s">
        <v>7576</v>
      </c>
      <c r="B2903" s="5" t="s">
        <v>7577</v>
      </c>
      <c r="C2903" s="5" t="s">
        <v>17</v>
      </c>
      <c r="D2903" s="5" t="s">
        <v>18</v>
      </c>
      <c r="E2903" s="5" t="s">
        <v>1791</v>
      </c>
      <c r="F2903" s="9" t="s">
        <v>2814</v>
      </c>
      <c r="G2903" s="9">
        <v>930</v>
      </c>
      <c r="H2903" s="5" t="s">
        <v>21</v>
      </c>
      <c r="I2903" s="5" t="s">
        <v>7578</v>
      </c>
      <c r="J2903" s="12" t="str">
        <f>HYPERLINK("https://www.boe.es/gazeta/dias/1808/07/30/pdfs/GMD-1808-102.pdf#page=4","Abrir facsímil")</f>
        <v>Abrir facsímil</v>
      </c>
      <c r="K2903" s="15" t="s">
        <v>23</v>
      </c>
    </row>
    <row r="2904" spans="1:11" ht="42" customHeight="1">
      <c r="A2904" s="4" t="s">
        <v>7579</v>
      </c>
      <c r="B2904" s="5" t="s">
        <v>7580</v>
      </c>
      <c r="C2904" s="5" t="s">
        <v>17</v>
      </c>
      <c r="D2904" s="5" t="s">
        <v>18</v>
      </c>
      <c r="E2904" s="5" t="s">
        <v>218</v>
      </c>
      <c r="F2904" s="9" t="s">
        <v>219</v>
      </c>
      <c r="G2904" s="9">
        <v>331</v>
      </c>
      <c r="H2904" s="5" t="s">
        <v>21</v>
      </c>
      <c r="I2904" s="5" t="s">
        <v>7581</v>
      </c>
      <c r="J2904" s="12" t="str">
        <f>HYPERLINK("https://www.boe.es/gazeta/dias/1808/04/01/pdfs/GMD-1808-29.pdf#page=7","Abrir facsímil")</f>
        <v>Abrir facsímil</v>
      </c>
      <c r="K2904" s="15" t="s">
        <v>23</v>
      </c>
    </row>
    <row r="2905" spans="1:11" ht="42" customHeight="1">
      <c r="A2905" s="4" t="s">
        <v>7579</v>
      </c>
      <c r="B2905" s="5" t="s">
        <v>7580</v>
      </c>
      <c r="C2905" s="5" t="s">
        <v>17</v>
      </c>
      <c r="D2905" s="5" t="s">
        <v>18</v>
      </c>
      <c r="E2905" s="5" t="s">
        <v>427</v>
      </c>
      <c r="F2905" s="9" t="s">
        <v>1802</v>
      </c>
      <c r="G2905" s="9">
        <v>1525</v>
      </c>
      <c r="H2905" s="5" t="s">
        <v>21</v>
      </c>
      <c r="I2905" s="5" t="s">
        <v>7582</v>
      </c>
      <c r="J2905" s="12" t="str">
        <f>HYPERLINK("https://www.boe.es/gazeta/dias/1808/11/22/pdfs/GMD-1808-146.pdf#page=11","Abrir facsímil")</f>
        <v>Abrir facsímil</v>
      </c>
      <c r="K2905" s="15" t="s">
        <v>23</v>
      </c>
    </row>
    <row r="2906" spans="1:11" ht="42" customHeight="1">
      <c r="A2906" s="4" t="s">
        <v>7583</v>
      </c>
      <c r="B2906" s="5" t="s">
        <v>7584</v>
      </c>
      <c r="C2906" s="5" t="s">
        <v>33</v>
      </c>
      <c r="D2906" s="5" t="s">
        <v>34</v>
      </c>
      <c r="E2906" s="5" t="s">
        <v>35</v>
      </c>
      <c r="F2906" s="9" t="s">
        <v>36</v>
      </c>
      <c r="G2906" s="9" t="s">
        <v>837</v>
      </c>
      <c r="H2906" s="5" t="s">
        <v>21</v>
      </c>
      <c r="I2906" s="5" t="s">
        <v>7585</v>
      </c>
      <c r="J2906" s="12" t="str">
        <f>HYPERLINK("https://www.boe.es/gazeta/dias/1808/04/22/pdfs/GMD-C-1808-38.pdf#page=10","Abrir facsímil")</f>
        <v>Abrir facsímil</v>
      </c>
      <c r="K2906" s="15" t="s">
        <v>23</v>
      </c>
    </row>
    <row r="2907" spans="1:11" ht="42" customHeight="1">
      <c r="A2907" s="4" t="s">
        <v>7583</v>
      </c>
      <c r="B2907" s="5" t="s">
        <v>7584</v>
      </c>
      <c r="C2907" s="5" t="s">
        <v>41</v>
      </c>
      <c r="D2907" s="5" t="s">
        <v>42</v>
      </c>
      <c r="E2907" s="5" t="s">
        <v>35</v>
      </c>
      <c r="F2907" s="9" t="s">
        <v>36</v>
      </c>
      <c r="G2907" s="9" t="s">
        <v>273</v>
      </c>
      <c r="H2907" s="5" t="s">
        <v>21</v>
      </c>
      <c r="I2907" s="5" t="s">
        <v>7586</v>
      </c>
      <c r="J2907" s="12" t="str">
        <f>HYPERLINK("https://www.boe.es/gazeta/dias/1808/04/22/pdfs/GMD-C-1808-38.pdf#page=12","Abrir facsímil")</f>
        <v>Abrir facsímil</v>
      </c>
      <c r="K2907" s="15" t="s">
        <v>23</v>
      </c>
    </row>
    <row r="2908" spans="1:11" ht="42" customHeight="1">
      <c r="A2908" s="4" t="s">
        <v>7583</v>
      </c>
      <c r="B2908" s="5" t="s">
        <v>7584</v>
      </c>
      <c r="C2908" s="5" t="s">
        <v>33</v>
      </c>
      <c r="D2908" s="5" t="s">
        <v>34</v>
      </c>
      <c r="E2908" s="5" t="s">
        <v>35</v>
      </c>
      <c r="F2908" s="9" t="s">
        <v>36</v>
      </c>
      <c r="G2908" s="9" t="s">
        <v>199</v>
      </c>
      <c r="H2908" s="5" t="s">
        <v>21</v>
      </c>
      <c r="I2908" s="5" t="s">
        <v>7587</v>
      </c>
      <c r="J2908" s="12" t="str">
        <f>HYPERLINK("https://www.boe.es/gazeta/dias/1808/04/22/pdfs/GMD-C-1808-38.pdf#page=2","Abrir facsímil")</f>
        <v>Abrir facsímil</v>
      </c>
      <c r="K2908" s="15" t="s">
        <v>23</v>
      </c>
    </row>
    <row r="2909" spans="1:11" ht="42" customHeight="1">
      <c r="A2909" s="4" t="s">
        <v>7588</v>
      </c>
      <c r="B2909" s="5" t="s">
        <v>7589</v>
      </c>
      <c r="C2909" s="5" t="s">
        <v>33</v>
      </c>
      <c r="D2909" s="5" t="s">
        <v>34</v>
      </c>
      <c r="E2909" s="5" t="s">
        <v>35</v>
      </c>
      <c r="F2909" s="9" t="s">
        <v>36</v>
      </c>
      <c r="G2909" s="9" t="s">
        <v>277</v>
      </c>
      <c r="H2909" s="5" t="s">
        <v>21</v>
      </c>
      <c r="I2909" s="5" t="s">
        <v>7590</v>
      </c>
      <c r="J2909" s="12" t="str">
        <f>HYPERLINK("https://www.boe.es/gazeta/dias/1808/04/22/pdfs/GMD-C-1808-38.pdf#page=34","Abrir facsímil")</f>
        <v>Abrir facsímil</v>
      </c>
      <c r="K2909" s="15" t="s">
        <v>23</v>
      </c>
    </row>
    <row r="2910" spans="1:11" ht="42" customHeight="1">
      <c r="A2910" s="4" t="s">
        <v>7591</v>
      </c>
      <c r="B2910" s="5" t="s">
        <v>7592</v>
      </c>
      <c r="C2910" s="5" t="s">
        <v>33</v>
      </c>
      <c r="D2910" s="5" t="s">
        <v>34</v>
      </c>
      <c r="E2910" s="5" t="s">
        <v>35</v>
      </c>
      <c r="F2910" s="9" t="s">
        <v>36</v>
      </c>
      <c r="G2910" s="9" t="s">
        <v>273</v>
      </c>
      <c r="H2910" s="5" t="s">
        <v>21</v>
      </c>
      <c r="I2910" s="5" t="s">
        <v>7593</v>
      </c>
      <c r="J2910" s="12" t="str">
        <f>HYPERLINK("https://www.boe.es/gazeta/dias/1808/04/22/pdfs/GMD-C-1808-38.pdf#page=12","Abrir facsímil")</f>
        <v>Abrir facsímil</v>
      </c>
      <c r="K2910" s="15" t="s">
        <v>23</v>
      </c>
    </row>
    <row r="2911" spans="1:11" ht="42" customHeight="1">
      <c r="A2911" s="4" t="s">
        <v>7594</v>
      </c>
      <c r="B2911" s="5" t="s">
        <v>7595</v>
      </c>
      <c r="C2911" s="5" t="s">
        <v>94</v>
      </c>
      <c r="D2911" s="5" t="s">
        <v>95</v>
      </c>
      <c r="E2911" s="5" t="s">
        <v>334</v>
      </c>
      <c r="F2911" s="9" t="s">
        <v>335</v>
      </c>
      <c r="G2911" s="9">
        <v>1259</v>
      </c>
      <c r="H2911" s="5" t="s">
        <v>21</v>
      </c>
      <c r="I2911" s="5" t="s">
        <v>7596</v>
      </c>
      <c r="J2911" s="12" t="str">
        <f>HYPERLINK("https://www.boe.es/gazeta/dias/1808/10/04/pdfs/GMD-C-1808-131.pdf#page=11","Abrir facsímil")</f>
        <v>Abrir facsímil</v>
      </c>
      <c r="K2911" s="15" t="s">
        <v>23</v>
      </c>
    </row>
    <row r="2912" spans="1:11" ht="42" customHeight="1">
      <c r="A2912" s="4" t="s">
        <v>7597</v>
      </c>
      <c r="B2912" s="5" t="s">
        <v>7598</v>
      </c>
      <c r="C2912" s="5" t="s">
        <v>41</v>
      </c>
      <c r="D2912" s="5" t="s">
        <v>42</v>
      </c>
      <c r="E2912" s="5" t="s">
        <v>110</v>
      </c>
      <c r="F2912" s="9" t="s">
        <v>111</v>
      </c>
      <c r="G2912" s="9">
        <v>1383</v>
      </c>
      <c r="H2912" s="5" t="s">
        <v>21</v>
      </c>
      <c r="I2912" s="5" t="s">
        <v>7599</v>
      </c>
      <c r="J2912" s="12" t="str">
        <f>HYPERLINK("https://www.boe.es/gazeta/dias/1808/10/28/pdfs/GMD-1808-138.pdf#page=9","Abrir facsímil")</f>
        <v>Abrir facsímil</v>
      </c>
      <c r="K2912" s="15" t="s">
        <v>23</v>
      </c>
    </row>
    <row r="2913" spans="1:11" ht="42" customHeight="1">
      <c r="A2913" s="4" t="s">
        <v>7600</v>
      </c>
      <c r="B2913" s="5" t="s">
        <v>7601</v>
      </c>
      <c r="C2913" s="5" t="s">
        <v>33</v>
      </c>
      <c r="D2913" s="5" t="s">
        <v>34</v>
      </c>
      <c r="E2913" s="5" t="s">
        <v>391</v>
      </c>
      <c r="F2913" s="9" t="s">
        <v>588</v>
      </c>
      <c r="G2913" s="9" t="s">
        <v>199</v>
      </c>
      <c r="H2913" s="5" t="s">
        <v>21</v>
      </c>
      <c r="I2913" s="5" t="s">
        <v>7602</v>
      </c>
      <c r="J2913" s="12" t="str">
        <f>HYPERLINK("https://www.boe.es/gazeta/dias/1808/09/27/pdfs/GMD-C-1808-128.pdf#page=2","Abrir facsímil")</f>
        <v>Abrir facsímil</v>
      </c>
      <c r="K2913" s="15" t="s">
        <v>23</v>
      </c>
    </row>
    <row r="2914" spans="1:11" ht="42" customHeight="1">
      <c r="A2914" s="4" t="s">
        <v>7603</v>
      </c>
      <c r="B2914" s="5" t="s">
        <v>7604</v>
      </c>
      <c r="C2914" s="5" t="s">
        <v>389</v>
      </c>
      <c r="D2914" s="5" t="s">
        <v>390</v>
      </c>
      <c r="E2914" s="5" t="s">
        <v>2159</v>
      </c>
      <c r="F2914" s="9" t="s">
        <v>2160</v>
      </c>
      <c r="G2914" s="9">
        <v>186</v>
      </c>
      <c r="H2914" s="5" t="s">
        <v>21</v>
      </c>
      <c r="I2914" s="5" t="s">
        <v>7605</v>
      </c>
      <c r="J2914" s="12" t="str">
        <f>HYPERLINK("https://www.boe.es/gazeta/dias/1808/02/19/pdfs/GMD-1808-15.pdf#page=16","Abrir facsímil")</f>
        <v>Abrir facsímil</v>
      </c>
      <c r="K2914" s="15" t="s">
        <v>23</v>
      </c>
    </row>
    <row r="2915" spans="1:11" ht="42" customHeight="1">
      <c r="A2915" s="4" t="s">
        <v>7606</v>
      </c>
      <c r="B2915" s="5" t="s">
        <v>7607</v>
      </c>
      <c r="C2915" s="5" t="s">
        <v>94</v>
      </c>
      <c r="D2915" s="5" t="s">
        <v>95</v>
      </c>
      <c r="E2915" s="5" t="s">
        <v>427</v>
      </c>
      <c r="F2915" s="9" t="s">
        <v>1802</v>
      </c>
      <c r="G2915" s="9">
        <v>1524</v>
      </c>
      <c r="H2915" s="5" t="s">
        <v>21</v>
      </c>
      <c r="I2915" s="5" t="s">
        <v>7608</v>
      </c>
      <c r="J2915" s="12" t="str">
        <f>HYPERLINK("https://www.boe.es/gazeta/dias/1808/11/22/pdfs/GMD-1808-146.pdf#page=10","Abrir facsímil")</f>
        <v>Abrir facsímil</v>
      </c>
      <c r="K2915" s="15" t="s">
        <v>23</v>
      </c>
    </row>
    <row r="2916" spans="1:11" ht="42" customHeight="1">
      <c r="A2916" s="4" t="s">
        <v>7609</v>
      </c>
      <c r="B2916" s="5" t="s">
        <v>7610</v>
      </c>
      <c r="C2916" s="5" t="s">
        <v>33</v>
      </c>
      <c r="D2916" s="5" t="s">
        <v>34</v>
      </c>
      <c r="E2916" s="5" t="s">
        <v>35</v>
      </c>
      <c r="F2916" s="9" t="s">
        <v>36</v>
      </c>
      <c r="G2916" s="9" t="s">
        <v>443</v>
      </c>
      <c r="H2916" s="5" t="s">
        <v>21</v>
      </c>
      <c r="I2916" s="5" t="s">
        <v>7611</v>
      </c>
      <c r="J2916" s="12" t="str">
        <f>HYPERLINK("https://www.boe.es/gazeta/dias/1808/04/22/pdfs/GMD-C-1808-38.pdf#page=16","Abrir facsímil")</f>
        <v>Abrir facsímil</v>
      </c>
      <c r="K2916" s="15" t="s">
        <v>23</v>
      </c>
    </row>
    <row r="2917" spans="1:11" ht="42" customHeight="1">
      <c r="A2917" s="4" t="s">
        <v>7612</v>
      </c>
      <c r="B2917" s="5" t="s">
        <v>7613</v>
      </c>
      <c r="C2917" s="5" t="s">
        <v>33</v>
      </c>
      <c r="D2917" s="5" t="s">
        <v>34</v>
      </c>
      <c r="E2917" s="5" t="s">
        <v>334</v>
      </c>
      <c r="F2917" s="9" t="s">
        <v>335</v>
      </c>
      <c r="G2917" s="9">
        <v>1251</v>
      </c>
      <c r="H2917" s="5" t="s">
        <v>21</v>
      </c>
      <c r="I2917" s="5" t="s">
        <v>7614</v>
      </c>
      <c r="J2917" s="12" t="str">
        <f>HYPERLINK("https://www.boe.es/gazeta/dias/1808/10/04/pdfs/GMD-C-1808-131.pdf#page=3","Abrir facsímil")</f>
        <v>Abrir facsímil</v>
      </c>
      <c r="K2917" s="15" t="s">
        <v>23</v>
      </c>
    </row>
    <row r="2918" spans="1:11" ht="42" customHeight="1">
      <c r="A2918" s="4" t="s">
        <v>7612</v>
      </c>
      <c r="B2918" s="5" t="s">
        <v>7613</v>
      </c>
      <c r="C2918" s="5" t="s">
        <v>41</v>
      </c>
      <c r="D2918" s="5" t="s">
        <v>42</v>
      </c>
      <c r="E2918" s="5" t="s">
        <v>125</v>
      </c>
      <c r="F2918" s="9" t="s">
        <v>397</v>
      </c>
      <c r="G2918" s="9">
        <v>1270</v>
      </c>
      <c r="H2918" s="5" t="s">
        <v>21</v>
      </c>
      <c r="I2918" s="5" t="s">
        <v>7615</v>
      </c>
      <c r="J2918" s="12" t="str">
        <f>HYPERLINK("https://www.boe.es/gazeta/dias/1808/10/07/pdfs/GMD-1808-132.pdf#page=10","Abrir facsímil")</f>
        <v>Abrir facsímil</v>
      </c>
      <c r="K2918" s="15" t="s">
        <v>23</v>
      </c>
    </row>
    <row r="2919" spans="1:11" ht="42" customHeight="1">
      <c r="A2919" s="4" t="s">
        <v>7616</v>
      </c>
      <c r="B2919" s="5" t="s">
        <v>7617</v>
      </c>
      <c r="C2919" s="5" t="s">
        <v>33</v>
      </c>
      <c r="D2919" s="5" t="s">
        <v>34</v>
      </c>
      <c r="E2919" s="5" t="s">
        <v>65</v>
      </c>
      <c r="F2919" s="9" t="s">
        <v>691</v>
      </c>
      <c r="G2919" s="9">
        <v>1327</v>
      </c>
      <c r="H2919" s="5" t="s">
        <v>21</v>
      </c>
      <c r="I2919" s="5" t="s">
        <v>7618</v>
      </c>
      <c r="J2919" s="12" t="str">
        <f>HYPERLINK("https://www.boe.es/gazeta/dias/1808/10/18/pdfs/GMD-C-1808-135.pdf#page=11","Abrir facsímil")</f>
        <v>Abrir facsímil</v>
      </c>
      <c r="K2919" s="15" t="s">
        <v>23</v>
      </c>
    </row>
    <row r="2920" spans="1:11" ht="42" customHeight="1">
      <c r="A2920" s="4" t="s">
        <v>7619</v>
      </c>
      <c r="B2920" s="5" t="s">
        <v>7620</v>
      </c>
      <c r="C2920" s="5" t="s">
        <v>33</v>
      </c>
      <c r="D2920" s="5" t="s">
        <v>34</v>
      </c>
      <c r="E2920" s="5" t="s">
        <v>35</v>
      </c>
      <c r="F2920" s="9" t="s">
        <v>36</v>
      </c>
      <c r="G2920" s="9" t="s">
        <v>279</v>
      </c>
      <c r="H2920" s="5" t="s">
        <v>21</v>
      </c>
      <c r="I2920" s="5" t="s">
        <v>7621</v>
      </c>
      <c r="J2920" s="12" t="str">
        <f>HYPERLINK("https://www.boe.es/gazeta/dias/1808/04/22/pdfs/GMD-C-1808-38.pdf#page=44","Abrir facsímil")</f>
        <v>Abrir facsímil</v>
      </c>
      <c r="K2920" s="15" t="s">
        <v>23</v>
      </c>
    </row>
    <row r="2921" spans="1:11" ht="42" customHeight="1">
      <c r="A2921" s="4" t="s">
        <v>7622</v>
      </c>
      <c r="B2921" s="5" t="s">
        <v>7623</v>
      </c>
      <c r="C2921" s="5" t="s">
        <v>33</v>
      </c>
      <c r="D2921" s="5" t="s">
        <v>34</v>
      </c>
      <c r="E2921" s="5" t="s">
        <v>73</v>
      </c>
      <c r="F2921" s="9" t="s">
        <v>74</v>
      </c>
      <c r="G2921" s="9" t="s">
        <v>199</v>
      </c>
      <c r="H2921" s="5" t="s">
        <v>21</v>
      </c>
      <c r="I2921" s="5" t="s">
        <v>7624</v>
      </c>
      <c r="J2921" s="12" t="str">
        <f>HYPERLINK("https://www.boe.es/gazeta/dias/1808/11/11/pdfs/GMD-D-1808-143.pdf#page=2","Abrir facsímil")</f>
        <v>Abrir facsímil</v>
      </c>
      <c r="K2921" s="15" t="s">
        <v>23</v>
      </c>
    </row>
    <row r="2922" spans="1:11" ht="42" customHeight="1">
      <c r="A2922" s="4" t="s">
        <v>7625</v>
      </c>
      <c r="B2922" s="5" t="s">
        <v>7626</v>
      </c>
      <c r="C2922" s="5" t="s">
        <v>94</v>
      </c>
      <c r="D2922" s="5" t="s">
        <v>95</v>
      </c>
      <c r="E2922" s="5" t="s">
        <v>644</v>
      </c>
      <c r="F2922" s="9" t="s">
        <v>645</v>
      </c>
      <c r="G2922" s="9">
        <v>320</v>
      </c>
      <c r="H2922" s="5" t="s">
        <v>21</v>
      </c>
      <c r="I2922" s="5" t="s">
        <v>7627</v>
      </c>
      <c r="J2922" s="12" t="str">
        <f>HYPERLINK("https://www.boe.es/gazeta/dias/1808/03/31/pdfs/GMD-1808-28E.pdf#page=4","Abrir facsímil")</f>
        <v>Abrir facsímil</v>
      </c>
      <c r="K2922" s="15" t="s">
        <v>23</v>
      </c>
    </row>
    <row r="2923" spans="1:11" ht="42" customHeight="1">
      <c r="A2923" s="4" t="s">
        <v>7628</v>
      </c>
      <c r="B2923" s="5" t="s">
        <v>7629</v>
      </c>
      <c r="C2923" s="5" t="s">
        <v>33</v>
      </c>
      <c r="D2923" s="5" t="s">
        <v>34</v>
      </c>
      <c r="E2923" s="5" t="s">
        <v>35</v>
      </c>
      <c r="F2923" s="9" t="s">
        <v>36</v>
      </c>
      <c r="G2923" s="9" t="s">
        <v>117</v>
      </c>
      <c r="H2923" s="5" t="s">
        <v>21</v>
      </c>
      <c r="I2923" s="5" t="s">
        <v>7630</v>
      </c>
      <c r="J2923" s="12" t="str">
        <f>HYPERLINK("https://www.boe.es/gazeta/dias/1808/04/22/pdfs/GMD-C-1808-38.pdf#page=1","Abrir facsímil")</f>
        <v>Abrir facsímil</v>
      </c>
      <c r="K2923" s="15" t="s">
        <v>23</v>
      </c>
    </row>
    <row r="2924" spans="1:11" ht="42" customHeight="1">
      <c r="A2924" s="4" t="s">
        <v>7631</v>
      </c>
      <c r="B2924" s="5" t="s">
        <v>7632</v>
      </c>
      <c r="C2924" s="5" t="s">
        <v>17</v>
      </c>
      <c r="D2924" s="5" t="s">
        <v>18</v>
      </c>
      <c r="E2924" s="5" t="s">
        <v>73</v>
      </c>
      <c r="F2924" s="9" t="s">
        <v>581</v>
      </c>
      <c r="G2924" s="9">
        <v>1468</v>
      </c>
      <c r="H2924" s="5" t="s">
        <v>21</v>
      </c>
      <c r="I2924" s="5" t="s">
        <v>7633</v>
      </c>
      <c r="J2924" s="12" t="str">
        <f>HYPERLINK("https://www.boe.es/gazeta/dias/1808/11/11/pdfs/GMD-1808-143.pdf#page=10","Abrir facsímil")</f>
        <v>Abrir facsímil</v>
      </c>
      <c r="K2924" s="15" t="s">
        <v>23</v>
      </c>
    </row>
    <row r="2925" spans="1:11" ht="42" customHeight="1">
      <c r="A2925" s="4" t="s">
        <v>7634</v>
      </c>
      <c r="B2925" s="5" t="s">
        <v>7635</v>
      </c>
      <c r="C2925" s="5" t="s">
        <v>33</v>
      </c>
      <c r="D2925" s="5" t="s">
        <v>34</v>
      </c>
      <c r="E2925" s="5" t="s">
        <v>461</v>
      </c>
      <c r="F2925" s="9" t="s">
        <v>462</v>
      </c>
      <c r="G2925" s="9" t="s">
        <v>117</v>
      </c>
      <c r="H2925" s="5" t="s">
        <v>21</v>
      </c>
      <c r="I2925" s="5" t="s">
        <v>7636</v>
      </c>
      <c r="J2925" s="12" t="str">
        <f>HYPERLINK("https://www.boe.es/gazeta/dias/1808/11/08/pdfs/GMD-D-1808-142.pdf#page=1","Abrir facsímil")</f>
        <v>Abrir facsímil</v>
      </c>
      <c r="K2925" s="15" t="s">
        <v>23</v>
      </c>
    </row>
    <row r="2926" spans="1:11" ht="42" customHeight="1">
      <c r="A2926" s="4" t="s">
        <v>7637</v>
      </c>
      <c r="B2926" s="5" t="s">
        <v>7638</v>
      </c>
      <c r="C2926" s="5" t="s">
        <v>17</v>
      </c>
      <c r="D2926" s="5" t="s">
        <v>18</v>
      </c>
      <c r="E2926" s="5" t="s">
        <v>130</v>
      </c>
      <c r="F2926" s="9" t="s">
        <v>131</v>
      </c>
      <c r="G2926" s="9">
        <v>1603</v>
      </c>
      <c r="H2926" s="5" t="s">
        <v>21</v>
      </c>
      <c r="I2926" s="5" t="s">
        <v>7639</v>
      </c>
      <c r="J2926" s="12" t="str">
        <f>HYPERLINK("https://www.boe.es/gazeta/dias/1808/12/15/pdfs/GMD-1808-155.pdf#page=7","Abrir facsímil")</f>
        <v>Abrir facsímil</v>
      </c>
      <c r="K2926" s="15" t="s">
        <v>23</v>
      </c>
    </row>
    <row r="2927" spans="1:11" ht="42" customHeight="1">
      <c r="A2927" s="4" t="s">
        <v>7640</v>
      </c>
      <c r="B2927" s="5" t="s">
        <v>7641</v>
      </c>
      <c r="C2927" s="5" t="s">
        <v>17</v>
      </c>
      <c r="D2927" s="5" t="s">
        <v>18</v>
      </c>
      <c r="E2927" s="5" t="s">
        <v>1385</v>
      </c>
      <c r="F2927" s="9" t="s">
        <v>1386</v>
      </c>
      <c r="G2927" s="9">
        <v>230</v>
      </c>
      <c r="H2927" s="5" t="s">
        <v>21</v>
      </c>
      <c r="I2927" s="5" t="s">
        <v>7642</v>
      </c>
      <c r="J2927" s="12" t="str">
        <f>HYPERLINK("https://www.boe.es/gazeta/dias/1808/03/04/pdfs/GMD-1808-19.pdf#page=8","Abrir facsímil")</f>
        <v>Abrir facsímil</v>
      </c>
      <c r="K2927" s="15" t="s">
        <v>23</v>
      </c>
    </row>
    <row r="2928" spans="1:11" ht="42" customHeight="1">
      <c r="A2928" s="4" t="s">
        <v>7643</v>
      </c>
      <c r="B2928" s="5" t="s">
        <v>7644</v>
      </c>
      <c r="C2928" s="5" t="s">
        <v>389</v>
      </c>
      <c r="D2928" s="5" t="s">
        <v>390</v>
      </c>
      <c r="E2928" s="5" t="s">
        <v>991</v>
      </c>
      <c r="F2928" s="9" t="s">
        <v>992</v>
      </c>
      <c r="G2928" s="9">
        <v>221</v>
      </c>
      <c r="H2928" s="5" t="s">
        <v>21</v>
      </c>
      <c r="I2928" s="5" t="s">
        <v>7645</v>
      </c>
      <c r="J2928" s="12" t="str">
        <f>HYPERLINK("https://www.boe.es/gazeta/dias/1808/03/01/pdfs/GMD-1808-18.pdf#page=11","Abrir facsímil")</f>
        <v>Abrir facsímil</v>
      </c>
      <c r="K2928" s="15" t="s">
        <v>23</v>
      </c>
    </row>
    <row r="2929" spans="1:11" ht="42" customHeight="1">
      <c r="A2929" s="4" t="s">
        <v>7646</v>
      </c>
      <c r="B2929" s="5" t="s">
        <v>7647</v>
      </c>
      <c r="C2929" s="5" t="s">
        <v>389</v>
      </c>
      <c r="D2929" s="5" t="s">
        <v>390</v>
      </c>
      <c r="E2929" s="5" t="s">
        <v>115</v>
      </c>
      <c r="F2929" s="9" t="s">
        <v>116</v>
      </c>
      <c r="G2929" s="9" t="s">
        <v>75</v>
      </c>
      <c r="H2929" s="5" t="s">
        <v>21</v>
      </c>
      <c r="I2929" s="5" t="s">
        <v>7648</v>
      </c>
      <c r="J2929" s="12" t="str">
        <f>HYPERLINK("https://www.boe.es/gazeta/dias/1808/09/16/pdfs/GMD-C-1808-125.pdf#page=4","Abrir facsímil")</f>
        <v>Abrir facsímil</v>
      </c>
      <c r="K2929" s="15" t="s">
        <v>23</v>
      </c>
    </row>
    <row r="2930" spans="1:11" ht="42" customHeight="1">
      <c r="A2930" s="4" t="s">
        <v>7649</v>
      </c>
      <c r="B2930" s="5" t="s">
        <v>7650</v>
      </c>
      <c r="C2930" s="5" t="s">
        <v>33</v>
      </c>
      <c r="D2930" s="5" t="s">
        <v>34</v>
      </c>
      <c r="E2930" s="5" t="s">
        <v>35</v>
      </c>
      <c r="F2930" s="9" t="s">
        <v>36</v>
      </c>
      <c r="G2930" s="9" t="s">
        <v>162</v>
      </c>
      <c r="H2930" s="5" t="s">
        <v>21</v>
      </c>
      <c r="I2930" s="5" t="s">
        <v>7651</v>
      </c>
      <c r="J2930" s="12" t="str">
        <f>HYPERLINK("https://www.boe.es/gazeta/dias/1808/04/22/pdfs/GMD-C-1808-38.pdf#page=31","Abrir facsímil")</f>
        <v>Abrir facsímil</v>
      </c>
      <c r="K2930" s="15" t="s">
        <v>23</v>
      </c>
    </row>
    <row r="2931" spans="1:11" ht="42" customHeight="1">
      <c r="A2931" s="4" t="s">
        <v>7652</v>
      </c>
      <c r="B2931" s="5" t="s">
        <v>7653</v>
      </c>
      <c r="C2931" s="5" t="s">
        <v>26</v>
      </c>
      <c r="D2931" s="5" t="s">
        <v>27</v>
      </c>
      <c r="E2931" s="5" t="s">
        <v>139</v>
      </c>
      <c r="F2931" s="9" t="s">
        <v>140</v>
      </c>
      <c r="G2931" s="9">
        <v>1202</v>
      </c>
      <c r="H2931" s="5" t="s">
        <v>21</v>
      </c>
      <c r="I2931" s="5" t="s">
        <v>7654</v>
      </c>
      <c r="J2931" s="12" t="str">
        <f>HYPERLINK("https://www.boe.es/gazeta/dias/1808/09/23/pdfs/GMD-1808-127.pdf#page=10","Abrir facsímil")</f>
        <v>Abrir facsímil</v>
      </c>
      <c r="K2931" s="15" t="s">
        <v>23</v>
      </c>
    </row>
    <row r="2932" spans="1:11" ht="42" customHeight="1">
      <c r="A2932" s="4" t="s">
        <v>7655</v>
      </c>
      <c r="B2932" s="5" t="s">
        <v>7656</v>
      </c>
      <c r="C2932" s="5" t="s">
        <v>33</v>
      </c>
      <c r="D2932" s="5" t="s">
        <v>34</v>
      </c>
      <c r="E2932" s="5" t="s">
        <v>197</v>
      </c>
      <c r="F2932" s="9" t="s">
        <v>198</v>
      </c>
      <c r="G2932" s="9" t="s">
        <v>199</v>
      </c>
      <c r="H2932" s="5" t="s">
        <v>21</v>
      </c>
      <c r="I2932" s="5" t="s">
        <v>7657</v>
      </c>
      <c r="J2932" s="12" t="str">
        <f>HYPERLINK("https://www.boe.es/gazeta/dias/1808/11/01/pdfs/GMD-D-1808-140.pdf#page=2","Abrir facsímil")</f>
        <v>Abrir facsímil</v>
      </c>
      <c r="K2932" s="15" t="s">
        <v>23</v>
      </c>
    </row>
    <row r="2933" spans="1:11" ht="42" customHeight="1">
      <c r="A2933" s="4" t="s">
        <v>7658</v>
      </c>
      <c r="B2933" s="5" t="s">
        <v>7659</v>
      </c>
      <c r="C2933" s="5" t="s">
        <v>33</v>
      </c>
      <c r="D2933" s="5" t="s">
        <v>34</v>
      </c>
      <c r="E2933" s="5" t="s">
        <v>35</v>
      </c>
      <c r="F2933" s="9" t="s">
        <v>36</v>
      </c>
      <c r="G2933" s="9" t="s">
        <v>144</v>
      </c>
      <c r="H2933" s="5" t="s">
        <v>21</v>
      </c>
      <c r="I2933" s="5" t="s">
        <v>7660</v>
      </c>
      <c r="J2933" s="12" t="str">
        <f>HYPERLINK("https://www.boe.es/gazeta/dias/1808/04/22/pdfs/GMD-C-1808-38.pdf#page=40","Abrir facsímil")</f>
        <v>Abrir facsímil</v>
      </c>
      <c r="K2933" s="15" t="s">
        <v>23</v>
      </c>
    </row>
    <row r="2934" spans="1:11" ht="42" customHeight="1">
      <c r="A2934" s="4" t="s">
        <v>7661</v>
      </c>
      <c r="B2934" s="5" t="s">
        <v>7662</v>
      </c>
      <c r="C2934" s="5" t="s">
        <v>17</v>
      </c>
      <c r="D2934" s="5" t="s">
        <v>18</v>
      </c>
      <c r="E2934" s="5" t="s">
        <v>68</v>
      </c>
      <c r="F2934" s="9" t="s">
        <v>69</v>
      </c>
      <c r="G2934" s="9">
        <v>1339</v>
      </c>
      <c r="H2934" s="5" t="s">
        <v>21</v>
      </c>
      <c r="I2934" s="5" t="s">
        <v>7663</v>
      </c>
      <c r="J2934" s="12" t="str">
        <f>HYPERLINK("https://www.boe.es/gazeta/dias/1808/10/21/pdfs/GMD-1808-136.pdf#page=11","Abrir facsímil")</f>
        <v>Abrir facsímil</v>
      </c>
      <c r="K2934" s="15" t="s">
        <v>23</v>
      </c>
    </row>
    <row r="2935" spans="1:11" ht="42" customHeight="1">
      <c r="A2935" s="4" t="s">
        <v>7664</v>
      </c>
      <c r="B2935" s="5" t="s">
        <v>7665</v>
      </c>
      <c r="C2935" s="5" t="s">
        <v>94</v>
      </c>
      <c r="D2935" s="5" t="s">
        <v>95</v>
      </c>
      <c r="E2935" s="5" t="s">
        <v>1472</v>
      </c>
      <c r="F2935" s="9" t="s">
        <v>1473</v>
      </c>
      <c r="G2935" s="9">
        <v>95</v>
      </c>
      <c r="H2935" s="5" t="s">
        <v>21</v>
      </c>
      <c r="I2935" s="5" t="s">
        <v>7666</v>
      </c>
      <c r="J2935" s="12" t="str">
        <f>HYPERLINK("https://www.boe.es/gazeta/dias/1808/01/26/pdfs/GMD-1808-8.pdf#page=11","Abrir facsímil")</f>
        <v>Abrir facsímil</v>
      </c>
      <c r="K2935" s="15" t="s">
        <v>23</v>
      </c>
    </row>
    <row r="2936" spans="1:11" ht="42" customHeight="1">
      <c r="A2936" s="4" t="s">
        <v>7667</v>
      </c>
      <c r="B2936" s="5" t="s">
        <v>7668</v>
      </c>
      <c r="C2936" s="5" t="s">
        <v>17</v>
      </c>
      <c r="D2936" s="5" t="s">
        <v>18</v>
      </c>
      <c r="E2936" s="5" t="s">
        <v>130</v>
      </c>
      <c r="F2936" s="9" t="s">
        <v>131</v>
      </c>
      <c r="G2936" s="9">
        <v>1604</v>
      </c>
      <c r="H2936" s="5" t="s">
        <v>21</v>
      </c>
      <c r="I2936" s="5" t="s">
        <v>7669</v>
      </c>
      <c r="J2936" s="12" t="str">
        <f>HYPERLINK("https://www.boe.es/gazeta/dias/1808/12/15/pdfs/GMD-1808-155.pdf#page=8","Abrir facsímil")</f>
        <v>Abrir facsímil</v>
      </c>
      <c r="K2936" s="15" t="s">
        <v>23</v>
      </c>
    </row>
    <row r="2937" spans="1:11" ht="42" customHeight="1">
      <c r="A2937" s="4" t="s">
        <v>7670</v>
      </c>
      <c r="B2937" s="5" t="s">
        <v>7671</v>
      </c>
      <c r="C2937" s="5" t="s">
        <v>33</v>
      </c>
      <c r="D2937" s="5" t="s">
        <v>34</v>
      </c>
      <c r="E2937" s="5" t="s">
        <v>363</v>
      </c>
      <c r="F2937" s="9" t="s">
        <v>364</v>
      </c>
      <c r="G2937" s="9" t="s">
        <v>199</v>
      </c>
      <c r="H2937" s="5" t="s">
        <v>21</v>
      </c>
      <c r="I2937" s="5" t="s">
        <v>7672</v>
      </c>
      <c r="J2937" s="12" t="str">
        <f>HYPERLINK("https://www.boe.es/gazeta/dias/1808/09/20/pdfs/GMD-C-1808-126.pdf#page=2","Abrir facsímil")</f>
        <v>Abrir facsímil</v>
      </c>
      <c r="K2937" s="15" t="s">
        <v>23</v>
      </c>
    </row>
    <row r="2938" spans="1:11" ht="42" customHeight="1">
      <c r="A2938" s="4" t="s">
        <v>7670</v>
      </c>
      <c r="B2938" s="5" t="s">
        <v>7671</v>
      </c>
      <c r="C2938" s="5" t="s">
        <v>33</v>
      </c>
      <c r="D2938" s="5" t="s">
        <v>34</v>
      </c>
      <c r="E2938" s="5" t="s">
        <v>19</v>
      </c>
      <c r="F2938" s="9" t="s">
        <v>949</v>
      </c>
      <c r="G2938" s="9" t="s">
        <v>106</v>
      </c>
      <c r="H2938" s="5" t="s">
        <v>21</v>
      </c>
      <c r="I2938" s="5" t="s">
        <v>7673</v>
      </c>
      <c r="J2938" s="12" t="str">
        <f>HYPERLINK("https://www.boe.es/gazeta/dias/1808/09/30/pdfs/GMD-C-1808-130.pdf#page=3","Abrir facsímil")</f>
        <v>Abrir facsímil</v>
      </c>
      <c r="K2938" s="15" t="s">
        <v>23</v>
      </c>
    </row>
    <row r="2939" spans="1:11" ht="42" customHeight="1">
      <c r="A2939" s="4" t="s">
        <v>7670</v>
      </c>
      <c r="B2939" s="5" t="s">
        <v>7671</v>
      </c>
      <c r="C2939" s="5" t="s">
        <v>33</v>
      </c>
      <c r="D2939" s="5" t="s">
        <v>34</v>
      </c>
      <c r="E2939" s="5" t="s">
        <v>65</v>
      </c>
      <c r="F2939" s="9" t="s">
        <v>105</v>
      </c>
      <c r="G2939" s="9" t="s">
        <v>117</v>
      </c>
      <c r="H2939" s="5" t="s">
        <v>21</v>
      </c>
      <c r="I2939" s="5" t="s">
        <v>7674</v>
      </c>
      <c r="J2939" s="12" t="str">
        <f>HYPERLINK("https://www.boe.es/gazeta/dias/1808/10/18/pdfs/GMD-D-1808-135.pdf#page=1","Abrir facsímil")</f>
        <v>Abrir facsímil</v>
      </c>
      <c r="K2939" s="15" t="s">
        <v>23</v>
      </c>
    </row>
    <row r="2940" spans="1:11" ht="42" customHeight="1">
      <c r="A2940" s="4" t="s">
        <v>7675</v>
      </c>
      <c r="B2940" s="5" t="s">
        <v>7676</v>
      </c>
      <c r="C2940" s="5" t="s">
        <v>33</v>
      </c>
      <c r="D2940" s="5" t="s">
        <v>34</v>
      </c>
      <c r="E2940" s="5" t="s">
        <v>89</v>
      </c>
      <c r="F2940" s="9" t="s">
        <v>563</v>
      </c>
      <c r="G2940" s="9" t="s">
        <v>75</v>
      </c>
      <c r="H2940" s="5" t="s">
        <v>21</v>
      </c>
      <c r="I2940" s="5" t="s">
        <v>7677</v>
      </c>
      <c r="J2940" s="12" t="str">
        <f>HYPERLINK("https://www.boe.es/gazeta/dias/1808/10/25/pdfs/GMD-D-1808-137.pdf#page=4","Abrir facsímil")</f>
        <v>Abrir facsímil</v>
      </c>
      <c r="K2940" s="15" t="s">
        <v>23</v>
      </c>
    </row>
    <row r="2941" spans="1:11" ht="42" customHeight="1">
      <c r="A2941" s="4" t="s">
        <v>7678</v>
      </c>
      <c r="B2941" s="5" t="s">
        <v>7679</v>
      </c>
      <c r="C2941" s="5" t="s">
        <v>41</v>
      </c>
      <c r="D2941" s="5" t="s">
        <v>42</v>
      </c>
      <c r="E2941" s="5" t="s">
        <v>28</v>
      </c>
      <c r="F2941" s="9" t="s">
        <v>446</v>
      </c>
      <c r="G2941" s="9" t="s">
        <v>106</v>
      </c>
      <c r="H2941" s="5" t="s">
        <v>21</v>
      </c>
      <c r="I2941" s="5" t="s">
        <v>7680</v>
      </c>
      <c r="J2941" s="12" t="str">
        <f>HYPERLINK("https://www.boe.es/gazeta/dias/1808/11/04/pdfs/GMD-D-1808-141.pdf#page=3","Abrir facsímil")</f>
        <v>Abrir facsímil</v>
      </c>
      <c r="K2941" s="15" t="s">
        <v>23</v>
      </c>
    </row>
    <row r="2942" spans="1:11" ht="42" customHeight="1">
      <c r="A2942" s="4" t="s">
        <v>7681</v>
      </c>
      <c r="B2942" s="5" t="s">
        <v>7682</v>
      </c>
      <c r="C2942" s="5" t="s">
        <v>17</v>
      </c>
      <c r="D2942" s="5" t="s">
        <v>18</v>
      </c>
      <c r="E2942" s="5" t="s">
        <v>334</v>
      </c>
      <c r="F2942" s="9" t="s">
        <v>1814</v>
      </c>
      <c r="G2942" s="9">
        <v>1244</v>
      </c>
      <c r="H2942" s="5" t="s">
        <v>21</v>
      </c>
      <c r="I2942" s="5" t="s">
        <v>7683</v>
      </c>
      <c r="J2942" s="12" t="str">
        <f>HYPERLINK("https://www.boe.es/gazeta/dias/1808/10/04/pdfs/GMD-1808-131.pdf#page=12","Abrir facsímil")</f>
        <v>Abrir facsímil</v>
      </c>
      <c r="K2942" s="15" t="s">
        <v>23</v>
      </c>
    </row>
    <row r="2943" spans="1:11" ht="42" customHeight="1">
      <c r="A2943" s="4" t="s">
        <v>7684</v>
      </c>
      <c r="B2943" s="5" t="s">
        <v>7685</v>
      </c>
      <c r="C2943" s="5" t="s">
        <v>17</v>
      </c>
      <c r="D2943" s="5" t="s">
        <v>18</v>
      </c>
      <c r="E2943" s="5" t="s">
        <v>1258</v>
      </c>
      <c r="F2943" s="9" t="s">
        <v>1259</v>
      </c>
      <c r="G2943" s="9">
        <v>890</v>
      </c>
      <c r="H2943" s="5" t="s">
        <v>21</v>
      </c>
      <c r="I2943" s="5" t="s">
        <v>7686</v>
      </c>
      <c r="J2943" s="12" t="str">
        <f>HYPERLINK("https://www.boe.es/gazeta/dias/1808/07/25/pdfs/GMD-1808-97.pdf#page=4","Abrir facsímil")</f>
        <v>Abrir facsímil</v>
      </c>
      <c r="K2943" s="15" t="s">
        <v>23</v>
      </c>
    </row>
    <row r="2944" spans="1:11" ht="42" customHeight="1">
      <c r="A2944" s="4" t="s">
        <v>7684</v>
      </c>
      <c r="B2944" s="5" t="s">
        <v>7685</v>
      </c>
      <c r="C2944" s="5" t="s">
        <v>33</v>
      </c>
      <c r="D2944" s="5" t="s">
        <v>34</v>
      </c>
      <c r="E2944" s="5" t="s">
        <v>456</v>
      </c>
      <c r="F2944" s="9" t="s">
        <v>748</v>
      </c>
      <c r="G2944" s="9" t="s">
        <v>106</v>
      </c>
      <c r="H2944" s="5" t="s">
        <v>21</v>
      </c>
      <c r="I2944" s="5" t="s">
        <v>7687</v>
      </c>
      <c r="J2944" s="12" t="str">
        <f>HYPERLINK("https://www.boe.es/gazeta/dias/1808/10/14/pdfs/GMD-C-1808-134.pdf#page=3","Abrir facsímil")</f>
        <v>Abrir facsímil</v>
      </c>
      <c r="K2944" s="15" t="s">
        <v>23</v>
      </c>
    </row>
    <row r="2945" spans="1:11" ht="42" customHeight="1">
      <c r="A2945" s="4" t="s">
        <v>7684</v>
      </c>
      <c r="B2945" s="5" t="s">
        <v>7685</v>
      </c>
      <c r="C2945" s="5" t="s">
        <v>33</v>
      </c>
      <c r="D2945" s="5" t="s">
        <v>34</v>
      </c>
      <c r="E2945" s="5" t="s">
        <v>68</v>
      </c>
      <c r="F2945" s="9" t="s">
        <v>309</v>
      </c>
      <c r="G2945" s="9" t="s">
        <v>117</v>
      </c>
      <c r="H2945" s="5" t="s">
        <v>21</v>
      </c>
      <c r="I2945" s="5" t="s">
        <v>7688</v>
      </c>
      <c r="J2945" s="12" t="str">
        <f>HYPERLINK("https://www.boe.es/gazeta/dias/1808/10/21/pdfs/GMD-D-1808-136.pdf#page=1","Abrir facsímil")</f>
        <v>Abrir facsímil</v>
      </c>
      <c r="K2945" s="15" t="s">
        <v>23</v>
      </c>
    </row>
    <row r="2946" spans="1:11" ht="42" customHeight="1">
      <c r="A2946" s="4" t="s">
        <v>7689</v>
      </c>
      <c r="B2946" s="5" t="s">
        <v>7690</v>
      </c>
      <c r="C2946" s="5" t="s">
        <v>33</v>
      </c>
      <c r="D2946" s="5" t="s">
        <v>34</v>
      </c>
      <c r="E2946" s="5" t="s">
        <v>35</v>
      </c>
      <c r="F2946" s="9" t="s">
        <v>36</v>
      </c>
      <c r="G2946" s="9" t="s">
        <v>837</v>
      </c>
      <c r="H2946" s="5" t="s">
        <v>21</v>
      </c>
      <c r="I2946" s="5" t="s">
        <v>7691</v>
      </c>
      <c r="J2946" s="12" t="str">
        <f>HYPERLINK("https://www.boe.es/gazeta/dias/1808/04/22/pdfs/GMD-C-1808-38.pdf#page=10","Abrir facsímil")</f>
        <v>Abrir facsímil</v>
      </c>
      <c r="K2946" s="15" t="s">
        <v>23</v>
      </c>
    </row>
    <row r="2947" spans="1:11" ht="42" customHeight="1">
      <c r="A2947" s="4" t="s">
        <v>7689</v>
      </c>
      <c r="B2947" s="5" t="s">
        <v>7690</v>
      </c>
      <c r="C2947" s="5" t="s">
        <v>33</v>
      </c>
      <c r="D2947" s="5" t="s">
        <v>34</v>
      </c>
      <c r="E2947" s="5" t="s">
        <v>35</v>
      </c>
      <c r="F2947" s="9" t="s">
        <v>36</v>
      </c>
      <c r="G2947" s="9" t="s">
        <v>1178</v>
      </c>
      <c r="H2947" s="5" t="s">
        <v>21</v>
      </c>
      <c r="I2947" s="5" t="s">
        <v>7692</v>
      </c>
      <c r="J2947" s="12" t="str">
        <f>HYPERLINK("https://www.boe.es/gazeta/dias/1808/04/22/pdfs/GMD-C-1808-38.pdf#page=9","Abrir facsímil")</f>
        <v>Abrir facsímil</v>
      </c>
      <c r="K2947" s="15" t="s">
        <v>23</v>
      </c>
    </row>
    <row r="2948" spans="1:11" ht="42" customHeight="1">
      <c r="A2948" s="4" t="s">
        <v>7693</v>
      </c>
      <c r="B2948" s="5" t="s">
        <v>7694</v>
      </c>
      <c r="C2948" s="5" t="s">
        <v>33</v>
      </c>
      <c r="D2948" s="5" t="s">
        <v>34</v>
      </c>
      <c r="E2948" s="5" t="s">
        <v>68</v>
      </c>
      <c r="F2948" s="9" t="s">
        <v>309</v>
      </c>
      <c r="G2948" s="9" t="s">
        <v>75</v>
      </c>
      <c r="H2948" s="5" t="s">
        <v>21</v>
      </c>
      <c r="I2948" s="5" t="s">
        <v>7695</v>
      </c>
      <c r="J2948" s="12" t="str">
        <f>HYPERLINK("https://www.boe.es/gazeta/dias/1808/10/21/pdfs/GMD-D-1808-136.pdf#page=4","Abrir facsímil")</f>
        <v>Abrir facsímil</v>
      </c>
      <c r="K2948" s="15" t="s">
        <v>23</v>
      </c>
    </row>
    <row r="2949" spans="1:11" ht="42" customHeight="1">
      <c r="A2949" s="4" t="s">
        <v>7696</v>
      </c>
      <c r="B2949" s="5" t="s">
        <v>7697</v>
      </c>
      <c r="C2949" s="5" t="s">
        <v>94</v>
      </c>
      <c r="D2949" s="5" t="s">
        <v>95</v>
      </c>
      <c r="E2949" s="5" t="s">
        <v>2159</v>
      </c>
      <c r="F2949" s="9" t="s">
        <v>2160</v>
      </c>
      <c r="G2949" s="9">
        <v>184</v>
      </c>
      <c r="H2949" s="5" t="s">
        <v>21</v>
      </c>
      <c r="I2949" s="5" t="s">
        <v>7698</v>
      </c>
      <c r="J2949" s="12" t="str">
        <f>HYPERLINK("https://www.boe.es/gazeta/dias/1808/02/19/pdfs/GMD-1808-15.pdf#page=14","Abrir facsímil")</f>
        <v>Abrir facsímil</v>
      </c>
      <c r="K2949" s="15" t="s">
        <v>23</v>
      </c>
    </row>
    <row r="2950" spans="1:11" ht="42" customHeight="1">
      <c r="A2950" s="4" t="s">
        <v>7696</v>
      </c>
      <c r="B2950" s="5" t="s">
        <v>7697</v>
      </c>
      <c r="C2950" s="5" t="s">
        <v>33</v>
      </c>
      <c r="D2950" s="5" t="s">
        <v>34</v>
      </c>
      <c r="E2950" s="5" t="s">
        <v>461</v>
      </c>
      <c r="F2950" s="9" t="s">
        <v>462</v>
      </c>
      <c r="G2950" s="9" t="s">
        <v>117</v>
      </c>
      <c r="H2950" s="5" t="s">
        <v>21</v>
      </c>
      <c r="I2950" s="5" t="s">
        <v>7699</v>
      </c>
      <c r="J2950" s="12" t="str">
        <f>HYPERLINK("https://www.boe.es/gazeta/dias/1808/11/08/pdfs/GMD-D-1808-142.pdf#page=1","Abrir facsímil")</f>
        <v>Abrir facsímil</v>
      </c>
      <c r="K2950" s="15" t="s">
        <v>23</v>
      </c>
    </row>
    <row r="2951" spans="1:11" ht="42" customHeight="1">
      <c r="A2951" s="4" t="s">
        <v>7700</v>
      </c>
      <c r="B2951" s="5" t="s">
        <v>7701</v>
      </c>
      <c r="C2951" s="5" t="s">
        <v>17</v>
      </c>
      <c r="D2951" s="5" t="s">
        <v>18</v>
      </c>
      <c r="E2951" s="5" t="s">
        <v>461</v>
      </c>
      <c r="F2951" s="9" t="s">
        <v>733</v>
      </c>
      <c r="G2951" s="9">
        <v>1448</v>
      </c>
      <c r="H2951" s="5" t="s">
        <v>21</v>
      </c>
      <c r="I2951" s="5" t="s">
        <v>7702</v>
      </c>
      <c r="J2951" s="12" t="str">
        <f>HYPERLINK("https://www.boe.es/gazeta/dias/1808/11/08/pdfs/GMD-1808-142.pdf#page=10","Abrir facsímil")</f>
        <v>Abrir facsímil</v>
      </c>
      <c r="K2951" s="15" t="s">
        <v>23</v>
      </c>
    </row>
    <row r="2952" spans="1:11" ht="42" customHeight="1">
      <c r="A2952" s="4" t="s">
        <v>7703</v>
      </c>
      <c r="B2952" s="5" t="s">
        <v>7704</v>
      </c>
      <c r="C2952" s="5" t="s">
        <v>33</v>
      </c>
      <c r="D2952" s="5" t="s">
        <v>34</v>
      </c>
      <c r="E2952" s="5" t="s">
        <v>35</v>
      </c>
      <c r="F2952" s="9" t="s">
        <v>36</v>
      </c>
      <c r="G2952" s="9" t="s">
        <v>273</v>
      </c>
      <c r="H2952" s="5" t="s">
        <v>21</v>
      </c>
      <c r="I2952" s="5" t="s">
        <v>7705</v>
      </c>
      <c r="J2952" s="12" t="str">
        <f>HYPERLINK("https://www.boe.es/gazeta/dias/1808/04/22/pdfs/GMD-C-1808-38.pdf#page=12","Abrir facsímil")</f>
        <v>Abrir facsímil</v>
      </c>
      <c r="K2952" s="15" t="s">
        <v>23</v>
      </c>
    </row>
    <row r="2953" spans="1:11" ht="42" customHeight="1">
      <c r="A2953" s="4" t="s">
        <v>7706</v>
      </c>
      <c r="B2953" s="5" t="s">
        <v>7707</v>
      </c>
      <c r="C2953" s="5" t="s">
        <v>33</v>
      </c>
      <c r="D2953" s="5" t="s">
        <v>34</v>
      </c>
      <c r="E2953" s="5" t="s">
        <v>456</v>
      </c>
      <c r="F2953" s="9" t="s">
        <v>748</v>
      </c>
      <c r="G2953" s="9" t="s">
        <v>75</v>
      </c>
      <c r="H2953" s="5" t="s">
        <v>21</v>
      </c>
      <c r="I2953" s="5" t="s">
        <v>7708</v>
      </c>
      <c r="J2953" s="12" t="str">
        <f>HYPERLINK("https://www.boe.es/gazeta/dias/1808/10/14/pdfs/GMD-C-1808-134.pdf#page=4","Abrir facsímil")</f>
        <v>Abrir facsímil</v>
      </c>
      <c r="K2953" s="15" t="s">
        <v>23</v>
      </c>
    </row>
    <row r="2954" spans="1:11" ht="42" customHeight="1">
      <c r="A2954" s="4" t="s">
        <v>7709</v>
      </c>
      <c r="B2954" s="5" t="s">
        <v>7709</v>
      </c>
      <c r="C2954" s="5" t="s">
        <v>33</v>
      </c>
      <c r="D2954" s="5" t="s">
        <v>34</v>
      </c>
      <c r="E2954" s="5" t="s">
        <v>35</v>
      </c>
      <c r="F2954" s="9" t="s">
        <v>36</v>
      </c>
      <c r="G2954" s="9" t="s">
        <v>162</v>
      </c>
      <c r="H2954" s="5" t="s">
        <v>21</v>
      </c>
      <c r="I2954" s="5" t="s">
        <v>7710</v>
      </c>
      <c r="J2954" s="12" t="str">
        <f>HYPERLINK("https://www.boe.es/gazeta/dias/1808/04/22/pdfs/GMD-C-1808-38.pdf#page=31","Abrir facsímil")</f>
        <v>Abrir facsímil</v>
      </c>
      <c r="K2954" s="15" t="s">
        <v>23</v>
      </c>
    </row>
    <row r="2955" spans="1:11" ht="42" customHeight="1">
      <c r="A2955" s="4" t="s">
        <v>7711</v>
      </c>
      <c r="B2955" s="5" t="s">
        <v>7711</v>
      </c>
      <c r="C2955" s="5" t="s">
        <v>26</v>
      </c>
      <c r="D2955" s="5" t="s">
        <v>27</v>
      </c>
      <c r="E2955" s="5" t="s">
        <v>125</v>
      </c>
      <c r="F2955" s="9" t="s">
        <v>126</v>
      </c>
      <c r="G2955" s="9" t="s">
        <v>117</v>
      </c>
      <c r="H2955" s="5" t="s">
        <v>21</v>
      </c>
      <c r="I2955" s="5" t="s">
        <v>7712</v>
      </c>
      <c r="J2955" s="12" t="str">
        <f>HYPERLINK("https://www.boe.es/gazeta/dias/1808/10/07/pdfs/GMD-C-1808-132.pdf#page=1","Abrir facsímil")</f>
        <v>Abrir facsímil</v>
      </c>
      <c r="K2955" s="15" t="s">
        <v>23</v>
      </c>
    </row>
    <row r="2956" spans="1:11" ht="42" customHeight="1">
      <c r="A2956" s="4" t="s">
        <v>7713</v>
      </c>
      <c r="B2956" s="5" t="s">
        <v>7713</v>
      </c>
      <c r="C2956" s="5" t="s">
        <v>94</v>
      </c>
      <c r="D2956" s="5" t="s">
        <v>95</v>
      </c>
      <c r="E2956" s="5" t="s">
        <v>61</v>
      </c>
      <c r="F2956" s="9" t="s">
        <v>62</v>
      </c>
      <c r="G2956" s="9">
        <v>1282</v>
      </c>
      <c r="H2956" s="5" t="s">
        <v>21</v>
      </c>
      <c r="I2956" s="5" t="s">
        <v>7714</v>
      </c>
      <c r="J2956" s="12" t="str">
        <f>HYPERLINK("https://www.boe.es/gazeta/dias/1808/10/11/pdfs/GMD-1808-133.pdf#page=10","Abrir facsímil")</f>
        <v>Abrir facsímil</v>
      </c>
      <c r="K2956" s="15" t="s">
        <v>23</v>
      </c>
    </row>
    <row r="2957" spans="1:11" ht="42" customHeight="1">
      <c r="A2957" s="4" t="s">
        <v>7715</v>
      </c>
      <c r="B2957" s="5" t="s">
        <v>7716</v>
      </c>
      <c r="C2957" s="5" t="s">
        <v>17</v>
      </c>
      <c r="D2957" s="5" t="s">
        <v>18</v>
      </c>
      <c r="E2957" s="5" t="s">
        <v>1385</v>
      </c>
      <c r="F2957" s="9" t="s">
        <v>1386</v>
      </c>
      <c r="G2957" s="9">
        <v>230</v>
      </c>
      <c r="H2957" s="5" t="s">
        <v>21</v>
      </c>
      <c r="I2957" s="5" t="s">
        <v>7717</v>
      </c>
      <c r="J2957" s="12" t="str">
        <f>HYPERLINK("https://www.boe.es/gazeta/dias/1808/03/04/pdfs/GMD-1808-19.pdf#page=8","Abrir facsímil")</f>
        <v>Abrir facsímil</v>
      </c>
      <c r="K2957" s="15" t="s">
        <v>23</v>
      </c>
    </row>
    <row r="2958" spans="1:11" ht="42" customHeight="1">
      <c r="A2958" s="4" t="s">
        <v>7715</v>
      </c>
      <c r="B2958" s="5" t="s">
        <v>7716</v>
      </c>
      <c r="C2958" s="5" t="s">
        <v>17</v>
      </c>
      <c r="D2958" s="5" t="s">
        <v>18</v>
      </c>
      <c r="E2958" s="5" t="s">
        <v>1258</v>
      </c>
      <c r="F2958" s="9" t="s">
        <v>1259</v>
      </c>
      <c r="G2958" s="9">
        <v>890</v>
      </c>
      <c r="H2958" s="5" t="s">
        <v>21</v>
      </c>
      <c r="I2958" s="5" t="s">
        <v>7718</v>
      </c>
      <c r="J2958" s="12" t="str">
        <f>HYPERLINK("https://www.boe.es/gazeta/dias/1808/07/25/pdfs/GMD-1808-97.pdf#page=4","Abrir facsímil")</f>
        <v>Abrir facsímil</v>
      </c>
      <c r="K2958" s="15" t="s">
        <v>23</v>
      </c>
    </row>
    <row r="2959" spans="1:11" ht="42" customHeight="1">
      <c r="A2959" s="4" t="s">
        <v>7719</v>
      </c>
      <c r="B2959" s="5" t="s">
        <v>7720</v>
      </c>
      <c r="C2959" s="5" t="s">
        <v>17</v>
      </c>
      <c r="D2959" s="5" t="s">
        <v>18</v>
      </c>
      <c r="E2959" s="5" t="s">
        <v>1385</v>
      </c>
      <c r="F2959" s="9" t="s">
        <v>1386</v>
      </c>
      <c r="G2959" s="9">
        <v>230</v>
      </c>
      <c r="H2959" s="5" t="s">
        <v>21</v>
      </c>
      <c r="I2959" s="5" t="s">
        <v>7721</v>
      </c>
      <c r="J2959" s="12" t="str">
        <f>HYPERLINK("https://www.boe.es/gazeta/dias/1808/03/04/pdfs/GMD-1808-19.pdf#page=8","Abrir facsímil")</f>
        <v>Abrir facsímil</v>
      </c>
      <c r="K2959" s="15" t="s">
        <v>23</v>
      </c>
    </row>
    <row r="2960" spans="1:11" ht="42" customHeight="1">
      <c r="A2960" s="4" t="s">
        <v>7722</v>
      </c>
      <c r="B2960" s="5" t="s">
        <v>7723</v>
      </c>
      <c r="C2960" s="5" t="s">
        <v>33</v>
      </c>
      <c r="D2960" s="5" t="s">
        <v>34</v>
      </c>
      <c r="E2960" s="5" t="s">
        <v>558</v>
      </c>
      <c r="F2960" s="9" t="s">
        <v>758</v>
      </c>
      <c r="G2960" s="9" t="s">
        <v>199</v>
      </c>
      <c r="H2960" s="5" t="s">
        <v>21</v>
      </c>
      <c r="I2960" s="5" t="s">
        <v>7724</v>
      </c>
      <c r="J2960" s="12" t="str">
        <f>HYPERLINK("https://www.boe.es/gazeta/dias/1808/11/25/pdfs/GMD-E-1808-147.pdf#page=2","Abrir facsímil")</f>
        <v>Abrir facsímil</v>
      </c>
      <c r="K2960" s="15" t="s">
        <v>23</v>
      </c>
    </row>
    <row r="2961" spans="1:11" ht="42" customHeight="1">
      <c r="A2961" s="4" t="s">
        <v>7725</v>
      </c>
      <c r="B2961" s="5" t="s">
        <v>7726</v>
      </c>
      <c r="C2961" s="5" t="s">
        <v>94</v>
      </c>
      <c r="D2961" s="5" t="s">
        <v>95</v>
      </c>
      <c r="E2961" s="5" t="s">
        <v>418</v>
      </c>
      <c r="F2961" s="9" t="s">
        <v>3832</v>
      </c>
      <c r="G2961" s="9">
        <v>231</v>
      </c>
      <c r="H2961" s="5" t="s">
        <v>21</v>
      </c>
      <c r="I2961" s="5" t="s">
        <v>7727</v>
      </c>
      <c r="J2961" s="12" t="str">
        <f>HYPERLINK("https://www.boe.es/gazeta/dias/1808/09/06/pdfs/GMS-1808-29.pdf#page=7","Abrir facsímil")</f>
        <v>Abrir facsímil</v>
      </c>
      <c r="K2961" s="15" t="s">
        <v>23</v>
      </c>
    </row>
    <row r="2962" spans="1:11" ht="42" customHeight="1">
      <c r="A2962" s="4" t="s">
        <v>7728</v>
      </c>
      <c r="B2962" s="5" t="s">
        <v>7729</v>
      </c>
      <c r="C2962" s="5" t="s">
        <v>94</v>
      </c>
      <c r="D2962" s="5" t="s">
        <v>95</v>
      </c>
      <c r="E2962" s="5" t="s">
        <v>1085</v>
      </c>
      <c r="F2962" s="9" t="s">
        <v>1086</v>
      </c>
      <c r="G2962" s="9">
        <v>104</v>
      </c>
      <c r="H2962" s="5" t="s">
        <v>21</v>
      </c>
      <c r="I2962" s="5" t="s">
        <v>7730</v>
      </c>
      <c r="J2962" s="12" t="str">
        <f>HYPERLINK("https://www.boe.es/gazeta/dias/1808/01/29/pdfs/GMD-1808-9.pdf#page=8","Abrir facsímil")</f>
        <v>Abrir facsímil</v>
      </c>
      <c r="K2962" s="15" t="s">
        <v>23</v>
      </c>
    </row>
    <row r="2963" spans="1:11" ht="42" customHeight="1">
      <c r="A2963" s="4" t="s">
        <v>7731</v>
      </c>
      <c r="B2963" s="5" t="s">
        <v>7732</v>
      </c>
      <c r="C2963" s="5" t="s">
        <v>94</v>
      </c>
      <c r="D2963" s="5" t="s">
        <v>95</v>
      </c>
      <c r="E2963" s="5" t="s">
        <v>19</v>
      </c>
      <c r="F2963" s="9" t="s">
        <v>949</v>
      </c>
      <c r="G2963" s="9" t="s">
        <v>106</v>
      </c>
      <c r="H2963" s="5" t="s">
        <v>21</v>
      </c>
      <c r="I2963" s="5" t="s">
        <v>7733</v>
      </c>
      <c r="J2963" s="12" t="str">
        <f>HYPERLINK("https://www.boe.es/gazeta/dias/1808/09/30/pdfs/GMD-C-1808-130.pdf#page=3","Abrir facsímil")</f>
        <v>Abrir facsímil</v>
      </c>
      <c r="K2963" s="15" t="s">
        <v>23</v>
      </c>
    </row>
    <row r="2964" spans="1:11" ht="42" customHeight="1">
      <c r="A2964" s="4" t="s">
        <v>7734</v>
      </c>
      <c r="B2964" s="5" t="s">
        <v>7734</v>
      </c>
      <c r="C2964" s="5" t="s">
        <v>17</v>
      </c>
      <c r="D2964" s="5" t="s">
        <v>18</v>
      </c>
      <c r="E2964" s="5" t="s">
        <v>110</v>
      </c>
      <c r="F2964" s="9" t="s">
        <v>111</v>
      </c>
      <c r="G2964" s="9">
        <v>1384</v>
      </c>
      <c r="H2964" s="5" t="s">
        <v>21</v>
      </c>
      <c r="I2964" s="5" t="s">
        <v>7735</v>
      </c>
      <c r="J2964" s="12" t="str">
        <f>HYPERLINK("https://www.boe.es/gazeta/dias/1808/10/28/pdfs/GMD-1808-138.pdf#page=10","Abrir facsímil")</f>
        <v>Abrir facsímil</v>
      </c>
      <c r="K2964" s="15" t="s">
        <v>23</v>
      </c>
    </row>
    <row r="2965" spans="1:11" ht="42" customHeight="1">
      <c r="A2965" s="4" t="s">
        <v>7736</v>
      </c>
      <c r="B2965" s="5" t="s">
        <v>7736</v>
      </c>
      <c r="C2965" s="5" t="s">
        <v>33</v>
      </c>
      <c r="D2965" s="5" t="s">
        <v>34</v>
      </c>
      <c r="E2965" s="5" t="s">
        <v>35</v>
      </c>
      <c r="F2965" s="9" t="s">
        <v>36</v>
      </c>
      <c r="G2965" s="9" t="s">
        <v>1006</v>
      </c>
      <c r="H2965" s="5" t="s">
        <v>21</v>
      </c>
      <c r="I2965" s="5" t="s">
        <v>7737</v>
      </c>
      <c r="J2965" s="12" t="str">
        <f>HYPERLINK("https://www.boe.es/gazeta/dias/1808/04/22/pdfs/GMD-C-1808-38.pdf#page=46","Abrir facsímil")</f>
        <v>Abrir facsímil</v>
      </c>
      <c r="K2965" s="15" t="s">
        <v>23</v>
      </c>
    </row>
    <row r="2966" spans="1:11" ht="42" customHeight="1">
      <c r="A2966" s="4" t="s">
        <v>7738</v>
      </c>
      <c r="B2966" s="5" t="s">
        <v>7739</v>
      </c>
      <c r="C2966" s="5" t="s">
        <v>17</v>
      </c>
      <c r="D2966" s="5" t="s">
        <v>18</v>
      </c>
      <c r="E2966" s="5" t="s">
        <v>2524</v>
      </c>
      <c r="F2966" s="9" t="s">
        <v>4648</v>
      </c>
      <c r="G2966" s="9">
        <v>475</v>
      </c>
      <c r="H2966" s="5" t="s">
        <v>21</v>
      </c>
      <c r="I2966" s="5" t="s">
        <v>7740</v>
      </c>
      <c r="J2966" s="12" t="str">
        <f>HYPERLINK("https://www.boe.es/gazeta/dias/1808/12/23/pdfs/GMS-1808-60.pdf#page=3","Abrir facsímil")</f>
        <v>Abrir facsímil</v>
      </c>
      <c r="K2966" s="15" t="s">
        <v>23</v>
      </c>
    </row>
    <row r="2967" spans="1:11" ht="42" customHeight="1">
      <c r="A2967" s="4" t="s">
        <v>7741</v>
      </c>
      <c r="B2967" s="5" t="s">
        <v>7741</v>
      </c>
      <c r="C2967" s="5" t="s">
        <v>94</v>
      </c>
      <c r="D2967" s="5" t="s">
        <v>95</v>
      </c>
      <c r="E2967" s="5" t="s">
        <v>96</v>
      </c>
      <c r="F2967" s="9" t="s">
        <v>97</v>
      </c>
      <c r="G2967" s="9">
        <v>266</v>
      </c>
      <c r="H2967" s="5" t="s">
        <v>21</v>
      </c>
      <c r="I2967" s="5" t="s">
        <v>7742</v>
      </c>
      <c r="J2967" s="12" t="str">
        <f>HYPERLINK("https://www.boe.es/gazeta/dias/1808/03/15/pdfs/GMD-1808-22.pdf#page=8","Abrir facsímil")</f>
        <v>Abrir facsímil</v>
      </c>
      <c r="K2967" s="15" t="s">
        <v>23</v>
      </c>
    </row>
    <row r="2968" spans="1:11" ht="42" customHeight="1">
      <c r="A2968" s="4" t="s">
        <v>7743</v>
      </c>
      <c r="B2968" s="5" t="s">
        <v>7743</v>
      </c>
      <c r="C2968" s="5" t="s">
        <v>17</v>
      </c>
      <c r="D2968" s="5" t="s">
        <v>18</v>
      </c>
      <c r="E2968" s="5" t="s">
        <v>207</v>
      </c>
      <c r="F2968" s="9" t="s">
        <v>208</v>
      </c>
      <c r="G2968" s="9">
        <v>196</v>
      </c>
      <c r="H2968" s="5" t="s">
        <v>21</v>
      </c>
      <c r="I2968" s="5" t="s">
        <v>7744</v>
      </c>
      <c r="J2968" s="12" t="str">
        <f>HYPERLINK("https://www.boe.es/gazeta/dias/1808/02/23/pdfs/GMD-1808-16.pdf#page=10","Abrir facsímil")</f>
        <v>Abrir facsímil</v>
      </c>
      <c r="K2968" s="15" t="s">
        <v>23</v>
      </c>
    </row>
    <row r="2969" spans="1:11" ht="42" customHeight="1">
      <c r="A2969" s="4" t="s">
        <v>7745</v>
      </c>
      <c r="B2969" s="5" t="s">
        <v>7745</v>
      </c>
      <c r="C2969" s="5" t="s">
        <v>389</v>
      </c>
      <c r="D2969" s="5" t="s">
        <v>390</v>
      </c>
      <c r="E2969" s="5" t="s">
        <v>287</v>
      </c>
      <c r="F2969" s="9" t="s">
        <v>288</v>
      </c>
      <c r="G2969" s="9">
        <v>176</v>
      </c>
      <c r="H2969" s="5" t="s">
        <v>21</v>
      </c>
      <c r="I2969" s="5" t="s">
        <v>7746</v>
      </c>
      <c r="J2969" s="12" t="str">
        <f>HYPERLINK("https://www.boe.es/gazeta/dias/1808/08/12/pdfs/GMS-1808-22.pdf#page=8","Abrir facsímil")</f>
        <v>Abrir facsímil</v>
      </c>
      <c r="K2969" s="15" t="s">
        <v>23</v>
      </c>
    </row>
    <row r="2970" spans="1:11" ht="42" customHeight="1">
      <c r="A2970" s="4" t="s">
        <v>7747</v>
      </c>
      <c r="B2970" s="5" t="s">
        <v>7747</v>
      </c>
      <c r="C2970" s="5" t="s">
        <v>260</v>
      </c>
      <c r="D2970" s="5" t="s">
        <v>42</v>
      </c>
      <c r="E2970" s="5" t="s">
        <v>96</v>
      </c>
      <c r="F2970" s="9" t="s">
        <v>97</v>
      </c>
      <c r="G2970" s="9">
        <v>268</v>
      </c>
      <c r="H2970" s="5" t="s">
        <v>21</v>
      </c>
      <c r="I2970" s="5" t="s">
        <v>7748</v>
      </c>
      <c r="J2970" s="12" t="str">
        <f>HYPERLINK("https://www.boe.es/gazeta/dias/1808/03/15/pdfs/GMD-1808-22.pdf#page=10","Abrir facsímil")</f>
        <v>Abrir facsímil</v>
      </c>
      <c r="K2970" s="15" t="s">
        <v>23</v>
      </c>
    </row>
    <row r="2971" spans="1:11" ht="42" customHeight="1">
      <c r="A2971" s="4" t="s">
        <v>7749</v>
      </c>
      <c r="B2971" s="5" t="s">
        <v>7750</v>
      </c>
      <c r="C2971" s="5" t="s">
        <v>17</v>
      </c>
      <c r="D2971" s="5" t="s">
        <v>18</v>
      </c>
      <c r="E2971" s="5" t="s">
        <v>234</v>
      </c>
      <c r="F2971" s="9" t="s">
        <v>1871</v>
      </c>
      <c r="G2971" s="9">
        <v>495</v>
      </c>
      <c r="H2971" s="5" t="s">
        <v>21</v>
      </c>
      <c r="I2971" s="5" t="s">
        <v>7751</v>
      </c>
      <c r="J2971" s="12" t="str">
        <f>HYPERLINK("https://www.boe.es/gazeta/dias/1808/12/30/pdfs/GMS-1808-62.pdf#page=3","Abrir facsímil")</f>
        <v>Abrir facsímil</v>
      </c>
      <c r="K2971" s="15" t="s">
        <v>23</v>
      </c>
    </row>
    <row r="2972" spans="1:11" ht="42" customHeight="1">
      <c r="A2972" s="4" t="s">
        <v>7752</v>
      </c>
      <c r="B2972" s="5" t="s">
        <v>7753</v>
      </c>
      <c r="C2972" s="5" t="s">
        <v>94</v>
      </c>
      <c r="D2972" s="5" t="s">
        <v>95</v>
      </c>
      <c r="E2972" s="5" t="s">
        <v>35</v>
      </c>
      <c r="F2972" s="9" t="s">
        <v>36</v>
      </c>
      <c r="G2972" s="9" t="s">
        <v>2643</v>
      </c>
      <c r="H2972" s="5" t="s">
        <v>21</v>
      </c>
      <c r="I2972" s="5" t="s">
        <v>7754</v>
      </c>
      <c r="J2972" s="12" t="str">
        <f>HYPERLINK("https://www.boe.es/gazeta/dias/1808/04/22/pdfs/GMD-C-1808-38.pdf#page=17","Abrir facsímil")</f>
        <v>Abrir facsímil</v>
      </c>
      <c r="K2972" s="15" t="s">
        <v>23</v>
      </c>
    </row>
    <row r="2973" spans="1:11" ht="42" customHeight="1">
      <c r="A2973" s="4" t="s">
        <v>7755</v>
      </c>
      <c r="B2973" s="5" t="s">
        <v>7755</v>
      </c>
      <c r="C2973" s="5" t="s">
        <v>17</v>
      </c>
      <c r="D2973" s="5" t="s">
        <v>18</v>
      </c>
      <c r="E2973" s="5" t="s">
        <v>166</v>
      </c>
      <c r="F2973" s="9" t="s">
        <v>356</v>
      </c>
      <c r="G2973" s="9">
        <v>1510</v>
      </c>
      <c r="H2973" s="5" t="s">
        <v>21</v>
      </c>
      <c r="I2973" s="5" t="s">
        <v>7756</v>
      </c>
      <c r="J2973" s="12" t="str">
        <f>HYPERLINK("https://www.boe.es/gazeta/dias/1808/11/18/pdfs/GMD-1808-145.pdf#page=8","Abrir facsímil")</f>
        <v>Abrir facsímil</v>
      </c>
      <c r="K2973" s="15" t="s">
        <v>23</v>
      </c>
    </row>
    <row r="2974" spans="1:11" ht="42" customHeight="1">
      <c r="A2974" s="4" t="s">
        <v>7757</v>
      </c>
      <c r="B2974" s="5" t="s">
        <v>7758</v>
      </c>
      <c r="C2974" s="5" t="s">
        <v>94</v>
      </c>
      <c r="D2974" s="5" t="s">
        <v>95</v>
      </c>
      <c r="E2974" s="5" t="s">
        <v>287</v>
      </c>
      <c r="F2974" s="9" t="s">
        <v>489</v>
      </c>
      <c r="G2974" s="9">
        <v>1004</v>
      </c>
      <c r="H2974" s="5" t="s">
        <v>21</v>
      </c>
      <c r="I2974" s="5" t="s">
        <v>7759</v>
      </c>
      <c r="J2974" s="12" t="str">
        <f>HYPERLINK("https://www.boe.es/gazeta/dias/1808/08/12/pdfs/GMD-1808-112.pdf#page=8","Abrir facsímil")</f>
        <v>Abrir facsímil</v>
      </c>
      <c r="K2974" s="15" t="s">
        <v>23</v>
      </c>
    </row>
    <row r="2975" spans="1:11" ht="42" customHeight="1">
      <c r="A2975" s="4" t="s">
        <v>7760</v>
      </c>
      <c r="B2975" s="5" t="s">
        <v>7760</v>
      </c>
      <c r="C2975" s="5" t="s">
        <v>94</v>
      </c>
      <c r="D2975" s="5" t="s">
        <v>95</v>
      </c>
      <c r="E2975" s="5" t="s">
        <v>287</v>
      </c>
      <c r="F2975" s="9" t="s">
        <v>489</v>
      </c>
      <c r="G2975" s="9">
        <v>1004</v>
      </c>
      <c r="H2975" s="5" t="s">
        <v>21</v>
      </c>
      <c r="I2975" s="5" t="s">
        <v>7761</v>
      </c>
      <c r="J2975" s="12" t="str">
        <f>HYPERLINK("https://www.boe.es/gazeta/dias/1808/08/12/pdfs/GMD-1808-112.pdf#page=8","Abrir facsímil")</f>
        <v>Abrir facsímil</v>
      </c>
      <c r="K2975" s="15" t="s">
        <v>23</v>
      </c>
    </row>
    <row r="2976" spans="1:11" ht="42" customHeight="1">
      <c r="A2976" s="4" t="s">
        <v>7762</v>
      </c>
      <c r="B2976" s="5" t="s">
        <v>7763</v>
      </c>
      <c r="C2976" s="5" t="s">
        <v>33</v>
      </c>
      <c r="D2976" s="5" t="s">
        <v>34</v>
      </c>
      <c r="E2976" s="5" t="s">
        <v>115</v>
      </c>
      <c r="F2976" s="9" t="s">
        <v>116</v>
      </c>
      <c r="G2976" s="9" t="s">
        <v>75</v>
      </c>
      <c r="H2976" s="5" t="s">
        <v>21</v>
      </c>
      <c r="I2976" s="5" t="s">
        <v>7764</v>
      </c>
      <c r="J2976" s="12" t="str">
        <f>HYPERLINK("https://www.boe.es/gazeta/dias/1808/09/16/pdfs/GMD-C-1808-125.pdf#page=4","Abrir facsímil")</f>
        <v>Abrir facsímil</v>
      </c>
      <c r="K2976" s="15" t="s">
        <v>23</v>
      </c>
    </row>
    <row r="2977" spans="1:11" ht="42" customHeight="1">
      <c r="A2977" s="4" t="s">
        <v>7765</v>
      </c>
      <c r="B2977" s="5" t="s">
        <v>7766</v>
      </c>
      <c r="C2977" s="5" t="s">
        <v>33</v>
      </c>
      <c r="D2977" s="5" t="s">
        <v>34</v>
      </c>
      <c r="E2977" s="5" t="s">
        <v>35</v>
      </c>
      <c r="F2977" s="9" t="s">
        <v>36</v>
      </c>
      <c r="G2977" s="9" t="s">
        <v>106</v>
      </c>
      <c r="H2977" s="5" t="s">
        <v>21</v>
      </c>
      <c r="I2977" s="5" t="s">
        <v>7767</v>
      </c>
      <c r="J2977" s="12" t="str">
        <f>HYPERLINK("https://www.boe.es/gazeta/dias/1808/04/22/pdfs/GMD-C-1808-38.pdf#page=3","Abrir facsímil")</f>
        <v>Abrir facsímil</v>
      </c>
      <c r="K2977" s="15" t="s">
        <v>23</v>
      </c>
    </row>
    <row r="2978" spans="1:11" ht="42" customHeight="1">
      <c r="A2978" s="4" t="s">
        <v>7765</v>
      </c>
      <c r="B2978" s="5" t="s">
        <v>7766</v>
      </c>
      <c r="C2978" s="5" t="s">
        <v>33</v>
      </c>
      <c r="D2978" s="5" t="s">
        <v>34</v>
      </c>
      <c r="E2978" s="5" t="s">
        <v>35</v>
      </c>
      <c r="F2978" s="9" t="s">
        <v>36</v>
      </c>
      <c r="G2978" s="9" t="s">
        <v>148</v>
      </c>
      <c r="H2978" s="5" t="s">
        <v>21</v>
      </c>
      <c r="I2978" s="5" t="s">
        <v>7768</v>
      </c>
      <c r="J2978" s="12" t="str">
        <f>HYPERLINK("https://www.boe.es/gazeta/dias/1808/04/22/pdfs/GMD-C-1808-38.pdf#page=38","Abrir facsímil")</f>
        <v>Abrir facsímil</v>
      </c>
      <c r="K2978" s="15" t="s">
        <v>23</v>
      </c>
    </row>
    <row r="2979" spans="1:11" ht="42" customHeight="1">
      <c r="A2979" s="4" t="s">
        <v>7769</v>
      </c>
      <c r="B2979" s="5" t="s">
        <v>7769</v>
      </c>
      <c r="C2979" s="5" t="s">
        <v>260</v>
      </c>
      <c r="D2979" s="5" t="s">
        <v>42</v>
      </c>
      <c r="E2979" s="5" t="s">
        <v>1791</v>
      </c>
      <c r="F2979" s="9" t="s">
        <v>1792</v>
      </c>
      <c r="G2979" s="9">
        <v>140</v>
      </c>
      <c r="H2979" s="5" t="s">
        <v>21</v>
      </c>
      <c r="I2979" s="5" t="s">
        <v>7770</v>
      </c>
      <c r="J2979" s="12" t="str">
        <f>HYPERLINK("https://www.boe.es/gazeta/dias/1808/07/30/pdfs/GMS-1808-18.pdf#page=4","Abrir facsímil")</f>
        <v>Abrir facsímil</v>
      </c>
      <c r="K2979" s="15" t="s">
        <v>23</v>
      </c>
    </row>
    <row r="2980" spans="1:11" ht="42" customHeight="1">
      <c r="A2980" s="4" t="s">
        <v>7769</v>
      </c>
      <c r="B2980" s="5" t="s">
        <v>7769</v>
      </c>
      <c r="C2980" s="5" t="s">
        <v>260</v>
      </c>
      <c r="D2980" s="5" t="s">
        <v>42</v>
      </c>
      <c r="E2980" s="5" t="s">
        <v>51</v>
      </c>
      <c r="F2980" s="9" t="s">
        <v>52</v>
      </c>
      <c r="G2980" s="9">
        <v>985</v>
      </c>
      <c r="H2980" s="5" t="s">
        <v>21</v>
      </c>
      <c r="I2980" s="5" t="s">
        <v>7771</v>
      </c>
      <c r="J2980" s="12" t="str">
        <f>HYPERLINK("https://www.boe.es/gazeta/dias/1808/08/09/pdfs/GMD-1808-111.pdf#page=1","Abrir facsímil")</f>
        <v>Abrir facsímil</v>
      </c>
      <c r="K2980" s="15" t="s">
        <v>23</v>
      </c>
    </row>
    <row r="2981" spans="1:11" ht="42" customHeight="1">
      <c r="A2981" s="4" t="s">
        <v>7772</v>
      </c>
      <c r="B2981" s="5" t="s">
        <v>7773</v>
      </c>
      <c r="C2981" s="5" t="s">
        <v>642</v>
      </c>
      <c r="D2981" s="5" t="s">
        <v>643</v>
      </c>
      <c r="E2981" s="5" t="s">
        <v>7774</v>
      </c>
      <c r="F2981" s="9" t="s">
        <v>7775</v>
      </c>
      <c r="G2981" s="9">
        <v>1397</v>
      </c>
      <c r="H2981" s="5" t="s">
        <v>21</v>
      </c>
      <c r="I2981" s="5" t="s">
        <v>7776</v>
      </c>
      <c r="J2981" s="12" t="str">
        <f>HYPERLINK("https://www.boe.es/gazeta/dias/1808/10/30/pdfs/GMD-1808-139E.pdf#page=3","Abrir facsímil")</f>
        <v>Abrir facsímil</v>
      </c>
      <c r="K2981" s="15" t="s">
        <v>23</v>
      </c>
    </row>
    <row r="2982" spans="1:11" ht="42" customHeight="1">
      <c r="A2982" s="4" t="s">
        <v>7777</v>
      </c>
      <c r="B2982" s="5" t="s">
        <v>7777</v>
      </c>
      <c r="C2982" s="5" t="s">
        <v>101</v>
      </c>
      <c r="D2982" s="5" t="s">
        <v>102</v>
      </c>
      <c r="E2982" s="5" t="s">
        <v>3313</v>
      </c>
      <c r="F2982" s="9" t="s">
        <v>3314</v>
      </c>
      <c r="G2982" s="9">
        <v>812</v>
      </c>
      <c r="H2982" s="5" t="s">
        <v>21</v>
      </c>
      <c r="I2982" s="5" t="s">
        <v>7778</v>
      </c>
      <c r="J2982" s="12" t="str">
        <f>HYPERLINK("https://www.boe.es/gazeta/dias/1808/07/15/pdfs/GMD-1808-87.pdf#page=6","Abrir facsímil")</f>
        <v>Abrir facsímil</v>
      </c>
      <c r="K2982" s="15" t="s">
        <v>23</v>
      </c>
    </row>
    <row r="2983" spans="1:11" ht="42" customHeight="1">
      <c r="A2983" s="4" t="s">
        <v>7779</v>
      </c>
      <c r="B2983" s="5" t="s">
        <v>7780</v>
      </c>
      <c r="C2983" s="5" t="s">
        <v>33</v>
      </c>
      <c r="D2983" s="5" t="s">
        <v>34</v>
      </c>
      <c r="E2983" s="5" t="s">
        <v>89</v>
      </c>
      <c r="F2983" s="9" t="s">
        <v>563</v>
      </c>
      <c r="G2983" s="9" t="s">
        <v>106</v>
      </c>
      <c r="H2983" s="5" t="s">
        <v>21</v>
      </c>
      <c r="I2983" s="5" t="s">
        <v>7781</v>
      </c>
      <c r="J2983" s="12" t="str">
        <f>HYPERLINK("https://www.boe.es/gazeta/dias/1808/10/25/pdfs/GMD-D-1808-137.pdf#page=3","Abrir facsímil")</f>
        <v>Abrir facsímil</v>
      </c>
      <c r="K2983" s="15" t="s">
        <v>23</v>
      </c>
    </row>
    <row r="2984" spans="1:11" ht="42" customHeight="1">
      <c r="A2984" s="4" t="s">
        <v>7782</v>
      </c>
      <c r="B2984" s="5" t="s">
        <v>7783</v>
      </c>
      <c r="C2984" s="5" t="s">
        <v>26</v>
      </c>
      <c r="D2984" s="5" t="s">
        <v>27</v>
      </c>
      <c r="E2984" s="5" t="s">
        <v>508</v>
      </c>
      <c r="F2984" s="9" t="s">
        <v>1561</v>
      </c>
      <c r="G2984" s="9">
        <v>1032</v>
      </c>
      <c r="H2984" s="5" t="s">
        <v>21</v>
      </c>
      <c r="I2984" s="5" t="s">
        <v>7784</v>
      </c>
      <c r="J2984" s="12" t="str">
        <f>HYPERLINK("https://www.boe.es/gazeta/dias/1808/08/16/pdfs/GMD-C-1808-113.pdf#page=12","Abrir facsímil")</f>
        <v>Abrir facsímil</v>
      </c>
      <c r="K2984" s="15" t="s">
        <v>23</v>
      </c>
    </row>
    <row r="2985" spans="1:11" ht="42" customHeight="1">
      <c r="A2985" s="4" t="s">
        <v>7785</v>
      </c>
      <c r="B2985" s="5" t="s">
        <v>7785</v>
      </c>
      <c r="C2985" s="5" t="s">
        <v>94</v>
      </c>
      <c r="D2985" s="5" t="s">
        <v>95</v>
      </c>
      <c r="E2985" s="5" t="s">
        <v>65</v>
      </c>
      <c r="F2985" s="9" t="s">
        <v>691</v>
      </c>
      <c r="G2985" s="9">
        <v>1326</v>
      </c>
      <c r="H2985" s="5" t="s">
        <v>21</v>
      </c>
      <c r="I2985" s="5" t="s">
        <v>7786</v>
      </c>
      <c r="J2985" s="12" t="str">
        <f>HYPERLINK("https://www.boe.es/gazeta/dias/1808/10/18/pdfs/GMD-C-1808-135.pdf#page=10","Abrir facsímil")</f>
        <v>Abrir facsímil</v>
      </c>
      <c r="K2985" s="15" t="s">
        <v>23</v>
      </c>
    </row>
    <row r="2986" spans="1:11" ht="42" customHeight="1">
      <c r="A2986" s="4" t="s">
        <v>7787</v>
      </c>
      <c r="B2986" s="5" t="s">
        <v>7787</v>
      </c>
      <c r="C2986" s="5" t="s">
        <v>33</v>
      </c>
      <c r="D2986" s="5" t="s">
        <v>34</v>
      </c>
      <c r="E2986" s="5" t="s">
        <v>35</v>
      </c>
      <c r="F2986" s="9" t="s">
        <v>36</v>
      </c>
      <c r="G2986" s="9" t="s">
        <v>1294</v>
      </c>
      <c r="H2986" s="5" t="s">
        <v>21</v>
      </c>
      <c r="I2986" s="5" t="s">
        <v>7788</v>
      </c>
      <c r="J2986" s="12" t="str">
        <f>HYPERLINK("https://www.boe.es/gazeta/dias/1808/04/22/pdfs/GMD-C-1808-38.pdf#page=8","Abrir facsímil")</f>
        <v>Abrir facsímil</v>
      </c>
      <c r="K2986" s="15" t="s">
        <v>23</v>
      </c>
    </row>
    <row r="2987" spans="1:11" ht="42" customHeight="1">
      <c r="A2987" s="4" t="s">
        <v>7789</v>
      </c>
      <c r="B2987" s="5" t="s">
        <v>7790</v>
      </c>
      <c r="C2987" s="5" t="s">
        <v>33</v>
      </c>
      <c r="D2987" s="5" t="s">
        <v>34</v>
      </c>
      <c r="E2987" s="5" t="s">
        <v>35</v>
      </c>
      <c r="F2987" s="9" t="s">
        <v>36</v>
      </c>
      <c r="G2987" s="9" t="s">
        <v>867</v>
      </c>
      <c r="H2987" s="5" t="s">
        <v>21</v>
      </c>
      <c r="I2987" s="5" t="s">
        <v>7791</v>
      </c>
      <c r="J2987" s="12" t="str">
        <f>HYPERLINK("https://www.boe.es/gazeta/dias/1808/04/22/pdfs/GMD-C-1808-38.pdf#page=19","Abrir facsímil")</f>
        <v>Abrir facsímil</v>
      </c>
      <c r="K2987" s="15" t="s">
        <v>23</v>
      </c>
    </row>
    <row r="2988" spans="1:11" ht="42" customHeight="1">
      <c r="A2988" s="4" t="s">
        <v>7792</v>
      </c>
      <c r="B2988" s="5" t="s">
        <v>7792</v>
      </c>
      <c r="C2988" s="5" t="s">
        <v>17</v>
      </c>
      <c r="D2988" s="5" t="s">
        <v>18</v>
      </c>
      <c r="E2988" s="5" t="s">
        <v>19</v>
      </c>
      <c r="F2988" s="9" t="s">
        <v>59</v>
      </c>
      <c r="G2988" s="9">
        <v>1229</v>
      </c>
      <c r="H2988" s="5" t="s">
        <v>21</v>
      </c>
      <c r="I2988" s="5" t="s">
        <v>7793</v>
      </c>
      <c r="J2988" s="12" t="str">
        <f>HYPERLINK("https://www.boe.es/gazeta/dias/1808/09/30/pdfs/GMD-1808-130.pdf#page=9","Abrir facsímil")</f>
        <v>Abrir facsímil</v>
      </c>
      <c r="K2988" s="15" t="s">
        <v>23</v>
      </c>
    </row>
    <row r="2989" spans="1:11" ht="42" customHeight="1">
      <c r="A2989" s="4" t="s">
        <v>7794</v>
      </c>
      <c r="B2989" s="5" t="s">
        <v>7794</v>
      </c>
      <c r="C2989" s="5" t="s">
        <v>17</v>
      </c>
      <c r="D2989" s="5" t="s">
        <v>18</v>
      </c>
      <c r="E2989" s="5" t="s">
        <v>418</v>
      </c>
      <c r="F2989" s="9" t="s">
        <v>1218</v>
      </c>
      <c r="G2989" s="9">
        <v>1121</v>
      </c>
      <c r="H2989" s="5" t="s">
        <v>21</v>
      </c>
      <c r="I2989" s="5" t="s">
        <v>7795</v>
      </c>
      <c r="J2989" s="12" t="str">
        <f>HYPERLINK("https://www.boe.es/gazeta/dias/1808/09/06/pdfs/GMD-1808-120.pdf#page=3","Abrir facsímil")</f>
        <v>Abrir facsímil</v>
      </c>
      <c r="K2989" s="15" t="s">
        <v>23</v>
      </c>
    </row>
    <row r="2990" spans="1:11" ht="42" customHeight="1">
      <c r="A2990" s="4" t="s">
        <v>7796</v>
      </c>
      <c r="B2990" s="5" t="s">
        <v>7796</v>
      </c>
      <c r="C2990" s="5" t="s">
        <v>33</v>
      </c>
      <c r="D2990" s="5" t="s">
        <v>34</v>
      </c>
      <c r="E2990" s="5" t="s">
        <v>115</v>
      </c>
      <c r="F2990" s="9" t="s">
        <v>116</v>
      </c>
      <c r="G2990" s="9" t="s">
        <v>75</v>
      </c>
      <c r="H2990" s="5" t="s">
        <v>21</v>
      </c>
      <c r="I2990" s="5" t="s">
        <v>7797</v>
      </c>
      <c r="J2990" s="12" t="str">
        <f>HYPERLINK("https://www.boe.es/gazeta/dias/1808/09/16/pdfs/GMD-C-1808-125.pdf#page=4","Abrir facsímil")</f>
        <v>Abrir facsímil</v>
      </c>
      <c r="K2990" s="15" t="s">
        <v>23</v>
      </c>
    </row>
    <row r="2991" spans="1:11" ht="42" customHeight="1">
      <c r="A2991" s="4" t="s">
        <v>7798</v>
      </c>
      <c r="B2991" s="5" t="s">
        <v>7798</v>
      </c>
      <c r="C2991" s="5" t="s">
        <v>17</v>
      </c>
      <c r="D2991" s="5" t="s">
        <v>18</v>
      </c>
      <c r="E2991" s="5" t="s">
        <v>663</v>
      </c>
      <c r="F2991" s="9" t="s">
        <v>664</v>
      </c>
      <c r="G2991" s="9">
        <v>208</v>
      </c>
      <c r="H2991" s="5" t="s">
        <v>21</v>
      </c>
      <c r="I2991" s="5" t="s">
        <v>7799</v>
      </c>
      <c r="J2991" s="12" t="str">
        <f>HYPERLINK("https://www.boe.es/gazeta/dias/1808/02/26/pdfs/GMD-1808-17.pdf#page=10","Abrir facsímil")</f>
        <v>Abrir facsímil</v>
      </c>
      <c r="K2991" s="15" t="s">
        <v>23</v>
      </c>
    </row>
    <row r="2992" spans="1:11" ht="42" customHeight="1">
      <c r="A2992" s="4" t="s">
        <v>7800</v>
      </c>
      <c r="B2992" s="5" t="s">
        <v>7800</v>
      </c>
      <c r="C2992" s="5" t="s">
        <v>94</v>
      </c>
      <c r="D2992" s="5" t="s">
        <v>95</v>
      </c>
      <c r="E2992" s="5" t="s">
        <v>513</v>
      </c>
      <c r="F2992" s="9" t="s">
        <v>514</v>
      </c>
      <c r="G2992" s="9">
        <v>288</v>
      </c>
      <c r="H2992" s="5" t="s">
        <v>21</v>
      </c>
      <c r="I2992" s="5" t="s">
        <v>7801</v>
      </c>
      <c r="J2992" s="12" t="str">
        <f>HYPERLINK("https://www.boe.es/gazeta/dias/1808/03/22/pdfs/GMD-1808-24.pdf#page=10","Abrir facsímil")</f>
        <v>Abrir facsímil</v>
      </c>
      <c r="K2992" s="15" t="s">
        <v>23</v>
      </c>
    </row>
    <row r="2993" spans="1:11" ht="42" customHeight="1">
      <c r="A2993" s="4" t="s">
        <v>7802</v>
      </c>
      <c r="B2993" s="5" t="s">
        <v>7802</v>
      </c>
      <c r="C2993" s="5" t="s">
        <v>260</v>
      </c>
      <c r="D2993" s="5" t="s">
        <v>42</v>
      </c>
      <c r="E2993" s="5" t="s">
        <v>513</v>
      </c>
      <c r="F2993" s="9" t="s">
        <v>514</v>
      </c>
      <c r="G2993" s="9">
        <v>288</v>
      </c>
      <c r="H2993" s="5" t="s">
        <v>21</v>
      </c>
      <c r="I2993" s="5" t="s">
        <v>7803</v>
      </c>
      <c r="J2993" s="12" t="str">
        <f>HYPERLINK("https://www.boe.es/gazeta/dias/1808/03/22/pdfs/GMD-1808-24.pdf#page=10","Abrir facsímil")</f>
        <v>Abrir facsímil</v>
      </c>
      <c r="K2993" s="15" t="s">
        <v>23</v>
      </c>
    </row>
    <row r="2994" spans="1:11" ht="42" customHeight="1">
      <c r="A2994" s="4" t="s">
        <v>7804</v>
      </c>
      <c r="B2994" s="5" t="s">
        <v>7804</v>
      </c>
      <c r="C2994" s="5" t="s">
        <v>33</v>
      </c>
      <c r="D2994" s="5" t="s">
        <v>34</v>
      </c>
      <c r="E2994" s="5" t="s">
        <v>456</v>
      </c>
      <c r="F2994" s="9" t="s">
        <v>748</v>
      </c>
      <c r="G2994" s="9" t="s">
        <v>75</v>
      </c>
      <c r="H2994" s="5" t="s">
        <v>21</v>
      </c>
      <c r="I2994" s="5" t="s">
        <v>7805</v>
      </c>
      <c r="J2994" s="12" t="str">
        <f>HYPERLINK("https://www.boe.es/gazeta/dias/1808/10/14/pdfs/GMD-C-1808-134.pdf#page=4","Abrir facsímil")</f>
        <v>Abrir facsímil</v>
      </c>
      <c r="K2994" s="15" t="s">
        <v>23</v>
      </c>
    </row>
    <row r="2995" spans="1:11" ht="42" customHeight="1">
      <c r="A2995" s="4" t="s">
        <v>7806</v>
      </c>
      <c r="B2995" s="5" t="s">
        <v>7807</v>
      </c>
      <c r="C2995" s="5" t="s">
        <v>33</v>
      </c>
      <c r="D2995" s="5" t="s">
        <v>34</v>
      </c>
      <c r="E2995" s="5" t="s">
        <v>461</v>
      </c>
      <c r="F2995" s="9" t="s">
        <v>462</v>
      </c>
      <c r="G2995" s="9" t="s">
        <v>199</v>
      </c>
      <c r="H2995" s="5" t="s">
        <v>21</v>
      </c>
      <c r="I2995" s="5" t="s">
        <v>7808</v>
      </c>
      <c r="J2995" s="12" t="str">
        <f>HYPERLINK("https://www.boe.es/gazeta/dias/1808/11/08/pdfs/GMD-D-1808-142.pdf#page=2","Abrir facsímil")</f>
        <v>Abrir facsímil</v>
      </c>
      <c r="K2995" s="15" t="s">
        <v>23</v>
      </c>
    </row>
    <row r="2996" spans="1:11" ht="42" customHeight="1">
      <c r="A2996" s="4" t="s">
        <v>7809</v>
      </c>
      <c r="B2996" s="5" t="s">
        <v>7809</v>
      </c>
      <c r="C2996" s="5" t="s">
        <v>260</v>
      </c>
      <c r="D2996" s="5" t="s">
        <v>42</v>
      </c>
      <c r="E2996" s="5" t="s">
        <v>1791</v>
      </c>
      <c r="F2996" s="9" t="s">
        <v>1792</v>
      </c>
      <c r="G2996" s="9">
        <v>140</v>
      </c>
      <c r="H2996" s="5" t="s">
        <v>21</v>
      </c>
      <c r="I2996" s="5" t="s">
        <v>7810</v>
      </c>
      <c r="J2996" s="12" t="str">
        <f>HYPERLINK("https://www.boe.es/gazeta/dias/1808/07/30/pdfs/GMS-1808-18.pdf#page=4","Abrir facsímil")</f>
        <v>Abrir facsímil</v>
      </c>
      <c r="K2996" s="15" t="s">
        <v>23</v>
      </c>
    </row>
    <row r="2997" spans="1:11" ht="42" customHeight="1">
      <c r="A2997" s="4" t="s">
        <v>7811</v>
      </c>
      <c r="B2997" s="5" t="s">
        <v>7811</v>
      </c>
      <c r="C2997" s="5" t="s">
        <v>17</v>
      </c>
      <c r="D2997" s="5" t="s">
        <v>18</v>
      </c>
      <c r="E2997" s="5" t="s">
        <v>68</v>
      </c>
      <c r="F2997" s="9" t="s">
        <v>69</v>
      </c>
      <c r="G2997" s="9">
        <v>1337</v>
      </c>
      <c r="H2997" s="5" t="s">
        <v>21</v>
      </c>
      <c r="I2997" s="5" t="s">
        <v>7812</v>
      </c>
      <c r="J2997" s="12" t="str">
        <f>HYPERLINK("https://www.boe.es/gazeta/dias/1808/10/21/pdfs/GMD-1808-136.pdf#page=9","Abrir facsímil")</f>
        <v>Abrir facsímil</v>
      </c>
      <c r="K2997" s="15" t="s">
        <v>23</v>
      </c>
    </row>
    <row r="2998" spans="1:11" ht="42" customHeight="1">
      <c r="A2998" s="4" t="s">
        <v>7813</v>
      </c>
      <c r="B2998" s="5" t="s">
        <v>7814</v>
      </c>
      <c r="C2998" s="5" t="s">
        <v>94</v>
      </c>
      <c r="D2998" s="5" t="s">
        <v>95</v>
      </c>
      <c r="E2998" s="5" t="s">
        <v>166</v>
      </c>
      <c r="F2998" s="9" t="s">
        <v>400</v>
      </c>
      <c r="G2998" s="9" t="s">
        <v>199</v>
      </c>
      <c r="H2998" s="5" t="s">
        <v>21</v>
      </c>
      <c r="I2998" s="5" t="s">
        <v>7815</v>
      </c>
      <c r="J2998" s="12" t="str">
        <f>HYPERLINK("https://www.boe.es/gazeta/dias/1808/11/18/pdfs/D00069-00072.pdf#page=2","Abrir facsímil")</f>
        <v>Abrir facsímil</v>
      </c>
      <c r="K2998" s="15" t="s">
        <v>23</v>
      </c>
    </row>
    <row r="2999" spans="1:11" ht="42" customHeight="1">
      <c r="A2999" s="4" t="s">
        <v>7816</v>
      </c>
      <c r="B2999" s="5" t="s">
        <v>7816</v>
      </c>
      <c r="C2999" s="5" t="s">
        <v>17</v>
      </c>
      <c r="D2999" s="5" t="s">
        <v>18</v>
      </c>
      <c r="E2999" s="5" t="s">
        <v>714</v>
      </c>
      <c r="F2999" s="9" t="s">
        <v>2736</v>
      </c>
      <c r="G2999" s="9">
        <v>817</v>
      </c>
      <c r="H2999" s="5" t="s">
        <v>21</v>
      </c>
      <c r="I2999" s="5" t="s">
        <v>7817</v>
      </c>
      <c r="J2999" s="12" t="str">
        <f>HYPERLINK("https://www.boe.es/gazeta/dias/1808/07/16/pdfs/GMD-1808-88.pdf#page=3","Abrir facsímil")</f>
        <v>Abrir facsímil</v>
      </c>
      <c r="K2999" s="15" t="s">
        <v>23</v>
      </c>
    </row>
    <row r="3000" spans="1:11" ht="42" customHeight="1">
      <c r="A3000" s="4" t="s">
        <v>7818</v>
      </c>
      <c r="B3000" s="5" t="s">
        <v>7818</v>
      </c>
      <c r="C3000" s="5" t="s">
        <v>101</v>
      </c>
      <c r="D3000" s="5" t="s">
        <v>102</v>
      </c>
      <c r="E3000" s="5" t="s">
        <v>3097</v>
      </c>
      <c r="F3000" s="9" t="s">
        <v>3098</v>
      </c>
      <c r="G3000" s="9">
        <v>824</v>
      </c>
      <c r="H3000" s="5" t="s">
        <v>21</v>
      </c>
      <c r="I3000" s="5" t="s">
        <v>7819</v>
      </c>
      <c r="J3000" s="12" t="str">
        <f>HYPERLINK("https://www.boe.es/gazeta/dias/1808/07/17/pdfs/GMD-1808-89.pdf#page=2","Abrir facsímil")</f>
        <v>Abrir facsímil</v>
      </c>
      <c r="K3000" s="15" t="s">
        <v>23</v>
      </c>
    </row>
    <row r="3001" spans="1:11" ht="42" customHeight="1">
      <c r="A3001" s="4" t="s">
        <v>7820</v>
      </c>
      <c r="B3001" s="5" t="s">
        <v>7821</v>
      </c>
      <c r="C3001" s="5" t="s">
        <v>17</v>
      </c>
      <c r="D3001" s="5" t="s">
        <v>18</v>
      </c>
      <c r="E3001" s="5" t="s">
        <v>89</v>
      </c>
      <c r="F3001" s="9" t="s">
        <v>90</v>
      </c>
      <c r="G3001" s="9">
        <v>1363</v>
      </c>
      <c r="H3001" s="5" t="s">
        <v>21</v>
      </c>
      <c r="I3001" s="5" t="s">
        <v>7822</v>
      </c>
      <c r="J3001" s="12" t="str">
        <f>HYPERLINK("https://www.boe.es/gazeta/dias/1808/10/25/pdfs/GMD-1808-137.pdf#page=11","Abrir facsímil")</f>
        <v>Abrir facsímil</v>
      </c>
      <c r="K3001" s="15" t="s">
        <v>23</v>
      </c>
    </row>
    <row r="3002" spans="1:11" ht="42" customHeight="1">
      <c r="A3002" s="4" t="s">
        <v>7823</v>
      </c>
      <c r="B3002" s="5" t="s">
        <v>7824</v>
      </c>
      <c r="C3002" s="5" t="s">
        <v>17</v>
      </c>
      <c r="D3002" s="5" t="s">
        <v>18</v>
      </c>
      <c r="E3002" s="5" t="s">
        <v>719</v>
      </c>
      <c r="F3002" s="9" t="s">
        <v>720</v>
      </c>
      <c r="G3002" s="9">
        <v>1611</v>
      </c>
      <c r="H3002" s="5" t="s">
        <v>21</v>
      </c>
      <c r="I3002" s="5" t="s">
        <v>7825</v>
      </c>
      <c r="J3002" s="12" t="str">
        <f>HYPERLINK("https://www.boe.es/gazeta/dias/1808/12/16/pdfs/GMD-1808-156.pdf#page=3","Abrir facsímil")</f>
        <v>Abrir facsímil</v>
      </c>
      <c r="K3002" s="15" t="s">
        <v>23</v>
      </c>
    </row>
    <row r="3003" spans="1:11" ht="42" customHeight="1">
      <c r="A3003" s="4" t="s">
        <v>7826</v>
      </c>
      <c r="B3003" s="5" t="s">
        <v>7827</v>
      </c>
      <c r="C3003" s="5" t="s">
        <v>33</v>
      </c>
      <c r="D3003" s="5" t="s">
        <v>34</v>
      </c>
      <c r="E3003" s="5" t="s">
        <v>35</v>
      </c>
      <c r="F3003" s="9" t="s">
        <v>36</v>
      </c>
      <c r="G3003" s="9" t="s">
        <v>273</v>
      </c>
      <c r="H3003" s="5" t="s">
        <v>21</v>
      </c>
      <c r="I3003" s="5" t="s">
        <v>7828</v>
      </c>
      <c r="J3003" s="12" t="str">
        <f>HYPERLINK("https://www.boe.es/gazeta/dias/1808/04/22/pdfs/GMD-C-1808-38.pdf#page=12","Abrir facsímil")</f>
        <v>Abrir facsímil</v>
      </c>
      <c r="K3003" s="15" t="s">
        <v>23</v>
      </c>
    </row>
    <row r="3004" spans="1:11" ht="42" customHeight="1">
      <c r="A3004" s="4" t="s">
        <v>7829</v>
      </c>
      <c r="B3004" s="5" t="s">
        <v>7830</v>
      </c>
      <c r="C3004" s="5" t="s">
        <v>17</v>
      </c>
      <c r="D3004" s="5" t="s">
        <v>18</v>
      </c>
      <c r="E3004" s="5" t="s">
        <v>130</v>
      </c>
      <c r="F3004" s="9" t="s">
        <v>131</v>
      </c>
      <c r="G3004" s="9">
        <v>1604</v>
      </c>
      <c r="H3004" s="5" t="s">
        <v>21</v>
      </c>
      <c r="I3004" s="5" t="s">
        <v>7831</v>
      </c>
      <c r="J3004" s="12" t="str">
        <f>HYPERLINK("https://www.boe.es/gazeta/dias/1808/12/15/pdfs/GMD-1808-155.pdf#page=8","Abrir facsímil")</f>
        <v>Abrir facsímil</v>
      </c>
      <c r="K3004" s="15" t="s">
        <v>23</v>
      </c>
    </row>
    <row r="3005" spans="1:11" ht="42" customHeight="1">
      <c r="A3005" s="4" t="s">
        <v>7832</v>
      </c>
      <c r="B3005" s="5" t="s">
        <v>7832</v>
      </c>
      <c r="C3005" s="5" t="s">
        <v>94</v>
      </c>
      <c r="D3005" s="5" t="s">
        <v>95</v>
      </c>
      <c r="E3005" s="5" t="s">
        <v>218</v>
      </c>
      <c r="F3005" s="9" t="s">
        <v>219</v>
      </c>
      <c r="G3005" s="9">
        <v>327</v>
      </c>
      <c r="H3005" s="5" t="s">
        <v>21</v>
      </c>
      <c r="I3005" s="5" t="s">
        <v>7833</v>
      </c>
      <c r="J3005" s="12" t="str">
        <f>HYPERLINK("https://www.boe.es/gazeta/dias/1808/04/01/pdfs/GMD-1808-29.pdf#page=3","Abrir facsímil")</f>
        <v>Abrir facsímil</v>
      </c>
      <c r="K3005" s="15" t="s">
        <v>23</v>
      </c>
    </row>
    <row r="3006" spans="1:11" ht="42" customHeight="1">
      <c r="A3006" s="4" t="s">
        <v>7834</v>
      </c>
      <c r="B3006" s="5" t="s">
        <v>7835</v>
      </c>
      <c r="C3006" s="5" t="s">
        <v>33</v>
      </c>
      <c r="D3006" s="5" t="s">
        <v>34</v>
      </c>
      <c r="E3006" s="5" t="s">
        <v>456</v>
      </c>
      <c r="F3006" s="9" t="s">
        <v>748</v>
      </c>
      <c r="G3006" s="9" t="s">
        <v>117</v>
      </c>
      <c r="H3006" s="5" t="s">
        <v>21</v>
      </c>
      <c r="I3006" s="5" t="s">
        <v>7836</v>
      </c>
      <c r="J3006" s="12" t="str">
        <f>HYPERLINK("https://www.boe.es/gazeta/dias/1808/10/14/pdfs/GMD-C-1808-134.pdf#page=1","Abrir facsímil")</f>
        <v>Abrir facsímil</v>
      </c>
      <c r="K3006" s="15" t="s">
        <v>23</v>
      </c>
    </row>
    <row r="3007" spans="1:11" ht="42" customHeight="1">
      <c r="A3007" s="4" t="s">
        <v>7837</v>
      </c>
      <c r="B3007" s="5" t="s">
        <v>7837</v>
      </c>
      <c r="C3007" s="5" t="s">
        <v>101</v>
      </c>
      <c r="D3007" s="5" t="s">
        <v>102</v>
      </c>
      <c r="E3007" s="5" t="s">
        <v>1415</v>
      </c>
      <c r="F3007" s="9" t="s">
        <v>1416</v>
      </c>
      <c r="G3007" s="9">
        <v>414</v>
      </c>
      <c r="H3007" s="5" t="s">
        <v>21</v>
      </c>
      <c r="I3007" s="5" t="s">
        <v>7838</v>
      </c>
      <c r="J3007" s="12" t="str">
        <f>HYPERLINK("https://www.boe.es/gazeta/dias/1808/04/26/pdfs/GMD-1808-41.pdf#page=6","Abrir facsímil")</f>
        <v>Abrir facsímil</v>
      </c>
      <c r="K3007" s="15" t="s">
        <v>23</v>
      </c>
    </row>
    <row r="3008" spans="1:11" ht="42" customHeight="1">
      <c r="A3008" s="4" t="s">
        <v>7839</v>
      </c>
      <c r="B3008" s="5" t="s">
        <v>7840</v>
      </c>
      <c r="C3008" s="5" t="s">
        <v>33</v>
      </c>
      <c r="D3008" s="5" t="s">
        <v>34</v>
      </c>
      <c r="E3008" s="5" t="s">
        <v>110</v>
      </c>
      <c r="F3008" s="9" t="s">
        <v>828</v>
      </c>
      <c r="G3008" s="9" t="s">
        <v>117</v>
      </c>
      <c r="H3008" s="5" t="s">
        <v>21</v>
      </c>
      <c r="I3008" s="5" t="s">
        <v>7841</v>
      </c>
      <c r="J3008" s="12" t="str">
        <f>HYPERLINK("https://www.boe.es/gazeta/dias/1808/10/28/pdfs/GMD-D-1808-138.pdf#page=1","Abrir facsímil")</f>
        <v>Abrir facsímil</v>
      </c>
      <c r="K3008" s="15" t="s">
        <v>23</v>
      </c>
    </row>
    <row r="3009" spans="1:11" ht="42" customHeight="1">
      <c r="A3009" s="4" t="s">
        <v>7842</v>
      </c>
      <c r="B3009" s="5" t="s">
        <v>7842</v>
      </c>
      <c r="C3009" s="5" t="s">
        <v>94</v>
      </c>
      <c r="D3009" s="5" t="s">
        <v>95</v>
      </c>
      <c r="E3009" s="5" t="s">
        <v>1893</v>
      </c>
      <c r="F3009" s="9" t="s">
        <v>1894</v>
      </c>
      <c r="G3009" s="9">
        <v>747</v>
      </c>
      <c r="H3009" s="5" t="s">
        <v>21</v>
      </c>
      <c r="I3009" s="5" t="s">
        <v>7843</v>
      </c>
      <c r="J3009" s="12" t="str">
        <f>HYPERLINK("https://www.boe.es/gazeta/dias/1808/07/07/pdfs/GMD-1808-79.pdf#page=5","Abrir facsímil")</f>
        <v>Abrir facsímil</v>
      </c>
      <c r="K3009" s="15" t="s">
        <v>23</v>
      </c>
    </row>
    <row r="3010" spans="1:11" ht="42" customHeight="1">
      <c r="A3010" s="4" t="s">
        <v>7842</v>
      </c>
      <c r="B3010" s="5" t="s">
        <v>7842</v>
      </c>
      <c r="C3010" s="5" t="s">
        <v>94</v>
      </c>
      <c r="D3010" s="5" t="s">
        <v>95</v>
      </c>
      <c r="E3010" s="5" t="s">
        <v>1896</v>
      </c>
      <c r="F3010" s="9" t="s">
        <v>1897</v>
      </c>
      <c r="G3010" s="9">
        <v>780</v>
      </c>
      <c r="H3010" s="5" t="s">
        <v>21</v>
      </c>
      <c r="I3010" s="5" t="s">
        <v>7844</v>
      </c>
      <c r="J3010" s="12" t="str">
        <f>HYPERLINK("https://www.boe.es/gazeta/dias/1808/07/11/pdfs/GMD-1808-83.pdf#page=6","Abrir facsímil")</f>
        <v>Abrir facsímil</v>
      </c>
      <c r="K3010" s="15" t="s">
        <v>23</v>
      </c>
    </row>
    <row r="3011" spans="1:11" ht="42" customHeight="1">
      <c r="A3011" s="4" t="s">
        <v>7845</v>
      </c>
      <c r="B3011" s="5" t="s">
        <v>7846</v>
      </c>
      <c r="C3011" s="5" t="s">
        <v>389</v>
      </c>
      <c r="D3011" s="5" t="s">
        <v>390</v>
      </c>
      <c r="E3011" s="5" t="s">
        <v>2598</v>
      </c>
      <c r="F3011" s="9" t="s">
        <v>2599</v>
      </c>
      <c r="G3011" s="9">
        <v>949</v>
      </c>
      <c r="H3011" s="5" t="s">
        <v>21</v>
      </c>
      <c r="I3011" s="5" t="s">
        <v>7847</v>
      </c>
      <c r="J3011" s="12" t="str">
        <f>HYPERLINK("https://www.boe.es/gazeta/dias/1808/08/01/pdfs/GMD-1808-104.pdf#page=7","Abrir facsímil")</f>
        <v>Abrir facsímil</v>
      </c>
      <c r="K3011" s="15" t="s">
        <v>23</v>
      </c>
    </row>
    <row r="3012" spans="1:11" ht="42" customHeight="1">
      <c r="A3012" s="4" t="s">
        <v>7848</v>
      </c>
      <c r="B3012" s="5" t="s">
        <v>7849</v>
      </c>
      <c r="C3012" s="5" t="s">
        <v>33</v>
      </c>
      <c r="D3012" s="5" t="s">
        <v>34</v>
      </c>
      <c r="E3012" s="5" t="s">
        <v>89</v>
      </c>
      <c r="F3012" s="9" t="s">
        <v>563</v>
      </c>
      <c r="G3012" s="9" t="s">
        <v>199</v>
      </c>
      <c r="H3012" s="5" t="s">
        <v>21</v>
      </c>
      <c r="I3012" s="5" t="s">
        <v>7850</v>
      </c>
      <c r="J3012" s="12" t="str">
        <f>HYPERLINK("https://www.boe.es/gazeta/dias/1808/10/25/pdfs/GMD-D-1808-137.pdf#page=2","Abrir facsímil")</f>
        <v>Abrir facsímil</v>
      </c>
      <c r="K3012" s="15" t="s">
        <v>23</v>
      </c>
    </row>
    <row r="3013" spans="1:11" ht="42" customHeight="1">
      <c r="A3013" s="4" t="s">
        <v>7851</v>
      </c>
      <c r="B3013" s="5" t="s">
        <v>7852</v>
      </c>
      <c r="C3013" s="5" t="s">
        <v>17</v>
      </c>
      <c r="D3013" s="5" t="s">
        <v>18</v>
      </c>
      <c r="E3013" s="5" t="s">
        <v>96</v>
      </c>
      <c r="F3013" s="9" t="s">
        <v>97</v>
      </c>
      <c r="G3013" s="9">
        <v>270</v>
      </c>
      <c r="H3013" s="5" t="s">
        <v>21</v>
      </c>
      <c r="I3013" s="5" t="s">
        <v>7853</v>
      </c>
      <c r="J3013" s="12" t="str">
        <f>HYPERLINK("https://www.boe.es/gazeta/dias/1808/03/15/pdfs/GMD-1808-22.pdf#page=12","Abrir facsímil")</f>
        <v>Abrir facsímil</v>
      </c>
      <c r="K3013" s="15" t="s">
        <v>23</v>
      </c>
    </row>
    <row r="3014" spans="1:11" ht="42" customHeight="1">
      <c r="A3014" s="4" t="s">
        <v>7854</v>
      </c>
      <c r="B3014" s="5" t="s">
        <v>7854</v>
      </c>
      <c r="C3014" s="5" t="s">
        <v>260</v>
      </c>
      <c r="D3014" s="5" t="s">
        <v>42</v>
      </c>
      <c r="E3014" s="5" t="s">
        <v>991</v>
      </c>
      <c r="F3014" s="9" t="s">
        <v>992</v>
      </c>
      <c r="G3014" s="9">
        <v>213</v>
      </c>
      <c r="H3014" s="5" t="s">
        <v>21</v>
      </c>
      <c r="I3014" s="5" t="s">
        <v>7855</v>
      </c>
      <c r="J3014" s="12" t="str">
        <f>HYPERLINK("https://www.boe.es/gazeta/dias/1808/03/01/pdfs/GMD-1808-18.pdf#page=3","Abrir facsímil")</f>
        <v>Abrir facsímil</v>
      </c>
      <c r="K3014" s="15" t="s">
        <v>23</v>
      </c>
    </row>
    <row r="3015" spans="1:11" ht="42" customHeight="1">
      <c r="A3015" s="4" t="s">
        <v>7854</v>
      </c>
      <c r="B3015" s="5" t="s">
        <v>7854</v>
      </c>
      <c r="C3015" s="5" t="s">
        <v>389</v>
      </c>
      <c r="D3015" s="5" t="s">
        <v>390</v>
      </c>
      <c r="E3015" s="5" t="s">
        <v>919</v>
      </c>
      <c r="F3015" s="9" t="s">
        <v>920</v>
      </c>
      <c r="G3015" s="9">
        <v>488</v>
      </c>
      <c r="H3015" s="5" t="s">
        <v>21</v>
      </c>
      <c r="I3015" s="5" t="s">
        <v>7856</v>
      </c>
      <c r="J3015" s="12" t="str">
        <f>HYPERLINK("https://www.boe.es/gazeta/dias/1808/05/24/pdfs/GMD-1808-49.pdf#page=4","Abrir facsímil")</f>
        <v>Abrir facsímil</v>
      </c>
      <c r="K3015" s="15" t="s">
        <v>23</v>
      </c>
    </row>
    <row r="3016" spans="1:11" ht="42" customHeight="1">
      <c r="A3016" s="4" t="s">
        <v>7854</v>
      </c>
      <c r="B3016" s="5" t="s">
        <v>7854</v>
      </c>
      <c r="C3016" s="5" t="s">
        <v>389</v>
      </c>
      <c r="D3016" s="5" t="s">
        <v>390</v>
      </c>
      <c r="E3016" s="5" t="s">
        <v>376</v>
      </c>
      <c r="F3016" s="9" t="s">
        <v>7857</v>
      </c>
      <c r="G3016" s="9">
        <v>1582</v>
      </c>
      <c r="H3016" s="5" t="s">
        <v>21</v>
      </c>
      <c r="I3016" s="5" t="s">
        <v>7858</v>
      </c>
      <c r="J3016" s="12" t="str">
        <f>HYPERLINK("https://www.boe.es/gazeta/dias/1808/12/13/pdfs/GMD-1808-153.pdf#page=2","Abrir facsímil")</f>
        <v>Abrir facsímil</v>
      </c>
      <c r="K3016" s="15" t="s">
        <v>23</v>
      </c>
    </row>
    <row r="3017" spans="1:11" ht="42" customHeight="1">
      <c r="A3017" s="4" t="s">
        <v>7859</v>
      </c>
      <c r="B3017" s="5" t="s">
        <v>7859</v>
      </c>
      <c r="C3017" s="5" t="s">
        <v>33</v>
      </c>
      <c r="D3017" s="5" t="s">
        <v>34</v>
      </c>
      <c r="E3017" s="5" t="s">
        <v>35</v>
      </c>
      <c r="F3017" s="9" t="s">
        <v>36</v>
      </c>
      <c r="G3017" s="9" t="s">
        <v>498</v>
      </c>
      <c r="H3017" s="5" t="s">
        <v>21</v>
      </c>
      <c r="I3017" s="5" t="s">
        <v>7860</v>
      </c>
      <c r="J3017" s="12" t="str">
        <f>HYPERLINK("https://www.boe.es/gazeta/dias/1808/04/22/pdfs/GMD-C-1808-38.pdf#page=22","Abrir facsímil")</f>
        <v>Abrir facsímil</v>
      </c>
      <c r="K3017" s="15" t="s">
        <v>23</v>
      </c>
    </row>
    <row r="3018" spans="1:11" ht="42" customHeight="1">
      <c r="A3018" s="4" t="s">
        <v>7861</v>
      </c>
      <c r="B3018" s="5" t="s">
        <v>7861</v>
      </c>
      <c r="C3018" s="5" t="s">
        <v>17</v>
      </c>
      <c r="D3018" s="5" t="s">
        <v>18</v>
      </c>
      <c r="E3018" s="5" t="s">
        <v>616</v>
      </c>
      <c r="F3018" s="9" t="s">
        <v>617</v>
      </c>
      <c r="G3018" s="9">
        <v>1039</v>
      </c>
      <c r="H3018" s="5" t="s">
        <v>21</v>
      </c>
      <c r="I3018" s="5" t="s">
        <v>7862</v>
      </c>
      <c r="J3018" s="12" t="str">
        <f>HYPERLINK("https://www.boe.es/gazeta/dias/1808/08/19/pdfs/GMD-1808-115.pdf#page=5","Abrir facsímil")</f>
        <v>Abrir facsímil</v>
      </c>
      <c r="K3018" s="15" t="s">
        <v>23</v>
      </c>
    </row>
    <row r="3019" spans="1:11" ht="42" customHeight="1">
      <c r="A3019" s="4" t="s">
        <v>7863</v>
      </c>
      <c r="B3019" s="5" t="s">
        <v>7863</v>
      </c>
      <c r="C3019" s="5" t="s">
        <v>17</v>
      </c>
      <c r="D3019" s="5" t="s">
        <v>18</v>
      </c>
      <c r="E3019" s="5" t="s">
        <v>391</v>
      </c>
      <c r="F3019" s="9" t="s">
        <v>454</v>
      </c>
      <c r="G3019" s="9">
        <v>277</v>
      </c>
      <c r="H3019" s="5" t="s">
        <v>21</v>
      </c>
      <c r="I3019" s="5" t="s">
        <v>7864</v>
      </c>
      <c r="J3019" s="12" t="str">
        <f>HYPERLINK("https://www.boe.es/gazeta/dias/1808/09/27/pdfs/GMS-1808-35.pdf#page=5","Abrir facsímil")</f>
        <v>Abrir facsímil</v>
      </c>
      <c r="K3019" s="15" t="s">
        <v>23</v>
      </c>
    </row>
    <row r="3020" spans="1:11" ht="42" customHeight="1">
      <c r="A3020" s="4" t="s">
        <v>7865</v>
      </c>
      <c r="B3020" s="5" t="s">
        <v>7865</v>
      </c>
      <c r="C3020" s="5" t="s">
        <v>17</v>
      </c>
      <c r="D3020" s="5" t="s">
        <v>18</v>
      </c>
      <c r="E3020" s="5" t="s">
        <v>1385</v>
      </c>
      <c r="F3020" s="9" t="s">
        <v>1386</v>
      </c>
      <c r="G3020" s="9">
        <v>230</v>
      </c>
      <c r="H3020" s="5" t="s">
        <v>21</v>
      </c>
      <c r="I3020" s="5" t="s">
        <v>7866</v>
      </c>
      <c r="J3020" s="12" t="str">
        <f>HYPERLINK("https://www.boe.es/gazeta/dias/1808/03/04/pdfs/GMD-1808-19.pdf#page=8","Abrir facsímil")</f>
        <v>Abrir facsímil</v>
      </c>
      <c r="K3020" s="15" t="s">
        <v>23</v>
      </c>
    </row>
    <row r="3021" spans="1:11" ht="42" customHeight="1">
      <c r="A3021" s="4" t="s">
        <v>7867</v>
      </c>
      <c r="B3021" s="5" t="s">
        <v>7867</v>
      </c>
      <c r="C3021" s="5" t="s">
        <v>33</v>
      </c>
      <c r="D3021" s="5" t="s">
        <v>34</v>
      </c>
      <c r="E3021" s="5" t="s">
        <v>363</v>
      </c>
      <c r="F3021" s="9" t="s">
        <v>364</v>
      </c>
      <c r="G3021" s="9" t="s">
        <v>117</v>
      </c>
      <c r="H3021" s="5" t="s">
        <v>21</v>
      </c>
      <c r="I3021" s="5" t="s">
        <v>7868</v>
      </c>
      <c r="J3021" s="12" t="str">
        <f>HYPERLINK("https://www.boe.es/gazeta/dias/1808/09/20/pdfs/GMD-C-1808-126.pdf#page=1","Abrir facsímil")</f>
        <v>Abrir facsímil</v>
      </c>
      <c r="K3021" s="15" t="s">
        <v>23</v>
      </c>
    </row>
    <row r="3022" spans="1:11" ht="42" customHeight="1">
      <c r="A3022" s="4" t="s">
        <v>7869</v>
      </c>
      <c r="B3022" s="5" t="s">
        <v>7869</v>
      </c>
      <c r="C3022" s="5" t="s">
        <v>17</v>
      </c>
      <c r="D3022" s="5" t="s">
        <v>18</v>
      </c>
      <c r="E3022" s="5" t="s">
        <v>2281</v>
      </c>
      <c r="F3022" s="9" t="s">
        <v>2282</v>
      </c>
      <c r="G3022" s="9">
        <v>420</v>
      </c>
      <c r="H3022" s="5" t="s">
        <v>21</v>
      </c>
      <c r="I3022" s="5" t="s">
        <v>7870</v>
      </c>
      <c r="J3022" s="12" t="str">
        <f>HYPERLINK("https://www.boe.es/gazeta/dias/1808/04/29/pdfs/GMD-1808-42.pdf#page=4","Abrir facsímil")</f>
        <v>Abrir facsímil</v>
      </c>
      <c r="K3022" s="15" t="s">
        <v>23</v>
      </c>
    </row>
    <row r="3023" spans="1:11" ht="42" customHeight="1">
      <c r="A3023" s="4" t="s">
        <v>7871</v>
      </c>
      <c r="B3023" s="5" t="s">
        <v>7871</v>
      </c>
      <c r="C3023" s="5" t="s">
        <v>260</v>
      </c>
      <c r="D3023" s="5" t="s">
        <v>42</v>
      </c>
      <c r="E3023" s="5" t="s">
        <v>1415</v>
      </c>
      <c r="F3023" s="9" t="s">
        <v>1416</v>
      </c>
      <c r="G3023" s="9">
        <v>414</v>
      </c>
      <c r="H3023" s="5" t="s">
        <v>21</v>
      </c>
      <c r="I3023" s="5" t="s">
        <v>7872</v>
      </c>
      <c r="J3023" s="12" t="str">
        <f>HYPERLINK("https://www.boe.es/gazeta/dias/1808/04/26/pdfs/GMD-1808-41.pdf#page=6","Abrir facsímil")</f>
        <v>Abrir facsímil</v>
      </c>
      <c r="K3023" s="15" t="s">
        <v>23</v>
      </c>
    </row>
    <row r="3024" spans="1:11" ht="42" customHeight="1">
      <c r="A3024" s="4" t="s">
        <v>7873</v>
      </c>
      <c r="B3024" s="5" t="s">
        <v>7873</v>
      </c>
      <c r="C3024" s="5" t="s">
        <v>41</v>
      </c>
      <c r="D3024" s="5" t="s">
        <v>42</v>
      </c>
      <c r="E3024" s="5" t="s">
        <v>89</v>
      </c>
      <c r="F3024" s="9" t="s">
        <v>2031</v>
      </c>
      <c r="G3024" s="9">
        <v>342</v>
      </c>
      <c r="H3024" s="5" t="s">
        <v>21</v>
      </c>
      <c r="I3024" s="5" t="s">
        <v>7874</v>
      </c>
      <c r="J3024" s="12" t="str">
        <f>HYPERLINK("https://www.boe.es/gazeta/dias/1808/10/25/pdfs/GMS-1808-43.pdf#page=6","Abrir facsímil")</f>
        <v>Abrir facsímil</v>
      </c>
      <c r="K3024" s="15" t="s">
        <v>23</v>
      </c>
    </row>
    <row r="3025" spans="1:11" ht="42" customHeight="1">
      <c r="A3025" s="4" t="s">
        <v>7875</v>
      </c>
      <c r="B3025" s="5" t="s">
        <v>7875</v>
      </c>
      <c r="C3025" s="5" t="s">
        <v>94</v>
      </c>
      <c r="D3025" s="5" t="s">
        <v>95</v>
      </c>
      <c r="E3025" s="5" t="s">
        <v>222</v>
      </c>
      <c r="F3025" s="9" t="s">
        <v>223</v>
      </c>
      <c r="G3025" s="9">
        <v>355</v>
      </c>
      <c r="H3025" s="5" t="s">
        <v>21</v>
      </c>
      <c r="I3025" s="5" t="s">
        <v>7876</v>
      </c>
      <c r="J3025" s="12" t="str">
        <f>HYPERLINK("https://www.boe.es/gazeta/dias/1808/04/08/pdfs/GMD-1808-32.pdf#page=9","Abrir facsímil")</f>
        <v>Abrir facsímil</v>
      </c>
      <c r="K3025" s="15" t="s">
        <v>23</v>
      </c>
    </row>
    <row r="3026" spans="1:11" ht="42" customHeight="1">
      <c r="A3026" s="4" t="s">
        <v>7877</v>
      </c>
      <c r="B3026" s="5" t="s">
        <v>7877</v>
      </c>
      <c r="C3026" s="5" t="s">
        <v>33</v>
      </c>
      <c r="D3026" s="5" t="s">
        <v>34</v>
      </c>
      <c r="E3026" s="5" t="s">
        <v>35</v>
      </c>
      <c r="F3026" s="9" t="s">
        <v>36</v>
      </c>
      <c r="G3026" s="9" t="s">
        <v>324</v>
      </c>
      <c r="H3026" s="5" t="s">
        <v>21</v>
      </c>
      <c r="I3026" s="5" t="s">
        <v>7878</v>
      </c>
      <c r="J3026" s="12" t="str">
        <f>HYPERLINK("https://www.boe.es/gazeta/dias/1808/04/22/pdfs/GMD-C-1808-38.pdf#page=24","Abrir facsímil")</f>
        <v>Abrir facsímil</v>
      </c>
      <c r="K3026" s="15" t="s">
        <v>23</v>
      </c>
    </row>
    <row r="3027" spans="1:11" ht="42" customHeight="1">
      <c r="A3027" s="4" t="s">
        <v>7877</v>
      </c>
      <c r="B3027" s="5" t="s">
        <v>7877</v>
      </c>
      <c r="C3027" s="5" t="s">
        <v>33</v>
      </c>
      <c r="D3027" s="5" t="s">
        <v>34</v>
      </c>
      <c r="E3027" s="5" t="s">
        <v>89</v>
      </c>
      <c r="F3027" s="9" t="s">
        <v>563</v>
      </c>
      <c r="G3027" s="9" t="s">
        <v>199</v>
      </c>
      <c r="H3027" s="5" t="s">
        <v>21</v>
      </c>
      <c r="I3027" s="5" t="s">
        <v>7879</v>
      </c>
      <c r="J3027" s="12" t="str">
        <f>HYPERLINK("https://www.boe.es/gazeta/dias/1808/10/25/pdfs/GMD-D-1808-137.pdf#page=2","Abrir facsímil")</f>
        <v>Abrir facsímil</v>
      </c>
      <c r="K3027" s="15" t="s">
        <v>23</v>
      </c>
    </row>
    <row r="3028" spans="1:11" ht="42" customHeight="1">
      <c r="A3028" s="4" t="s">
        <v>7880</v>
      </c>
      <c r="B3028" s="5" t="s">
        <v>7880</v>
      </c>
      <c r="C3028" s="5" t="s">
        <v>17</v>
      </c>
      <c r="D3028" s="5" t="s">
        <v>18</v>
      </c>
      <c r="E3028" s="5" t="s">
        <v>61</v>
      </c>
      <c r="F3028" s="9" t="s">
        <v>62</v>
      </c>
      <c r="G3028" s="9">
        <v>1286</v>
      </c>
      <c r="H3028" s="5" t="s">
        <v>21</v>
      </c>
      <c r="I3028" s="5" t="s">
        <v>7881</v>
      </c>
      <c r="J3028" s="12" t="str">
        <f>HYPERLINK("https://www.boe.es/gazeta/dias/1808/10/11/pdfs/GMD-1808-133.pdf#page=14","Abrir facsímil")</f>
        <v>Abrir facsímil</v>
      </c>
      <c r="K3028" s="15" t="s">
        <v>23</v>
      </c>
    </row>
    <row r="3029" spans="1:11" ht="42" customHeight="1">
      <c r="A3029" s="4" t="s">
        <v>7882</v>
      </c>
      <c r="B3029" s="5" t="s">
        <v>7882</v>
      </c>
      <c r="C3029" s="5" t="s">
        <v>17</v>
      </c>
      <c r="D3029" s="5" t="s">
        <v>18</v>
      </c>
      <c r="E3029" s="5" t="s">
        <v>61</v>
      </c>
      <c r="F3029" s="9" t="s">
        <v>62</v>
      </c>
      <c r="G3029" s="9">
        <v>1285</v>
      </c>
      <c r="H3029" s="5" t="s">
        <v>21</v>
      </c>
      <c r="I3029" s="5" t="s">
        <v>7883</v>
      </c>
      <c r="J3029" s="12" t="str">
        <f>HYPERLINK("https://www.boe.es/gazeta/dias/1808/10/11/pdfs/GMD-1808-133.pdf#page=13","Abrir facsímil")</f>
        <v>Abrir facsímil</v>
      </c>
      <c r="K3029" s="15" t="s">
        <v>23</v>
      </c>
    </row>
    <row r="3030" spans="1:11" ht="42" customHeight="1">
      <c r="A3030" s="4" t="s">
        <v>7884</v>
      </c>
      <c r="B3030" s="5" t="s">
        <v>7884</v>
      </c>
      <c r="C3030" s="5" t="s">
        <v>17</v>
      </c>
      <c r="D3030" s="5" t="s">
        <v>18</v>
      </c>
      <c r="E3030" s="5" t="s">
        <v>61</v>
      </c>
      <c r="F3030" s="9" t="s">
        <v>62</v>
      </c>
      <c r="G3030" s="9">
        <v>1285</v>
      </c>
      <c r="H3030" s="5" t="s">
        <v>21</v>
      </c>
      <c r="I3030" s="5" t="s">
        <v>7885</v>
      </c>
      <c r="J3030" s="12" t="str">
        <f>HYPERLINK("https://www.boe.es/gazeta/dias/1808/10/11/pdfs/GMD-1808-133.pdf#page=13","Abrir facsímil")</f>
        <v>Abrir facsímil</v>
      </c>
      <c r="K3030" s="15" t="s">
        <v>23</v>
      </c>
    </row>
    <row r="3031" spans="1:11" ht="42" customHeight="1">
      <c r="A3031" s="4" t="s">
        <v>7886</v>
      </c>
      <c r="B3031" s="5" t="s">
        <v>7886</v>
      </c>
      <c r="C3031" s="5" t="s">
        <v>17</v>
      </c>
      <c r="D3031" s="5" t="s">
        <v>18</v>
      </c>
      <c r="E3031" s="5" t="s">
        <v>197</v>
      </c>
      <c r="F3031" s="9" t="s">
        <v>790</v>
      </c>
      <c r="G3031" s="9">
        <v>1407</v>
      </c>
      <c r="H3031" s="5" t="s">
        <v>21</v>
      </c>
      <c r="I3031" s="5" t="s">
        <v>7887</v>
      </c>
      <c r="J3031" s="12" t="str">
        <f>HYPERLINK("https://www.boe.es/gazeta/dias/1808/11/01/pdfs/GMD-1808-140.pdf#page=9","Abrir facsímil")</f>
        <v>Abrir facsímil</v>
      </c>
      <c r="K3031" s="15" t="s">
        <v>23</v>
      </c>
    </row>
    <row r="3032" spans="1:11" ht="42" customHeight="1">
      <c r="A3032" s="4" t="s">
        <v>7888</v>
      </c>
      <c r="B3032" s="5" t="s">
        <v>7889</v>
      </c>
      <c r="C3032" s="5" t="s">
        <v>41</v>
      </c>
      <c r="D3032" s="5" t="s">
        <v>42</v>
      </c>
      <c r="E3032" s="5" t="s">
        <v>180</v>
      </c>
      <c r="F3032" s="9" t="s">
        <v>768</v>
      </c>
      <c r="G3032" s="9" t="s">
        <v>199</v>
      </c>
      <c r="H3032" s="5" t="s">
        <v>21</v>
      </c>
      <c r="I3032" s="5" t="s">
        <v>7890</v>
      </c>
      <c r="J3032" s="12" t="str">
        <f>HYPERLINK("https://www.boe.es/gazeta/dias/1808/11/15/pdfs/GMD-D-1808-144.pdf#page=2","Abrir facsímil")</f>
        <v>Abrir facsímil</v>
      </c>
      <c r="K3032" s="15" t="s">
        <v>23</v>
      </c>
    </row>
    <row r="3033" spans="1:11" ht="42" customHeight="1">
      <c r="A3033" s="4" t="s">
        <v>7891</v>
      </c>
      <c r="B3033" s="5" t="s">
        <v>7891</v>
      </c>
      <c r="C3033" s="5" t="s">
        <v>26</v>
      </c>
      <c r="D3033" s="5" t="s">
        <v>27</v>
      </c>
      <c r="E3033" s="5" t="s">
        <v>180</v>
      </c>
      <c r="F3033" s="9" t="s">
        <v>768</v>
      </c>
      <c r="G3033" s="9" t="s">
        <v>117</v>
      </c>
      <c r="H3033" s="5" t="s">
        <v>21</v>
      </c>
      <c r="I3033" s="5" t="s">
        <v>7892</v>
      </c>
      <c r="J3033" s="12" t="str">
        <f>HYPERLINK("https://www.boe.es/gazeta/dias/1808/11/15/pdfs/GMD-D-1808-144.pdf#page=1","Abrir facsímil")</f>
        <v>Abrir facsímil</v>
      </c>
      <c r="K3033" s="15" t="s">
        <v>23</v>
      </c>
    </row>
    <row r="3034" spans="1:11" ht="42" customHeight="1">
      <c r="A3034" s="4" t="s">
        <v>7893</v>
      </c>
      <c r="B3034" s="5" t="s">
        <v>7893</v>
      </c>
      <c r="C3034" s="5" t="s">
        <v>41</v>
      </c>
      <c r="D3034" s="5" t="s">
        <v>42</v>
      </c>
      <c r="E3034" s="5" t="s">
        <v>461</v>
      </c>
      <c r="F3034" s="9" t="s">
        <v>462</v>
      </c>
      <c r="G3034" s="9" t="s">
        <v>199</v>
      </c>
      <c r="H3034" s="5" t="s">
        <v>21</v>
      </c>
      <c r="I3034" s="5" t="s">
        <v>7894</v>
      </c>
      <c r="J3034" s="12" t="str">
        <f>HYPERLINK("https://www.boe.es/gazeta/dias/1808/11/08/pdfs/GMD-D-1808-142.pdf#page=2","Abrir facsímil")</f>
        <v>Abrir facsímil</v>
      </c>
      <c r="K3034" s="15" t="s">
        <v>23</v>
      </c>
    </row>
    <row r="3035" spans="1:11" ht="42" customHeight="1">
      <c r="A3035" s="4" t="s">
        <v>7895</v>
      </c>
      <c r="B3035" s="5" t="s">
        <v>7895</v>
      </c>
      <c r="C3035" s="5" t="s">
        <v>33</v>
      </c>
      <c r="D3035" s="5" t="s">
        <v>34</v>
      </c>
      <c r="E3035" s="5" t="s">
        <v>65</v>
      </c>
      <c r="F3035" s="9" t="s">
        <v>691</v>
      </c>
      <c r="G3035" s="9">
        <v>1327</v>
      </c>
      <c r="H3035" s="5" t="s">
        <v>21</v>
      </c>
      <c r="I3035" s="5" t="s">
        <v>7896</v>
      </c>
      <c r="J3035" s="12" t="str">
        <f>HYPERLINK("https://www.boe.es/gazeta/dias/1808/10/18/pdfs/GMD-C-1808-135.pdf#page=11","Abrir facsímil")</f>
        <v>Abrir facsímil</v>
      </c>
      <c r="K3035" s="15" t="s">
        <v>23</v>
      </c>
    </row>
    <row r="3036" spans="1:11" ht="42" customHeight="1">
      <c r="A3036" s="4" t="s">
        <v>7897</v>
      </c>
      <c r="B3036" s="5" t="s">
        <v>7897</v>
      </c>
      <c r="C3036" s="5" t="s">
        <v>17</v>
      </c>
      <c r="D3036" s="5" t="s">
        <v>18</v>
      </c>
      <c r="E3036" s="5" t="s">
        <v>139</v>
      </c>
      <c r="F3036" s="9" t="s">
        <v>140</v>
      </c>
      <c r="G3036" s="9">
        <v>1203</v>
      </c>
      <c r="H3036" s="5" t="s">
        <v>21</v>
      </c>
      <c r="I3036" s="5" t="s">
        <v>7898</v>
      </c>
      <c r="J3036" s="12" t="str">
        <f>HYPERLINK("https://www.boe.es/gazeta/dias/1808/09/23/pdfs/GMD-1808-127.pdf#page=11","Abrir facsímil")</f>
        <v>Abrir facsímil</v>
      </c>
      <c r="K3036" s="15" t="s">
        <v>23</v>
      </c>
    </row>
    <row r="3037" spans="1:11" ht="42" customHeight="1">
      <c r="A3037" s="4" t="s">
        <v>7899</v>
      </c>
      <c r="B3037" s="5" t="s">
        <v>7899</v>
      </c>
      <c r="C3037" s="5" t="s">
        <v>94</v>
      </c>
      <c r="D3037" s="5" t="s">
        <v>95</v>
      </c>
      <c r="E3037" s="5" t="s">
        <v>461</v>
      </c>
      <c r="F3037" s="9" t="s">
        <v>462</v>
      </c>
      <c r="G3037" s="9" t="s">
        <v>75</v>
      </c>
      <c r="H3037" s="5" t="s">
        <v>21</v>
      </c>
      <c r="I3037" s="5" t="s">
        <v>7900</v>
      </c>
      <c r="J3037" s="12" t="str">
        <f>HYPERLINK("https://www.boe.es/gazeta/dias/1808/11/08/pdfs/GMD-D-1808-142.pdf#page=4","Abrir facsímil")</f>
        <v>Abrir facsímil</v>
      </c>
      <c r="K3037" s="15" t="s">
        <v>23</v>
      </c>
    </row>
    <row r="3038" spans="1:11" ht="42" customHeight="1">
      <c r="A3038" s="4" t="s">
        <v>7901</v>
      </c>
      <c r="B3038" s="5" t="s">
        <v>7901</v>
      </c>
      <c r="C3038" s="5" t="s">
        <v>17</v>
      </c>
      <c r="D3038" s="5" t="s">
        <v>18</v>
      </c>
      <c r="E3038" s="5" t="s">
        <v>125</v>
      </c>
      <c r="F3038" s="9" t="s">
        <v>397</v>
      </c>
      <c r="G3038" s="9">
        <v>1270</v>
      </c>
      <c r="H3038" s="5" t="s">
        <v>21</v>
      </c>
      <c r="I3038" s="5" t="s">
        <v>7902</v>
      </c>
      <c r="J3038" s="12" t="str">
        <f>HYPERLINK("https://www.boe.es/gazeta/dias/1808/10/07/pdfs/GMD-1808-132.pdf#page=10","Abrir facsímil")</f>
        <v>Abrir facsímil</v>
      </c>
      <c r="K3038" s="15" t="s">
        <v>23</v>
      </c>
    </row>
    <row r="3039" spans="1:11" ht="42" customHeight="1">
      <c r="A3039" s="4" t="s">
        <v>7903</v>
      </c>
      <c r="B3039" s="5" t="s">
        <v>7903</v>
      </c>
      <c r="C3039" s="5" t="s">
        <v>17</v>
      </c>
      <c r="D3039" s="5" t="s">
        <v>18</v>
      </c>
      <c r="E3039" s="5" t="s">
        <v>197</v>
      </c>
      <c r="F3039" s="9" t="s">
        <v>790</v>
      </c>
      <c r="G3039" s="9">
        <v>1407</v>
      </c>
      <c r="H3039" s="5" t="s">
        <v>21</v>
      </c>
      <c r="I3039" s="5" t="s">
        <v>7904</v>
      </c>
      <c r="J3039" s="12" t="str">
        <f>HYPERLINK("https://www.boe.es/gazeta/dias/1808/11/01/pdfs/GMD-1808-140.pdf#page=9","Abrir facsímil")</f>
        <v>Abrir facsímil</v>
      </c>
      <c r="K3039" s="15" t="s">
        <v>23</v>
      </c>
    </row>
    <row r="3040" spans="1:11" ht="42" customHeight="1">
      <c r="A3040" s="4" t="s">
        <v>7903</v>
      </c>
      <c r="B3040" s="5" t="s">
        <v>7903</v>
      </c>
      <c r="C3040" s="5" t="s">
        <v>33</v>
      </c>
      <c r="D3040" s="5" t="s">
        <v>34</v>
      </c>
      <c r="E3040" s="5" t="s">
        <v>264</v>
      </c>
      <c r="F3040" s="9" t="s">
        <v>318</v>
      </c>
      <c r="G3040" s="9" t="s">
        <v>117</v>
      </c>
      <c r="H3040" s="5" t="s">
        <v>21</v>
      </c>
      <c r="I3040" s="5" t="s">
        <v>7905</v>
      </c>
      <c r="J3040" s="12" t="str">
        <f>HYPERLINK("https://www.boe.es/gazeta/dias/1808/11/29/pdfs/GMD-C-1808-148.pdf#page=1","Abrir facsímil")</f>
        <v>Abrir facsímil</v>
      </c>
      <c r="K3040" s="15" t="s">
        <v>23</v>
      </c>
    </row>
    <row r="3041" spans="1:11" ht="42" customHeight="1">
      <c r="A3041" s="4" t="s">
        <v>7906</v>
      </c>
      <c r="B3041" s="5" t="s">
        <v>7906</v>
      </c>
      <c r="C3041" s="5" t="s">
        <v>33</v>
      </c>
      <c r="D3041" s="5" t="s">
        <v>34</v>
      </c>
      <c r="E3041" s="5" t="s">
        <v>35</v>
      </c>
      <c r="F3041" s="9" t="s">
        <v>36</v>
      </c>
      <c r="G3041" s="9" t="s">
        <v>1006</v>
      </c>
      <c r="H3041" s="5" t="s">
        <v>21</v>
      </c>
      <c r="I3041" s="5" t="s">
        <v>7907</v>
      </c>
      <c r="J3041" s="12" t="str">
        <f>HYPERLINK("https://www.boe.es/gazeta/dias/1808/04/22/pdfs/GMD-C-1808-38.pdf#page=46","Abrir facsímil")</f>
        <v>Abrir facsímil</v>
      </c>
      <c r="K3041" s="15" t="s">
        <v>23</v>
      </c>
    </row>
    <row r="3042" spans="1:11" ht="42" customHeight="1">
      <c r="A3042" s="4" t="s">
        <v>7908</v>
      </c>
      <c r="B3042" s="5" t="s">
        <v>7908</v>
      </c>
      <c r="C3042" s="5" t="s">
        <v>26</v>
      </c>
      <c r="D3042" s="5" t="s">
        <v>27</v>
      </c>
      <c r="E3042" s="5" t="s">
        <v>558</v>
      </c>
      <c r="F3042" s="9" t="s">
        <v>559</v>
      </c>
      <c r="G3042" s="9">
        <v>1544</v>
      </c>
      <c r="H3042" s="5" t="s">
        <v>21</v>
      </c>
      <c r="I3042" s="5" t="s">
        <v>7909</v>
      </c>
      <c r="J3042" s="12" t="str">
        <f>HYPERLINK("https://www.boe.es/gazeta/dias/1808/11/25/pdfs/GMD-1808-147.pdf#page=10","Abrir facsímil")</f>
        <v>Abrir facsímil</v>
      </c>
      <c r="K3042" s="15" t="s">
        <v>23</v>
      </c>
    </row>
    <row r="3043" spans="1:11" ht="42" customHeight="1">
      <c r="A3043" s="4" t="s">
        <v>7910</v>
      </c>
      <c r="B3043" s="5" t="s">
        <v>7910</v>
      </c>
      <c r="C3043" s="5" t="s">
        <v>41</v>
      </c>
      <c r="D3043" s="5" t="s">
        <v>42</v>
      </c>
      <c r="E3043" s="5" t="s">
        <v>89</v>
      </c>
      <c r="F3043" s="9" t="s">
        <v>563</v>
      </c>
      <c r="G3043" s="9" t="s">
        <v>106</v>
      </c>
      <c r="H3043" s="5" t="s">
        <v>21</v>
      </c>
      <c r="I3043" s="5" t="s">
        <v>7911</v>
      </c>
      <c r="J3043" s="12" t="str">
        <f>HYPERLINK("https://www.boe.es/gazeta/dias/1808/10/25/pdfs/GMD-D-1808-137.pdf#page=3","Abrir facsímil")</f>
        <v>Abrir facsímil</v>
      </c>
      <c r="K3043" s="15" t="s">
        <v>23</v>
      </c>
    </row>
    <row r="3044" spans="1:11" ht="42" customHeight="1">
      <c r="A3044" s="4" t="s">
        <v>7912</v>
      </c>
      <c r="B3044" s="5" t="s">
        <v>7912</v>
      </c>
      <c r="C3044" s="5" t="s">
        <v>17</v>
      </c>
      <c r="D3044" s="5" t="s">
        <v>18</v>
      </c>
      <c r="E3044" s="5" t="s">
        <v>54</v>
      </c>
      <c r="F3044" s="9" t="s">
        <v>55</v>
      </c>
      <c r="G3044" s="9">
        <v>1084</v>
      </c>
      <c r="H3044" s="5" t="s">
        <v>21</v>
      </c>
      <c r="I3044" s="5" t="s">
        <v>7913</v>
      </c>
      <c r="J3044" s="12" t="str">
        <f>HYPERLINK("https://www.boe.es/gazeta/dias/1808/08/26/pdfs/GMD-1808-117.pdf#page=6","Abrir facsímil")</f>
        <v>Abrir facsímil</v>
      </c>
      <c r="K3044" s="15" t="s">
        <v>23</v>
      </c>
    </row>
    <row r="3045" spans="1:11" ht="42" customHeight="1">
      <c r="A3045" s="4" t="s">
        <v>7914</v>
      </c>
      <c r="B3045" s="5" t="s">
        <v>7914</v>
      </c>
      <c r="C3045" s="5" t="s">
        <v>33</v>
      </c>
      <c r="D3045" s="5" t="s">
        <v>34</v>
      </c>
      <c r="E3045" s="5" t="s">
        <v>35</v>
      </c>
      <c r="F3045" s="9" t="s">
        <v>36</v>
      </c>
      <c r="G3045" s="9" t="s">
        <v>148</v>
      </c>
      <c r="H3045" s="5" t="s">
        <v>21</v>
      </c>
      <c r="I3045" s="5" t="s">
        <v>7915</v>
      </c>
      <c r="J3045" s="12" t="str">
        <f>HYPERLINK("https://www.boe.es/gazeta/dias/1808/04/22/pdfs/GMD-C-1808-38.pdf#page=38","Abrir facsímil")</f>
        <v>Abrir facsímil</v>
      </c>
      <c r="K3045" s="15" t="s">
        <v>23</v>
      </c>
    </row>
    <row r="3046" spans="1:11" ht="42" customHeight="1">
      <c r="A3046" s="4" t="s">
        <v>7916</v>
      </c>
      <c r="B3046" s="5" t="s">
        <v>7916</v>
      </c>
      <c r="C3046" s="5" t="s">
        <v>17</v>
      </c>
      <c r="D3046" s="5" t="s">
        <v>18</v>
      </c>
      <c r="E3046" s="5" t="s">
        <v>197</v>
      </c>
      <c r="F3046" s="9" t="s">
        <v>790</v>
      </c>
      <c r="G3046" s="9">
        <v>1407</v>
      </c>
      <c r="H3046" s="5" t="s">
        <v>21</v>
      </c>
      <c r="I3046" s="5" t="s">
        <v>7917</v>
      </c>
      <c r="J3046" s="12" t="str">
        <f>HYPERLINK("https://www.boe.es/gazeta/dias/1808/11/01/pdfs/GMD-1808-140.pdf#page=9","Abrir facsímil")</f>
        <v>Abrir facsímil</v>
      </c>
      <c r="K3046" s="15" t="s">
        <v>23</v>
      </c>
    </row>
    <row r="3047" spans="1:11" ht="42" customHeight="1">
      <c r="A3047" s="4" t="s">
        <v>7918</v>
      </c>
      <c r="B3047" s="5" t="s">
        <v>7918</v>
      </c>
      <c r="C3047" s="5" t="s">
        <v>17</v>
      </c>
      <c r="D3047" s="5" t="s">
        <v>18</v>
      </c>
      <c r="E3047" s="5" t="s">
        <v>110</v>
      </c>
      <c r="F3047" s="9" t="s">
        <v>111</v>
      </c>
      <c r="G3047" s="9">
        <v>1383</v>
      </c>
      <c r="H3047" s="5" t="s">
        <v>21</v>
      </c>
      <c r="I3047" s="5" t="s">
        <v>7919</v>
      </c>
      <c r="J3047" s="12" t="str">
        <f>HYPERLINK("https://www.boe.es/gazeta/dias/1808/10/28/pdfs/GMD-1808-138.pdf#page=9","Abrir facsímil")</f>
        <v>Abrir facsímil</v>
      </c>
      <c r="K3047" s="15" t="s">
        <v>23</v>
      </c>
    </row>
    <row r="3048" spans="1:11" ht="42" customHeight="1">
      <c r="A3048" s="4" t="s">
        <v>7920</v>
      </c>
      <c r="B3048" s="5" t="s">
        <v>7920</v>
      </c>
      <c r="C3048" s="5" t="s">
        <v>17</v>
      </c>
      <c r="D3048" s="5" t="s">
        <v>18</v>
      </c>
      <c r="E3048" s="5" t="s">
        <v>558</v>
      </c>
      <c r="F3048" s="9" t="s">
        <v>559</v>
      </c>
      <c r="G3048" s="9">
        <v>1545</v>
      </c>
      <c r="H3048" s="5" t="s">
        <v>21</v>
      </c>
      <c r="I3048" s="5" t="s">
        <v>7921</v>
      </c>
      <c r="J3048" s="12" t="str">
        <f>HYPERLINK("https://www.boe.es/gazeta/dias/1808/11/25/pdfs/GMD-1808-147.pdf#page=11","Abrir facsímil")</f>
        <v>Abrir facsímil</v>
      </c>
      <c r="K3048" s="15" t="s">
        <v>23</v>
      </c>
    </row>
    <row r="3049" spans="1:11" ht="42" customHeight="1">
      <c r="A3049" s="4" t="s">
        <v>7922</v>
      </c>
      <c r="B3049" s="5" t="s">
        <v>7922</v>
      </c>
      <c r="C3049" s="5" t="s">
        <v>260</v>
      </c>
      <c r="D3049" s="5" t="s">
        <v>42</v>
      </c>
      <c r="E3049" s="5" t="s">
        <v>35</v>
      </c>
      <c r="F3049" s="9" t="s">
        <v>36</v>
      </c>
      <c r="G3049" s="9" t="s">
        <v>43</v>
      </c>
      <c r="H3049" s="5" t="s">
        <v>21</v>
      </c>
      <c r="I3049" s="5" t="s">
        <v>7923</v>
      </c>
      <c r="J3049" s="12" t="str">
        <f>HYPERLINK("https://www.boe.es/gazeta/dias/1808/04/22/pdfs/GMD-C-1808-38.pdf#page=30","Abrir facsímil")</f>
        <v>Abrir facsímil</v>
      </c>
      <c r="K3049" s="15" t="s">
        <v>23</v>
      </c>
    </row>
    <row r="3050" spans="1:11" ht="42" customHeight="1">
      <c r="A3050" s="4" t="s">
        <v>7924</v>
      </c>
      <c r="B3050" s="5" t="s">
        <v>7924</v>
      </c>
      <c r="C3050" s="5" t="s">
        <v>33</v>
      </c>
      <c r="D3050" s="5" t="s">
        <v>34</v>
      </c>
      <c r="E3050" s="5" t="s">
        <v>197</v>
      </c>
      <c r="F3050" s="9" t="s">
        <v>198</v>
      </c>
      <c r="G3050" s="9" t="s">
        <v>199</v>
      </c>
      <c r="H3050" s="5" t="s">
        <v>21</v>
      </c>
      <c r="I3050" s="5" t="s">
        <v>7925</v>
      </c>
      <c r="J3050" s="12" t="str">
        <f>HYPERLINK("https://www.boe.es/gazeta/dias/1808/11/01/pdfs/GMD-D-1808-140.pdf#page=2","Abrir facsímil")</f>
        <v>Abrir facsímil</v>
      </c>
      <c r="K3050" s="15" t="s">
        <v>23</v>
      </c>
    </row>
    <row r="3051" spans="1:11" ht="42" customHeight="1">
      <c r="A3051" s="4" t="s">
        <v>7926</v>
      </c>
      <c r="B3051" s="5" t="s">
        <v>7926</v>
      </c>
      <c r="C3051" s="5" t="s">
        <v>17</v>
      </c>
      <c r="D3051" s="5" t="s">
        <v>18</v>
      </c>
      <c r="E3051" s="5" t="s">
        <v>139</v>
      </c>
      <c r="F3051" s="9" t="s">
        <v>140</v>
      </c>
      <c r="G3051" s="9">
        <v>1203</v>
      </c>
      <c r="H3051" s="5" t="s">
        <v>21</v>
      </c>
      <c r="I3051" s="5" t="s">
        <v>7927</v>
      </c>
      <c r="J3051" s="12" t="str">
        <f>HYPERLINK("https://www.boe.es/gazeta/dias/1808/09/23/pdfs/GMD-1808-127.pdf#page=11","Abrir facsímil")</f>
        <v>Abrir facsímil</v>
      </c>
      <c r="K3051" s="15" t="s">
        <v>23</v>
      </c>
    </row>
    <row r="3052" spans="1:11" ht="42" customHeight="1">
      <c r="A3052" s="4" t="s">
        <v>7928</v>
      </c>
      <c r="B3052" s="5" t="s">
        <v>7928</v>
      </c>
      <c r="C3052" s="5" t="s">
        <v>33</v>
      </c>
      <c r="D3052" s="5" t="s">
        <v>34</v>
      </c>
      <c r="E3052" s="5" t="s">
        <v>558</v>
      </c>
      <c r="F3052" s="9" t="s">
        <v>758</v>
      </c>
      <c r="G3052" s="9" t="s">
        <v>75</v>
      </c>
      <c r="H3052" s="5" t="s">
        <v>21</v>
      </c>
      <c r="I3052" s="5" t="s">
        <v>7929</v>
      </c>
      <c r="J3052" s="12" t="str">
        <f>HYPERLINK("https://www.boe.es/gazeta/dias/1808/11/25/pdfs/GMD-E-1808-147.pdf#page=4","Abrir facsímil")</f>
        <v>Abrir facsímil</v>
      </c>
      <c r="K3052" s="15" t="s">
        <v>23</v>
      </c>
    </row>
    <row r="3053" spans="1:11" ht="42" customHeight="1">
      <c r="A3053" s="4" t="s">
        <v>7930</v>
      </c>
      <c r="B3053" s="5" t="s">
        <v>7931</v>
      </c>
      <c r="C3053" s="5" t="s">
        <v>33</v>
      </c>
      <c r="D3053" s="5" t="s">
        <v>34</v>
      </c>
      <c r="E3053" s="5" t="s">
        <v>110</v>
      </c>
      <c r="F3053" s="9" t="s">
        <v>828</v>
      </c>
      <c r="G3053" s="9" t="s">
        <v>106</v>
      </c>
      <c r="H3053" s="5" t="s">
        <v>21</v>
      </c>
      <c r="I3053" s="5" t="s">
        <v>7932</v>
      </c>
      <c r="J3053" s="12" t="str">
        <f>HYPERLINK("https://www.boe.es/gazeta/dias/1808/10/28/pdfs/GMD-D-1808-138.pdf#page=3","Abrir facsímil")</f>
        <v>Abrir facsímil</v>
      </c>
      <c r="K3053" s="15" t="s">
        <v>23</v>
      </c>
    </row>
    <row r="3054" spans="1:11" ht="42" customHeight="1">
      <c r="A3054" s="4" t="s">
        <v>7933</v>
      </c>
      <c r="B3054" s="5" t="s">
        <v>7934</v>
      </c>
      <c r="C3054" s="5" t="s">
        <v>260</v>
      </c>
      <c r="D3054" s="5" t="s">
        <v>42</v>
      </c>
      <c r="E3054" s="5" t="s">
        <v>368</v>
      </c>
      <c r="F3054" s="9" t="s">
        <v>369</v>
      </c>
      <c r="G3054" s="9">
        <v>170</v>
      </c>
      <c r="H3054" s="5" t="s">
        <v>21</v>
      </c>
      <c r="I3054" s="5" t="s">
        <v>7935</v>
      </c>
      <c r="J3054" s="12" t="str">
        <f>HYPERLINK("https://www.boe.es/gazeta/dias/1808/02/16/pdfs/GMD-1808-14.pdf#page=12","Abrir facsímil")</f>
        <v>Abrir facsímil</v>
      </c>
      <c r="K3054" s="15" t="s">
        <v>23</v>
      </c>
    </row>
    <row r="3055" spans="1:11" ht="42" customHeight="1">
      <c r="A3055" s="4" t="s">
        <v>7936</v>
      </c>
      <c r="B3055" s="5" t="s">
        <v>7936</v>
      </c>
      <c r="C3055" s="5" t="s">
        <v>26</v>
      </c>
      <c r="D3055" s="5" t="s">
        <v>27</v>
      </c>
      <c r="E3055" s="5" t="s">
        <v>110</v>
      </c>
      <c r="F3055" s="9" t="s">
        <v>828</v>
      </c>
      <c r="G3055" s="9" t="s">
        <v>75</v>
      </c>
      <c r="H3055" s="5" t="s">
        <v>21</v>
      </c>
      <c r="I3055" s="5" t="s">
        <v>7937</v>
      </c>
      <c r="J3055" s="12" t="str">
        <f>HYPERLINK("https://www.boe.es/gazeta/dias/1808/10/28/pdfs/GMD-D-1808-138.pdf#page=4","Abrir facsímil")</f>
        <v>Abrir facsímil</v>
      </c>
      <c r="K3055" s="15" t="s">
        <v>23</v>
      </c>
    </row>
    <row r="3056" spans="1:11" ht="42" customHeight="1">
      <c r="A3056" s="4" t="s">
        <v>7936</v>
      </c>
      <c r="B3056" s="5" t="s">
        <v>7936</v>
      </c>
      <c r="C3056" s="5" t="s">
        <v>17</v>
      </c>
      <c r="D3056" s="5" t="s">
        <v>18</v>
      </c>
      <c r="E3056" s="5" t="s">
        <v>461</v>
      </c>
      <c r="F3056" s="9" t="s">
        <v>733</v>
      </c>
      <c r="G3056" s="9">
        <v>1448</v>
      </c>
      <c r="H3056" s="5" t="s">
        <v>21</v>
      </c>
      <c r="I3056" s="5" t="s">
        <v>7938</v>
      </c>
      <c r="J3056" s="12" t="str">
        <f>HYPERLINK("https://www.boe.es/gazeta/dias/1808/11/08/pdfs/GMD-1808-142.pdf#page=10","Abrir facsímil")</f>
        <v>Abrir facsímil</v>
      </c>
      <c r="K3056" s="15" t="s">
        <v>23</v>
      </c>
    </row>
    <row r="3057" spans="1:11" ht="42" customHeight="1">
      <c r="A3057" s="4" t="s">
        <v>7939</v>
      </c>
      <c r="B3057" s="5" t="s">
        <v>7939</v>
      </c>
      <c r="C3057" s="5" t="s">
        <v>17</v>
      </c>
      <c r="D3057" s="5" t="s">
        <v>18</v>
      </c>
      <c r="E3057" s="5" t="s">
        <v>35</v>
      </c>
      <c r="F3057" s="9" t="s">
        <v>3452</v>
      </c>
      <c r="G3057" s="9">
        <v>403</v>
      </c>
      <c r="H3057" s="5" t="s">
        <v>21</v>
      </c>
      <c r="I3057" s="5" t="s">
        <v>7940</v>
      </c>
      <c r="J3057" s="12" t="str">
        <f>HYPERLINK("https://www.boe.es/gazeta/dias/1808/04/22/pdfs/GMD-1808-38.pdf#page=11","Abrir facsímil")</f>
        <v>Abrir facsímil</v>
      </c>
      <c r="K3057" s="15" t="s">
        <v>23</v>
      </c>
    </row>
    <row r="3058" spans="1:11" ht="42" customHeight="1">
      <c r="A3058" s="4" t="s">
        <v>7941</v>
      </c>
      <c r="B3058" s="5" t="s">
        <v>7941</v>
      </c>
      <c r="C3058" s="5" t="s">
        <v>33</v>
      </c>
      <c r="D3058" s="5" t="s">
        <v>34</v>
      </c>
      <c r="E3058" s="5" t="s">
        <v>35</v>
      </c>
      <c r="F3058" s="9" t="s">
        <v>36</v>
      </c>
      <c r="G3058" s="9" t="s">
        <v>1006</v>
      </c>
      <c r="H3058" s="5" t="s">
        <v>21</v>
      </c>
      <c r="I3058" s="5" t="s">
        <v>7942</v>
      </c>
      <c r="J3058" s="12" t="str">
        <f>HYPERLINK("https://www.boe.es/gazeta/dias/1808/04/22/pdfs/GMD-C-1808-38.pdf#page=46","Abrir facsímil")</f>
        <v>Abrir facsímil</v>
      </c>
      <c r="K3058" s="15" t="s">
        <v>23</v>
      </c>
    </row>
    <row r="3059" spans="1:11" ht="42" customHeight="1">
      <c r="A3059" s="4" t="s">
        <v>7943</v>
      </c>
      <c r="B3059" s="5" t="s">
        <v>7943</v>
      </c>
      <c r="C3059" s="5" t="s">
        <v>389</v>
      </c>
      <c r="D3059" s="5" t="s">
        <v>390</v>
      </c>
      <c r="E3059" s="5" t="s">
        <v>245</v>
      </c>
      <c r="F3059" s="9" t="s">
        <v>246</v>
      </c>
      <c r="G3059" s="9">
        <v>546</v>
      </c>
      <c r="H3059" s="5" t="s">
        <v>21</v>
      </c>
      <c r="I3059" s="5" t="s">
        <v>7944</v>
      </c>
      <c r="J3059" s="12" t="str">
        <f>HYPERLINK("https://www.boe.es/gazeta/dias/1808/06/07/pdfs/GMD-1808-54.pdf#page=12","Abrir facsímil")</f>
        <v>Abrir facsímil</v>
      </c>
      <c r="K3059" s="15" t="s">
        <v>23</v>
      </c>
    </row>
    <row r="3060" spans="1:11" ht="42" customHeight="1">
      <c r="A3060" s="4" t="s">
        <v>7945</v>
      </c>
      <c r="B3060" s="5" t="s">
        <v>7945</v>
      </c>
      <c r="C3060" s="5" t="s">
        <v>17</v>
      </c>
      <c r="D3060" s="5" t="s">
        <v>18</v>
      </c>
      <c r="E3060" s="5" t="s">
        <v>461</v>
      </c>
      <c r="F3060" s="9" t="s">
        <v>733</v>
      </c>
      <c r="G3060" s="9">
        <v>1449</v>
      </c>
      <c r="H3060" s="5" t="s">
        <v>21</v>
      </c>
      <c r="I3060" s="5" t="s">
        <v>7946</v>
      </c>
      <c r="J3060" s="12" t="str">
        <f>HYPERLINK("https://www.boe.es/gazeta/dias/1808/11/08/pdfs/GMD-1808-142.pdf#page=11","Abrir facsímil")</f>
        <v>Abrir facsímil</v>
      </c>
      <c r="K3060" s="15" t="s">
        <v>23</v>
      </c>
    </row>
    <row r="3061" spans="1:11" ht="42" customHeight="1">
      <c r="A3061" s="4" t="s">
        <v>7947</v>
      </c>
      <c r="B3061" s="5" t="s">
        <v>7947</v>
      </c>
      <c r="C3061" s="5" t="s">
        <v>33</v>
      </c>
      <c r="D3061" s="5" t="s">
        <v>34</v>
      </c>
      <c r="E3061" s="5" t="s">
        <v>391</v>
      </c>
      <c r="F3061" s="9" t="s">
        <v>588</v>
      </c>
      <c r="G3061" s="9" t="s">
        <v>75</v>
      </c>
      <c r="H3061" s="5" t="s">
        <v>21</v>
      </c>
      <c r="I3061" s="5" t="s">
        <v>7948</v>
      </c>
      <c r="J3061" s="12" t="str">
        <f>HYPERLINK("https://www.boe.es/gazeta/dias/1808/09/27/pdfs/GMD-C-1808-128.pdf#page=4","Abrir facsímil")</f>
        <v>Abrir facsímil</v>
      </c>
      <c r="K3061" s="15" t="s">
        <v>23</v>
      </c>
    </row>
    <row r="3062" spans="1:11" ht="42" customHeight="1">
      <c r="A3062" s="4" t="s">
        <v>7949</v>
      </c>
      <c r="B3062" s="5" t="s">
        <v>7949</v>
      </c>
      <c r="C3062" s="5" t="s">
        <v>94</v>
      </c>
      <c r="D3062" s="5" t="s">
        <v>95</v>
      </c>
      <c r="E3062" s="5" t="s">
        <v>3365</v>
      </c>
      <c r="F3062" s="9" t="s">
        <v>7950</v>
      </c>
      <c r="G3062" s="9">
        <v>878</v>
      </c>
      <c r="H3062" s="5" t="s">
        <v>21</v>
      </c>
      <c r="I3062" s="5" t="s">
        <v>7951</v>
      </c>
      <c r="J3062" s="12" t="str">
        <f>HYPERLINK("https://www.boe.es/gazeta/dias/1808/07/23/pdfs/GMD-1808-95.pdf#page=8","Abrir facsímil")</f>
        <v>Abrir facsímil</v>
      </c>
      <c r="K3062" s="15" t="s">
        <v>23</v>
      </c>
    </row>
    <row r="3063" spans="1:11" ht="42" customHeight="1">
      <c r="A3063" s="4" t="s">
        <v>7952</v>
      </c>
      <c r="B3063" s="5" t="s">
        <v>7952</v>
      </c>
      <c r="C3063" s="5" t="s">
        <v>94</v>
      </c>
      <c r="D3063" s="5" t="s">
        <v>95</v>
      </c>
      <c r="E3063" s="5" t="s">
        <v>73</v>
      </c>
      <c r="F3063" s="9" t="s">
        <v>1570</v>
      </c>
      <c r="G3063" s="9">
        <v>1478</v>
      </c>
      <c r="H3063" s="5" t="s">
        <v>21</v>
      </c>
      <c r="I3063" s="5" t="s">
        <v>7953</v>
      </c>
      <c r="J3063" s="12" t="str">
        <f>HYPERLINK("https://www.boe.es/gazeta/dias/1808/11/11/pdfs/GMD-C-1808-143.pdf#page=8","Abrir facsímil")</f>
        <v>Abrir facsímil</v>
      </c>
      <c r="K3063" s="15" t="s">
        <v>23</v>
      </c>
    </row>
    <row r="3064" spans="1:11" ht="42" customHeight="1">
      <c r="A3064" s="4" t="s">
        <v>7954</v>
      </c>
      <c r="B3064" s="5" t="s">
        <v>7954</v>
      </c>
      <c r="C3064" s="5" t="s">
        <v>94</v>
      </c>
      <c r="D3064" s="5" t="s">
        <v>95</v>
      </c>
      <c r="E3064" s="5" t="s">
        <v>65</v>
      </c>
      <c r="F3064" s="9" t="s">
        <v>7955</v>
      </c>
      <c r="G3064" s="9">
        <v>323</v>
      </c>
      <c r="H3064" s="5" t="s">
        <v>21</v>
      </c>
      <c r="I3064" s="5" t="s">
        <v>7956</v>
      </c>
      <c r="J3064" s="12" t="str">
        <f>HYPERLINK("https://www.boe.es/gazeta/dias/1808/10/18/pdfs/GMS-1808-41.pdf#page=3","Abrir facsímil")</f>
        <v>Abrir facsímil</v>
      </c>
      <c r="K3064" s="15" t="s">
        <v>23</v>
      </c>
    </row>
    <row r="3065" spans="1:11" ht="42" customHeight="1">
      <c r="A3065" s="4" t="s">
        <v>7954</v>
      </c>
      <c r="B3065" s="5" t="s">
        <v>7954</v>
      </c>
      <c r="C3065" s="5" t="s">
        <v>33</v>
      </c>
      <c r="D3065" s="5" t="s">
        <v>34</v>
      </c>
      <c r="E3065" s="5" t="s">
        <v>68</v>
      </c>
      <c r="F3065" s="9" t="s">
        <v>309</v>
      </c>
      <c r="G3065" s="9" t="s">
        <v>75</v>
      </c>
      <c r="H3065" s="5" t="s">
        <v>21</v>
      </c>
      <c r="I3065" s="5" t="s">
        <v>7957</v>
      </c>
      <c r="J3065" s="12" t="str">
        <f>HYPERLINK("https://www.boe.es/gazeta/dias/1808/10/21/pdfs/GMD-D-1808-136.pdf#page=4","Abrir facsímil")</f>
        <v>Abrir facsímil</v>
      </c>
      <c r="K3065" s="15" t="s">
        <v>23</v>
      </c>
    </row>
    <row r="3066" spans="1:11" ht="42" customHeight="1">
      <c r="A3066" s="4" t="s">
        <v>7954</v>
      </c>
      <c r="B3066" s="5" t="s">
        <v>7954</v>
      </c>
      <c r="C3066" s="5" t="s">
        <v>33</v>
      </c>
      <c r="D3066" s="5" t="s">
        <v>34</v>
      </c>
      <c r="E3066" s="5" t="s">
        <v>427</v>
      </c>
      <c r="F3066" s="9" t="s">
        <v>428</v>
      </c>
      <c r="G3066" s="9" t="s">
        <v>117</v>
      </c>
      <c r="H3066" s="5" t="s">
        <v>21</v>
      </c>
      <c r="I3066" s="5" t="s">
        <v>7958</v>
      </c>
      <c r="J3066" s="12" t="str">
        <f>HYPERLINK("https://www.boe.es/gazeta/dias/1808/11/22/pdfs/GMD-D-1808-146.pdf#page=1","Abrir facsímil")</f>
        <v>Abrir facsímil</v>
      </c>
      <c r="K3066" s="15" t="s">
        <v>23</v>
      </c>
    </row>
    <row r="3067" spans="1:11" ht="42" customHeight="1">
      <c r="A3067" s="4" t="s">
        <v>7959</v>
      </c>
      <c r="B3067" s="5" t="s">
        <v>7959</v>
      </c>
      <c r="C3067" s="5" t="s">
        <v>17</v>
      </c>
      <c r="D3067" s="5" t="s">
        <v>18</v>
      </c>
      <c r="E3067" s="5" t="s">
        <v>203</v>
      </c>
      <c r="F3067" s="9" t="s">
        <v>204</v>
      </c>
      <c r="G3067" s="9">
        <v>141</v>
      </c>
      <c r="H3067" s="5" t="s">
        <v>21</v>
      </c>
      <c r="I3067" s="5" t="s">
        <v>7960</v>
      </c>
      <c r="J3067" s="12" t="str">
        <f>HYPERLINK("https://www.boe.es/gazeta/dias/1808/02/09/pdfs/GMD-1808-12.pdf#page=9","Abrir facsímil")</f>
        <v>Abrir facsímil</v>
      </c>
      <c r="K3067" s="15" t="s">
        <v>23</v>
      </c>
    </row>
    <row r="3068" spans="1:11" ht="42" customHeight="1">
      <c r="A3068" s="4" t="s">
        <v>7961</v>
      </c>
      <c r="B3068" s="5" t="s">
        <v>7961</v>
      </c>
      <c r="C3068" s="5" t="s">
        <v>17</v>
      </c>
      <c r="D3068" s="5" t="s">
        <v>18</v>
      </c>
      <c r="E3068" s="5" t="s">
        <v>130</v>
      </c>
      <c r="F3068" s="9" t="s">
        <v>131</v>
      </c>
      <c r="G3068" s="9">
        <v>1604</v>
      </c>
      <c r="H3068" s="5" t="s">
        <v>21</v>
      </c>
      <c r="I3068" s="5" t="s">
        <v>7962</v>
      </c>
      <c r="J3068" s="12" t="str">
        <f>HYPERLINK("https://www.boe.es/gazeta/dias/1808/12/15/pdfs/GMD-1808-155.pdf#page=8","Abrir facsímil")</f>
        <v>Abrir facsímil</v>
      </c>
      <c r="K3068" s="15" t="s">
        <v>23</v>
      </c>
    </row>
    <row r="3069" spans="1:11" ht="42" customHeight="1">
      <c r="A3069" s="4" t="s">
        <v>7963</v>
      </c>
      <c r="B3069" s="5" t="s">
        <v>7963</v>
      </c>
      <c r="C3069" s="5" t="s">
        <v>33</v>
      </c>
      <c r="D3069" s="5" t="s">
        <v>34</v>
      </c>
      <c r="E3069" s="5" t="s">
        <v>89</v>
      </c>
      <c r="F3069" s="9" t="s">
        <v>563</v>
      </c>
      <c r="G3069" s="9" t="s">
        <v>117</v>
      </c>
      <c r="H3069" s="5" t="s">
        <v>21</v>
      </c>
      <c r="I3069" s="5" t="s">
        <v>7964</v>
      </c>
      <c r="J3069" s="12" t="str">
        <f>HYPERLINK("https://www.boe.es/gazeta/dias/1808/10/25/pdfs/GMD-D-1808-137.pdf#page=1","Abrir facsímil")</f>
        <v>Abrir facsímil</v>
      </c>
      <c r="K3069" s="15" t="s">
        <v>23</v>
      </c>
    </row>
    <row r="3070" spans="1:11" ht="42" customHeight="1">
      <c r="A3070" s="4" t="s">
        <v>7965</v>
      </c>
      <c r="B3070" s="5" t="s">
        <v>7965</v>
      </c>
      <c r="C3070" s="5" t="s">
        <v>33</v>
      </c>
      <c r="D3070" s="5" t="s">
        <v>34</v>
      </c>
      <c r="E3070" s="5" t="s">
        <v>115</v>
      </c>
      <c r="F3070" s="9" t="s">
        <v>116</v>
      </c>
      <c r="G3070" s="9" t="s">
        <v>106</v>
      </c>
      <c r="H3070" s="5" t="s">
        <v>21</v>
      </c>
      <c r="I3070" s="5" t="s">
        <v>7966</v>
      </c>
      <c r="J3070" s="12" t="str">
        <f>HYPERLINK("https://www.boe.es/gazeta/dias/1808/09/16/pdfs/GMD-C-1808-125.pdf#page=3","Abrir facsímil")</f>
        <v>Abrir facsímil</v>
      </c>
      <c r="K3070" s="15" t="s">
        <v>23</v>
      </c>
    </row>
    <row r="3071" spans="1:11" ht="42" customHeight="1">
      <c r="A3071" s="4" t="s">
        <v>7967</v>
      </c>
      <c r="B3071" s="5" t="s">
        <v>7967</v>
      </c>
      <c r="C3071" s="5" t="s">
        <v>94</v>
      </c>
      <c r="D3071" s="5" t="s">
        <v>95</v>
      </c>
      <c r="E3071" s="5" t="s">
        <v>2159</v>
      </c>
      <c r="F3071" s="9" t="s">
        <v>2160</v>
      </c>
      <c r="G3071" s="9">
        <v>183</v>
      </c>
      <c r="H3071" s="5" t="s">
        <v>21</v>
      </c>
      <c r="I3071" s="5" t="s">
        <v>7968</v>
      </c>
      <c r="J3071" s="12" t="str">
        <f>HYPERLINK("https://www.boe.es/gazeta/dias/1808/02/19/pdfs/GMD-1808-15.pdf#page=13","Abrir facsímil")</f>
        <v>Abrir facsímil</v>
      </c>
      <c r="K3071" s="15" t="s">
        <v>23</v>
      </c>
    </row>
    <row r="3072" spans="1:11" ht="42" customHeight="1">
      <c r="A3072" s="4" t="s">
        <v>7969</v>
      </c>
      <c r="B3072" s="5" t="s">
        <v>7969</v>
      </c>
      <c r="C3072" s="5" t="s">
        <v>17</v>
      </c>
      <c r="D3072" s="5" t="s">
        <v>18</v>
      </c>
      <c r="E3072" s="5" t="s">
        <v>7114</v>
      </c>
      <c r="F3072" s="9" t="s">
        <v>7115</v>
      </c>
      <c r="G3072" s="9">
        <v>438</v>
      </c>
      <c r="H3072" s="5" t="s">
        <v>21</v>
      </c>
      <c r="I3072" s="5" t="s">
        <v>7970</v>
      </c>
      <c r="J3072" s="12" t="str">
        <f>HYPERLINK("https://www.boe.es/gazeta/dias/1808/05/06/pdfs/GMD-1808-44.pdf#page=6","Abrir facsímil")</f>
        <v>Abrir facsímil</v>
      </c>
      <c r="K3072" s="15" t="s">
        <v>23</v>
      </c>
    </row>
    <row r="3073" spans="1:11" ht="42" customHeight="1">
      <c r="A3073" s="4" t="s">
        <v>7971</v>
      </c>
      <c r="B3073" s="5" t="s">
        <v>7971</v>
      </c>
      <c r="C3073" s="5" t="s">
        <v>17</v>
      </c>
      <c r="D3073" s="5" t="s">
        <v>18</v>
      </c>
      <c r="E3073" s="5" t="s">
        <v>461</v>
      </c>
      <c r="F3073" s="9" t="s">
        <v>733</v>
      </c>
      <c r="G3073" s="9">
        <v>1448</v>
      </c>
      <c r="H3073" s="5" t="s">
        <v>21</v>
      </c>
      <c r="I3073" s="5" t="s">
        <v>7972</v>
      </c>
      <c r="J3073" s="12" t="str">
        <f>HYPERLINK("https://www.boe.es/gazeta/dias/1808/11/08/pdfs/GMD-1808-142.pdf#page=10","Abrir facsímil")</f>
        <v>Abrir facsímil</v>
      </c>
      <c r="K3073" s="15" t="s">
        <v>23</v>
      </c>
    </row>
    <row r="3074" spans="1:11" ht="42" customHeight="1">
      <c r="A3074" s="4" t="s">
        <v>7973</v>
      </c>
      <c r="B3074" s="5" t="s">
        <v>7973</v>
      </c>
      <c r="C3074" s="5" t="s">
        <v>33</v>
      </c>
      <c r="D3074" s="5" t="s">
        <v>34</v>
      </c>
      <c r="E3074" s="5" t="s">
        <v>35</v>
      </c>
      <c r="F3074" s="9" t="s">
        <v>36</v>
      </c>
      <c r="G3074" s="9" t="s">
        <v>148</v>
      </c>
      <c r="H3074" s="5" t="s">
        <v>21</v>
      </c>
      <c r="I3074" s="5" t="s">
        <v>7974</v>
      </c>
      <c r="J3074" s="12" t="str">
        <f>HYPERLINK("https://www.boe.es/gazeta/dias/1808/04/22/pdfs/GMD-C-1808-38.pdf#page=38","Abrir facsímil")</f>
        <v>Abrir facsímil</v>
      </c>
      <c r="K3074" s="15" t="s">
        <v>23</v>
      </c>
    </row>
    <row r="3075" spans="1:11" ht="42" customHeight="1">
      <c r="A3075" s="4" t="s">
        <v>7975</v>
      </c>
      <c r="B3075" s="5" t="s">
        <v>7975</v>
      </c>
      <c r="C3075" s="5" t="s">
        <v>33</v>
      </c>
      <c r="D3075" s="5" t="s">
        <v>34</v>
      </c>
      <c r="E3075" s="5" t="s">
        <v>35</v>
      </c>
      <c r="F3075" s="9" t="s">
        <v>36</v>
      </c>
      <c r="G3075" s="9" t="s">
        <v>985</v>
      </c>
      <c r="H3075" s="5" t="s">
        <v>21</v>
      </c>
      <c r="I3075" s="5" t="s">
        <v>7976</v>
      </c>
      <c r="J3075" s="12" t="str">
        <f>HYPERLINK("https://www.boe.es/gazeta/dias/1808/04/22/pdfs/GMD-C-1808-38.pdf#page=39","Abrir facsímil")</f>
        <v>Abrir facsímil</v>
      </c>
      <c r="K3075" s="15" t="s">
        <v>23</v>
      </c>
    </row>
    <row r="3076" spans="1:11" ht="42" customHeight="1">
      <c r="A3076" s="4" t="s">
        <v>7977</v>
      </c>
      <c r="B3076" s="5" t="s">
        <v>7977</v>
      </c>
      <c r="C3076" s="5" t="s">
        <v>389</v>
      </c>
      <c r="D3076" s="5" t="s">
        <v>390</v>
      </c>
      <c r="E3076" s="5" t="s">
        <v>222</v>
      </c>
      <c r="F3076" s="9" t="s">
        <v>223</v>
      </c>
      <c r="G3076" s="9">
        <v>350</v>
      </c>
      <c r="H3076" s="5" t="s">
        <v>21</v>
      </c>
      <c r="I3076" s="5" t="s">
        <v>7978</v>
      </c>
      <c r="J3076" s="12" t="str">
        <f>HYPERLINK("https://www.boe.es/gazeta/dias/1808/04/08/pdfs/GMD-1808-32.pdf#page=4","Abrir facsímil")</f>
        <v>Abrir facsímil</v>
      </c>
      <c r="K3076" s="15" t="s">
        <v>23</v>
      </c>
    </row>
    <row r="3077" spans="1:11" ht="42" customHeight="1">
      <c r="A3077" s="4" t="s">
        <v>7979</v>
      </c>
      <c r="B3077" s="5" t="s">
        <v>7979</v>
      </c>
      <c r="C3077" s="5" t="s">
        <v>94</v>
      </c>
      <c r="D3077" s="5" t="s">
        <v>95</v>
      </c>
      <c r="E3077" s="5" t="s">
        <v>469</v>
      </c>
      <c r="F3077" s="9" t="s">
        <v>470</v>
      </c>
      <c r="G3077" s="9">
        <v>153</v>
      </c>
      <c r="H3077" s="5" t="s">
        <v>21</v>
      </c>
      <c r="I3077" s="5" t="s">
        <v>7980</v>
      </c>
      <c r="J3077" s="12" t="str">
        <f>HYPERLINK("https://www.boe.es/gazeta/dias/1808/02/12/pdfs/GMD-1808-13.pdf#page=9","Abrir facsímil")</f>
        <v>Abrir facsímil</v>
      </c>
      <c r="K3077" s="15" t="s">
        <v>23</v>
      </c>
    </row>
    <row r="3078" spans="1:11" ht="42" customHeight="1">
      <c r="A3078" s="4" t="s">
        <v>7981</v>
      </c>
      <c r="B3078" s="5" t="s">
        <v>7982</v>
      </c>
      <c r="C3078" s="5" t="s">
        <v>33</v>
      </c>
      <c r="D3078" s="5" t="s">
        <v>34</v>
      </c>
      <c r="E3078" s="5" t="s">
        <v>139</v>
      </c>
      <c r="F3078" s="9" t="s">
        <v>1089</v>
      </c>
      <c r="G3078" s="9" t="s">
        <v>106</v>
      </c>
      <c r="H3078" s="5" t="s">
        <v>21</v>
      </c>
      <c r="I3078" s="5" t="s">
        <v>7983</v>
      </c>
      <c r="J3078" s="12" t="str">
        <f>HYPERLINK("https://www.boe.es/gazeta/dias/1808/09/23/pdfs/GMD-C-1808-127.pdf#page=3","Abrir facsímil")</f>
        <v>Abrir facsímil</v>
      </c>
      <c r="K3078" s="15" t="s">
        <v>23</v>
      </c>
    </row>
    <row r="3079" spans="1:11" ht="42" customHeight="1">
      <c r="A3079" s="4" t="s">
        <v>7984</v>
      </c>
      <c r="B3079" s="5" t="s">
        <v>7985</v>
      </c>
      <c r="C3079" s="5" t="s">
        <v>389</v>
      </c>
      <c r="D3079" s="5" t="s">
        <v>390</v>
      </c>
      <c r="E3079" s="5" t="s">
        <v>334</v>
      </c>
      <c r="F3079" s="9" t="s">
        <v>335</v>
      </c>
      <c r="G3079" s="9">
        <v>1258</v>
      </c>
      <c r="H3079" s="5" t="s">
        <v>21</v>
      </c>
      <c r="I3079" s="5" t="s">
        <v>7986</v>
      </c>
      <c r="J3079" s="12" t="str">
        <f>HYPERLINK("https://www.boe.es/gazeta/dias/1808/10/04/pdfs/GMD-C-1808-131.pdf#page=10","Abrir facsímil")</f>
        <v>Abrir facsímil</v>
      </c>
      <c r="K3079" s="15" t="s">
        <v>23</v>
      </c>
    </row>
    <row r="3080" spans="1:11" ht="42" customHeight="1">
      <c r="A3080" s="4" t="s">
        <v>7987</v>
      </c>
      <c r="B3080" s="5" t="s">
        <v>7987</v>
      </c>
      <c r="C3080" s="5" t="s">
        <v>260</v>
      </c>
      <c r="D3080" s="5" t="s">
        <v>42</v>
      </c>
      <c r="E3080" s="5" t="s">
        <v>115</v>
      </c>
      <c r="F3080" s="9" t="s">
        <v>1650</v>
      </c>
      <c r="G3080" s="9">
        <v>1177</v>
      </c>
      <c r="H3080" s="5" t="s">
        <v>21</v>
      </c>
      <c r="I3080" s="5" t="s">
        <v>7988</v>
      </c>
      <c r="J3080" s="12" t="str">
        <f>HYPERLINK("https://www.boe.es/gazeta/dias/1808/09/16/pdfs/GMD-1808-125.pdf#page=9","Abrir facsímil")</f>
        <v>Abrir facsímil</v>
      </c>
      <c r="K3080" s="15" t="s">
        <v>23</v>
      </c>
    </row>
    <row r="3081" spans="1:11" ht="42" customHeight="1">
      <c r="A3081" s="4" t="s">
        <v>7989</v>
      </c>
      <c r="B3081" s="5" t="s">
        <v>7990</v>
      </c>
      <c r="C3081" s="5" t="s">
        <v>33</v>
      </c>
      <c r="D3081" s="5" t="s">
        <v>34</v>
      </c>
      <c r="E3081" s="5" t="s">
        <v>166</v>
      </c>
      <c r="F3081" s="9" t="s">
        <v>400</v>
      </c>
      <c r="G3081" s="9" t="s">
        <v>117</v>
      </c>
      <c r="H3081" s="5" t="s">
        <v>21</v>
      </c>
      <c r="I3081" s="5" t="s">
        <v>7991</v>
      </c>
      <c r="J3081" s="12" t="str">
        <f>HYPERLINK("https://www.boe.es/gazeta/dias/1808/11/18/pdfs/D00069-00072.pdf#page=1","Abrir facsímil")</f>
        <v>Abrir facsímil</v>
      </c>
      <c r="K3081" s="15" t="s">
        <v>23</v>
      </c>
    </row>
    <row r="3082" spans="1:11" ht="42" customHeight="1">
      <c r="A3082" s="4" t="s">
        <v>7992</v>
      </c>
      <c r="B3082" s="5" t="s">
        <v>7992</v>
      </c>
      <c r="C3082" s="5" t="s">
        <v>33</v>
      </c>
      <c r="D3082" s="5" t="s">
        <v>34</v>
      </c>
      <c r="E3082" s="5" t="s">
        <v>115</v>
      </c>
      <c r="F3082" s="9" t="s">
        <v>116</v>
      </c>
      <c r="G3082" s="9" t="s">
        <v>117</v>
      </c>
      <c r="H3082" s="5" t="s">
        <v>21</v>
      </c>
      <c r="I3082" s="5" t="s">
        <v>7993</v>
      </c>
      <c r="J3082" s="12" t="str">
        <f>HYPERLINK("https://www.boe.es/gazeta/dias/1808/09/16/pdfs/GMD-C-1808-125.pdf#page=1","Abrir facsímil")</f>
        <v>Abrir facsímil</v>
      </c>
      <c r="K3082" s="15" t="s">
        <v>23</v>
      </c>
    </row>
    <row r="3083" spans="1:11" ht="42" customHeight="1">
      <c r="A3083" s="4" t="s">
        <v>7994</v>
      </c>
      <c r="B3083" s="5" t="s">
        <v>7994</v>
      </c>
      <c r="C3083" s="5" t="s">
        <v>17</v>
      </c>
      <c r="D3083" s="5" t="s">
        <v>18</v>
      </c>
      <c r="E3083" s="5" t="s">
        <v>3791</v>
      </c>
      <c r="F3083" s="9" t="s">
        <v>3792</v>
      </c>
      <c r="G3083" s="9">
        <v>616</v>
      </c>
      <c r="H3083" s="5" t="s">
        <v>21</v>
      </c>
      <c r="I3083" s="5" t="s">
        <v>7995</v>
      </c>
      <c r="J3083" s="12" t="str">
        <f>HYPERLINK("https://www.boe.es/gazeta/dias/1808/06/21/pdfs/GMD-1808-63.pdf#page=6","Abrir facsímil")</f>
        <v>Abrir facsímil</v>
      </c>
      <c r="K3083" s="15" t="s">
        <v>23</v>
      </c>
    </row>
    <row r="3084" spans="1:11" ht="42" customHeight="1">
      <c r="A3084" s="4" t="s">
        <v>7996</v>
      </c>
      <c r="B3084" s="5" t="s">
        <v>7996</v>
      </c>
      <c r="C3084" s="5" t="s">
        <v>33</v>
      </c>
      <c r="D3084" s="5" t="s">
        <v>34</v>
      </c>
      <c r="E3084" s="5" t="s">
        <v>115</v>
      </c>
      <c r="F3084" s="9" t="s">
        <v>116</v>
      </c>
      <c r="G3084" s="9" t="s">
        <v>106</v>
      </c>
      <c r="H3084" s="5" t="s">
        <v>21</v>
      </c>
      <c r="I3084" s="5" t="s">
        <v>7997</v>
      </c>
      <c r="J3084" s="12" t="str">
        <f>HYPERLINK("https://www.boe.es/gazeta/dias/1808/09/16/pdfs/GMD-C-1808-125.pdf#page=3","Abrir facsímil")</f>
        <v>Abrir facsímil</v>
      </c>
      <c r="K3084" s="15" t="s">
        <v>23</v>
      </c>
    </row>
    <row r="3085" spans="1:11" ht="42" customHeight="1">
      <c r="A3085" s="4" t="s">
        <v>7998</v>
      </c>
      <c r="B3085" s="5" t="s">
        <v>7998</v>
      </c>
      <c r="C3085" s="5" t="s">
        <v>33</v>
      </c>
      <c r="D3085" s="5" t="s">
        <v>34</v>
      </c>
      <c r="E3085" s="5" t="s">
        <v>166</v>
      </c>
      <c r="F3085" s="9" t="s">
        <v>400</v>
      </c>
      <c r="G3085" s="9" t="s">
        <v>75</v>
      </c>
      <c r="H3085" s="5" t="s">
        <v>21</v>
      </c>
      <c r="I3085" s="5" t="s">
        <v>7999</v>
      </c>
      <c r="J3085" s="12" t="str">
        <f>HYPERLINK("https://www.boe.es/gazeta/dias/1808/11/18/pdfs/D00069-00072.pdf#page=4","Abrir facsímil")</f>
        <v>Abrir facsímil</v>
      </c>
      <c r="K3085" s="15" t="s">
        <v>23</v>
      </c>
    </row>
    <row r="3086" spans="1:11" ht="42" customHeight="1">
      <c r="A3086" s="4" t="s">
        <v>8000</v>
      </c>
      <c r="B3086" s="5" t="s">
        <v>8000</v>
      </c>
      <c r="C3086" s="5" t="s">
        <v>17</v>
      </c>
      <c r="D3086" s="5" t="s">
        <v>18</v>
      </c>
      <c r="E3086" s="5" t="s">
        <v>339</v>
      </c>
      <c r="F3086" s="9" t="s">
        <v>340</v>
      </c>
      <c r="G3086" s="9">
        <v>80</v>
      </c>
      <c r="H3086" s="5" t="s">
        <v>21</v>
      </c>
      <c r="I3086" s="5" t="s">
        <v>8001</v>
      </c>
      <c r="J3086" s="12" t="str">
        <f>HYPERLINK("https://www.boe.es/gazeta/dias/1808/01/22/pdfs/GMD-1808-7.pdf#page=8","Abrir facsímil")</f>
        <v>Abrir facsímil</v>
      </c>
      <c r="K3086" s="15" t="s">
        <v>23</v>
      </c>
    </row>
    <row r="3087" spans="1:11" ht="42" customHeight="1">
      <c r="A3087" s="4" t="s">
        <v>8002</v>
      </c>
      <c r="B3087" s="5" t="s">
        <v>8003</v>
      </c>
      <c r="C3087" s="5" t="s">
        <v>17</v>
      </c>
      <c r="D3087" s="5" t="s">
        <v>18</v>
      </c>
      <c r="E3087" s="5" t="s">
        <v>110</v>
      </c>
      <c r="F3087" s="9" t="s">
        <v>111</v>
      </c>
      <c r="G3087" s="9">
        <v>1384</v>
      </c>
      <c r="H3087" s="5" t="s">
        <v>21</v>
      </c>
      <c r="I3087" s="5" t="s">
        <v>8004</v>
      </c>
      <c r="J3087" s="12" t="str">
        <f>HYPERLINK("https://www.boe.es/gazeta/dias/1808/10/28/pdfs/GMD-1808-138.pdf#page=10","Abrir facsímil")</f>
        <v>Abrir facsímil</v>
      </c>
      <c r="K3087" s="15" t="s">
        <v>23</v>
      </c>
    </row>
    <row r="3088" spans="1:11" ht="42" customHeight="1">
      <c r="A3088" s="4" t="s">
        <v>8005</v>
      </c>
      <c r="B3088" s="5" t="s">
        <v>8006</v>
      </c>
      <c r="C3088" s="5" t="s">
        <v>41</v>
      </c>
      <c r="D3088" s="5" t="s">
        <v>42</v>
      </c>
      <c r="E3088" s="5" t="s">
        <v>110</v>
      </c>
      <c r="F3088" s="9" t="s">
        <v>828</v>
      </c>
      <c r="G3088" s="9" t="s">
        <v>199</v>
      </c>
      <c r="H3088" s="5" t="s">
        <v>21</v>
      </c>
      <c r="I3088" s="5" t="s">
        <v>8007</v>
      </c>
      <c r="J3088" s="12" t="str">
        <f>HYPERLINK("https://www.boe.es/gazeta/dias/1808/10/28/pdfs/GMD-D-1808-138.pdf#page=2","Abrir facsímil")</f>
        <v>Abrir facsímil</v>
      </c>
      <c r="K3088" s="15" t="s">
        <v>23</v>
      </c>
    </row>
    <row r="3089" spans="1:11" ht="42" customHeight="1">
      <c r="A3089" s="4" t="s">
        <v>8008</v>
      </c>
      <c r="B3089" s="5" t="s">
        <v>8008</v>
      </c>
      <c r="C3089" s="5" t="s">
        <v>94</v>
      </c>
      <c r="D3089" s="5" t="s">
        <v>95</v>
      </c>
      <c r="E3089" s="5" t="s">
        <v>616</v>
      </c>
      <c r="F3089" s="9" t="s">
        <v>8009</v>
      </c>
      <c r="G3089" s="9">
        <v>186</v>
      </c>
      <c r="H3089" s="5" t="s">
        <v>21</v>
      </c>
      <c r="I3089" s="5" t="s">
        <v>8010</v>
      </c>
      <c r="J3089" s="12" t="str">
        <f>HYPERLINK("https://www.boe.es/gazeta/dias/1808/08/19/pdfs/GMS-1808-24.pdf#page=2","Abrir facsímil")</f>
        <v>Abrir facsímil</v>
      </c>
      <c r="K3089" s="15" t="s">
        <v>23</v>
      </c>
    </row>
    <row r="3090" spans="1:11" ht="42" customHeight="1">
      <c r="A3090" s="4" t="s">
        <v>8008</v>
      </c>
      <c r="B3090" s="5" t="s">
        <v>8008</v>
      </c>
      <c r="C3090" s="5" t="s">
        <v>17</v>
      </c>
      <c r="D3090" s="5" t="s">
        <v>18</v>
      </c>
      <c r="E3090" s="5" t="s">
        <v>197</v>
      </c>
      <c r="F3090" s="9" t="s">
        <v>790</v>
      </c>
      <c r="G3090" s="9">
        <v>1406</v>
      </c>
      <c r="H3090" s="5" t="s">
        <v>21</v>
      </c>
      <c r="I3090" s="5" t="s">
        <v>8011</v>
      </c>
      <c r="J3090" s="12" t="str">
        <f>HYPERLINK("https://www.boe.es/gazeta/dias/1808/11/01/pdfs/GMD-1808-140.pdf#page=8","Abrir facsímil")</f>
        <v>Abrir facsímil</v>
      </c>
      <c r="K3090" s="15" t="s">
        <v>23</v>
      </c>
    </row>
    <row r="3091" spans="1:11" ht="42" customHeight="1">
      <c r="A3091" s="4" t="s">
        <v>8008</v>
      </c>
      <c r="B3091" s="5" t="s">
        <v>8008</v>
      </c>
      <c r="C3091" s="5" t="s">
        <v>94</v>
      </c>
      <c r="D3091" s="5" t="s">
        <v>95</v>
      </c>
      <c r="E3091" s="5" t="s">
        <v>73</v>
      </c>
      <c r="F3091" s="9" t="s">
        <v>581</v>
      </c>
      <c r="G3091" s="9">
        <v>1463</v>
      </c>
      <c r="H3091" s="5" t="s">
        <v>21</v>
      </c>
      <c r="I3091" s="5" t="s">
        <v>8012</v>
      </c>
      <c r="J3091" s="12" t="str">
        <f>HYPERLINK("https://www.boe.es/gazeta/dias/1808/11/11/pdfs/GMD-1808-143.pdf#page=5","Abrir facsímil")</f>
        <v>Abrir facsímil</v>
      </c>
      <c r="K3091" s="15" t="s">
        <v>23</v>
      </c>
    </row>
    <row r="3092" spans="1:11" ht="42" customHeight="1">
      <c r="A3092" s="4" t="s">
        <v>8013</v>
      </c>
      <c r="B3092" s="5" t="s">
        <v>8014</v>
      </c>
      <c r="C3092" s="5" t="s">
        <v>17</v>
      </c>
      <c r="D3092" s="5" t="s">
        <v>18</v>
      </c>
      <c r="E3092" s="5" t="s">
        <v>264</v>
      </c>
      <c r="F3092" s="9" t="s">
        <v>265</v>
      </c>
      <c r="G3092" s="9">
        <v>422</v>
      </c>
      <c r="H3092" s="5" t="s">
        <v>21</v>
      </c>
      <c r="I3092" s="5" t="s">
        <v>8015</v>
      </c>
      <c r="J3092" s="12" t="str">
        <f>HYPERLINK("https://www.boe.es/gazeta/dias/1808/11/29/pdfs/GMS-1808-53.pdf#page=6","Abrir facsímil")</f>
        <v>Abrir facsímil</v>
      </c>
      <c r="K3092" s="15" t="s">
        <v>23</v>
      </c>
    </row>
    <row r="3093" spans="1:11" ht="42" customHeight="1">
      <c r="A3093" s="4" t="s">
        <v>8016</v>
      </c>
      <c r="B3093" s="5" t="s">
        <v>8017</v>
      </c>
      <c r="C3093" s="5" t="s">
        <v>17</v>
      </c>
      <c r="D3093" s="5" t="s">
        <v>18</v>
      </c>
      <c r="E3093" s="5" t="s">
        <v>264</v>
      </c>
      <c r="F3093" s="9" t="s">
        <v>265</v>
      </c>
      <c r="G3093" s="9">
        <v>422</v>
      </c>
      <c r="H3093" s="5" t="s">
        <v>21</v>
      </c>
      <c r="I3093" s="5" t="s">
        <v>8018</v>
      </c>
      <c r="J3093" s="12" t="str">
        <f>HYPERLINK("https://www.boe.es/gazeta/dias/1808/11/29/pdfs/GMS-1808-53.pdf#page=6","Abrir facsímil")</f>
        <v>Abrir facsímil</v>
      </c>
      <c r="K3093" s="15" t="s">
        <v>23</v>
      </c>
    </row>
    <row r="3094" spans="1:11" ht="42" customHeight="1">
      <c r="A3094" s="4" t="s">
        <v>8019</v>
      </c>
      <c r="B3094" s="5" t="s">
        <v>8020</v>
      </c>
      <c r="C3094" s="5" t="s">
        <v>33</v>
      </c>
      <c r="D3094" s="5" t="s">
        <v>34</v>
      </c>
      <c r="E3094" s="5" t="s">
        <v>35</v>
      </c>
      <c r="F3094" s="9" t="s">
        <v>36</v>
      </c>
      <c r="G3094" s="9" t="s">
        <v>655</v>
      </c>
      <c r="H3094" s="5" t="s">
        <v>21</v>
      </c>
      <c r="I3094" s="5" t="s">
        <v>8021</v>
      </c>
      <c r="J3094" s="12" t="str">
        <f>HYPERLINK("https://www.boe.es/gazeta/dias/1808/04/22/pdfs/GMD-C-1808-38.pdf#page=43","Abrir facsímil")</f>
        <v>Abrir facsímil</v>
      </c>
      <c r="K3094" s="15" t="s">
        <v>23</v>
      </c>
    </row>
    <row r="3095" spans="1:11" ht="42" customHeight="1">
      <c r="A3095" s="4" t="s">
        <v>8022</v>
      </c>
      <c r="B3095" s="5" t="s">
        <v>8022</v>
      </c>
      <c r="C3095" s="5" t="s">
        <v>17</v>
      </c>
      <c r="D3095" s="5" t="s">
        <v>18</v>
      </c>
      <c r="E3095" s="5" t="s">
        <v>222</v>
      </c>
      <c r="F3095" s="9" t="s">
        <v>223</v>
      </c>
      <c r="G3095" s="9">
        <v>355</v>
      </c>
      <c r="H3095" s="5" t="s">
        <v>21</v>
      </c>
      <c r="I3095" s="5" t="s">
        <v>8023</v>
      </c>
      <c r="J3095" s="12" t="str">
        <f>HYPERLINK("https://www.boe.es/gazeta/dias/1808/04/08/pdfs/GMD-1808-32.pdf#page=9","Abrir facsímil")</f>
        <v>Abrir facsímil</v>
      </c>
      <c r="K3095" s="15" t="s">
        <v>23</v>
      </c>
    </row>
    <row r="3096" spans="1:11" ht="42" customHeight="1">
      <c r="A3096" s="4" t="s">
        <v>8022</v>
      </c>
      <c r="B3096" s="5" t="s">
        <v>8022</v>
      </c>
      <c r="C3096" s="5" t="s">
        <v>17</v>
      </c>
      <c r="D3096" s="5" t="s">
        <v>18</v>
      </c>
      <c r="E3096" s="5" t="s">
        <v>3001</v>
      </c>
      <c r="F3096" s="9" t="s">
        <v>3002</v>
      </c>
      <c r="G3096" s="9">
        <v>1652</v>
      </c>
      <c r="H3096" s="5" t="s">
        <v>21</v>
      </c>
      <c r="I3096" s="5" t="s">
        <v>8024</v>
      </c>
      <c r="J3096" s="12" t="str">
        <f>HYPERLINK("https://www.boe.es/gazeta/dias/1808/12/21/pdfs/GMD-1808-161.pdf#page=2","Abrir facsímil")</f>
        <v>Abrir facsímil</v>
      </c>
      <c r="K3096" s="15" t="s">
        <v>23</v>
      </c>
    </row>
    <row r="3097" spans="1:11" ht="42" customHeight="1">
      <c r="A3097" s="4" t="s">
        <v>8025</v>
      </c>
      <c r="B3097" s="5" t="s">
        <v>8025</v>
      </c>
      <c r="C3097" s="5" t="s">
        <v>101</v>
      </c>
      <c r="D3097" s="5" t="s">
        <v>102</v>
      </c>
      <c r="E3097" s="5" t="s">
        <v>6898</v>
      </c>
      <c r="F3097" s="9" t="s">
        <v>6899</v>
      </c>
      <c r="G3097" s="9">
        <v>711</v>
      </c>
      <c r="H3097" s="5" t="s">
        <v>21</v>
      </c>
      <c r="I3097" s="5" t="s">
        <v>8026</v>
      </c>
      <c r="J3097" s="12" t="str">
        <f>HYPERLINK("https://www.boe.es/gazeta/dias/1808/07/03/pdfs/GMD-1808-75.pdf#page=1","Abrir facsímil")</f>
        <v>Abrir facsímil</v>
      </c>
      <c r="K3097" s="15" t="s">
        <v>23</v>
      </c>
    </row>
    <row r="3098" spans="1:11" ht="42" customHeight="1">
      <c r="A3098" s="4" t="s">
        <v>8025</v>
      </c>
      <c r="B3098" s="5" t="s">
        <v>8025</v>
      </c>
      <c r="C3098" s="5" t="s">
        <v>94</v>
      </c>
      <c r="D3098" s="5" t="s">
        <v>95</v>
      </c>
      <c r="E3098" s="5" t="s">
        <v>3097</v>
      </c>
      <c r="F3098" s="9" t="s">
        <v>3098</v>
      </c>
      <c r="G3098" s="9">
        <v>823</v>
      </c>
      <c r="H3098" s="5" t="s">
        <v>21</v>
      </c>
      <c r="I3098" s="5" t="s">
        <v>8027</v>
      </c>
      <c r="J3098" s="12" t="str">
        <f>HYPERLINK("https://www.boe.es/gazeta/dias/1808/07/17/pdfs/GMD-1808-89.pdf#page=1","Abrir facsímil")</f>
        <v>Abrir facsímil</v>
      </c>
      <c r="K3098" s="15" t="s">
        <v>23</v>
      </c>
    </row>
    <row r="3099" spans="1:11" ht="42" customHeight="1">
      <c r="A3099" s="4" t="s">
        <v>8028</v>
      </c>
      <c r="B3099" s="5" t="s">
        <v>8028</v>
      </c>
      <c r="C3099" s="5" t="s">
        <v>17</v>
      </c>
      <c r="D3099" s="5" t="s">
        <v>18</v>
      </c>
      <c r="E3099" s="5" t="s">
        <v>616</v>
      </c>
      <c r="F3099" s="9" t="s">
        <v>617</v>
      </c>
      <c r="G3099" s="9">
        <v>1038</v>
      </c>
      <c r="H3099" s="5" t="s">
        <v>21</v>
      </c>
      <c r="I3099" s="5" t="s">
        <v>8029</v>
      </c>
      <c r="J3099" s="12" t="str">
        <f>HYPERLINK("https://www.boe.es/gazeta/dias/1808/08/19/pdfs/GMD-1808-115.pdf#page=4","Abrir facsímil")</f>
        <v>Abrir facsímil</v>
      </c>
      <c r="K3099" s="15" t="s">
        <v>23</v>
      </c>
    </row>
    <row r="3100" spans="1:11" ht="42" customHeight="1">
      <c r="A3100" s="4" t="s">
        <v>8030</v>
      </c>
      <c r="B3100" s="5" t="s">
        <v>8030</v>
      </c>
      <c r="C3100" s="5" t="s">
        <v>33</v>
      </c>
      <c r="D3100" s="5" t="s">
        <v>34</v>
      </c>
      <c r="E3100" s="5" t="s">
        <v>153</v>
      </c>
      <c r="F3100" s="9" t="s">
        <v>154</v>
      </c>
      <c r="G3100" s="9" t="s">
        <v>106</v>
      </c>
      <c r="H3100" s="5" t="s">
        <v>21</v>
      </c>
      <c r="I3100" s="5" t="s">
        <v>8031</v>
      </c>
      <c r="J3100" s="12" t="str">
        <f>HYPERLINK("https://www.boe.es/gazeta/dias/1808/09/09/pdfs/GMD-C-1808-121.pdf#page=3","Abrir facsímil")</f>
        <v>Abrir facsímil</v>
      </c>
      <c r="K3100" s="15" t="s">
        <v>23</v>
      </c>
    </row>
    <row r="3101" spans="1:11" ht="42" customHeight="1">
      <c r="A3101" s="4" t="s">
        <v>8032</v>
      </c>
      <c r="B3101" s="5" t="s">
        <v>8032</v>
      </c>
      <c r="C3101" s="5" t="s">
        <v>33</v>
      </c>
      <c r="D3101" s="5" t="s">
        <v>34</v>
      </c>
      <c r="E3101" s="5" t="s">
        <v>73</v>
      </c>
      <c r="F3101" s="9" t="s">
        <v>74</v>
      </c>
      <c r="G3101" s="9" t="s">
        <v>117</v>
      </c>
      <c r="H3101" s="5" t="s">
        <v>21</v>
      </c>
      <c r="I3101" s="5" t="s">
        <v>8033</v>
      </c>
      <c r="J3101" s="12" t="str">
        <f>HYPERLINK("https://www.boe.es/gazeta/dias/1808/11/11/pdfs/GMD-D-1808-143.pdf#page=1","Abrir facsímil")</f>
        <v>Abrir facsímil</v>
      </c>
      <c r="K3101" s="15" t="s">
        <v>23</v>
      </c>
    </row>
    <row r="3102" spans="1:11" ht="42" customHeight="1">
      <c r="A3102" s="4" t="s">
        <v>8034</v>
      </c>
      <c r="B3102" s="5" t="s">
        <v>8035</v>
      </c>
      <c r="C3102" s="5" t="s">
        <v>17</v>
      </c>
      <c r="D3102" s="5" t="s">
        <v>18</v>
      </c>
      <c r="E3102" s="5" t="s">
        <v>110</v>
      </c>
      <c r="F3102" s="9" t="s">
        <v>111</v>
      </c>
      <c r="G3102" s="9">
        <v>1383</v>
      </c>
      <c r="H3102" s="5" t="s">
        <v>21</v>
      </c>
      <c r="I3102" s="5" t="s">
        <v>8036</v>
      </c>
      <c r="J3102" s="12" t="str">
        <f>HYPERLINK("https://www.boe.es/gazeta/dias/1808/10/28/pdfs/GMD-1808-138.pdf#page=9","Abrir facsímil")</f>
        <v>Abrir facsímil</v>
      </c>
      <c r="K3102" s="15" t="s">
        <v>23</v>
      </c>
    </row>
    <row r="3103" spans="1:11" ht="42" customHeight="1">
      <c r="A3103" s="4" t="s">
        <v>8037</v>
      </c>
      <c r="B3103" s="5" t="s">
        <v>8038</v>
      </c>
      <c r="C3103" s="5" t="s">
        <v>17</v>
      </c>
      <c r="D3103" s="5" t="s">
        <v>18</v>
      </c>
      <c r="E3103" s="5" t="s">
        <v>522</v>
      </c>
      <c r="F3103" s="9" t="s">
        <v>523</v>
      </c>
      <c r="G3103" s="9">
        <v>984</v>
      </c>
      <c r="H3103" s="5" t="s">
        <v>21</v>
      </c>
      <c r="I3103" s="5" t="s">
        <v>8039</v>
      </c>
      <c r="J3103" s="12" t="str">
        <f>HYPERLINK("https://www.boe.es/gazeta/dias/1808/08/07/pdfs/GMD-1808-110.pdf#page=6","Abrir facsímil")</f>
        <v>Abrir facsímil</v>
      </c>
      <c r="K3103" s="15" t="s">
        <v>23</v>
      </c>
    </row>
    <row r="3104" spans="1:11" ht="42" customHeight="1">
      <c r="A3104" s="4" t="s">
        <v>8040</v>
      </c>
      <c r="B3104" s="5" t="s">
        <v>8041</v>
      </c>
      <c r="C3104" s="5" t="s">
        <v>94</v>
      </c>
      <c r="D3104" s="5" t="s">
        <v>95</v>
      </c>
      <c r="E3104" s="5" t="s">
        <v>572</v>
      </c>
      <c r="F3104" s="9" t="s">
        <v>573</v>
      </c>
      <c r="G3104" s="9">
        <v>20</v>
      </c>
      <c r="H3104" s="5" t="s">
        <v>21</v>
      </c>
      <c r="I3104" s="5" t="s">
        <v>8042</v>
      </c>
      <c r="J3104" s="12" t="str">
        <f>HYPERLINK("https://www.boe.es/gazeta/dias/1808/01/05/pdfs/GMD-1808-2.pdf#page=8","Abrir facsímil")</f>
        <v>Abrir facsímil</v>
      </c>
      <c r="K3104" s="15" t="s">
        <v>23</v>
      </c>
    </row>
    <row r="3105" spans="1:11" ht="42" customHeight="1">
      <c r="A3105" s="4" t="s">
        <v>8043</v>
      </c>
      <c r="B3105" s="5" t="s">
        <v>8044</v>
      </c>
      <c r="C3105" s="5" t="s">
        <v>33</v>
      </c>
      <c r="D3105" s="5" t="s">
        <v>34</v>
      </c>
      <c r="E3105" s="5" t="s">
        <v>427</v>
      </c>
      <c r="F3105" s="9" t="s">
        <v>428</v>
      </c>
      <c r="G3105" s="9" t="s">
        <v>117</v>
      </c>
      <c r="H3105" s="5" t="s">
        <v>21</v>
      </c>
      <c r="I3105" s="5" t="s">
        <v>8045</v>
      </c>
      <c r="J3105" s="12" t="str">
        <f>HYPERLINK("https://www.boe.es/gazeta/dias/1808/11/22/pdfs/GMD-D-1808-146.pdf#page=1","Abrir facsímil")</f>
        <v>Abrir facsímil</v>
      </c>
      <c r="K3105" s="15" t="s">
        <v>23</v>
      </c>
    </row>
    <row r="3106" spans="1:11" ht="42" customHeight="1">
      <c r="A3106" s="4" t="s">
        <v>8046</v>
      </c>
      <c r="B3106" s="5" t="s">
        <v>8047</v>
      </c>
      <c r="C3106" s="5" t="s">
        <v>33</v>
      </c>
      <c r="D3106" s="5" t="s">
        <v>34</v>
      </c>
      <c r="E3106" s="5" t="s">
        <v>54</v>
      </c>
      <c r="F3106" s="9" t="s">
        <v>8048</v>
      </c>
      <c r="G3106" s="9">
        <v>1091</v>
      </c>
      <c r="H3106" s="5" t="s">
        <v>21</v>
      </c>
      <c r="I3106" s="5" t="s">
        <v>8049</v>
      </c>
      <c r="J3106" s="12" t="str">
        <f>HYPERLINK("https://www.boe.es/gazeta/dias/1808/08/26/pdfs/GMD-C-1808-117.pdf#page=1","Abrir facsímil")</f>
        <v>Abrir facsímil</v>
      </c>
      <c r="K3106" s="15" t="s">
        <v>23</v>
      </c>
    </row>
    <row r="3107" spans="1:11" ht="42" customHeight="1">
      <c r="A3107" s="4" t="s">
        <v>8050</v>
      </c>
      <c r="B3107" s="5" t="s">
        <v>8051</v>
      </c>
      <c r="C3107" s="5" t="s">
        <v>33</v>
      </c>
      <c r="D3107" s="5" t="s">
        <v>34</v>
      </c>
      <c r="E3107" s="5" t="s">
        <v>334</v>
      </c>
      <c r="F3107" s="9" t="s">
        <v>335</v>
      </c>
      <c r="G3107" s="9">
        <v>1253</v>
      </c>
      <c r="H3107" s="5" t="s">
        <v>21</v>
      </c>
      <c r="I3107" s="5" t="s">
        <v>8052</v>
      </c>
      <c r="J3107" s="12" t="str">
        <f>HYPERLINK("https://www.boe.es/gazeta/dias/1808/10/04/pdfs/GMD-C-1808-131.pdf#page=5","Abrir facsímil")</f>
        <v>Abrir facsímil</v>
      </c>
      <c r="K3107" s="15" t="s">
        <v>23</v>
      </c>
    </row>
    <row r="3108" spans="1:11" ht="42" customHeight="1">
      <c r="A3108" s="4" t="s">
        <v>8053</v>
      </c>
      <c r="B3108" s="5" t="s">
        <v>8054</v>
      </c>
      <c r="C3108" s="5" t="s">
        <v>17</v>
      </c>
      <c r="D3108" s="5" t="s">
        <v>18</v>
      </c>
      <c r="E3108" s="5" t="s">
        <v>2159</v>
      </c>
      <c r="F3108" s="9" t="s">
        <v>2160</v>
      </c>
      <c r="G3108" s="9">
        <v>183</v>
      </c>
      <c r="H3108" s="5" t="s">
        <v>21</v>
      </c>
      <c r="I3108" s="5" t="s">
        <v>8055</v>
      </c>
      <c r="J3108" s="12" t="str">
        <f>HYPERLINK("https://www.boe.es/gazeta/dias/1808/02/19/pdfs/GMD-1808-15.pdf#page=13","Abrir facsímil")</f>
        <v>Abrir facsímil</v>
      </c>
      <c r="K3108" s="15" t="s">
        <v>23</v>
      </c>
    </row>
    <row r="3109" spans="1:11" ht="42" customHeight="1">
      <c r="A3109" s="4" t="s">
        <v>8056</v>
      </c>
      <c r="B3109" s="5" t="s">
        <v>8057</v>
      </c>
      <c r="C3109" s="5" t="s">
        <v>94</v>
      </c>
      <c r="D3109" s="5" t="s">
        <v>95</v>
      </c>
      <c r="E3109" s="5" t="s">
        <v>120</v>
      </c>
      <c r="F3109" s="9" t="s">
        <v>121</v>
      </c>
      <c r="G3109" s="9">
        <v>315</v>
      </c>
      <c r="H3109" s="5" t="s">
        <v>21</v>
      </c>
      <c r="I3109" s="5" t="s">
        <v>8058</v>
      </c>
      <c r="J3109" s="12" t="str">
        <f>HYPERLINK("https://www.boe.es/gazeta/dias/1808/03/29/pdfs/GMD-1808-27.pdf#page=11","Abrir facsímil")</f>
        <v>Abrir facsímil</v>
      </c>
      <c r="K3109" s="15" t="s">
        <v>23</v>
      </c>
    </row>
    <row r="3110" spans="1:11" ht="42" customHeight="1">
      <c r="A3110" s="4" t="s">
        <v>8059</v>
      </c>
      <c r="B3110" s="5" t="s">
        <v>8060</v>
      </c>
      <c r="C3110" s="5" t="s">
        <v>94</v>
      </c>
      <c r="D3110" s="5" t="s">
        <v>95</v>
      </c>
      <c r="E3110" s="5" t="s">
        <v>877</v>
      </c>
      <c r="F3110" s="9" t="s">
        <v>878</v>
      </c>
      <c r="G3110" s="9">
        <v>120</v>
      </c>
      <c r="H3110" s="5" t="s">
        <v>21</v>
      </c>
      <c r="I3110" s="5" t="s">
        <v>8061</v>
      </c>
      <c r="J3110" s="12" t="str">
        <f>HYPERLINK("https://www.boe.es/gazeta/dias/1808/02/02/pdfs/GMD-1808-10.pdf#page=12","Abrir facsímil")</f>
        <v>Abrir facsímil</v>
      </c>
      <c r="K3110" s="15" t="s">
        <v>23</v>
      </c>
    </row>
    <row r="3111" spans="1:11" ht="42" customHeight="1">
      <c r="A3111" s="4" t="s">
        <v>8062</v>
      </c>
      <c r="B3111" s="5" t="s">
        <v>8063</v>
      </c>
      <c r="C3111" s="5" t="s">
        <v>17</v>
      </c>
      <c r="D3111" s="5" t="s">
        <v>18</v>
      </c>
      <c r="E3111" s="5" t="s">
        <v>8064</v>
      </c>
      <c r="F3111" s="9" t="s">
        <v>8065</v>
      </c>
      <c r="G3111" s="9">
        <v>758</v>
      </c>
      <c r="H3111" s="5" t="s">
        <v>21</v>
      </c>
      <c r="I3111" s="5" t="s">
        <v>8066</v>
      </c>
      <c r="J3111" s="12" t="str">
        <f>HYPERLINK("https://www.boe.es/gazeta/dias/1808/07/08/pdfs/GMD-1808-80.pdf#page=8","Abrir facsímil")</f>
        <v>Abrir facsímil</v>
      </c>
      <c r="K3111" s="15" t="s">
        <v>23</v>
      </c>
    </row>
    <row r="3112" spans="1:11" ht="42" customHeight="1">
      <c r="A3112" s="4" t="s">
        <v>8067</v>
      </c>
      <c r="B3112" s="5" t="s">
        <v>8067</v>
      </c>
      <c r="C3112" s="5" t="s">
        <v>33</v>
      </c>
      <c r="D3112" s="5" t="s">
        <v>34</v>
      </c>
      <c r="E3112" s="5" t="s">
        <v>35</v>
      </c>
      <c r="F3112" s="9" t="s">
        <v>36</v>
      </c>
      <c r="G3112" s="9" t="s">
        <v>279</v>
      </c>
      <c r="H3112" s="5" t="s">
        <v>21</v>
      </c>
      <c r="I3112" s="5" t="s">
        <v>8068</v>
      </c>
      <c r="J3112" s="12" t="str">
        <f>HYPERLINK("https://www.boe.es/gazeta/dias/1808/04/22/pdfs/GMD-C-1808-38.pdf#page=44","Abrir facsímil")</f>
        <v>Abrir facsímil</v>
      </c>
      <c r="K3112" s="15" t="s">
        <v>23</v>
      </c>
    </row>
    <row r="3113" spans="1:11" ht="42" customHeight="1">
      <c r="A3113" s="4" t="s">
        <v>8069</v>
      </c>
      <c r="B3113" s="5" t="s">
        <v>8070</v>
      </c>
      <c r="C3113" s="5" t="s">
        <v>33</v>
      </c>
      <c r="D3113" s="5" t="s">
        <v>34</v>
      </c>
      <c r="E3113" s="5" t="s">
        <v>427</v>
      </c>
      <c r="F3113" s="9" t="s">
        <v>428</v>
      </c>
      <c r="G3113" s="9" t="s">
        <v>106</v>
      </c>
      <c r="H3113" s="5" t="s">
        <v>21</v>
      </c>
      <c r="I3113" s="5" t="s">
        <v>8071</v>
      </c>
      <c r="J3113" s="12" t="str">
        <f>HYPERLINK("https://www.boe.es/gazeta/dias/1808/11/22/pdfs/GMD-D-1808-146.pdf#page=3","Abrir facsímil")</f>
        <v>Abrir facsímil</v>
      </c>
      <c r="K3113" s="15" t="s">
        <v>23</v>
      </c>
    </row>
    <row r="3114" spans="1:11" ht="42" customHeight="1">
      <c r="A3114" s="4" t="s">
        <v>8072</v>
      </c>
      <c r="B3114" s="5" t="s">
        <v>8073</v>
      </c>
      <c r="C3114" s="5" t="s">
        <v>33</v>
      </c>
      <c r="D3114" s="5" t="s">
        <v>34</v>
      </c>
      <c r="E3114" s="5" t="s">
        <v>110</v>
      </c>
      <c r="F3114" s="9" t="s">
        <v>828</v>
      </c>
      <c r="G3114" s="9" t="s">
        <v>75</v>
      </c>
      <c r="H3114" s="5" t="s">
        <v>21</v>
      </c>
      <c r="I3114" s="5" t="s">
        <v>8074</v>
      </c>
      <c r="J3114" s="12" t="str">
        <f>HYPERLINK("https://www.boe.es/gazeta/dias/1808/10/28/pdfs/GMD-D-1808-138.pdf#page=4","Abrir facsímil")</f>
        <v>Abrir facsímil</v>
      </c>
      <c r="K3114" s="15" t="s">
        <v>23</v>
      </c>
    </row>
    <row r="3115" spans="1:11" ht="42" customHeight="1">
      <c r="A3115" s="4" t="s">
        <v>8075</v>
      </c>
      <c r="B3115" s="5" t="s">
        <v>8075</v>
      </c>
      <c r="C3115" s="5" t="s">
        <v>17</v>
      </c>
      <c r="D3115" s="5" t="s">
        <v>18</v>
      </c>
      <c r="E3115" s="5" t="s">
        <v>68</v>
      </c>
      <c r="F3115" s="9" t="s">
        <v>69</v>
      </c>
      <c r="G3115" s="9">
        <v>1338</v>
      </c>
      <c r="H3115" s="5" t="s">
        <v>21</v>
      </c>
      <c r="I3115" s="5" t="s">
        <v>8076</v>
      </c>
      <c r="J3115" s="12" t="str">
        <f>HYPERLINK("https://www.boe.es/gazeta/dias/1808/10/21/pdfs/GMD-1808-136.pdf#page=10","Abrir facsímil")</f>
        <v>Abrir facsímil</v>
      </c>
      <c r="K3115" s="15" t="s">
        <v>23</v>
      </c>
    </row>
    <row r="3116" spans="1:11" ht="42" customHeight="1">
      <c r="A3116" s="4" t="s">
        <v>8077</v>
      </c>
      <c r="B3116" s="5" t="s">
        <v>8077</v>
      </c>
      <c r="C3116" s="5" t="s">
        <v>33</v>
      </c>
      <c r="D3116" s="5" t="s">
        <v>34</v>
      </c>
      <c r="E3116" s="5" t="s">
        <v>391</v>
      </c>
      <c r="F3116" s="9" t="s">
        <v>588</v>
      </c>
      <c r="G3116" s="9" t="s">
        <v>75</v>
      </c>
      <c r="H3116" s="5" t="s">
        <v>21</v>
      </c>
      <c r="I3116" s="5" t="s">
        <v>8078</v>
      </c>
      <c r="J3116" s="12" t="str">
        <f>HYPERLINK("https://www.boe.es/gazeta/dias/1808/09/27/pdfs/GMD-C-1808-128.pdf#page=4","Abrir facsímil")</f>
        <v>Abrir facsímil</v>
      </c>
      <c r="K3116" s="15" t="s">
        <v>23</v>
      </c>
    </row>
    <row r="3117" spans="1:11" ht="42" customHeight="1">
      <c r="A3117" s="4" t="s">
        <v>8079</v>
      </c>
      <c r="B3117" s="5" t="s">
        <v>8080</v>
      </c>
      <c r="C3117" s="5" t="s">
        <v>17</v>
      </c>
      <c r="D3117" s="5" t="s">
        <v>18</v>
      </c>
      <c r="E3117" s="5" t="s">
        <v>65</v>
      </c>
      <c r="F3117" s="9" t="s">
        <v>66</v>
      </c>
      <c r="G3117" s="9">
        <v>1311</v>
      </c>
      <c r="H3117" s="5" t="s">
        <v>21</v>
      </c>
      <c r="I3117" s="5" t="s">
        <v>8081</v>
      </c>
      <c r="J3117" s="12" t="str">
        <f>HYPERLINK("https://www.boe.es/gazeta/dias/1808/10/18/pdfs/GMD-1808-135.pdf#page=11","Abrir facsímil")</f>
        <v>Abrir facsímil</v>
      </c>
      <c r="K3117" s="15" t="s">
        <v>23</v>
      </c>
    </row>
    <row r="3118" spans="1:11" ht="42" customHeight="1">
      <c r="A3118" s="4" t="s">
        <v>8082</v>
      </c>
      <c r="B3118" s="5" t="s">
        <v>8083</v>
      </c>
      <c r="C3118" s="5" t="s">
        <v>33</v>
      </c>
      <c r="D3118" s="5" t="s">
        <v>34</v>
      </c>
      <c r="E3118" s="5" t="s">
        <v>456</v>
      </c>
      <c r="F3118" s="9" t="s">
        <v>748</v>
      </c>
      <c r="G3118" s="9" t="s">
        <v>75</v>
      </c>
      <c r="H3118" s="5" t="s">
        <v>21</v>
      </c>
      <c r="I3118" s="5" t="s">
        <v>8084</v>
      </c>
      <c r="J3118" s="12" t="str">
        <f>HYPERLINK("https://www.boe.es/gazeta/dias/1808/10/14/pdfs/GMD-C-1808-134.pdf#page=4","Abrir facsímil")</f>
        <v>Abrir facsímil</v>
      </c>
      <c r="K3118" s="15" t="s">
        <v>23</v>
      </c>
    </row>
    <row r="3119" spans="1:11" ht="42" customHeight="1">
      <c r="A3119" s="4" t="s">
        <v>8085</v>
      </c>
      <c r="B3119" s="5" t="s">
        <v>8085</v>
      </c>
      <c r="C3119" s="5" t="s">
        <v>33</v>
      </c>
      <c r="D3119" s="5" t="s">
        <v>34</v>
      </c>
      <c r="E3119" s="5" t="s">
        <v>139</v>
      </c>
      <c r="F3119" s="9" t="s">
        <v>1089</v>
      </c>
      <c r="G3119" s="9" t="s">
        <v>117</v>
      </c>
      <c r="H3119" s="5" t="s">
        <v>21</v>
      </c>
      <c r="I3119" s="5" t="s">
        <v>8086</v>
      </c>
      <c r="J3119" s="12" t="str">
        <f>HYPERLINK("https://www.boe.es/gazeta/dias/1808/09/23/pdfs/GMD-C-1808-127.pdf#page=1","Abrir facsímil")</f>
        <v>Abrir facsímil</v>
      </c>
      <c r="K3119" s="15" t="s">
        <v>23</v>
      </c>
    </row>
    <row r="3120" spans="1:11" ht="42" customHeight="1">
      <c r="A3120" s="4" t="s">
        <v>8087</v>
      </c>
      <c r="B3120" s="5" t="s">
        <v>8088</v>
      </c>
      <c r="C3120" s="5" t="s">
        <v>41</v>
      </c>
      <c r="D3120" s="5" t="s">
        <v>42</v>
      </c>
      <c r="E3120" s="5" t="s">
        <v>478</v>
      </c>
      <c r="F3120" s="9" t="s">
        <v>479</v>
      </c>
      <c r="G3120" s="9">
        <v>244</v>
      </c>
      <c r="H3120" s="5" t="s">
        <v>21</v>
      </c>
      <c r="I3120" s="5" t="s">
        <v>8089</v>
      </c>
      <c r="J3120" s="12" t="str">
        <f>HYPERLINK("https://www.boe.es/gazeta/dias/1808/03/08/pdfs/GMD-1808-20.pdf#page=10","Abrir facsímil")</f>
        <v>Abrir facsímil</v>
      </c>
      <c r="K3120" s="15" t="s">
        <v>23</v>
      </c>
    </row>
    <row r="3121" spans="1:11" ht="42" customHeight="1">
      <c r="A3121" s="4" t="s">
        <v>8090</v>
      </c>
      <c r="B3121" s="5" t="s">
        <v>8091</v>
      </c>
      <c r="C3121" s="5" t="s">
        <v>41</v>
      </c>
      <c r="D3121" s="5" t="s">
        <v>42</v>
      </c>
      <c r="E3121" s="5" t="s">
        <v>35</v>
      </c>
      <c r="F3121" s="9" t="s">
        <v>36</v>
      </c>
      <c r="G3121" s="9" t="s">
        <v>1128</v>
      </c>
      <c r="H3121" s="5" t="s">
        <v>21</v>
      </c>
      <c r="I3121" s="5" t="s">
        <v>8092</v>
      </c>
      <c r="J3121" s="12" t="str">
        <f>HYPERLINK("https://www.boe.es/gazeta/dias/1808/04/22/pdfs/GMD-C-1808-38.pdf#page=11","Abrir facsímil")</f>
        <v>Abrir facsímil</v>
      </c>
      <c r="K3121" s="15" t="s">
        <v>23</v>
      </c>
    </row>
    <row r="3122" spans="1:11" ht="42" customHeight="1">
      <c r="A3122" s="4" t="s">
        <v>8093</v>
      </c>
      <c r="B3122" s="5" t="s">
        <v>8094</v>
      </c>
      <c r="C3122" s="5" t="s">
        <v>17</v>
      </c>
      <c r="D3122" s="5" t="s">
        <v>18</v>
      </c>
      <c r="E3122" s="5" t="s">
        <v>130</v>
      </c>
      <c r="F3122" s="9" t="s">
        <v>131</v>
      </c>
      <c r="G3122" s="9">
        <v>1602</v>
      </c>
      <c r="H3122" s="5" t="s">
        <v>21</v>
      </c>
      <c r="I3122" s="5" t="s">
        <v>8095</v>
      </c>
      <c r="J3122" s="12" t="str">
        <f>HYPERLINK("https://www.boe.es/gazeta/dias/1808/12/15/pdfs/GMD-1808-155.pdf#page=6","Abrir facsímil")</f>
        <v>Abrir facsímil</v>
      </c>
      <c r="K3122" s="15" t="s">
        <v>23</v>
      </c>
    </row>
    <row r="3123" spans="1:11" ht="42" customHeight="1">
      <c r="A3123" s="4" t="s">
        <v>8096</v>
      </c>
      <c r="B3123" s="5" t="s">
        <v>8097</v>
      </c>
      <c r="C3123" s="5" t="s">
        <v>33</v>
      </c>
      <c r="D3123" s="5" t="s">
        <v>34</v>
      </c>
      <c r="E3123" s="5" t="s">
        <v>558</v>
      </c>
      <c r="F3123" s="9" t="s">
        <v>758</v>
      </c>
      <c r="G3123" s="9" t="s">
        <v>199</v>
      </c>
      <c r="H3123" s="5" t="s">
        <v>21</v>
      </c>
      <c r="I3123" s="5" t="s">
        <v>8098</v>
      </c>
      <c r="J3123" s="12" t="str">
        <f>HYPERLINK("https://www.boe.es/gazeta/dias/1808/11/25/pdfs/GMD-E-1808-147.pdf#page=2","Abrir facsímil")</f>
        <v>Abrir facsímil</v>
      </c>
      <c r="K3123" s="15" t="s">
        <v>23</v>
      </c>
    </row>
    <row r="3124" spans="1:11" ht="42" customHeight="1">
      <c r="A3124" s="4" t="s">
        <v>8099</v>
      </c>
      <c r="B3124" s="5" t="s">
        <v>8100</v>
      </c>
      <c r="C3124" s="5" t="s">
        <v>17</v>
      </c>
      <c r="D3124" s="5" t="s">
        <v>18</v>
      </c>
      <c r="E3124" s="5" t="s">
        <v>461</v>
      </c>
      <c r="F3124" s="9" t="s">
        <v>733</v>
      </c>
      <c r="G3124" s="9">
        <v>1447</v>
      </c>
      <c r="H3124" s="5" t="s">
        <v>21</v>
      </c>
      <c r="I3124" s="5" t="s">
        <v>8101</v>
      </c>
      <c r="J3124" s="12" t="str">
        <f>HYPERLINK("https://www.boe.es/gazeta/dias/1808/11/08/pdfs/GMD-1808-142.pdf#page=9","Abrir facsímil")</f>
        <v>Abrir facsímil</v>
      </c>
      <c r="K3124" s="15" t="s">
        <v>23</v>
      </c>
    </row>
    <row r="3125" spans="1:11" ht="42" customHeight="1">
      <c r="A3125" s="4" t="s">
        <v>8102</v>
      </c>
      <c r="B3125" s="5" t="s">
        <v>8103</v>
      </c>
      <c r="C3125" s="5" t="s">
        <v>17</v>
      </c>
      <c r="D3125" s="5" t="s">
        <v>18</v>
      </c>
      <c r="E3125" s="5" t="s">
        <v>65</v>
      </c>
      <c r="F3125" s="9" t="s">
        <v>66</v>
      </c>
      <c r="G3125" s="9">
        <v>1307</v>
      </c>
      <c r="H3125" s="5" t="s">
        <v>21</v>
      </c>
      <c r="I3125" s="5" t="s">
        <v>8104</v>
      </c>
      <c r="J3125" s="12" t="str">
        <f>HYPERLINK("https://www.boe.es/gazeta/dias/1808/10/18/pdfs/GMD-1808-135.pdf#page=7","Abrir facsímil")</f>
        <v>Abrir facsímil</v>
      </c>
      <c r="K3125" s="15" t="s">
        <v>23</v>
      </c>
    </row>
    <row r="3126" spans="1:11" ht="42" customHeight="1">
      <c r="A3126" s="4" t="s">
        <v>8105</v>
      </c>
      <c r="B3126" s="5" t="s">
        <v>8106</v>
      </c>
      <c r="C3126" s="5" t="s">
        <v>17</v>
      </c>
      <c r="D3126" s="5" t="s">
        <v>18</v>
      </c>
      <c r="E3126" s="5" t="s">
        <v>1385</v>
      </c>
      <c r="F3126" s="9" t="s">
        <v>1386</v>
      </c>
      <c r="G3126" s="9">
        <v>230</v>
      </c>
      <c r="H3126" s="5" t="s">
        <v>21</v>
      </c>
      <c r="I3126" s="5" t="s">
        <v>8107</v>
      </c>
      <c r="J3126" s="12" t="str">
        <f>HYPERLINK("https://www.boe.es/gazeta/dias/1808/03/04/pdfs/GMD-1808-19.pdf#page=8","Abrir facsímil")</f>
        <v>Abrir facsímil</v>
      </c>
      <c r="K3126" s="15" t="s">
        <v>23</v>
      </c>
    </row>
    <row r="3127" spans="1:11" ht="42" customHeight="1">
      <c r="A3127" s="4" t="s">
        <v>8108</v>
      </c>
      <c r="B3127" s="5" t="s">
        <v>8109</v>
      </c>
      <c r="C3127" s="5" t="s">
        <v>94</v>
      </c>
      <c r="D3127" s="5" t="s">
        <v>95</v>
      </c>
      <c r="E3127" s="5" t="s">
        <v>418</v>
      </c>
      <c r="F3127" s="9" t="s">
        <v>419</v>
      </c>
      <c r="G3127" s="9">
        <v>1128</v>
      </c>
      <c r="H3127" s="5" t="s">
        <v>21</v>
      </c>
      <c r="I3127" s="5" t="s">
        <v>8110</v>
      </c>
      <c r="J3127" s="12" t="str">
        <f>HYPERLINK("https://www.boe.es/gazeta/dias/1808/09/06/pdfs/GMD-C-1808-120.pdf#page=2","Abrir facsímil")</f>
        <v>Abrir facsímil</v>
      </c>
      <c r="K3127" s="15" t="s">
        <v>23</v>
      </c>
    </row>
    <row r="3128" spans="1:11" ht="42" customHeight="1">
      <c r="A3128" s="4" t="s">
        <v>8111</v>
      </c>
      <c r="B3128" s="5" t="s">
        <v>8112</v>
      </c>
      <c r="C3128" s="5" t="s">
        <v>17</v>
      </c>
      <c r="D3128" s="5" t="s">
        <v>18</v>
      </c>
      <c r="E3128" s="5" t="s">
        <v>519</v>
      </c>
      <c r="F3128" s="9" t="s">
        <v>520</v>
      </c>
      <c r="G3128" s="9">
        <v>967</v>
      </c>
      <c r="H3128" s="5" t="s">
        <v>21</v>
      </c>
      <c r="I3128" s="5" t="s">
        <v>8113</v>
      </c>
      <c r="J3128" s="12" t="str">
        <f>HYPERLINK("https://www.boe.es/gazeta/dias/1808/08/04/pdfs/GMD-1808-107.pdf#page=1","Abrir facsímil")</f>
        <v>Abrir facsímil</v>
      </c>
      <c r="K3128" s="15" t="s">
        <v>23</v>
      </c>
    </row>
    <row r="3129" spans="1:11" ht="42" customHeight="1">
      <c r="A3129" s="4" t="s">
        <v>8114</v>
      </c>
      <c r="B3129" s="5" t="s">
        <v>8115</v>
      </c>
      <c r="C3129" s="5" t="s">
        <v>17</v>
      </c>
      <c r="D3129" s="5" t="s">
        <v>18</v>
      </c>
      <c r="E3129" s="5" t="s">
        <v>73</v>
      </c>
      <c r="F3129" s="9" t="s">
        <v>581</v>
      </c>
      <c r="G3129" s="9">
        <v>1467</v>
      </c>
      <c r="H3129" s="5" t="s">
        <v>21</v>
      </c>
      <c r="I3129" s="5" t="s">
        <v>8116</v>
      </c>
      <c r="J3129" s="12" t="str">
        <f>HYPERLINK("https://www.boe.es/gazeta/dias/1808/11/11/pdfs/GMD-1808-143.pdf#page=9","Abrir facsímil")</f>
        <v>Abrir facsímil</v>
      </c>
      <c r="K3129" s="15" t="s">
        <v>23</v>
      </c>
    </row>
    <row r="3130" spans="1:11" ht="42" customHeight="1">
      <c r="A3130" s="4" t="s">
        <v>8117</v>
      </c>
      <c r="B3130" s="5" t="s">
        <v>8117</v>
      </c>
      <c r="C3130" s="5" t="s">
        <v>17</v>
      </c>
      <c r="D3130" s="5" t="s">
        <v>18</v>
      </c>
      <c r="E3130" s="5" t="s">
        <v>2194</v>
      </c>
      <c r="F3130" s="9" t="s">
        <v>3881</v>
      </c>
      <c r="G3130" s="9">
        <v>339</v>
      </c>
      <c r="H3130" s="5" t="s">
        <v>21</v>
      </c>
      <c r="I3130" s="5" t="s">
        <v>8118</v>
      </c>
      <c r="J3130" s="12" t="str">
        <f>HYPERLINK("https://www.boe.es/gazeta/dias/1808/04/05/pdfs/GMD-1808-31.pdf#page=5","Abrir facsímil")</f>
        <v>Abrir facsímil</v>
      </c>
      <c r="K3130" s="15" t="s">
        <v>23</v>
      </c>
    </row>
    <row r="3131" spans="1:11" ht="42" customHeight="1">
      <c r="A3131" s="4" t="s">
        <v>8117</v>
      </c>
      <c r="B3131" s="5" t="s">
        <v>8117</v>
      </c>
      <c r="C3131" s="5" t="s">
        <v>389</v>
      </c>
      <c r="D3131" s="5" t="s">
        <v>390</v>
      </c>
      <c r="E3131" s="5" t="s">
        <v>1896</v>
      </c>
      <c r="F3131" s="9" t="s">
        <v>1897</v>
      </c>
      <c r="G3131" s="9">
        <v>777</v>
      </c>
      <c r="H3131" s="5" t="s">
        <v>21</v>
      </c>
      <c r="I3131" s="5" t="s">
        <v>8119</v>
      </c>
      <c r="J3131" s="12" t="str">
        <f>HYPERLINK("https://www.boe.es/gazeta/dias/1808/07/11/pdfs/GMD-1808-83.pdf#page=3","Abrir facsímil")</f>
        <v>Abrir facsímil</v>
      </c>
      <c r="K3131" s="15" t="s">
        <v>23</v>
      </c>
    </row>
    <row r="3132" spans="1:11" ht="42" customHeight="1">
      <c r="A3132" s="4" t="s">
        <v>8120</v>
      </c>
      <c r="B3132" s="5" t="s">
        <v>8121</v>
      </c>
      <c r="C3132" s="5" t="s">
        <v>33</v>
      </c>
      <c r="D3132" s="5" t="s">
        <v>34</v>
      </c>
      <c r="E3132" s="5" t="s">
        <v>35</v>
      </c>
      <c r="F3132" s="9" t="s">
        <v>36</v>
      </c>
      <c r="G3132" s="9" t="s">
        <v>135</v>
      </c>
      <c r="H3132" s="5" t="s">
        <v>21</v>
      </c>
      <c r="I3132" s="5" t="s">
        <v>8122</v>
      </c>
      <c r="J3132" s="12" t="str">
        <f>HYPERLINK("https://www.boe.es/gazeta/dias/1808/04/22/pdfs/GMD-C-1808-38.pdf#page=26","Abrir facsímil")</f>
        <v>Abrir facsímil</v>
      </c>
      <c r="K3132" s="15" t="s">
        <v>23</v>
      </c>
    </row>
    <row r="3133" spans="1:11" ht="42" customHeight="1">
      <c r="A3133" s="4" t="s">
        <v>8120</v>
      </c>
      <c r="B3133" s="5" t="s">
        <v>8121</v>
      </c>
      <c r="C3133" s="5" t="s">
        <v>33</v>
      </c>
      <c r="D3133" s="5" t="s">
        <v>34</v>
      </c>
      <c r="E3133" s="5" t="s">
        <v>35</v>
      </c>
      <c r="F3133" s="9" t="s">
        <v>36</v>
      </c>
      <c r="G3133" s="9" t="s">
        <v>162</v>
      </c>
      <c r="H3133" s="5" t="s">
        <v>21</v>
      </c>
      <c r="I3133" s="5" t="s">
        <v>8123</v>
      </c>
      <c r="J3133" s="12" t="str">
        <f>HYPERLINK("https://www.boe.es/gazeta/dias/1808/04/22/pdfs/GMD-C-1808-38.pdf#page=31","Abrir facsímil")</f>
        <v>Abrir facsímil</v>
      </c>
      <c r="K3133" s="15" t="s">
        <v>23</v>
      </c>
    </row>
    <row r="3134" spans="1:11" ht="42" customHeight="1">
      <c r="A3134" s="4" t="s">
        <v>8124</v>
      </c>
      <c r="B3134" s="5" t="s">
        <v>8125</v>
      </c>
      <c r="C3134" s="5" t="s">
        <v>33</v>
      </c>
      <c r="D3134" s="5" t="s">
        <v>34</v>
      </c>
      <c r="E3134" s="5" t="s">
        <v>35</v>
      </c>
      <c r="F3134" s="9" t="s">
        <v>36</v>
      </c>
      <c r="G3134" s="9" t="s">
        <v>117</v>
      </c>
      <c r="H3134" s="5" t="s">
        <v>21</v>
      </c>
      <c r="I3134" s="5" t="s">
        <v>8126</v>
      </c>
      <c r="J3134" s="12" t="str">
        <f>HYPERLINK("https://www.boe.es/gazeta/dias/1808/04/22/pdfs/GMD-C-1808-38.pdf#page=1","Abrir facsímil")</f>
        <v>Abrir facsímil</v>
      </c>
      <c r="K3134" s="15" t="s">
        <v>23</v>
      </c>
    </row>
    <row r="3135" spans="1:11" ht="42" customHeight="1">
      <c r="A3135" s="4" t="s">
        <v>8124</v>
      </c>
      <c r="B3135" s="5" t="s">
        <v>8125</v>
      </c>
      <c r="C3135" s="5" t="s">
        <v>33</v>
      </c>
      <c r="D3135" s="5" t="s">
        <v>34</v>
      </c>
      <c r="E3135" s="5" t="s">
        <v>35</v>
      </c>
      <c r="F3135" s="9" t="s">
        <v>36</v>
      </c>
      <c r="G3135" s="9" t="s">
        <v>313</v>
      </c>
      <c r="H3135" s="5" t="s">
        <v>21</v>
      </c>
      <c r="I3135" s="5" t="s">
        <v>8127</v>
      </c>
      <c r="J3135" s="12" t="str">
        <f>HYPERLINK("https://www.boe.es/gazeta/dias/1808/04/22/pdfs/GMD-C-1808-38.pdf#page=29","Abrir facsímil")</f>
        <v>Abrir facsímil</v>
      </c>
      <c r="K3135" s="15" t="s">
        <v>23</v>
      </c>
    </row>
    <row r="3136" spans="1:11" ht="42" customHeight="1">
      <c r="A3136" s="4" t="s">
        <v>8128</v>
      </c>
      <c r="B3136" s="5" t="s">
        <v>8129</v>
      </c>
      <c r="C3136" s="5" t="s">
        <v>41</v>
      </c>
      <c r="D3136" s="5" t="s">
        <v>42</v>
      </c>
      <c r="E3136" s="5" t="s">
        <v>180</v>
      </c>
      <c r="F3136" s="9" t="s">
        <v>768</v>
      </c>
      <c r="G3136" s="9" t="s">
        <v>199</v>
      </c>
      <c r="H3136" s="5" t="s">
        <v>21</v>
      </c>
      <c r="I3136" s="5" t="s">
        <v>8130</v>
      </c>
      <c r="J3136" s="12" t="str">
        <f>HYPERLINK("https://www.boe.es/gazeta/dias/1808/11/15/pdfs/GMD-D-1808-144.pdf#page=2","Abrir facsímil")</f>
        <v>Abrir facsímil</v>
      </c>
      <c r="K3136" s="15" t="s">
        <v>23</v>
      </c>
    </row>
    <row r="3137" spans="1:11" ht="42" customHeight="1">
      <c r="A3137" s="4" t="s">
        <v>8131</v>
      </c>
      <c r="B3137" s="5" t="s">
        <v>8132</v>
      </c>
      <c r="C3137" s="5" t="s">
        <v>33</v>
      </c>
      <c r="D3137" s="5" t="s">
        <v>34</v>
      </c>
      <c r="E3137" s="5" t="s">
        <v>65</v>
      </c>
      <c r="F3137" s="9" t="s">
        <v>691</v>
      </c>
      <c r="G3137" s="9">
        <v>1327</v>
      </c>
      <c r="H3137" s="5" t="s">
        <v>21</v>
      </c>
      <c r="I3137" s="5" t="s">
        <v>8133</v>
      </c>
      <c r="J3137" s="12" t="str">
        <f>HYPERLINK("https://www.boe.es/gazeta/dias/1808/10/18/pdfs/GMD-C-1808-135.pdf#page=11","Abrir facsímil")</f>
        <v>Abrir facsímil</v>
      </c>
      <c r="K3137" s="15" t="s">
        <v>23</v>
      </c>
    </row>
    <row r="3138" spans="1:11" ht="42" customHeight="1">
      <c r="A3138" s="4" t="s">
        <v>8134</v>
      </c>
      <c r="B3138" s="5" t="s">
        <v>8135</v>
      </c>
      <c r="C3138" s="5" t="s">
        <v>17</v>
      </c>
      <c r="D3138" s="5" t="s">
        <v>18</v>
      </c>
      <c r="E3138" s="5" t="s">
        <v>19</v>
      </c>
      <c r="F3138" s="9" t="s">
        <v>59</v>
      </c>
      <c r="G3138" s="9">
        <v>1231</v>
      </c>
      <c r="H3138" s="5" t="s">
        <v>21</v>
      </c>
      <c r="I3138" s="5" t="s">
        <v>8136</v>
      </c>
      <c r="J3138" s="12" t="str">
        <f>HYPERLINK("https://www.boe.es/gazeta/dias/1808/09/30/pdfs/GMD-1808-130.pdf#page=11","Abrir facsímil")</f>
        <v>Abrir facsímil</v>
      </c>
      <c r="K3138" s="15" t="s">
        <v>23</v>
      </c>
    </row>
    <row r="3139" spans="1:11" ht="42" customHeight="1">
      <c r="A3139" s="4" t="s">
        <v>8134</v>
      </c>
      <c r="B3139" s="5" t="s">
        <v>8135</v>
      </c>
      <c r="C3139" s="5" t="s">
        <v>33</v>
      </c>
      <c r="D3139" s="5" t="s">
        <v>34</v>
      </c>
      <c r="E3139" s="5" t="s">
        <v>28</v>
      </c>
      <c r="F3139" s="9" t="s">
        <v>446</v>
      </c>
      <c r="G3139" s="9" t="s">
        <v>199</v>
      </c>
      <c r="H3139" s="5" t="s">
        <v>21</v>
      </c>
      <c r="I3139" s="5" t="s">
        <v>8137</v>
      </c>
      <c r="J3139" s="12" t="str">
        <f>HYPERLINK("https://www.boe.es/gazeta/dias/1808/11/04/pdfs/GMD-D-1808-141.pdf#page=2","Abrir facsímil")</f>
        <v>Abrir facsímil</v>
      </c>
      <c r="K3139" s="15" t="s">
        <v>23</v>
      </c>
    </row>
    <row r="3140" spans="1:11" ht="42" customHeight="1">
      <c r="A3140" s="4" t="s">
        <v>8138</v>
      </c>
      <c r="B3140" s="5" t="s">
        <v>8139</v>
      </c>
      <c r="C3140" s="5" t="s">
        <v>41</v>
      </c>
      <c r="D3140" s="5" t="s">
        <v>42</v>
      </c>
      <c r="E3140" s="5" t="s">
        <v>207</v>
      </c>
      <c r="F3140" s="9" t="s">
        <v>208</v>
      </c>
      <c r="G3140" s="9">
        <v>192</v>
      </c>
      <c r="H3140" s="5" t="s">
        <v>21</v>
      </c>
      <c r="I3140" s="5" t="s">
        <v>8140</v>
      </c>
      <c r="J3140" s="12" t="str">
        <f>HYPERLINK("https://www.boe.es/gazeta/dias/1808/02/23/pdfs/GMD-1808-16.pdf#page=6","Abrir facsímil")</f>
        <v>Abrir facsímil</v>
      </c>
      <c r="K3140" s="15" t="s">
        <v>23</v>
      </c>
    </row>
    <row r="3141" spans="1:11" ht="42" customHeight="1">
      <c r="A3141" s="4" t="s">
        <v>8141</v>
      </c>
      <c r="B3141" s="5" t="s">
        <v>8142</v>
      </c>
      <c r="C3141" s="5" t="s">
        <v>94</v>
      </c>
      <c r="D3141" s="5" t="s">
        <v>95</v>
      </c>
      <c r="E3141" s="5" t="s">
        <v>180</v>
      </c>
      <c r="F3141" s="9" t="s">
        <v>2568</v>
      </c>
      <c r="G3141" s="9">
        <v>1497</v>
      </c>
      <c r="H3141" s="5" t="s">
        <v>21</v>
      </c>
      <c r="I3141" s="5" t="s">
        <v>8143</v>
      </c>
      <c r="J3141" s="12" t="str">
        <f>HYPERLINK("https://www.boe.es/gazeta/dias/1808/11/15/pdfs/GMD-1808-144.pdf#page=11","Abrir facsímil")</f>
        <v>Abrir facsímil</v>
      </c>
      <c r="K3141" s="15" t="s">
        <v>23</v>
      </c>
    </row>
    <row r="3142" spans="1:11" ht="42" customHeight="1">
      <c r="A3142" s="4" t="s">
        <v>8144</v>
      </c>
      <c r="B3142" s="5" t="s">
        <v>8145</v>
      </c>
      <c r="C3142" s="5" t="s">
        <v>17</v>
      </c>
      <c r="D3142" s="5" t="s">
        <v>18</v>
      </c>
      <c r="E3142" s="5" t="s">
        <v>1821</v>
      </c>
      <c r="F3142" s="9" t="s">
        <v>1874</v>
      </c>
      <c r="G3142" s="9">
        <v>629</v>
      </c>
      <c r="H3142" s="5" t="s">
        <v>21</v>
      </c>
      <c r="I3142" s="5" t="s">
        <v>8146</v>
      </c>
      <c r="J3142" s="12" t="str">
        <f>HYPERLINK("https://www.boe.es/gazeta/dias/1808/06/22/pdfs/GMD-1808-64.pdf#page=7","Abrir facsímil")</f>
        <v>Abrir facsímil</v>
      </c>
      <c r="K3142" s="15" t="s">
        <v>23</v>
      </c>
    </row>
    <row r="3143" spans="1:11" ht="42" customHeight="1">
      <c r="A3143" s="4" t="s">
        <v>8147</v>
      </c>
      <c r="B3143" s="5" t="s">
        <v>8148</v>
      </c>
      <c r="C3143" s="5" t="s">
        <v>17</v>
      </c>
      <c r="D3143" s="5" t="s">
        <v>18</v>
      </c>
      <c r="E3143" s="5" t="s">
        <v>461</v>
      </c>
      <c r="F3143" s="9" t="s">
        <v>733</v>
      </c>
      <c r="G3143" s="9">
        <v>1448</v>
      </c>
      <c r="H3143" s="5" t="s">
        <v>21</v>
      </c>
      <c r="I3143" s="5" t="s">
        <v>8149</v>
      </c>
      <c r="J3143" s="12" t="str">
        <f>HYPERLINK("https://www.boe.es/gazeta/dias/1808/11/08/pdfs/GMD-1808-142.pdf#page=10","Abrir facsímil")</f>
        <v>Abrir facsímil</v>
      </c>
      <c r="K3143" s="15" t="s">
        <v>23</v>
      </c>
    </row>
    <row r="3144" spans="1:11" ht="42" customHeight="1">
      <c r="A3144" s="4" t="s">
        <v>8150</v>
      </c>
      <c r="B3144" s="5" t="s">
        <v>8151</v>
      </c>
      <c r="C3144" s="5" t="s">
        <v>26</v>
      </c>
      <c r="D3144" s="5" t="s">
        <v>27</v>
      </c>
      <c r="E3144" s="5" t="s">
        <v>61</v>
      </c>
      <c r="F3144" s="9" t="s">
        <v>62</v>
      </c>
      <c r="G3144" s="9">
        <v>1284</v>
      </c>
      <c r="H3144" s="5" t="s">
        <v>21</v>
      </c>
      <c r="I3144" s="5" t="s">
        <v>8152</v>
      </c>
      <c r="J3144" s="12" t="str">
        <f>HYPERLINK("https://www.boe.es/gazeta/dias/1808/10/11/pdfs/GMD-1808-133.pdf#page=12","Abrir facsímil")</f>
        <v>Abrir facsímil</v>
      </c>
      <c r="K3144" s="15" t="s">
        <v>23</v>
      </c>
    </row>
    <row r="3145" spans="1:11" ht="42" customHeight="1">
      <c r="A3145" s="4" t="s">
        <v>8153</v>
      </c>
      <c r="B3145" s="5" t="s">
        <v>8154</v>
      </c>
      <c r="C3145" s="5" t="s">
        <v>94</v>
      </c>
      <c r="D3145" s="5" t="s">
        <v>95</v>
      </c>
      <c r="E3145" s="5" t="s">
        <v>68</v>
      </c>
      <c r="F3145" s="9" t="s">
        <v>849</v>
      </c>
      <c r="G3145" s="9">
        <v>1350</v>
      </c>
      <c r="H3145" s="5" t="s">
        <v>21</v>
      </c>
      <c r="I3145" s="5" t="s">
        <v>8155</v>
      </c>
      <c r="J3145" s="12" t="str">
        <f>HYPERLINK("https://www.boe.es/gazeta/dias/1808/10/21/pdfs/GMD-C-1808-136.pdf#page=10","Abrir facsímil")</f>
        <v>Abrir facsímil</v>
      </c>
      <c r="K3145" s="15" t="s">
        <v>23</v>
      </c>
    </row>
    <row r="3146" spans="1:11" ht="42" customHeight="1">
      <c r="A3146" s="4" t="s">
        <v>8156</v>
      </c>
      <c r="B3146" s="5" t="s">
        <v>8157</v>
      </c>
      <c r="C3146" s="5" t="s">
        <v>94</v>
      </c>
      <c r="D3146" s="5" t="s">
        <v>95</v>
      </c>
      <c r="E3146" s="5" t="s">
        <v>68</v>
      </c>
      <c r="F3146" s="9" t="s">
        <v>849</v>
      </c>
      <c r="G3146" s="9">
        <v>1348</v>
      </c>
      <c r="H3146" s="5" t="s">
        <v>21</v>
      </c>
      <c r="I3146" s="5" t="s">
        <v>8158</v>
      </c>
      <c r="J3146" s="12" t="str">
        <f>HYPERLINK("https://www.boe.es/gazeta/dias/1808/10/21/pdfs/GMD-C-1808-136.pdf#page=8","Abrir facsímil")</f>
        <v>Abrir facsímil</v>
      </c>
      <c r="K3146" s="15" t="s">
        <v>23</v>
      </c>
    </row>
    <row r="3147" spans="1:11" ht="42" customHeight="1">
      <c r="A3147" s="4" t="s">
        <v>8159</v>
      </c>
      <c r="B3147" s="5" t="s">
        <v>8160</v>
      </c>
      <c r="C3147" s="5" t="s">
        <v>17</v>
      </c>
      <c r="D3147" s="5" t="s">
        <v>18</v>
      </c>
      <c r="E3147" s="5" t="s">
        <v>61</v>
      </c>
      <c r="F3147" s="9" t="s">
        <v>62</v>
      </c>
      <c r="G3147" s="9">
        <v>1285</v>
      </c>
      <c r="H3147" s="5" t="s">
        <v>21</v>
      </c>
      <c r="I3147" s="5" t="s">
        <v>8161</v>
      </c>
      <c r="J3147" s="12" t="str">
        <f>HYPERLINK("https://www.boe.es/gazeta/dias/1808/10/11/pdfs/GMD-1808-133.pdf#page=13","Abrir facsímil")</f>
        <v>Abrir facsímil</v>
      </c>
      <c r="K3147" s="15" t="s">
        <v>23</v>
      </c>
    </row>
    <row r="3148" spans="1:11" ht="42" customHeight="1">
      <c r="A3148" s="4" t="s">
        <v>8162</v>
      </c>
      <c r="B3148" s="5" t="s">
        <v>8163</v>
      </c>
      <c r="C3148" s="5" t="s">
        <v>17</v>
      </c>
      <c r="D3148" s="5" t="s">
        <v>18</v>
      </c>
      <c r="E3148" s="5" t="s">
        <v>110</v>
      </c>
      <c r="F3148" s="9" t="s">
        <v>111</v>
      </c>
      <c r="G3148" s="9">
        <v>1384</v>
      </c>
      <c r="H3148" s="5" t="s">
        <v>21</v>
      </c>
      <c r="I3148" s="5" t="s">
        <v>8164</v>
      </c>
      <c r="J3148" s="12" t="str">
        <f>HYPERLINK("https://www.boe.es/gazeta/dias/1808/10/28/pdfs/GMD-1808-138.pdf#page=10","Abrir facsímil")</f>
        <v>Abrir facsímil</v>
      </c>
      <c r="K3148" s="15" t="s">
        <v>23</v>
      </c>
    </row>
    <row r="3149" spans="1:11" ht="42" customHeight="1">
      <c r="A3149" s="4" t="s">
        <v>8165</v>
      </c>
      <c r="B3149" s="5" t="s">
        <v>8166</v>
      </c>
      <c r="C3149" s="5" t="s">
        <v>389</v>
      </c>
      <c r="D3149" s="5" t="s">
        <v>390</v>
      </c>
      <c r="E3149" s="5" t="s">
        <v>210</v>
      </c>
      <c r="F3149" s="9" t="s">
        <v>211</v>
      </c>
      <c r="G3149" s="9">
        <v>258</v>
      </c>
      <c r="H3149" s="5" t="s">
        <v>21</v>
      </c>
      <c r="I3149" s="5" t="s">
        <v>8167</v>
      </c>
      <c r="J3149" s="12" t="str">
        <f>HYPERLINK("https://www.boe.es/gazeta/dias/1808/03/11/pdfs/GMD-1808-21.pdf#page=12","Abrir facsímil")</f>
        <v>Abrir facsímil</v>
      </c>
      <c r="K3149" s="15" t="s">
        <v>23</v>
      </c>
    </row>
    <row r="3150" spans="1:11" ht="42" customHeight="1">
      <c r="A3150" s="4" t="s">
        <v>8168</v>
      </c>
      <c r="B3150" s="5" t="s">
        <v>8169</v>
      </c>
      <c r="C3150" s="5" t="s">
        <v>389</v>
      </c>
      <c r="D3150" s="5" t="s">
        <v>390</v>
      </c>
      <c r="E3150" s="5" t="s">
        <v>139</v>
      </c>
      <c r="F3150" s="9" t="s">
        <v>1089</v>
      </c>
      <c r="G3150" s="9" t="s">
        <v>199</v>
      </c>
      <c r="H3150" s="5" t="s">
        <v>21</v>
      </c>
      <c r="I3150" s="5" t="s">
        <v>8170</v>
      </c>
      <c r="J3150" s="12" t="str">
        <f>HYPERLINK("https://www.boe.es/gazeta/dias/1808/09/23/pdfs/GMD-C-1808-127.pdf#page=2","Abrir facsímil")</f>
        <v>Abrir facsímil</v>
      </c>
      <c r="K3150" s="15" t="s">
        <v>23</v>
      </c>
    </row>
    <row r="3151" spans="1:11" ht="42" customHeight="1">
      <c r="A3151" s="4" t="s">
        <v>8171</v>
      </c>
      <c r="B3151" s="5" t="s">
        <v>8172</v>
      </c>
      <c r="C3151" s="5" t="s">
        <v>17</v>
      </c>
      <c r="D3151" s="5" t="s">
        <v>18</v>
      </c>
      <c r="E3151" s="5" t="s">
        <v>115</v>
      </c>
      <c r="F3151" s="9" t="s">
        <v>1650</v>
      </c>
      <c r="G3151" s="9">
        <v>1177</v>
      </c>
      <c r="H3151" s="5" t="s">
        <v>21</v>
      </c>
      <c r="I3151" s="5" t="s">
        <v>8173</v>
      </c>
      <c r="J3151" s="12" t="str">
        <f>HYPERLINK("https://www.boe.es/gazeta/dias/1808/09/16/pdfs/GMD-1808-125.pdf#page=9","Abrir facsímil")</f>
        <v>Abrir facsímil</v>
      </c>
      <c r="K3151" s="15" t="s">
        <v>23</v>
      </c>
    </row>
    <row r="3152" spans="1:11" ht="42" customHeight="1">
      <c r="A3152" s="4" t="s">
        <v>8174</v>
      </c>
      <c r="B3152" s="5" t="s">
        <v>8175</v>
      </c>
      <c r="C3152" s="5" t="s">
        <v>389</v>
      </c>
      <c r="D3152" s="5" t="s">
        <v>390</v>
      </c>
      <c r="E3152" s="5" t="s">
        <v>153</v>
      </c>
      <c r="F3152" s="9" t="s">
        <v>154</v>
      </c>
      <c r="G3152" s="9" t="s">
        <v>199</v>
      </c>
      <c r="H3152" s="5" t="s">
        <v>21</v>
      </c>
      <c r="I3152" s="5" t="s">
        <v>8176</v>
      </c>
      <c r="J3152" s="12" t="str">
        <f>HYPERLINK("https://www.boe.es/gazeta/dias/1808/09/09/pdfs/GMD-C-1808-121.pdf#page=2","Abrir facsímil")</f>
        <v>Abrir facsímil</v>
      </c>
      <c r="K3152" s="15" t="s">
        <v>23</v>
      </c>
    </row>
    <row r="3153" spans="1:11" ht="42" customHeight="1">
      <c r="A3153" s="4" t="s">
        <v>8177</v>
      </c>
      <c r="B3153" s="5" t="s">
        <v>8178</v>
      </c>
      <c r="C3153" s="5" t="s">
        <v>41</v>
      </c>
      <c r="D3153" s="5" t="s">
        <v>42</v>
      </c>
      <c r="E3153" s="5" t="s">
        <v>2159</v>
      </c>
      <c r="F3153" s="9" t="s">
        <v>2160</v>
      </c>
      <c r="G3153" s="9">
        <v>184</v>
      </c>
      <c r="H3153" s="5" t="s">
        <v>21</v>
      </c>
      <c r="I3153" s="5" t="s">
        <v>8179</v>
      </c>
      <c r="J3153" s="12" t="str">
        <f>HYPERLINK("https://www.boe.es/gazeta/dias/1808/02/19/pdfs/GMD-1808-15.pdf#page=14","Abrir facsímil")</f>
        <v>Abrir facsímil</v>
      </c>
      <c r="K3153" s="15" t="s">
        <v>23</v>
      </c>
    </row>
    <row r="3154" spans="1:11" ht="42" customHeight="1">
      <c r="A3154" s="4" t="s">
        <v>8180</v>
      </c>
      <c r="B3154" s="5" t="s">
        <v>8181</v>
      </c>
      <c r="C3154" s="5" t="s">
        <v>41</v>
      </c>
      <c r="D3154" s="5" t="s">
        <v>42</v>
      </c>
      <c r="E3154" s="5" t="s">
        <v>89</v>
      </c>
      <c r="F3154" s="9" t="s">
        <v>563</v>
      </c>
      <c r="G3154" s="9" t="s">
        <v>199</v>
      </c>
      <c r="H3154" s="5" t="s">
        <v>21</v>
      </c>
      <c r="I3154" s="5" t="s">
        <v>8182</v>
      </c>
      <c r="J3154" s="12" t="str">
        <f>HYPERLINK("https://www.boe.es/gazeta/dias/1808/10/25/pdfs/GMD-D-1808-137.pdf#page=2","Abrir facsímil")</f>
        <v>Abrir facsímil</v>
      </c>
      <c r="K3154" s="15" t="s">
        <v>23</v>
      </c>
    </row>
    <row r="3155" spans="1:11" ht="42" customHeight="1">
      <c r="A3155" s="4" t="s">
        <v>8183</v>
      </c>
      <c r="B3155" s="5" t="s">
        <v>8183</v>
      </c>
      <c r="C3155" s="5" t="s">
        <v>260</v>
      </c>
      <c r="D3155" s="5" t="s">
        <v>42</v>
      </c>
      <c r="E3155" s="5" t="s">
        <v>245</v>
      </c>
      <c r="F3155" s="9" t="s">
        <v>246</v>
      </c>
      <c r="G3155" s="9">
        <v>540</v>
      </c>
      <c r="H3155" s="5" t="s">
        <v>21</v>
      </c>
      <c r="I3155" s="5" t="s">
        <v>8184</v>
      </c>
      <c r="J3155" s="12" t="str">
        <f>HYPERLINK("https://www.boe.es/gazeta/dias/1808/06/07/pdfs/GMD-1808-54.pdf#page=6","Abrir facsímil")</f>
        <v>Abrir facsímil</v>
      </c>
      <c r="K3155" s="15" t="s">
        <v>23</v>
      </c>
    </row>
    <row r="3156" spans="1:11" ht="42" customHeight="1">
      <c r="A3156" s="4" t="s">
        <v>8185</v>
      </c>
      <c r="B3156" s="5" t="s">
        <v>8186</v>
      </c>
      <c r="C3156" s="5" t="s">
        <v>17</v>
      </c>
      <c r="D3156" s="5" t="s">
        <v>18</v>
      </c>
      <c r="E3156" s="5" t="s">
        <v>197</v>
      </c>
      <c r="F3156" s="9" t="s">
        <v>857</v>
      </c>
      <c r="G3156" s="9">
        <v>356</v>
      </c>
      <c r="H3156" s="5" t="s">
        <v>21</v>
      </c>
      <c r="I3156" s="5" t="s">
        <v>8187</v>
      </c>
      <c r="J3156" s="12" t="str">
        <f>HYPERLINK("https://www.boe.es/gazeta/dias/1808/11/01/pdfs/GMS-1808-45.pdf#page=4","Abrir facsímil")</f>
        <v>Abrir facsímil</v>
      </c>
      <c r="K3156" s="15" t="s">
        <v>23</v>
      </c>
    </row>
    <row r="3157" spans="1:11" ht="42" customHeight="1">
      <c r="A3157" s="4" t="s">
        <v>8188</v>
      </c>
      <c r="B3157" s="5" t="s">
        <v>8189</v>
      </c>
      <c r="C3157" s="5" t="s">
        <v>41</v>
      </c>
      <c r="D3157" s="5" t="s">
        <v>42</v>
      </c>
      <c r="E3157" s="5" t="s">
        <v>558</v>
      </c>
      <c r="F3157" s="9" t="s">
        <v>758</v>
      </c>
      <c r="G3157" s="9" t="s">
        <v>75</v>
      </c>
      <c r="H3157" s="5" t="s">
        <v>21</v>
      </c>
      <c r="I3157" s="5" t="s">
        <v>8190</v>
      </c>
      <c r="J3157" s="12" t="str">
        <f>HYPERLINK("https://www.boe.es/gazeta/dias/1808/11/25/pdfs/GMD-E-1808-147.pdf#page=4","Abrir facsímil")</f>
        <v>Abrir facsímil</v>
      </c>
      <c r="K3157" s="15" t="s">
        <v>23</v>
      </c>
    </row>
    <row r="3158" spans="1:11" ht="42" customHeight="1">
      <c r="A3158" s="4" t="s">
        <v>8188</v>
      </c>
      <c r="B3158" s="5" t="s">
        <v>8189</v>
      </c>
      <c r="C3158" s="5" t="s">
        <v>17</v>
      </c>
      <c r="D3158" s="5" t="s">
        <v>18</v>
      </c>
      <c r="E3158" s="5" t="s">
        <v>719</v>
      </c>
      <c r="F3158" s="9" t="s">
        <v>720</v>
      </c>
      <c r="G3158" s="9">
        <v>1609</v>
      </c>
      <c r="H3158" s="5" t="s">
        <v>21</v>
      </c>
      <c r="I3158" s="5" t="s">
        <v>8191</v>
      </c>
      <c r="J3158" s="12" t="str">
        <f>HYPERLINK("https://www.boe.es/gazeta/dias/1808/12/16/pdfs/GMD-1808-156.pdf#page=1","Abrir facsímil")</f>
        <v>Abrir facsímil</v>
      </c>
      <c r="K3158" s="15" t="s">
        <v>23</v>
      </c>
    </row>
    <row r="3159" spans="1:11" ht="42" customHeight="1">
      <c r="A3159" s="4" t="s">
        <v>8188</v>
      </c>
      <c r="B3159" s="5" t="s">
        <v>8189</v>
      </c>
      <c r="C3159" s="5" t="s">
        <v>94</v>
      </c>
      <c r="D3159" s="5" t="s">
        <v>95</v>
      </c>
      <c r="E3159" s="5" t="s">
        <v>719</v>
      </c>
      <c r="F3159" s="9" t="s">
        <v>720</v>
      </c>
      <c r="G3159" s="9">
        <v>1611</v>
      </c>
      <c r="H3159" s="5" t="s">
        <v>21</v>
      </c>
      <c r="I3159" s="5" t="s">
        <v>8192</v>
      </c>
      <c r="J3159" s="12" t="str">
        <f>HYPERLINK("https://www.boe.es/gazeta/dias/1808/12/16/pdfs/GMD-1808-156.pdf#page=3","Abrir facsímil")</f>
        <v>Abrir facsímil</v>
      </c>
      <c r="K3159" s="15" t="s">
        <v>23</v>
      </c>
    </row>
    <row r="3160" spans="1:11" ht="42" customHeight="1">
      <c r="A3160" s="4" t="s">
        <v>8193</v>
      </c>
      <c r="B3160" s="5" t="s">
        <v>8194</v>
      </c>
      <c r="C3160" s="5" t="s">
        <v>94</v>
      </c>
      <c r="D3160" s="5" t="s">
        <v>95</v>
      </c>
      <c r="E3160" s="5" t="s">
        <v>210</v>
      </c>
      <c r="F3160" s="9" t="s">
        <v>211</v>
      </c>
      <c r="G3160" s="9">
        <v>254</v>
      </c>
      <c r="H3160" s="5" t="s">
        <v>21</v>
      </c>
      <c r="I3160" s="5" t="s">
        <v>8195</v>
      </c>
      <c r="J3160" s="12" t="str">
        <f>HYPERLINK("https://www.boe.es/gazeta/dias/1808/03/11/pdfs/GMD-1808-21.pdf#page=8","Abrir facsímil")</f>
        <v>Abrir facsímil</v>
      </c>
      <c r="K3160" s="15" t="s">
        <v>23</v>
      </c>
    </row>
    <row r="3161" spans="1:11" ht="42" customHeight="1">
      <c r="A3161" s="4" t="s">
        <v>8196</v>
      </c>
      <c r="B3161" s="5" t="s">
        <v>8197</v>
      </c>
      <c r="C3161" s="5" t="s">
        <v>33</v>
      </c>
      <c r="D3161" s="5" t="s">
        <v>34</v>
      </c>
      <c r="E3161" s="5" t="s">
        <v>558</v>
      </c>
      <c r="F3161" s="9" t="s">
        <v>758</v>
      </c>
      <c r="G3161" s="9" t="s">
        <v>199</v>
      </c>
      <c r="H3161" s="5" t="s">
        <v>21</v>
      </c>
      <c r="I3161" s="5" t="s">
        <v>8198</v>
      </c>
      <c r="J3161" s="12" t="str">
        <f>HYPERLINK("https://www.boe.es/gazeta/dias/1808/11/25/pdfs/GMD-E-1808-147.pdf#page=2","Abrir facsímil")</f>
        <v>Abrir facsímil</v>
      </c>
      <c r="K3161" s="15" t="s">
        <v>23</v>
      </c>
    </row>
    <row r="3162" spans="1:11" ht="42" customHeight="1">
      <c r="A3162" s="4" t="s">
        <v>8199</v>
      </c>
      <c r="B3162" s="5" t="s">
        <v>8200</v>
      </c>
      <c r="C3162" s="5" t="s">
        <v>33</v>
      </c>
      <c r="D3162" s="5" t="s">
        <v>34</v>
      </c>
      <c r="E3162" s="5" t="s">
        <v>35</v>
      </c>
      <c r="F3162" s="9" t="s">
        <v>36</v>
      </c>
      <c r="G3162" s="9" t="s">
        <v>144</v>
      </c>
      <c r="H3162" s="5" t="s">
        <v>21</v>
      </c>
      <c r="I3162" s="5" t="s">
        <v>8201</v>
      </c>
      <c r="J3162" s="12" t="str">
        <f>HYPERLINK("https://www.boe.es/gazeta/dias/1808/04/22/pdfs/GMD-C-1808-38.pdf#page=40","Abrir facsímil")</f>
        <v>Abrir facsímil</v>
      </c>
      <c r="K3162" s="15" t="s">
        <v>23</v>
      </c>
    </row>
    <row r="3163" spans="1:11" ht="42" customHeight="1">
      <c r="A3163" s="4" t="s">
        <v>8202</v>
      </c>
      <c r="B3163" s="5" t="s">
        <v>8203</v>
      </c>
      <c r="C3163" s="5" t="s">
        <v>41</v>
      </c>
      <c r="D3163" s="5" t="s">
        <v>42</v>
      </c>
      <c r="E3163" s="5" t="s">
        <v>185</v>
      </c>
      <c r="F3163" s="9" t="s">
        <v>186</v>
      </c>
      <c r="G3163" s="9">
        <v>1104</v>
      </c>
      <c r="H3163" s="5" t="s">
        <v>21</v>
      </c>
      <c r="I3163" s="5" t="s">
        <v>8204</v>
      </c>
      <c r="J3163" s="12" t="str">
        <f>HYPERLINK("https://www.boe.es/gazeta/dias/1808/08/30/pdfs/GMD-1808-118.pdf#page=10","Abrir facsímil")</f>
        <v>Abrir facsímil</v>
      </c>
      <c r="K3163" s="15" t="s">
        <v>23</v>
      </c>
    </row>
    <row r="3164" spans="1:11" ht="42" customHeight="1">
      <c r="A3164" s="4" t="s">
        <v>8205</v>
      </c>
      <c r="B3164" s="5" t="s">
        <v>8206</v>
      </c>
      <c r="C3164" s="5" t="s">
        <v>94</v>
      </c>
      <c r="D3164" s="5" t="s">
        <v>95</v>
      </c>
      <c r="E3164" s="5" t="s">
        <v>89</v>
      </c>
      <c r="F3164" s="9" t="s">
        <v>563</v>
      </c>
      <c r="G3164" s="9" t="s">
        <v>199</v>
      </c>
      <c r="H3164" s="5" t="s">
        <v>21</v>
      </c>
      <c r="I3164" s="5" t="s">
        <v>8207</v>
      </c>
      <c r="J3164" s="12" t="str">
        <f>HYPERLINK("https://www.boe.es/gazeta/dias/1808/10/25/pdfs/GMD-D-1808-137.pdf#page=2","Abrir facsímil")</f>
        <v>Abrir facsímil</v>
      </c>
      <c r="K3164" s="15" t="s">
        <v>23</v>
      </c>
    </row>
    <row r="3165" spans="1:11" ht="42" customHeight="1">
      <c r="A3165" s="4" t="s">
        <v>8208</v>
      </c>
      <c r="B3165" s="5" t="s">
        <v>8209</v>
      </c>
      <c r="C3165" s="5" t="s">
        <v>33</v>
      </c>
      <c r="D3165" s="5" t="s">
        <v>34</v>
      </c>
      <c r="E3165" s="5" t="s">
        <v>110</v>
      </c>
      <c r="F3165" s="9" t="s">
        <v>828</v>
      </c>
      <c r="G3165" s="9" t="s">
        <v>106</v>
      </c>
      <c r="H3165" s="5" t="s">
        <v>21</v>
      </c>
      <c r="I3165" s="5" t="s">
        <v>8210</v>
      </c>
      <c r="J3165" s="12" t="str">
        <f>HYPERLINK("https://www.boe.es/gazeta/dias/1808/10/28/pdfs/GMD-D-1808-138.pdf#page=3","Abrir facsímil")</f>
        <v>Abrir facsímil</v>
      </c>
      <c r="K3165" s="15" t="s">
        <v>23</v>
      </c>
    </row>
    <row r="3166" spans="1:11" ht="42" customHeight="1">
      <c r="A3166" s="4" t="s">
        <v>8211</v>
      </c>
      <c r="B3166" s="5" t="s">
        <v>8212</v>
      </c>
      <c r="C3166" s="5" t="s">
        <v>33</v>
      </c>
      <c r="D3166" s="5" t="s">
        <v>34</v>
      </c>
      <c r="E3166" s="5" t="s">
        <v>153</v>
      </c>
      <c r="F3166" s="9" t="s">
        <v>154</v>
      </c>
      <c r="G3166" s="9" t="s">
        <v>117</v>
      </c>
      <c r="H3166" s="5" t="s">
        <v>21</v>
      </c>
      <c r="I3166" s="5" t="s">
        <v>8213</v>
      </c>
      <c r="J3166" s="12" t="str">
        <f>HYPERLINK("https://www.boe.es/gazeta/dias/1808/09/09/pdfs/GMD-C-1808-121.pdf#page=1","Abrir facsímil")</f>
        <v>Abrir facsímil</v>
      </c>
      <c r="K3166" s="15" t="s">
        <v>23</v>
      </c>
    </row>
    <row r="3167" spans="1:11" ht="42" customHeight="1">
      <c r="A3167" s="4" t="s">
        <v>8214</v>
      </c>
      <c r="B3167" s="5" t="s">
        <v>8215</v>
      </c>
      <c r="C3167" s="5" t="s">
        <v>41</v>
      </c>
      <c r="D3167" s="5" t="s">
        <v>42</v>
      </c>
      <c r="E3167" s="5" t="s">
        <v>110</v>
      </c>
      <c r="F3167" s="9" t="s">
        <v>828</v>
      </c>
      <c r="G3167" s="9" t="s">
        <v>199</v>
      </c>
      <c r="H3167" s="5" t="s">
        <v>21</v>
      </c>
      <c r="I3167" s="5" t="s">
        <v>8216</v>
      </c>
      <c r="J3167" s="12" t="str">
        <f>HYPERLINK("https://www.boe.es/gazeta/dias/1808/10/28/pdfs/GMD-D-1808-138.pdf#page=2","Abrir facsímil")</f>
        <v>Abrir facsímil</v>
      </c>
      <c r="K3167" s="15" t="s">
        <v>23</v>
      </c>
    </row>
    <row r="3168" spans="1:11" ht="42" customHeight="1">
      <c r="A3168" s="4" t="s">
        <v>8217</v>
      </c>
      <c r="B3168" s="5" t="s">
        <v>8218</v>
      </c>
      <c r="C3168" s="5" t="s">
        <v>17</v>
      </c>
      <c r="D3168" s="5" t="s">
        <v>18</v>
      </c>
      <c r="E3168" s="5" t="s">
        <v>125</v>
      </c>
      <c r="F3168" s="9" t="s">
        <v>397</v>
      </c>
      <c r="G3168" s="9">
        <v>1270</v>
      </c>
      <c r="H3168" s="5" t="s">
        <v>21</v>
      </c>
      <c r="I3168" s="5" t="s">
        <v>8219</v>
      </c>
      <c r="J3168" s="12" t="str">
        <f>HYPERLINK("https://www.boe.es/gazeta/dias/1808/10/07/pdfs/GMD-1808-132.pdf#page=10","Abrir facsímil")</f>
        <v>Abrir facsímil</v>
      </c>
      <c r="K3168" s="15" t="s">
        <v>23</v>
      </c>
    </row>
    <row r="3169" spans="1:11" ht="42" customHeight="1">
      <c r="A3169" s="4" t="s">
        <v>8220</v>
      </c>
      <c r="B3169" s="5" t="s">
        <v>8221</v>
      </c>
      <c r="C3169" s="5" t="s">
        <v>17</v>
      </c>
      <c r="D3169" s="5" t="s">
        <v>18</v>
      </c>
      <c r="E3169" s="5" t="s">
        <v>719</v>
      </c>
      <c r="F3169" s="9" t="s">
        <v>720</v>
      </c>
      <c r="G3169" s="9">
        <v>1609</v>
      </c>
      <c r="H3169" s="5" t="s">
        <v>21</v>
      </c>
      <c r="I3169" s="5" t="s">
        <v>8222</v>
      </c>
      <c r="J3169" s="12" t="str">
        <f>HYPERLINK("https://www.boe.es/gazeta/dias/1808/12/16/pdfs/GMD-1808-156.pdf#page=1","Abrir facsímil")</f>
        <v>Abrir facsímil</v>
      </c>
      <c r="K3169" s="15" t="s">
        <v>23</v>
      </c>
    </row>
    <row r="3170" spans="1:11" ht="42" customHeight="1">
      <c r="A3170" s="4" t="s">
        <v>8223</v>
      </c>
      <c r="B3170" s="5" t="s">
        <v>8224</v>
      </c>
      <c r="C3170" s="5" t="s">
        <v>33</v>
      </c>
      <c r="D3170" s="5" t="s">
        <v>34</v>
      </c>
      <c r="E3170" s="5" t="s">
        <v>35</v>
      </c>
      <c r="F3170" s="9" t="s">
        <v>36</v>
      </c>
      <c r="G3170" s="9" t="s">
        <v>1006</v>
      </c>
      <c r="H3170" s="5" t="s">
        <v>21</v>
      </c>
      <c r="I3170" s="5" t="s">
        <v>8225</v>
      </c>
      <c r="J3170" s="12" t="str">
        <f>HYPERLINK("https://www.boe.es/gazeta/dias/1808/04/22/pdfs/GMD-C-1808-38.pdf#page=46","Abrir facsímil")</f>
        <v>Abrir facsímil</v>
      </c>
      <c r="K3170" s="15" t="s">
        <v>23</v>
      </c>
    </row>
    <row r="3171" spans="1:11" ht="42" customHeight="1">
      <c r="A3171" s="4" t="s">
        <v>8226</v>
      </c>
      <c r="B3171" s="5" t="s">
        <v>8227</v>
      </c>
      <c r="C3171" s="5" t="s">
        <v>33</v>
      </c>
      <c r="D3171" s="5" t="s">
        <v>34</v>
      </c>
      <c r="E3171" s="5" t="s">
        <v>139</v>
      </c>
      <c r="F3171" s="9" t="s">
        <v>1089</v>
      </c>
      <c r="G3171" s="9" t="s">
        <v>199</v>
      </c>
      <c r="H3171" s="5" t="s">
        <v>21</v>
      </c>
      <c r="I3171" s="5" t="s">
        <v>8228</v>
      </c>
      <c r="J3171" s="12" t="str">
        <f>HYPERLINK("https://www.boe.es/gazeta/dias/1808/09/23/pdfs/GMD-C-1808-127.pdf#page=2","Abrir facsímil")</f>
        <v>Abrir facsímil</v>
      </c>
      <c r="K3171" s="15" t="s">
        <v>23</v>
      </c>
    </row>
    <row r="3172" spans="1:11" ht="42" customHeight="1">
      <c r="A3172" s="4" t="s">
        <v>8229</v>
      </c>
      <c r="B3172" s="5" t="s">
        <v>8230</v>
      </c>
      <c r="C3172" s="5" t="s">
        <v>33</v>
      </c>
      <c r="D3172" s="5" t="s">
        <v>34</v>
      </c>
      <c r="E3172" s="5" t="s">
        <v>110</v>
      </c>
      <c r="F3172" s="9" t="s">
        <v>828</v>
      </c>
      <c r="G3172" s="9" t="s">
        <v>199</v>
      </c>
      <c r="H3172" s="5" t="s">
        <v>21</v>
      </c>
      <c r="I3172" s="5" t="s">
        <v>8231</v>
      </c>
      <c r="J3172" s="12" t="str">
        <f>HYPERLINK("https://www.boe.es/gazeta/dias/1808/10/28/pdfs/GMD-D-1808-138.pdf#page=2","Abrir facsímil")</f>
        <v>Abrir facsímil</v>
      </c>
      <c r="K3172" s="15" t="s">
        <v>23</v>
      </c>
    </row>
    <row r="3173" spans="1:11" ht="42" customHeight="1">
      <c r="A3173" s="4" t="s">
        <v>8232</v>
      </c>
      <c r="B3173" s="5" t="s">
        <v>8233</v>
      </c>
      <c r="C3173" s="5" t="s">
        <v>26</v>
      </c>
      <c r="D3173" s="5" t="s">
        <v>27</v>
      </c>
      <c r="E3173" s="5" t="s">
        <v>28</v>
      </c>
      <c r="F3173" s="9" t="s">
        <v>29</v>
      </c>
      <c r="G3173" s="9">
        <v>1428</v>
      </c>
      <c r="H3173" s="5" t="s">
        <v>21</v>
      </c>
      <c r="I3173" s="5" t="s">
        <v>8234</v>
      </c>
      <c r="J3173" s="12" t="str">
        <f>HYPERLINK("https://www.boe.es/gazeta/dias/1808/11/04/pdfs/GMD-1808-141.pdf#page=10","Abrir facsímil")</f>
        <v>Abrir facsímil</v>
      </c>
      <c r="K3173" s="15" t="s">
        <v>23</v>
      </c>
    </row>
    <row r="3174" spans="1:11" ht="42" customHeight="1">
      <c r="A3174" s="4" t="s">
        <v>8235</v>
      </c>
      <c r="B3174" s="5" t="s">
        <v>8236</v>
      </c>
      <c r="C3174" s="5" t="s">
        <v>33</v>
      </c>
      <c r="D3174" s="5" t="s">
        <v>34</v>
      </c>
      <c r="E3174" s="5" t="s">
        <v>35</v>
      </c>
      <c r="F3174" s="9" t="s">
        <v>36</v>
      </c>
      <c r="G3174" s="9" t="s">
        <v>837</v>
      </c>
      <c r="H3174" s="5" t="s">
        <v>21</v>
      </c>
      <c r="I3174" s="5" t="s">
        <v>8237</v>
      </c>
      <c r="J3174" s="12" t="str">
        <f>HYPERLINK("https://www.boe.es/gazeta/dias/1808/04/22/pdfs/GMD-C-1808-38.pdf#page=10","Abrir facsímil")</f>
        <v>Abrir facsímil</v>
      </c>
      <c r="K3174" s="15" t="s">
        <v>23</v>
      </c>
    </row>
    <row r="3175" spans="1:11" ht="42" customHeight="1">
      <c r="A3175" s="4" t="s">
        <v>8238</v>
      </c>
      <c r="B3175" s="5" t="s">
        <v>8239</v>
      </c>
      <c r="C3175" s="5" t="s">
        <v>33</v>
      </c>
      <c r="D3175" s="5" t="s">
        <v>34</v>
      </c>
      <c r="E3175" s="5" t="s">
        <v>139</v>
      </c>
      <c r="F3175" s="9" t="s">
        <v>1089</v>
      </c>
      <c r="G3175" s="9" t="s">
        <v>75</v>
      </c>
      <c r="H3175" s="5" t="s">
        <v>21</v>
      </c>
      <c r="I3175" s="5" t="s">
        <v>8240</v>
      </c>
      <c r="J3175" s="12" t="str">
        <f>HYPERLINK("https://www.boe.es/gazeta/dias/1808/09/23/pdfs/GMD-C-1808-127.pdf#page=4","Abrir facsímil")</f>
        <v>Abrir facsímil</v>
      </c>
      <c r="K3175" s="15" t="s">
        <v>23</v>
      </c>
    </row>
    <row r="3176" spans="1:11" ht="42" customHeight="1">
      <c r="A3176" s="4" t="s">
        <v>8241</v>
      </c>
      <c r="B3176" s="5" t="s">
        <v>8242</v>
      </c>
      <c r="C3176" s="5" t="s">
        <v>17</v>
      </c>
      <c r="D3176" s="5" t="s">
        <v>18</v>
      </c>
      <c r="E3176" s="5" t="s">
        <v>185</v>
      </c>
      <c r="F3176" s="9" t="s">
        <v>186</v>
      </c>
      <c r="G3176" s="9">
        <v>1103</v>
      </c>
      <c r="H3176" s="5" t="s">
        <v>21</v>
      </c>
      <c r="I3176" s="5" t="s">
        <v>8243</v>
      </c>
      <c r="J3176" s="12" t="str">
        <f>HYPERLINK("https://www.boe.es/gazeta/dias/1808/08/30/pdfs/GMD-1808-118.pdf#page=9","Abrir facsímil")</f>
        <v>Abrir facsímil</v>
      </c>
      <c r="K3176" s="15" t="s">
        <v>23</v>
      </c>
    </row>
    <row r="3177" spans="1:11" ht="42" customHeight="1">
      <c r="A3177" s="4" t="s">
        <v>8244</v>
      </c>
      <c r="B3177" s="5" t="s">
        <v>8245</v>
      </c>
      <c r="C3177" s="5" t="s">
        <v>33</v>
      </c>
      <c r="D3177" s="5" t="s">
        <v>34</v>
      </c>
      <c r="E3177" s="5" t="s">
        <v>334</v>
      </c>
      <c r="F3177" s="9" t="s">
        <v>335</v>
      </c>
      <c r="G3177" s="9">
        <v>1254</v>
      </c>
      <c r="H3177" s="5" t="s">
        <v>21</v>
      </c>
      <c r="I3177" s="5" t="s">
        <v>8246</v>
      </c>
      <c r="J3177" s="12" t="str">
        <f>HYPERLINK("https://www.boe.es/gazeta/dias/1808/10/04/pdfs/GMD-C-1808-131.pdf#page=6","Abrir facsímil")</f>
        <v>Abrir facsímil</v>
      </c>
      <c r="K3177" s="15" t="s">
        <v>23</v>
      </c>
    </row>
    <row r="3178" spans="1:11" ht="42" customHeight="1">
      <c r="A3178" s="4" t="s">
        <v>8247</v>
      </c>
      <c r="B3178" s="5" t="s">
        <v>8248</v>
      </c>
      <c r="C3178" s="5" t="s">
        <v>17</v>
      </c>
      <c r="D3178" s="5" t="s">
        <v>18</v>
      </c>
      <c r="E3178" s="5" t="s">
        <v>2159</v>
      </c>
      <c r="F3178" s="9" t="s">
        <v>2160</v>
      </c>
      <c r="G3178" s="9">
        <v>183</v>
      </c>
      <c r="H3178" s="5" t="s">
        <v>21</v>
      </c>
      <c r="I3178" s="5" t="s">
        <v>8249</v>
      </c>
      <c r="J3178" s="12" t="str">
        <f>HYPERLINK("https://www.boe.es/gazeta/dias/1808/02/19/pdfs/GMD-1808-15.pdf#page=13","Abrir facsímil")</f>
        <v>Abrir facsímil</v>
      </c>
      <c r="K3178" s="15" t="s">
        <v>23</v>
      </c>
    </row>
    <row r="3179" spans="1:11" ht="42" customHeight="1">
      <c r="A3179" s="4" t="s">
        <v>8250</v>
      </c>
      <c r="B3179" s="5" t="s">
        <v>8251</v>
      </c>
      <c r="C3179" s="5" t="s">
        <v>33</v>
      </c>
      <c r="D3179" s="5" t="s">
        <v>34</v>
      </c>
      <c r="E3179" s="5" t="s">
        <v>166</v>
      </c>
      <c r="F3179" s="9" t="s">
        <v>400</v>
      </c>
      <c r="G3179" s="9" t="s">
        <v>117</v>
      </c>
      <c r="H3179" s="5" t="s">
        <v>21</v>
      </c>
      <c r="I3179" s="5" t="s">
        <v>8252</v>
      </c>
      <c r="J3179" s="12" t="str">
        <f>HYPERLINK("https://www.boe.es/gazeta/dias/1808/11/18/pdfs/D00069-00072.pdf#page=1","Abrir facsímil")</f>
        <v>Abrir facsímil</v>
      </c>
      <c r="K3179" s="15" t="s">
        <v>23</v>
      </c>
    </row>
    <row r="3180" spans="1:11" ht="42" customHeight="1">
      <c r="A3180" s="4" t="s">
        <v>8253</v>
      </c>
      <c r="B3180" s="5" t="s">
        <v>8254</v>
      </c>
      <c r="C3180" s="5" t="s">
        <v>33</v>
      </c>
      <c r="D3180" s="5" t="s">
        <v>34</v>
      </c>
      <c r="E3180" s="5" t="s">
        <v>35</v>
      </c>
      <c r="F3180" s="9" t="s">
        <v>36</v>
      </c>
      <c r="G3180" s="9" t="s">
        <v>199</v>
      </c>
      <c r="H3180" s="5" t="s">
        <v>21</v>
      </c>
      <c r="I3180" s="5" t="s">
        <v>8255</v>
      </c>
      <c r="J3180" s="12" t="str">
        <f>HYPERLINK("https://www.boe.es/gazeta/dias/1808/04/22/pdfs/GMD-C-1808-38.pdf#page=2","Abrir facsímil")</f>
        <v>Abrir facsímil</v>
      </c>
      <c r="K3180" s="15" t="s">
        <v>23</v>
      </c>
    </row>
    <row r="3181" spans="1:11" ht="42" customHeight="1">
      <c r="A3181" s="4" t="s">
        <v>8253</v>
      </c>
      <c r="B3181" s="5" t="s">
        <v>8254</v>
      </c>
      <c r="C3181" s="5" t="s">
        <v>33</v>
      </c>
      <c r="D3181" s="5" t="s">
        <v>34</v>
      </c>
      <c r="E3181" s="5" t="s">
        <v>35</v>
      </c>
      <c r="F3181" s="9" t="s">
        <v>36</v>
      </c>
      <c r="G3181" s="9" t="s">
        <v>324</v>
      </c>
      <c r="H3181" s="5" t="s">
        <v>21</v>
      </c>
      <c r="I3181" s="5" t="s">
        <v>8256</v>
      </c>
      <c r="J3181" s="12" t="str">
        <f>HYPERLINK("https://www.boe.es/gazeta/dias/1808/04/22/pdfs/GMD-C-1808-38.pdf#page=24","Abrir facsímil")</f>
        <v>Abrir facsímil</v>
      </c>
      <c r="K3181" s="15" t="s">
        <v>23</v>
      </c>
    </row>
    <row r="3182" spans="1:11" ht="42" customHeight="1">
      <c r="A3182" s="4" t="s">
        <v>8253</v>
      </c>
      <c r="B3182" s="5" t="s">
        <v>8254</v>
      </c>
      <c r="C3182" s="5" t="s">
        <v>41</v>
      </c>
      <c r="D3182" s="5" t="s">
        <v>42</v>
      </c>
      <c r="E3182" s="5" t="s">
        <v>35</v>
      </c>
      <c r="F3182" s="9" t="s">
        <v>36</v>
      </c>
      <c r="G3182" s="9" t="s">
        <v>4783</v>
      </c>
      <c r="H3182" s="5" t="s">
        <v>21</v>
      </c>
      <c r="I3182" s="5" t="s">
        <v>8257</v>
      </c>
      <c r="J3182" s="12" t="str">
        <f>HYPERLINK("https://www.boe.es/gazeta/dias/1808/04/22/pdfs/GMD-C-1808-38.pdf#page=36","Abrir facsímil")</f>
        <v>Abrir facsímil</v>
      </c>
      <c r="K3182" s="15" t="s">
        <v>23</v>
      </c>
    </row>
    <row r="3183" spans="1:11" ht="42" customHeight="1">
      <c r="A3183" s="4" t="s">
        <v>8258</v>
      </c>
      <c r="B3183" s="5" t="s">
        <v>8259</v>
      </c>
      <c r="C3183" s="5" t="s">
        <v>33</v>
      </c>
      <c r="D3183" s="5" t="s">
        <v>34</v>
      </c>
      <c r="E3183" s="5" t="s">
        <v>35</v>
      </c>
      <c r="F3183" s="9" t="s">
        <v>36</v>
      </c>
      <c r="G3183" s="9" t="s">
        <v>43</v>
      </c>
      <c r="H3183" s="5" t="s">
        <v>21</v>
      </c>
      <c r="I3183" s="5" t="s">
        <v>8260</v>
      </c>
      <c r="J3183" s="12" t="str">
        <f>HYPERLINK("https://www.boe.es/gazeta/dias/1808/04/22/pdfs/GMD-C-1808-38.pdf#page=30","Abrir facsímil")</f>
        <v>Abrir facsímil</v>
      </c>
      <c r="K3183" s="15" t="s">
        <v>23</v>
      </c>
    </row>
    <row r="3184" spans="1:11" ht="42" customHeight="1">
      <c r="A3184" s="4" t="s">
        <v>8261</v>
      </c>
      <c r="B3184" s="5" t="s">
        <v>8262</v>
      </c>
      <c r="C3184" s="5" t="s">
        <v>389</v>
      </c>
      <c r="D3184" s="5" t="s">
        <v>390</v>
      </c>
      <c r="E3184" s="5" t="s">
        <v>2598</v>
      </c>
      <c r="F3184" s="9" t="s">
        <v>2599</v>
      </c>
      <c r="G3184" s="9">
        <v>949</v>
      </c>
      <c r="H3184" s="5" t="s">
        <v>21</v>
      </c>
      <c r="I3184" s="5" t="s">
        <v>8263</v>
      </c>
      <c r="J3184" s="12" t="str">
        <f>HYPERLINK("https://www.boe.es/gazeta/dias/1808/08/01/pdfs/GMD-1808-104.pdf#page=7","Abrir facsímil")</f>
        <v>Abrir facsímil</v>
      </c>
      <c r="K3184" s="15" t="s">
        <v>23</v>
      </c>
    </row>
    <row r="3185" spans="1:11" ht="42" customHeight="1">
      <c r="A3185" s="4" t="s">
        <v>8264</v>
      </c>
      <c r="B3185" s="5" t="s">
        <v>8265</v>
      </c>
      <c r="C3185" s="5" t="s">
        <v>33</v>
      </c>
      <c r="D3185" s="5" t="s">
        <v>34</v>
      </c>
      <c r="E3185" s="5" t="s">
        <v>19</v>
      </c>
      <c r="F3185" s="9" t="s">
        <v>949</v>
      </c>
      <c r="G3185" s="9" t="s">
        <v>199</v>
      </c>
      <c r="H3185" s="5" t="s">
        <v>21</v>
      </c>
      <c r="I3185" s="5" t="s">
        <v>8266</v>
      </c>
      <c r="J3185" s="12" t="str">
        <f>HYPERLINK("https://www.boe.es/gazeta/dias/1808/09/30/pdfs/GMD-C-1808-130.pdf#page=2","Abrir facsímil")</f>
        <v>Abrir facsímil</v>
      </c>
      <c r="K3185" s="15" t="s">
        <v>23</v>
      </c>
    </row>
    <row r="3186" spans="1:11" ht="42" customHeight="1">
      <c r="A3186" s="4" t="s">
        <v>8264</v>
      </c>
      <c r="B3186" s="5" t="s">
        <v>8265</v>
      </c>
      <c r="C3186" s="5" t="s">
        <v>33</v>
      </c>
      <c r="D3186" s="5" t="s">
        <v>34</v>
      </c>
      <c r="E3186" s="5" t="s">
        <v>68</v>
      </c>
      <c r="F3186" s="9" t="s">
        <v>309</v>
      </c>
      <c r="G3186" s="9" t="s">
        <v>106</v>
      </c>
      <c r="H3186" s="5" t="s">
        <v>21</v>
      </c>
      <c r="I3186" s="5" t="s">
        <v>8267</v>
      </c>
      <c r="J3186" s="12" t="str">
        <f>HYPERLINK("https://www.boe.es/gazeta/dias/1808/10/21/pdfs/GMD-D-1808-136.pdf#page=3","Abrir facsímil")</f>
        <v>Abrir facsímil</v>
      </c>
      <c r="K3186" s="15" t="s">
        <v>23</v>
      </c>
    </row>
    <row r="3187" spans="1:11" ht="42" customHeight="1">
      <c r="A3187" s="4" t="s">
        <v>8268</v>
      </c>
      <c r="B3187" s="5" t="s">
        <v>8269</v>
      </c>
      <c r="C3187" s="5" t="s">
        <v>33</v>
      </c>
      <c r="D3187" s="5" t="s">
        <v>34</v>
      </c>
      <c r="E3187" s="5" t="s">
        <v>35</v>
      </c>
      <c r="F3187" s="9" t="s">
        <v>36</v>
      </c>
      <c r="G3187" s="9" t="s">
        <v>279</v>
      </c>
      <c r="H3187" s="5" t="s">
        <v>21</v>
      </c>
      <c r="I3187" s="5" t="s">
        <v>8270</v>
      </c>
      <c r="J3187" s="12" t="str">
        <f>HYPERLINK("https://www.boe.es/gazeta/dias/1808/04/22/pdfs/GMD-C-1808-38.pdf#page=44","Abrir facsímil")</f>
        <v>Abrir facsímil</v>
      </c>
      <c r="K3187" s="15" t="s">
        <v>23</v>
      </c>
    </row>
    <row r="3188" spans="1:11" ht="42" customHeight="1">
      <c r="A3188" s="4" t="s">
        <v>8271</v>
      </c>
      <c r="B3188" s="5" t="s">
        <v>8272</v>
      </c>
      <c r="C3188" s="5" t="s">
        <v>33</v>
      </c>
      <c r="D3188" s="5" t="s">
        <v>34</v>
      </c>
      <c r="E3188" s="5" t="s">
        <v>65</v>
      </c>
      <c r="F3188" s="9" t="s">
        <v>691</v>
      </c>
      <c r="G3188" s="9">
        <v>1327</v>
      </c>
      <c r="H3188" s="5" t="s">
        <v>21</v>
      </c>
      <c r="I3188" s="5" t="s">
        <v>8273</v>
      </c>
      <c r="J3188" s="12" t="str">
        <f>HYPERLINK("https://www.boe.es/gazeta/dias/1808/10/18/pdfs/GMD-C-1808-135.pdf#page=11","Abrir facsímil")</f>
        <v>Abrir facsímil</v>
      </c>
      <c r="K3188" s="15" t="s">
        <v>23</v>
      </c>
    </row>
    <row r="3189" spans="1:11" ht="42" customHeight="1">
      <c r="A3189" s="4" t="s">
        <v>8274</v>
      </c>
      <c r="B3189" s="5" t="s">
        <v>8275</v>
      </c>
      <c r="C3189" s="5" t="s">
        <v>33</v>
      </c>
      <c r="D3189" s="5" t="s">
        <v>34</v>
      </c>
      <c r="E3189" s="5" t="s">
        <v>28</v>
      </c>
      <c r="F3189" s="9" t="s">
        <v>71</v>
      </c>
      <c r="G3189" s="9">
        <v>1437</v>
      </c>
      <c r="H3189" s="5" t="s">
        <v>21</v>
      </c>
      <c r="I3189" s="5" t="s">
        <v>8276</v>
      </c>
      <c r="J3189" s="12" t="str">
        <f>HYPERLINK("https://www.boe.es/gazeta/dias/1808/11/04/pdfs/GMD-C-1808-141.pdf#page=7","Abrir facsímil")</f>
        <v>Abrir facsímil</v>
      </c>
      <c r="K3189" s="15" t="s">
        <v>23</v>
      </c>
    </row>
    <row r="3190" spans="1:11" ht="42" customHeight="1">
      <c r="A3190" s="4" t="s">
        <v>8277</v>
      </c>
      <c r="B3190" s="5" t="s">
        <v>8277</v>
      </c>
      <c r="C3190" s="5" t="s">
        <v>94</v>
      </c>
      <c r="D3190" s="5" t="s">
        <v>95</v>
      </c>
      <c r="E3190" s="5" t="s">
        <v>245</v>
      </c>
      <c r="F3190" s="9" t="s">
        <v>246</v>
      </c>
      <c r="G3190" s="9">
        <v>542</v>
      </c>
      <c r="H3190" s="5" t="s">
        <v>21</v>
      </c>
      <c r="I3190" s="5" t="s">
        <v>8278</v>
      </c>
      <c r="J3190" s="12" t="str">
        <f>HYPERLINK("https://www.boe.es/gazeta/dias/1808/06/07/pdfs/GMD-1808-54.pdf#page=8","Abrir facsímil")</f>
        <v>Abrir facsímil</v>
      </c>
      <c r="K3190" s="15" t="s">
        <v>23</v>
      </c>
    </row>
    <row r="3191" spans="1:11" ht="42" customHeight="1">
      <c r="A3191" s="4" t="s">
        <v>8277</v>
      </c>
      <c r="B3191" s="5" t="s">
        <v>8277</v>
      </c>
      <c r="C3191" s="5" t="s">
        <v>17</v>
      </c>
      <c r="D3191" s="5" t="s">
        <v>18</v>
      </c>
      <c r="E3191" s="5" t="s">
        <v>68</v>
      </c>
      <c r="F3191" s="9" t="s">
        <v>69</v>
      </c>
      <c r="G3191" s="9">
        <v>1337</v>
      </c>
      <c r="H3191" s="5" t="s">
        <v>21</v>
      </c>
      <c r="I3191" s="5" t="s">
        <v>8279</v>
      </c>
      <c r="J3191" s="12" t="str">
        <f>HYPERLINK("https://www.boe.es/gazeta/dias/1808/10/21/pdfs/GMD-1808-136.pdf#page=9","Abrir facsímil")</f>
        <v>Abrir facsímil</v>
      </c>
      <c r="K3191" s="15" t="s">
        <v>23</v>
      </c>
    </row>
    <row r="3192" spans="1:11" ht="42" customHeight="1">
      <c r="A3192" s="4" t="s">
        <v>8280</v>
      </c>
      <c r="B3192" s="5" t="s">
        <v>8281</v>
      </c>
      <c r="C3192" s="5" t="s">
        <v>41</v>
      </c>
      <c r="D3192" s="5" t="s">
        <v>42</v>
      </c>
      <c r="E3192" s="5" t="s">
        <v>558</v>
      </c>
      <c r="F3192" s="9" t="s">
        <v>758</v>
      </c>
      <c r="G3192" s="9" t="s">
        <v>106</v>
      </c>
      <c r="H3192" s="5" t="s">
        <v>21</v>
      </c>
      <c r="I3192" s="5" t="s">
        <v>8282</v>
      </c>
      <c r="J3192" s="12" t="str">
        <f>HYPERLINK("https://www.boe.es/gazeta/dias/1808/11/25/pdfs/GMD-E-1808-147.pdf#page=3","Abrir facsímil")</f>
        <v>Abrir facsímil</v>
      </c>
      <c r="K3192" s="15" t="s">
        <v>23</v>
      </c>
    </row>
    <row r="3193" spans="1:11" ht="42" customHeight="1">
      <c r="A3193" s="4" t="s">
        <v>8283</v>
      </c>
      <c r="B3193" s="5" t="s">
        <v>8283</v>
      </c>
      <c r="C3193" s="5" t="s">
        <v>94</v>
      </c>
      <c r="D3193" s="5" t="s">
        <v>95</v>
      </c>
      <c r="E3193" s="5" t="s">
        <v>832</v>
      </c>
      <c r="F3193" s="9" t="s">
        <v>833</v>
      </c>
      <c r="G3193" s="9">
        <v>517</v>
      </c>
      <c r="H3193" s="5" t="s">
        <v>21</v>
      </c>
      <c r="I3193" s="5" t="s">
        <v>8284</v>
      </c>
      <c r="J3193" s="12" t="str">
        <f>HYPERLINK("https://www.boe.es/gazeta/dias/1808/05/31/pdfs/GMD-1808-52.pdf#page=7","Abrir facsímil")</f>
        <v>Abrir facsímil</v>
      </c>
      <c r="K3193" s="15" t="s">
        <v>23</v>
      </c>
    </row>
    <row r="3194" spans="1:11" ht="42" customHeight="1">
      <c r="A3194" s="4" t="s">
        <v>8285</v>
      </c>
      <c r="B3194" s="5" t="s">
        <v>8286</v>
      </c>
      <c r="C3194" s="5" t="s">
        <v>33</v>
      </c>
      <c r="D3194" s="5" t="s">
        <v>34</v>
      </c>
      <c r="E3194" s="5" t="s">
        <v>28</v>
      </c>
      <c r="F3194" s="9" t="s">
        <v>446</v>
      </c>
      <c r="G3194" s="9" t="s">
        <v>106</v>
      </c>
      <c r="H3194" s="5" t="s">
        <v>21</v>
      </c>
      <c r="I3194" s="5" t="s">
        <v>8287</v>
      </c>
      <c r="J3194" s="12" t="str">
        <f>HYPERLINK("https://www.boe.es/gazeta/dias/1808/11/04/pdfs/GMD-D-1808-141.pdf#page=3","Abrir facsímil")</f>
        <v>Abrir facsímil</v>
      </c>
      <c r="K3194" s="15" t="s">
        <v>23</v>
      </c>
    </row>
    <row r="3195" spans="1:11" ht="42" customHeight="1">
      <c r="A3195" s="4" t="s">
        <v>8288</v>
      </c>
      <c r="B3195" s="5" t="s">
        <v>8289</v>
      </c>
      <c r="C3195" s="5" t="s">
        <v>33</v>
      </c>
      <c r="D3195" s="5" t="s">
        <v>34</v>
      </c>
      <c r="E3195" s="5" t="s">
        <v>125</v>
      </c>
      <c r="F3195" s="9" t="s">
        <v>126</v>
      </c>
      <c r="G3195" s="9" t="s">
        <v>106</v>
      </c>
      <c r="H3195" s="5" t="s">
        <v>21</v>
      </c>
      <c r="I3195" s="5" t="s">
        <v>8290</v>
      </c>
      <c r="J3195" s="12" t="str">
        <f>HYPERLINK("https://www.boe.es/gazeta/dias/1808/10/07/pdfs/GMD-C-1808-132.pdf#page=3","Abrir facsímil")</f>
        <v>Abrir facsímil</v>
      </c>
      <c r="K3195" s="15" t="s">
        <v>23</v>
      </c>
    </row>
    <row r="3196" spans="1:11" ht="42" customHeight="1">
      <c r="A3196" s="4" t="s">
        <v>8291</v>
      </c>
      <c r="B3196" s="5" t="s">
        <v>8292</v>
      </c>
      <c r="C3196" s="5" t="s">
        <v>17</v>
      </c>
      <c r="D3196" s="5" t="s">
        <v>18</v>
      </c>
      <c r="E3196" s="5" t="s">
        <v>719</v>
      </c>
      <c r="F3196" s="9" t="s">
        <v>720</v>
      </c>
      <c r="G3196" s="9">
        <v>1609</v>
      </c>
      <c r="H3196" s="5" t="s">
        <v>21</v>
      </c>
      <c r="I3196" s="5" t="s">
        <v>8293</v>
      </c>
      <c r="J3196" s="12" t="str">
        <f>HYPERLINK("https://www.boe.es/gazeta/dias/1808/12/16/pdfs/GMD-1808-156.pdf#page=1","Abrir facsímil")</f>
        <v>Abrir facsímil</v>
      </c>
      <c r="K3196" s="15" t="s">
        <v>23</v>
      </c>
    </row>
    <row r="3197" spans="1:11" ht="42" customHeight="1">
      <c r="A3197" s="4" t="s">
        <v>8294</v>
      </c>
      <c r="B3197" s="5" t="s">
        <v>8295</v>
      </c>
      <c r="C3197" s="5" t="s">
        <v>17</v>
      </c>
      <c r="D3197" s="5" t="s">
        <v>18</v>
      </c>
      <c r="E3197" s="5" t="s">
        <v>19</v>
      </c>
      <c r="F3197" s="9" t="s">
        <v>59</v>
      </c>
      <c r="G3197" s="9">
        <v>1229</v>
      </c>
      <c r="H3197" s="5" t="s">
        <v>21</v>
      </c>
      <c r="I3197" s="5" t="s">
        <v>8296</v>
      </c>
      <c r="J3197" s="12" t="str">
        <f>HYPERLINK("https://www.boe.es/gazeta/dias/1808/09/30/pdfs/GMD-1808-130.pdf#page=9","Abrir facsímil")</f>
        <v>Abrir facsímil</v>
      </c>
      <c r="K3197" s="15" t="s">
        <v>23</v>
      </c>
    </row>
    <row r="3198" spans="1:11" ht="42" customHeight="1">
      <c r="A3198" s="4" t="s">
        <v>8297</v>
      </c>
      <c r="B3198" s="5" t="s">
        <v>8298</v>
      </c>
      <c r="C3198" s="5" t="s">
        <v>33</v>
      </c>
      <c r="D3198" s="5" t="s">
        <v>34</v>
      </c>
      <c r="E3198" s="5" t="s">
        <v>73</v>
      </c>
      <c r="F3198" s="9" t="s">
        <v>74</v>
      </c>
      <c r="G3198" s="9" t="s">
        <v>106</v>
      </c>
      <c r="H3198" s="5" t="s">
        <v>21</v>
      </c>
      <c r="I3198" s="5" t="s">
        <v>8299</v>
      </c>
      <c r="J3198" s="12" t="str">
        <f>HYPERLINK("https://www.boe.es/gazeta/dias/1808/11/11/pdfs/GMD-D-1808-143.pdf#page=3","Abrir facsímil")</f>
        <v>Abrir facsímil</v>
      </c>
      <c r="K3198" s="15" t="s">
        <v>23</v>
      </c>
    </row>
    <row r="3199" spans="1:11" ht="42" customHeight="1">
      <c r="A3199" s="4" t="s">
        <v>8300</v>
      </c>
      <c r="B3199" s="5" t="s">
        <v>8301</v>
      </c>
      <c r="C3199" s="5" t="s">
        <v>33</v>
      </c>
      <c r="D3199" s="5" t="s">
        <v>34</v>
      </c>
      <c r="E3199" s="5" t="s">
        <v>461</v>
      </c>
      <c r="F3199" s="9" t="s">
        <v>462</v>
      </c>
      <c r="G3199" s="9" t="s">
        <v>199</v>
      </c>
      <c r="H3199" s="5" t="s">
        <v>21</v>
      </c>
      <c r="I3199" s="5" t="s">
        <v>8302</v>
      </c>
      <c r="J3199" s="12" t="str">
        <f>HYPERLINK("https://www.boe.es/gazeta/dias/1808/11/08/pdfs/GMD-D-1808-142.pdf#page=2","Abrir facsímil")</f>
        <v>Abrir facsímil</v>
      </c>
      <c r="K3199" s="15" t="s">
        <v>23</v>
      </c>
    </row>
    <row r="3200" spans="1:11" ht="42" customHeight="1">
      <c r="A3200" s="4" t="s">
        <v>8303</v>
      </c>
      <c r="B3200" s="5" t="s">
        <v>8304</v>
      </c>
      <c r="C3200" s="5" t="s">
        <v>17</v>
      </c>
      <c r="D3200" s="5" t="s">
        <v>18</v>
      </c>
      <c r="E3200" s="5" t="s">
        <v>73</v>
      </c>
      <c r="F3200" s="9" t="s">
        <v>581</v>
      </c>
      <c r="G3200" s="9">
        <v>1469</v>
      </c>
      <c r="H3200" s="5" t="s">
        <v>21</v>
      </c>
      <c r="I3200" s="5" t="s">
        <v>8305</v>
      </c>
      <c r="J3200" s="12" t="str">
        <f>HYPERLINK("https://www.boe.es/gazeta/dias/1808/11/11/pdfs/GMD-1808-143.pdf#page=11","Abrir facsímil")</f>
        <v>Abrir facsímil</v>
      </c>
      <c r="K3200" s="15" t="s">
        <v>23</v>
      </c>
    </row>
    <row r="3201" spans="1:11" ht="42" customHeight="1">
      <c r="A3201" s="4" t="s">
        <v>8306</v>
      </c>
      <c r="B3201" s="5" t="s">
        <v>8307</v>
      </c>
      <c r="C3201" s="5" t="s">
        <v>33</v>
      </c>
      <c r="D3201" s="5" t="s">
        <v>34</v>
      </c>
      <c r="E3201" s="5" t="s">
        <v>35</v>
      </c>
      <c r="F3201" s="9" t="s">
        <v>36</v>
      </c>
      <c r="G3201" s="9" t="s">
        <v>299</v>
      </c>
      <c r="H3201" s="5" t="s">
        <v>21</v>
      </c>
      <c r="I3201" s="5" t="s">
        <v>8308</v>
      </c>
      <c r="J3201" s="12" t="str">
        <f>HYPERLINK("https://www.boe.es/gazeta/dias/1808/04/22/pdfs/GMD-C-1808-38.pdf#page=14","Abrir facsímil")</f>
        <v>Abrir facsímil</v>
      </c>
      <c r="K3201" s="15" t="s">
        <v>23</v>
      </c>
    </row>
    <row r="3202" spans="1:11" ht="42" customHeight="1">
      <c r="A3202" s="4" t="s">
        <v>8309</v>
      </c>
      <c r="B3202" s="5" t="s">
        <v>8310</v>
      </c>
      <c r="C3202" s="5" t="s">
        <v>33</v>
      </c>
      <c r="D3202" s="5" t="s">
        <v>34</v>
      </c>
      <c r="E3202" s="5" t="s">
        <v>153</v>
      </c>
      <c r="F3202" s="9" t="s">
        <v>154</v>
      </c>
      <c r="G3202" s="9" t="s">
        <v>106</v>
      </c>
      <c r="H3202" s="5" t="s">
        <v>21</v>
      </c>
      <c r="I3202" s="5" t="s">
        <v>8311</v>
      </c>
      <c r="J3202" s="12" t="str">
        <f>HYPERLINK("https://www.boe.es/gazeta/dias/1808/09/09/pdfs/GMD-C-1808-121.pdf#page=3","Abrir facsímil")</f>
        <v>Abrir facsímil</v>
      </c>
      <c r="K3202" s="15" t="s">
        <v>23</v>
      </c>
    </row>
    <row r="3203" spans="1:11" ht="42" customHeight="1">
      <c r="A3203" s="4" t="s">
        <v>8312</v>
      </c>
      <c r="B3203" s="5" t="s">
        <v>8313</v>
      </c>
      <c r="C3203" s="5" t="s">
        <v>33</v>
      </c>
      <c r="D3203" s="5" t="s">
        <v>34</v>
      </c>
      <c r="E3203" s="5" t="s">
        <v>153</v>
      </c>
      <c r="F3203" s="9" t="s">
        <v>154</v>
      </c>
      <c r="G3203" s="9" t="s">
        <v>106</v>
      </c>
      <c r="H3203" s="5" t="s">
        <v>21</v>
      </c>
      <c r="I3203" s="5" t="s">
        <v>8314</v>
      </c>
      <c r="J3203" s="12" t="str">
        <f>HYPERLINK("https://www.boe.es/gazeta/dias/1808/09/09/pdfs/GMD-C-1808-121.pdf#page=3","Abrir facsímil")</f>
        <v>Abrir facsímil</v>
      </c>
      <c r="K3203" s="15" t="s">
        <v>23</v>
      </c>
    </row>
    <row r="3204" spans="1:11" ht="42" customHeight="1">
      <c r="A3204" s="4" t="s">
        <v>8315</v>
      </c>
      <c r="B3204" s="5" t="s">
        <v>8316</v>
      </c>
      <c r="C3204" s="5" t="s">
        <v>17</v>
      </c>
      <c r="D3204" s="5" t="s">
        <v>18</v>
      </c>
      <c r="E3204" s="5" t="s">
        <v>218</v>
      </c>
      <c r="F3204" s="9" t="s">
        <v>219</v>
      </c>
      <c r="G3204" s="9">
        <v>331</v>
      </c>
      <c r="H3204" s="5" t="s">
        <v>21</v>
      </c>
      <c r="I3204" s="5" t="s">
        <v>8317</v>
      </c>
      <c r="J3204" s="12" t="str">
        <f>HYPERLINK("https://www.boe.es/gazeta/dias/1808/04/01/pdfs/GMD-1808-29.pdf#page=7","Abrir facsímil")</f>
        <v>Abrir facsímil</v>
      </c>
      <c r="K3204" s="15" t="s">
        <v>23</v>
      </c>
    </row>
    <row r="3205" spans="1:11" ht="42" customHeight="1">
      <c r="A3205" s="4" t="s">
        <v>8315</v>
      </c>
      <c r="B3205" s="5" t="s">
        <v>8316</v>
      </c>
      <c r="C3205" s="5" t="s">
        <v>17</v>
      </c>
      <c r="D3205" s="5" t="s">
        <v>18</v>
      </c>
      <c r="E3205" s="5" t="s">
        <v>1791</v>
      </c>
      <c r="F3205" s="9" t="s">
        <v>2814</v>
      </c>
      <c r="G3205" s="9">
        <v>930</v>
      </c>
      <c r="H3205" s="5" t="s">
        <v>21</v>
      </c>
      <c r="I3205" s="5" t="s">
        <v>8318</v>
      </c>
      <c r="J3205" s="12" t="str">
        <f>HYPERLINK("https://www.boe.es/gazeta/dias/1808/07/30/pdfs/GMD-1808-102.pdf#page=4","Abrir facsímil")</f>
        <v>Abrir facsímil</v>
      </c>
      <c r="K3205" s="15" t="s">
        <v>23</v>
      </c>
    </row>
    <row r="3206" spans="1:11" ht="42" customHeight="1">
      <c r="A3206" s="4" t="s">
        <v>8315</v>
      </c>
      <c r="B3206" s="5" t="s">
        <v>8316</v>
      </c>
      <c r="C3206" s="5" t="s">
        <v>17</v>
      </c>
      <c r="D3206" s="5" t="s">
        <v>18</v>
      </c>
      <c r="E3206" s="5" t="s">
        <v>427</v>
      </c>
      <c r="F3206" s="9" t="s">
        <v>1802</v>
      </c>
      <c r="G3206" s="9">
        <v>1526</v>
      </c>
      <c r="H3206" s="5" t="s">
        <v>21</v>
      </c>
      <c r="I3206" s="5" t="s">
        <v>8319</v>
      </c>
      <c r="J3206" s="12" t="str">
        <f>HYPERLINK("https://www.boe.es/gazeta/dias/1808/11/22/pdfs/GMD-1808-146.pdf#page=12","Abrir facsímil")</f>
        <v>Abrir facsímil</v>
      </c>
      <c r="K3206" s="15" t="s">
        <v>23</v>
      </c>
    </row>
    <row r="3207" spans="1:11" ht="42" customHeight="1">
      <c r="A3207" s="4" t="s">
        <v>8320</v>
      </c>
      <c r="B3207" s="5" t="s">
        <v>8321</v>
      </c>
      <c r="C3207" s="5" t="s">
        <v>33</v>
      </c>
      <c r="D3207" s="5" t="s">
        <v>34</v>
      </c>
      <c r="E3207" s="5" t="s">
        <v>153</v>
      </c>
      <c r="F3207" s="9" t="s">
        <v>154</v>
      </c>
      <c r="G3207" s="9" t="s">
        <v>199</v>
      </c>
      <c r="H3207" s="5" t="s">
        <v>21</v>
      </c>
      <c r="I3207" s="5" t="s">
        <v>8322</v>
      </c>
      <c r="J3207" s="12" t="str">
        <f>HYPERLINK("https://www.boe.es/gazeta/dias/1808/09/09/pdfs/GMD-C-1808-121.pdf#page=2","Abrir facsímil")</f>
        <v>Abrir facsímil</v>
      </c>
      <c r="K3207" s="15" t="s">
        <v>23</v>
      </c>
    </row>
    <row r="3208" spans="1:11" ht="42" customHeight="1">
      <c r="A3208" s="4" t="s">
        <v>8323</v>
      </c>
      <c r="B3208" s="5" t="s">
        <v>8324</v>
      </c>
      <c r="C3208" s="5" t="s">
        <v>41</v>
      </c>
      <c r="D3208" s="5" t="s">
        <v>42</v>
      </c>
      <c r="E3208" s="5" t="s">
        <v>35</v>
      </c>
      <c r="F3208" s="9" t="s">
        <v>36</v>
      </c>
      <c r="G3208" s="9" t="s">
        <v>1128</v>
      </c>
      <c r="H3208" s="5" t="s">
        <v>21</v>
      </c>
      <c r="I3208" s="5" t="s">
        <v>8325</v>
      </c>
      <c r="J3208" s="12" t="str">
        <f>HYPERLINK("https://www.boe.es/gazeta/dias/1808/04/22/pdfs/GMD-C-1808-38.pdf#page=11","Abrir facsímil")</f>
        <v>Abrir facsímil</v>
      </c>
      <c r="K3208" s="15" t="s">
        <v>23</v>
      </c>
    </row>
    <row r="3209" spans="1:11" ht="42" customHeight="1">
      <c r="A3209" s="4" t="s">
        <v>8323</v>
      </c>
      <c r="B3209" s="5" t="s">
        <v>8324</v>
      </c>
      <c r="C3209" s="5" t="s">
        <v>33</v>
      </c>
      <c r="D3209" s="5" t="s">
        <v>34</v>
      </c>
      <c r="E3209" s="5" t="s">
        <v>35</v>
      </c>
      <c r="F3209" s="9" t="s">
        <v>36</v>
      </c>
      <c r="G3209" s="9" t="s">
        <v>135</v>
      </c>
      <c r="H3209" s="5" t="s">
        <v>21</v>
      </c>
      <c r="I3209" s="5" t="s">
        <v>8326</v>
      </c>
      <c r="J3209" s="12" t="str">
        <f>HYPERLINK("https://www.boe.es/gazeta/dias/1808/04/22/pdfs/GMD-C-1808-38.pdf#page=26","Abrir facsímil")</f>
        <v>Abrir facsímil</v>
      </c>
      <c r="K3209" s="15" t="s">
        <v>23</v>
      </c>
    </row>
    <row r="3210" spans="1:11" ht="42" customHeight="1">
      <c r="A3210" s="4" t="s">
        <v>8323</v>
      </c>
      <c r="B3210" s="5" t="s">
        <v>8324</v>
      </c>
      <c r="C3210" s="5" t="s">
        <v>33</v>
      </c>
      <c r="D3210" s="5" t="s">
        <v>34</v>
      </c>
      <c r="E3210" s="5" t="s">
        <v>35</v>
      </c>
      <c r="F3210" s="9" t="s">
        <v>36</v>
      </c>
      <c r="G3210" s="9" t="s">
        <v>43</v>
      </c>
      <c r="H3210" s="5" t="s">
        <v>21</v>
      </c>
      <c r="I3210" s="5" t="s">
        <v>8327</v>
      </c>
      <c r="J3210" s="12" t="str">
        <f>HYPERLINK("https://www.boe.es/gazeta/dias/1808/04/22/pdfs/GMD-C-1808-38.pdf#page=30","Abrir facsímil")</f>
        <v>Abrir facsímil</v>
      </c>
      <c r="K3210" s="15" t="s">
        <v>23</v>
      </c>
    </row>
    <row r="3211" spans="1:11" ht="42" customHeight="1">
      <c r="A3211" s="4" t="s">
        <v>8323</v>
      </c>
      <c r="B3211" s="5" t="s">
        <v>8324</v>
      </c>
      <c r="C3211" s="5" t="s">
        <v>33</v>
      </c>
      <c r="D3211" s="5" t="s">
        <v>34</v>
      </c>
      <c r="E3211" s="5" t="s">
        <v>461</v>
      </c>
      <c r="F3211" s="9" t="s">
        <v>462</v>
      </c>
      <c r="G3211" s="9" t="s">
        <v>199</v>
      </c>
      <c r="H3211" s="5" t="s">
        <v>21</v>
      </c>
      <c r="I3211" s="5" t="s">
        <v>8328</v>
      </c>
      <c r="J3211" s="12" t="str">
        <f>HYPERLINK("https://www.boe.es/gazeta/dias/1808/11/08/pdfs/GMD-D-1808-142.pdf#page=2","Abrir facsímil")</f>
        <v>Abrir facsímil</v>
      </c>
      <c r="K3211" s="15" t="s">
        <v>23</v>
      </c>
    </row>
    <row r="3212" spans="1:11" ht="42" customHeight="1">
      <c r="A3212" s="4" t="s">
        <v>8329</v>
      </c>
      <c r="B3212" s="5" t="s">
        <v>8330</v>
      </c>
      <c r="C3212" s="5" t="s">
        <v>41</v>
      </c>
      <c r="D3212" s="5" t="s">
        <v>42</v>
      </c>
      <c r="E3212" s="5" t="s">
        <v>877</v>
      </c>
      <c r="F3212" s="9" t="s">
        <v>878</v>
      </c>
      <c r="G3212" s="9">
        <v>118</v>
      </c>
      <c r="H3212" s="5" t="s">
        <v>21</v>
      </c>
      <c r="I3212" s="5" t="s">
        <v>8331</v>
      </c>
      <c r="J3212" s="12" t="str">
        <f>HYPERLINK("https://www.boe.es/gazeta/dias/1808/02/02/pdfs/GMD-1808-10.pdf#page=10","Abrir facsímil")</f>
        <v>Abrir facsímil</v>
      </c>
      <c r="K3212" s="15" t="s">
        <v>23</v>
      </c>
    </row>
    <row r="3213" spans="1:11" ht="42" customHeight="1">
      <c r="A3213" s="4" t="s">
        <v>8332</v>
      </c>
      <c r="B3213" s="5" t="s">
        <v>8333</v>
      </c>
      <c r="C3213" s="5" t="s">
        <v>17</v>
      </c>
      <c r="D3213" s="5" t="s">
        <v>18</v>
      </c>
      <c r="E3213" s="5" t="s">
        <v>558</v>
      </c>
      <c r="F3213" s="9" t="s">
        <v>559</v>
      </c>
      <c r="G3213" s="9">
        <v>1545</v>
      </c>
      <c r="H3213" s="5" t="s">
        <v>21</v>
      </c>
      <c r="I3213" s="5" t="s">
        <v>8334</v>
      </c>
      <c r="J3213" s="12" t="str">
        <f>HYPERLINK("https://www.boe.es/gazeta/dias/1808/11/25/pdfs/GMD-1808-147.pdf#page=11","Abrir facsímil")</f>
        <v>Abrir facsímil</v>
      </c>
      <c r="K3213" s="15" t="s">
        <v>23</v>
      </c>
    </row>
    <row r="3214" spans="1:11" ht="42" customHeight="1">
      <c r="A3214" s="4" t="s">
        <v>8335</v>
      </c>
      <c r="B3214" s="5" t="s">
        <v>8336</v>
      </c>
      <c r="C3214" s="5" t="s">
        <v>389</v>
      </c>
      <c r="D3214" s="5" t="s">
        <v>390</v>
      </c>
      <c r="E3214" s="5" t="s">
        <v>153</v>
      </c>
      <c r="F3214" s="9" t="s">
        <v>154</v>
      </c>
      <c r="G3214" s="9" t="s">
        <v>199</v>
      </c>
      <c r="H3214" s="5" t="s">
        <v>21</v>
      </c>
      <c r="I3214" s="5" t="s">
        <v>8337</v>
      </c>
      <c r="J3214" s="12" t="str">
        <f>HYPERLINK("https://www.boe.es/gazeta/dias/1808/09/09/pdfs/GMD-C-1808-121.pdf#page=2","Abrir facsímil")</f>
        <v>Abrir facsímil</v>
      </c>
      <c r="K3214" s="15" t="s">
        <v>23</v>
      </c>
    </row>
    <row r="3215" spans="1:11" ht="42" customHeight="1">
      <c r="A3215" s="4" t="s">
        <v>8338</v>
      </c>
      <c r="B3215" s="5" t="s">
        <v>8339</v>
      </c>
      <c r="C3215" s="5" t="s">
        <v>17</v>
      </c>
      <c r="D3215" s="5" t="s">
        <v>18</v>
      </c>
      <c r="E3215" s="5" t="s">
        <v>663</v>
      </c>
      <c r="F3215" s="9" t="s">
        <v>664</v>
      </c>
      <c r="G3215" s="9">
        <v>207</v>
      </c>
      <c r="H3215" s="5" t="s">
        <v>21</v>
      </c>
      <c r="I3215" s="5" t="s">
        <v>8340</v>
      </c>
      <c r="J3215" s="12" t="str">
        <f>HYPERLINK("https://www.boe.es/gazeta/dias/1808/02/26/pdfs/GMD-1808-17.pdf#page=9","Abrir facsímil")</f>
        <v>Abrir facsímil</v>
      </c>
      <c r="K3215" s="15" t="s">
        <v>23</v>
      </c>
    </row>
    <row r="3216" spans="1:11" ht="42" customHeight="1">
      <c r="A3216" s="4" t="s">
        <v>8341</v>
      </c>
      <c r="B3216" s="5" t="s">
        <v>8342</v>
      </c>
      <c r="C3216" s="5" t="s">
        <v>17</v>
      </c>
      <c r="D3216" s="5" t="s">
        <v>18</v>
      </c>
      <c r="E3216" s="5" t="s">
        <v>61</v>
      </c>
      <c r="F3216" s="9" t="s">
        <v>62</v>
      </c>
      <c r="G3216" s="9">
        <v>1285</v>
      </c>
      <c r="H3216" s="5" t="s">
        <v>21</v>
      </c>
      <c r="I3216" s="5" t="s">
        <v>8343</v>
      </c>
      <c r="J3216" s="12" t="str">
        <f>HYPERLINK("https://www.boe.es/gazeta/dias/1808/10/11/pdfs/GMD-1808-133.pdf#page=13","Abrir facsímil")</f>
        <v>Abrir facsímil</v>
      </c>
      <c r="K3216" s="15" t="s">
        <v>23</v>
      </c>
    </row>
    <row r="3217" spans="1:11" ht="42" customHeight="1">
      <c r="A3217" s="4" t="s">
        <v>8344</v>
      </c>
      <c r="B3217" s="5" t="s">
        <v>8345</v>
      </c>
      <c r="C3217" s="5" t="s">
        <v>17</v>
      </c>
      <c r="D3217" s="5" t="s">
        <v>18</v>
      </c>
      <c r="E3217" s="5" t="s">
        <v>110</v>
      </c>
      <c r="F3217" s="9" t="s">
        <v>111</v>
      </c>
      <c r="G3217" s="9">
        <v>1383</v>
      </c>
      <c r="H3217" s="5" t="s">
        <v>21</v>
      </c>
      <c r="I3217" s="5" t="s">
        <v>8346</v>
      </c>
      <c r="J3217" s="12" t="str">
        <f>HYPERLINK("https://www.boe.es/gazeta/dias/1808/10/28/pdfs/GMD-1808-138.pdf#page=9","Abrir facsímil")</f>
        <v>Abrir facsímil</v>
      </c>
      <c r="K3217" s="15" t="s">
        <v>23</v>
      </c>
    </row>
    <row r="3218" spans="1:11" ht="42" customHeight="1">
      <c r="A3218" s="4" t="s">
        <v>8347</v>
      </c>
      <c r="B3218" s="5" t="s">
        <v>8348</v>
      </c>
      <c r="C3218" s="5" t="s">
        <v>17</v>
      </c>
      <c r="D3218" s="5" t="s">
        <v>18</v>
      </c>
      <c r="E3218" s="5" t="s">
        <v>73</v>
      </c>
      <c r="F3218" s="9" t="s">
        <v>581</v>
      </c>
      <c r="G3218" s="9">
        <v>1468</v>
      </c>
      <c r="H3218" s="5" t="s">
        <v>21</v>
      </c>
      <c r="I3218" s="5" t="s">
        <v>8349</v>
      </c>
      <c r="J3218" s="12" t="str">
        <f>HYPERLINK("https://www.boe.es/gazeta/dias/1808/11/11/pdfs/GMD-1808-143.pdf#page=10","Abrir facsímil")</f>
        <v>Abrir facsímil</v>
      </c>
      <c r="K3218" s="15" t="s">
        <v>23</v>
      </c>
    </row>
    <row r="3219" spans="1:11" ht="42" customHeight="1">
      <c r="A3219" s="4" t="s">
        <v>8350</v>
      </c>
      <c r="B3219" s="5" t="s">
        <v>8351</v>
      </c>
      <c r="C3219" s="5" t="s">
        <v>389</v>
      </c>
      <c r="D3219" s="5" t="s">
        <v>390</v>
      </c>
      <c r="E3219" s="5" t="s">
        <v>238</v>
      </c>
      <c r="F3219" s="9" t="s">
        <v>239</v>
      </c>
      <c r="G3219" s="9">
        <v>36</v>
      </c>
      <c r="H3219" s="5" t="s">
        <v>21</v>
      </c>
      <c r="I3219" s="5" t="s">
        <v>8352</v>
      </c>
      <c r="J3219" s="12" t="str">
        <f>HYPERLINK("https://www.boe.es/gazeta/dias/1808/01/08/pdfs/GMD-1808-3.pdf#page=12","Abrir facsímil")</f>
        <v>Abrir facsímil</v>
      </c>
      <c r="K3219" s="15" t="s">
        <v>23</v>
      </c>
    </row>
    <row r="3220" spans="1:11" ht="42" customHeight="1">
      <c r="A3220" s="4" t="s">
        <v>8350</v>
      </c>
      <c r="B3220" s="5" t="s">
        <v>8351</v>
      </c>
      <c r="C3220" s="5" t="s">
        <v>389</v>
      </c>
      <c r="D3220" s="5" t="s">
        <v>390</v>
      </c>
      <c r="E3220" s="5" t="s">
        <v>203</v>
      </c>
      <c r="F3220" s="9" t="s">
        <v>204</v>
      </c>
      <c r="G3220" s="9">
        <v>144</v>
      </c>
      <c r="H3220" s="5" t="s">
        <v>21</v>
      </c>
      <c r="I3220" s="5" t="s">
        <v>8353</v>
      </c>
      <c r="J3220" s="12" t="str">
        <f>HYPERLINK("https://www.boe.es/gazeta/dias/1808/02/09/pdfs/GMD-1808-12.pdf#page=12","Abrir facsímil")</f>
        <v>Abrir facsímil</v>
      </c>
      <c r="K3220" s="15" t="s">
        <v>23</v>
      </c>
    </row>
    <row r="3221" spans="1:11" ht="42" customHeight="1">
      <c r="A3221" s="4" t="s">
        <v>8350</v>
      </c>
      <c r="B3221" s="5" t="s">
        <v>8351</v>
      </c>
      <c r="C3221" s="5" t="s">
        <v>389</v>
      </c>
      <c r="D3221" s="5" t="s">
        <v>390</v>
      </c>
      <c r="E3221" s="5" t="s">
        <v>8354</v>
      </c>
      <c r="F3221" s="9" t="s">
        <v>8355</v>
      </c>
      <c r="G3221" s="9">
        <v>805</v>
      </c>
      <c r="H3221" s="5" t="s">
        <v>21</v>
      </c>
      <c r="I3221" s="5" t="s">
        <v>8356</v>
      </c>
      <c r="J3221" s="12" t="str">
        <f>HYPERLINK("https://www.boe.es/gazeta/dias/1808/07/14/pdfs/GMD-1808-86.pdf#page=7","Abrir facsímil")</f>
        <v>Abrir facsímil</v>
      </c>
      <c r="K3221" s="15" t="s">
        <v>23</v>
      </c>
    </row>
    <row r="3222" spans="1:11" ht="42" customHeight="1">
      <c r="A3222" s="4" t="s">
        <v>8357</v>
      </c>
      <c r="B3222" s="5" t="s">
        <v>8358</v>
      </c>
      <c r="C3222" s="5" t="s">
        <v>41</v>
      </c>
      <c r="D3222" s="5" t="s">
        <v>42</v>
      </c>
      <c r="E3222" s="5" t="s">
        <v>35</v>
      </c>
      <c r="F3222" s="9" t="s">
        <v>36</v>
      </c>
      <c r="G3222" s="9" t="s">
        <v>43</v>
      </c>
      <c r="H3222" s="5" t="s">
        <v>21</v>
      </c>
      <c r="I3222" s="5" t="s">
        <v>8359</v>
      </c>
      <c r="J3222" s="12" t="str">
        <f>HYPERLINK("https://www.boe.es/gazeta/dias/1808/04/22/pdfs/GMD-C-1808-38.pdf#page=30","Abrir facsímil")</f>
        <v>Abrir facsímil</v>
      </c>
      <c r="K3222" s="15" t="s">
        <v>23</v>
      </c>
    </row>
    <row r="3223" spans="1:11" ht="42" customHeight="1">
      <c r="A3223" s="4" t="s">
        <v>8360</v>
      </c>
      <c r="B3223" s="5" t="s">
        <v>8361</v>
      </c>
      <c r="C3223" s="5" t="s">
        <v>41</v>
      </c>
      <c r="D3223" s="5" t="s">
        <v>42</v>
      </c>
      <c r="E3223" s="5" t="s">
        <v>28</v>
      </c>
      <c r="F3223" s="9" t="s">
        <v>446</v>
      </c>
      <c r="G3223" s="9" t="s">
        <v>106</v>
      </c>
      <c r="H3223" s="5" t="s">
        <v>21</v>
      </c>
      <c r="I3223" s="5" t="s">
        <v>8362</v>
      </c>
      <c r="J3223" s="12" t="str">
        <f>HYPERLINK("https://www.boe.es/gazeta/dias/1808/11/04/pdfs/GMD-D-1808-141.pdf#page=3","Abrir facsímil")</f>
        <v>Abrir facsímil</v>
      </c>
      <c r="K3223" s="15" t="s">
        <v>23</v>
      </c>
    </row>
    <row r="3224" spans="1:11" ht="42" customHeight="1">
      <c r="A3224" s="4" t="s">
        <v>8363</v>
      </c>
      <c r="B3224" s="5" t="s">
        <v>8364</v>
      </c>
      <c r="C3224" s="5" t="s">
        <v>94</v>
      </c>
      <c r="D3224" s="5" t="s">
        <v>95</v>
      </c>
      <c r="E3224" s="5" t="s">
        <v>572</v>
      </c>
      <c r="F3224" s="9" t="s">
        <v>573</v>
      </c>
      <c r="G3224" s="9">
        <v>21</v>
      </c>
      <c r="H3224" s="5" t="s">
        <v>21</v>
      </c>
      <c r="I3224" s="5" t="s">
        <v>8365</v>
      </c>
      <c r="J3224" s="12" t="str">
        <f>HYPERLINK("https://www.boe.es/gazeta/dias/1808/01/05/pdfs/GMD-1808-2.pdf#page=9","Abrir facsímil")</f>
        <v>Abrir facsímil</v>
      </c>
      <c r="K3224" s="15" t="s">
        <v>23</v>
      </c>
    </row>
    <row r="3225" spans="1:11" ht="42" customHeight="1">
      <c r="A3225" s="4" t="s">
        <v>8366</v>
      </c>
      <c r="B3225" s="5" t="s">
        <v>8367</v>
      </c>
      <c r="C3225" s="5" t="s">
        <v>94</v>
      </c>
      <c r="D3225" s="5" t="s">
        <v>95</v>
      </c>
      <c r="E3225" s="5" t="s">
        <v>478</v>
      </c>
      <c r="F3225" s="9" t="s">
        <v>479</v>
      </c>
      <c r="G3225" s="9">
        <v>244</v>
      </c>
      <c r="H3225" s="5" t="s">
        <v>21</v>
      </c>
      <c r="I3225" s="5" t="s">
        <v>8368</v>
      </c>
      <c r="J3225" s="12" t="str">
        <f>HYPERLINK("https://www.boe.es/gazeta/dias/1808/03/08/pdfs/GMD-1808-20.pdf#page=10","Abrir facsímil")</f>
        <v>Abrir facsímil</v>
      </c>
      <c r="K3225" s="15" t="s">
        <v>23</v>
      </c>
    </row>
    <row r="3226" spans="1:11" ht="42" customHeight="1">
      <c r="A3226" s="4" t="s">
        <v>8366</v>
      </c>
      <c r="B3226" s="5" t="s">
        <v>8367</v>
      </c>
      <c r="C3226" s="5" t="s">
        <v>33</v>
      </c>
      <c r="D3226" s="5" t="s">
        <v>34</v>
      </c>
      <c r="E3226" s="5" t="s">
        <v>35</v>
      </c>
      <c r="F3226" s="9" t="s">
        <v>36</v>
      </c>
      <c r="G3226" s="9" t="s">
        <v>37</v>
      </c>
      <c r="H3226" s="5" t="s">
        <v>21</v>
      </c>
      <c r="I3226" s="5" t="s">
        <v>8369</v>
      </c>
      <c r="J3226" s="12" t="str">
        <f>HYPERLINK("https://www.boe.es/gazeta/dias/1808/04/22/pdfs/GMD-C-1808-38.pdf#page=33","Abrir facsímil")</f>
        <v>Abrir facsímil</v>
      </c>
      <c r="K3226" s="15" t="s">
        <v>23</v>
      </c>
    </row>
    <row r="3227" spans="1:11" ht="42" customHeight="1">
      <c r="A3227" s="4" t="s">
        <v>8366</v>
      </c>
      <c r="B3227" s="5" t="s">
        <v>8367</v>
      </c>
      <c r="C3227" s="5" t="s">
        <v>94</v>
      </c>
      <c r="D3227" s="5" t="s">
        <v>95</v>
      </c>
      <c r="E3227" s="5" t="s">
        <v>363</v>
      </c>
      <c r="F3227" s="9" t="s">
        <v>1224</v>
      </c>
      <c r="G3227" s="9">
        <v>1192</v>
      </c>
      <c r="H3227" s="5" t="s">
        <v>21</v>
      </c>
      <c r="I3227" s="5" t="s">
        <v>8370</v>
      </c>
      <c r="J3227" s="12" t="str">
        <f>HYPERLINK("https://www.boe.es/gazeta/dias/1808/09/20/pdfs/GMD-1808-126.pdf#page=12","Abrir facsímil")</f>
        <v>Abrir facsímil</v>
      </c>
      <c r="K3227" s="15" t="s">
        <v>23</v>
      </c>
    </row>
    <row r="3228" spans="1:11" ht="42" customHeight="1">
      <c r="A3228" s="4" t="s">
        <v>8366</v>
      </c>
      <c r="B3228" s="5" t="s">
        <v>8367</v>
      </c>
      <c r="C3228" s="5" t="s">
        <v>17</v>
      </c>
      <c r="D3228" s="5" t="s">
        <v>18</v>
      </c>
      <c r="E3228" s="5" t="s">
        <v>719</v>
      </c>
      <c r="F3228" s="9" t="s">
        <v>720</v>
      </c>
      <c r="G3228" s="9">
        <v>1611</v>
      </c>
      <c r="H3228" s="5" t="s">
        <v>21</v>
      </c>
      <c r="I3228" s="5" t="s">
        <v>8371</v>
      </c>
      <c r="J3228" s="12" t="str">
        <f>HYPERLINK("https://www.boe.es/gazeta/dias/1808/12/16/pdfs/GMD-1808-156.pdf#page=3","Abrir facsímil")</f>
        <v>Abrir facsímil</v>
      </c>
      <c r="K3228" s="15" t="s">
        <v>23</v>
      </c>
    </row>
    <row r="3229" spans="1:11" ht="42" customHeight="1">
      <c r="A3229" s="4" t="s">
        <v>8372</v>
      </c>
      <c r="B3229" s="5" t="s">
        <v>8373</v>
      </c>
      <c r="C3229" s="5" t="s">
        <v>33</v>
      </c>
      <c r="D3229" s="5" t="s">
        <v>34</v>
      </c>
      <c r="E3229" s="5" t="s">
        <v>391</v>
      </c>
      <c r="F3229" s="9" t="s">
        <v>588</v>
      </c>
      <c r="G3229" s="9" t="s">
        <v>199</v>
      </c>
      <c r="H3229" s="5" t="s">
        <v>21</v>
      </c>
      <c r="I3229" s="5" t="s">
        <v>8374</v>
      </c>
      <c r="J3229" s="12" t="str">
        <f>HYPERLINK("https://www.boe.es/gazeta/dias/1808/09/27/pdfs/GMD-C-1808-128.pdf#page=2","Abrir facsímil")</f>
        <v>Abrir facsímil</v>
      </c>
      <c r="K3229" s="15" t="s">
        <v>23</v>
      </c>
    </row>
    <row r="3230" spans="1:11" ht="42" customHeight="1">
      <c r="A3230" s="4" t="s">
        <v>8375</v>
      </c>
      <c r="B3230" s="5" t="s">
        <v>8376</v>
      </c>
      <c r="C3230" s="5" t="s">
        <v>33</v>
      </c>
      <c r="D3230" s="5" t="s">
        <v>34</v>
      </c>
      <c r="E3230" s="5" t="s">
        <v>35</v>
      </c>
      <c r="F3230" s="9" t="s">
        <v>36</v>
      </c>
      <c r="G3230" s="9" t="s">
        <v>4783</v>
      </c>
      <c r="H3230" s="5" t="s">
        <v>21</v>
      </c>
      <c r="I3230" s="5" t="s">
        <v>8377</v>
      </c>
      <c r="J3230" s="12" t="str">
        <f>HYPERLINK("https://www.boe.es/gazeta/dias/1808/04/22/pdfs/GMD-C-1808-38.pdf#page=36","Abrir facsímil")</f>
        <v>Abrir facsímil</v>
      </c>
      <c r="K3230" s="15" t="s">
        <v>23</v>
      </c>
    </row>
    <row r="3231" spans="1:11" ht="42" customHeight="1">
      <c r="A3231" s="4" t="s">
        <v>8378</v>
      </c>
      <c r="B3231" s="5" t="s">
        <v>8379</v>
      </c>
      <c r="C3231" s="5" t="s">
        <v>33</v>
      </c>
      <c r="D3231" s="5" t="s">
        <v>34</v>
      </c>
      <c r="E3231" s="5" t="s">
        <v>35</v>
      </c>
      <c r="F3231" s="9" t="s">
        <v>36</v>
      </c>
      <c r="G3231" s="9" t="s">
        <v>1075</v>
      </c>
      <c r="H3231" s="5" t="s">
        <v>21</v>
      </c>
      <c r="I3231" s="5" t="s">
        <v>8380</v>
      </c>
      <c r="J3231" s="12" t="str">
        <f>HYPERLINK("https://www.boe.es/gazeta/dias/1808/04/22/pdfs/GMD-C-1808-38.pdf#page=32","Abrir facsímil")</f>
        <v>Abrir facsímil</v>
      </c>
      <c r="K3231" s="15" t="s">
        <v>23</v>
      </c>
    </row>
    <row r="3232" spans="1:11" ht="42" customHeight="1">
      <c r="A3232" s="4" t="s">
        <v>8381</v>
      </c>
      <c r="B3232" s="5" t="s">
        <v>8382</v>
      </c>
      <c r="C3232" s="5" t="s">
        <v>33</v>
      </c>
      <c r="D3232" s="5" t="s">
        <v>34</v>
      </c>
      <c r="E3232" s="5" t="s">
        <v>115</v>
      </c>
      <c r="F3232" s="9" t="s">
        <v>116</v>
      </c>
      <c r="G3232" s="9" t="s">
        <v>117</v>
      </c>
      <c r="H3232" s="5" t="s">
        <v>21</v>
      </c>
      <c r="I3232" s="5" t="s">
        <v>8383</v>
      </c>
      <c r="J3232" s="12" t="str">
        <f>HYPERLINK("https://www.boe.es/gazeta/dias/1808/09/16/pdfs/GMD-C-1808-125.pdf#page=1","Abrir facsímil")</f>
        <v>Abrir facsímil</v>
      </c>
      <c r="K3232" s="15" t="s">
        <v>23</v>
      </c>
    </row>
    <row r="3233" spans="1:11" ht="42" customHeight="1">
      <c r="A3233" s="4" t="s">
        <v>8384</v>
      </c>
      <c r="B3233" s="5" t="s">
        <v>8385</v>
      </c>
      <c r="C3233" s="5" t="s">
        <v>94</v>
      </c>
      <c r="D3233" s="5" t="s">
        <v>95</v>
      </c>
      <c r="E3233" s="5" t="s">
        <v>35</v>
      </c>
      <c r="F3233" s="9" t="s">
        <v>36</v>
      </c>
      <c r="G3233" s="9" t="s">
        <v>299</v>
      </c>
      <c r="H3233" s="5" t="s">
        <v>21</v>
      </c>
      <c r="I3233" s="5" t="s">
        <v>8386</v>
      </c>
      <c r="J3233" s="12" t="str">
        <f>HYPERLINK("https://www.boe.es/gazeta/dias/1808/04/22/pdfs/GMD-C-1808-38.pdf#page=14","Abrir facsímil")</f>
        <v>Abrir facsímil</v>
      </c>
      <c r="K3233" s="15" t="s">
        <v>23</v>
      </c>
    </row>
    <row r="3234" spans="1:11" ht="42" customHeight="1">
      <c r="A3234" s="4" t="s">
        <v>8384</v>
      </c>
      <c r="B3234" s="5" t="s">
        <v>8385</v>
      </c>
      <c r="C3234" s="5" t="s">
        <v>33</v>
      </c>
      <c r="D3234" s="5" t="s">
        <v>34</v>
      </c>
      <c r="E3234" s="5" t="s">
        <v>139</v>
      </c>
      <c r="F3234" s="9" t="s">
        <v>1089</v>
      </c>
      <c r="G3234" s="9" t="s">
        <v>117</v>
      </c>
      <c r="H3234" s="5" t="s">
        <v>21</v>
      </c>
      <c r="I3234" s="5" t="s">
        <v>8387</v>
      </c>
      <c r="J3234" s="12" t="str">
        <f>HYPERLINK("https://www.boe.es/gazeta/dias/1808/09/23/pdfs/GMD-C-1808-127.pdf#page=1","Abrir facsímil")</f>
        <v>Abrir facsímil</v>
      </c>
      <c r="K3234" s="15" t="s">
        <v>23</v>
      </c>
    </row>
    <row r="3235" spans="1:11" ht="42" customHeight="1">
      <c r="A3235" s="4" t="s">
        <v>8384</v>
      </c>
      <c r="B3235" s="5" t="s">
        <v>8385</v>
      </c>
      <c r="C3235" s="5" t="s">
        <v>33</v>
      </c>
      <c r="D3235" s="5" t="s">
        <v>34</v>
      </c>
      <c r="E3235" s="5" t="s">
        <v>68</v>
      </c>
      <c r="F3235" s="9" t="s">
        <v>309</v>
      </c>
      <c r="G3235" s="9" t="s">
        <v>75</v>
      </c>
      <c r="H3235" s="5" t="s">
        <v>21</v>
      </c>
      <c r="I3235" s="5" t="s">
        <v>8388</v>
      </c>
      <c r="J3235" s="12" t="str">
        <f>HYPERLINK("https://www.boe.es/gazeta/dias/1808/10/21/pdfs/GMD-D-1808-136.pdf#page=4","Abrir facsímil")</f>
        <v>Abrir facsímil</v>
      </c>
      <c r="K3235" s="15" t="s">
        <v>23</v>
      </c>
    </row>
    <row r="3236" spans="1:11" ht="42" customHeight="1">
      <c r="A3236" s="4" t="s">
        <v>8389</v>
      </c>
      <c r="B3236" s="5" t="s">
        <v>8390</v>
      </c>
      <c r="C3236" s="5" t="s">
        <v>33</v>
      </c>
      <c r="D3236" s="5" t="s">
        <v>34</v>
      </c>
      <c r="E3236" s="5" t="s">
        <v>68</v>
      </c>
      <c r="F3236" s="9" t="s">
        <v>309</v>
      </c>
      <c r="G3236" s="9" t="s">
        <v>106</v>
      </c>
      <c r="H3236" s="5" t="s">
        <v>21</v>
      </c>
      <c r="I3236" s="5" t="s">
        <v>8391</v>
      </c>
      <c r="J3236" s="12" t="str">
        <f>HYPERLINK("https://www.boe.es/gazeta/dias/1808/10/21/pdfs/GMD-D-1808-136.pdf#page=3","Abrir facsímil")</f>
        <v>Abrir facsímil</v>
      </c>
      <c r="K3236" s="15" t="s">
        <v>23</v>
      </c>
    </row>
    <row r="3237" spans="1:11" ht="42" customHeight="1">
      <c r="A3237" s="4" t="s">
        <v>8392</v>
      </c>
      <c r="B3237" s="5" t="s">
        <v>8393</v>
      </c>
      <c r="C3237" s="5" t="s">
        <v>94</v>
      </c>
      <c r="D3237" s="5" t="s">
        <v>95</v>
      </c>
      <c r="E3237" s="5" t="s">
        <v>1385</v>
      </c>
      <c r="F3237" s="9" t="s">
        <v>1386</v>
      </c>
      <c r="G3237" s="9">
        <v>231</v>
      </c>
      <c r="H3237" s="5" t="s">
        <v>21</v>
      </c>
      <c r="I3237" s="5" t="s">
        <v>8394</v>
      </c>
      <c r="J3237" s="12" t="str">
        <f>HYPERLINK("https://www.boe.es/gazeta/dias/1808/03/04/pdfs/GMD-1808-19.pdf#page=9","Abrir facsímil")</f>
        <v>Abrir facsímil</v>
      </c>
      <c r="K3237" s="15" t="s">
        <v>23</v>
      </c>
    </row>
    <row r="3238" spans="1:11" ht="42" customHeight="1">
      <c r="A3238" s="4" t="s">
        <v>8395</v>
      </c>
      <c r="B3238" s="5" t="s">
        <v>8396</v>
      </c>
      <c r="C3238" s="5" t="s">
        <v>33</v>
      </c>
      <c r="D3238" s="5" t="s">
        <v>34</v>
      </c>
      <c r="E3238" s="5" t="s">
        <v>110</v>
      </c>
      <c r="F3238" s="9" t="s">
        <v>828</v>
      </c>
      <c r="G3238" s="9" t="s">
        <v>106</v>
      </c>
      <c r="H3238" s="5" t="s">
        <v>21</v>
      </c>
      <c r="I3238" s="5" t="s">
        <v>8397</v>
      </c>
      <c r="J3238" s="12" t="str">
        <f>HYPERLINK("https://www.boe.es/gazeta/dias/1808/10/28/pdfs/GMD-D-1808-138.pdf#page=3","Abrir facsímil")</f>
        <v>Abrir facsímil</v>
      </c>
      <c r="K3238" s="15" t="s">
        <v>23</v>
      </c>
    </row>
    <row r="3239" spans="1:11" ht="42" customHeight="1">
      <c r="A3239" s="4" t="s">
        <v>8398</v>
      </c>
      <c r="B3239" s="5" t="s">
        <v>8399</v>
      </c>
      <c r="C3239" s="5" t="s">
        <v>17</v>
      </c>
      <c r="D3239" s="5" t="s">
        <v>18</v>
      </c>
      <c r="E3239" s="5" t="s">
        <v>558</v>
      </c>
      <c r="F3239" s="9" t="s">
        <v>559</v>
      </c>
      <c r="G3239" s="9">
        <v>1544</v>
      </c>
      <c r="H3239" s="5" t="s">
        <v>21</v>
      </c>
      <c r="I3239" s="5" t="s">
        <v>8400</v>
      </c>
      <c r="J3239" s="12" t="str">
        <f>HYPERLINK("https://www.boe.es/gazeta/dias/1808/11/25/pdfs/GMD-1808-147.pdf#page=10","Abrir facsímil")</f>
        <v>Abrir facsímil</v>
      </c>
      <c r="K3239" s="15" t="s">
        <v>23</v>
      </c>
    </row>
    <row r="3240" spans="1:11" ht="42" customHeight="1">
      <c r="A3240" s="4" t="s">
        <v>8401</v>
      </c>
      <c r="B3240" s="5" t="s">
        <v>8402</v>
      </c>
      <c r="C3240" s="5" t="s">
        <v>41</v>
      </c>
      <c r="D3240" s="5" t="s">
        <v>42</v>
      </c>
      <c r="E3240" s="5" t="s">
        <v>264</v>
      </c>
      <c r="F3240" s="9" t="s">
        <v>318</v>
      </c>
      <c r="G3240" s="9" t="s">
        <v>75</v>
      </c>
      <c r="H3240" s="5" t="s">
        <v>21</v>
      </c>
      <c r="I3240" s="5" t="s">
        <v>8403</v>
      </c>
      <c r="J3240" s="12" t="str">
        <f>HYPERLINK("https://www.boe.es/gazeta/dias/1808/11/29/pdfs/GMD-C-1808-148.pdf#page=4","Abrir facsímil")</f>
        <v>Abrir facsímil</v>
      </c>
      <c r="K3240" s="15" t="s">
        <v>23</v>
      </c>
    </row>
    <row r="3241" spans="1:11" ht="42" customHeight="1">
      <c r="A3241" s="4" t="s">
        <v>8404</v>
      </c>
      <c r="B3241" s="5" t="s">
        <v>8405</v>
      </c>
      <c r="C3241" s="5" t="s">
        <v>17</v>
      </c>
      <c r="D3241" s="5" t="s">
        <v>18</v>
      </c>
      <c r="E3241" s="5" t="s">
        <v>166</v>
      </c>
      <c r="F3241" s="9" t="s">
        <v>356</v>
      </c>
      <c r="G3241" s="9">
        <v>1509</v>
      </c>
      <c r="H3241" s="5" t="s">
        <v>21</v>
      </c>
      <c r="I3241" s="5" t="s">
        <v>8406</v>
      </c>
      <c r="J3241" s="12" t="str">
        <f>HYPERLINK("https://www.boe.es/gazeta/dias/1808/11/18/pdfs/GMD-1808-145.pdf#page=7","Abrir facsímil")</f>
        <v>Abrir facsímil</v>
      </c>
      <c r="K3241" s="15" t="s">
        <v>23</v>
      </c>
    </row>
    <row r="3242" spans="1:11" ht="42" customHeight="1">
      <c r="A3242" s="4" t="s">
        <v>8407</v>
      </c>
      <c r="B3242" s="5" t="s">
        <v>8408</v>
      </c>
      <c r="C3242" s="5" t="s">
        <v>41</v>
      </c>
      <c r="D3242" s="5" t="s">
        <v>42</v>
      </c>
      <c r="E3242" s="5" t="s">
        <v>65</v>
      </c>
      <c r="F3242" s="9" t="s">
        <v>105</v>
      </c>
      <c r="G3242" s="9" t="s">
        <v>75</v>
      </c>
      <c r="H3242" s="5" t="s">
        <v>21</v>
      </c>
      <c r="I3242" s="5" t="s">
        <v>8409</v>
      </c>
      <c r="J3242" s="12" t="str">
        <f>HYPERLINK("https://www.boe.es/gazeta/dias/1808/10/18/pdfs/GMD-D-1808-135.pdf#page=4","Abrir facsímil")</f>
        <v>Abrir facsímil</v>
      </c>
      <c r="K3242" s="15" t="s">
        <v>23</v>
      </c>
    </row>
    <row r="3243" spans="1:11" ht="42" customHeight="1">
      <c r="A3243" s="4" t="s">
        <v>8407</v>
      </c>
      <c r="B3243" s="5" t="s">
        <v>8408</v>
      </c>
      <c r="C3243" s="5" t="s">
        <v>17</v>
      </c>
      <c r="D3243" s="5" t="s">
        <v>18</v>
      </c>
      <c r="E3243" s="5" t="s">
        <v>558</v>
      </c>
      <c r="F3243" s="9" t="s">
        <v>559</v>
      </c>
      <c r="G3243" s="9">
        <v>1544</v>
      </c>
      <c r="H3243" s="5" t="s">
        <v>21</v>
      </c>
      <c r="I3243" s="5" t="s">
        <v>8410</v>
      </c>
      <c r="J3243" s="12" t="str">
        <f>HYPERLINK("https://www.boe.es/gazeta/dias/1808/11/25/pdfs/GMD-1808-147.pdf#page=10","Abrir facsímil")</f>
        <v>Abrir facsímil</v>
      </c>
      <c r="K3243" s="15" t="s">
        <v>23</v>
      </c>
    </row>
    <row r="3244" spans="1:11" ht="42" customHeight="1">
      <c r="A3244" s="4" t="s">
        <v>8411</v>
      </c>
      <c r="B3244" s="5" t="s">
        <v>8412</v>
      </c>
      <c r="C3244" s="5" t="s">
        <v>33</v>
      </c>
      <c r="D3244" s="5" t="s">
        <v>34</v>
      </c>
      <c r="E3244" s="5" t="s">
        <v>89</v>
      </c>
      <c r="F3244" s="9" t="s">
        <v>563</v>
      </c>
      <c r="G3244" s="9" t="s">
        <v>117</v>
      </c>
      <c r="H3244" s="5" t="s">
        <v>21</v>
      </c>
      <c r="I3244" s="5" t="s">
        <v>8413</v>
      </c>
      <c r="J3244" s="12" t="str">
        <f>HYPERLINK("https://www.boe.es/gazeta/dias/1808/10/25/pdfs/GMD-D-1808-137.pdf#page=1","Abrir facsímil")</f>
        <v>Abrir facsímil</v>
      </c>
      <c r="K3244" s="15" t="s">
        <v>23</v>
      </c>
    </row>
    <row r="3245" spans="1:11" ht="42" customHeight="1">
      <c r="A3245" s="4" t="s">
        <v>8414</v>
      </c>
      <c r="B3245" s="5" t="s">
        <v>8415</v>
      </c>
      <c r="C3245" s="5" t="s">
        <v>33</v>
      </c>
      <c r="D3245" s="5" t="s">
        <v>34</v>
      </c>
      <c r="E3245" s="5" t="s">
        <v>73</v>
      </c>
      <c r="F3245" s="9" t="s">
        <v>74</v>
      </c>
      <c r="G3245" s="9" t="s">
        <v>199</v>
      </c>
      <c r="H3245" s="5" t="s">
        <v>21</v>
      </c>
      <c r="I3245" s="5" t="s">
        <v>8416</v>
      </c>
      <c r="J3245" s="12" t="str">
        <f>HYPERLINK("https://www.boe.es/gazeta/dias/1808/11/11/pdfs/GMD-D-1808-143.pdf#page=2","Abrir facsímil")</f>
        <v>Abrir facsímil</v>
      </c>
      <c r="K3245" s="15" t="s">
        <v>23</v>
      </c>
    </row>
    <row r="3246" spans="1:11" ht="42" customHeight="1">
      <c r="A3246" s="4" t="s">
        <v>8417</v>
      </c>
      <c r="B3246" s="5" t="s">
        <v>8418</v>
      </c>
      <c r="C3246" s="5" t="s">
        <v>17</v>
      </c>
      <c r="D3246" s="5" t="s">
        <v>18</v>
      </c>
      <c r="E3246" s="5" t="s">
        <v>719</v>
      </c>
      <c r="F3246" s="9" t="s">
        <v>720</v>
      </c>
      <c r="G3246" s="9">
        <v>1611</v>
      </c>
      <c r="H3246" s="5" t="s">
        <v>21</v>
      </c>
      <c r="I3246" s="5" t="s">
        <v>8419</v>
      </c>
      <c r="J3246" s="12" t="str">
        <f>HYPERLINK("https://www.boe.es/gazeta/dias/1808/12/16/pdfs/GMD-1808-156.pdf#page=3","Abrir facsímil")</f>
        <v>Abrir facsímil</v>
      </c>
      <c r="K3246" s="15" t="s">
        <v>23</v>
      </c>
    </row>
    <row r="3247" spans="1:11" ht="42" customHeight="1">
      <c r="A3247" s="4" t="s">
        <v>8420</v>
      </c>
      <c r="B3247" s="5" t="s">
        <v>8421</v>
      </c>
      <c r="C3247" s="5" t="s">
        <v>17</v>
      </c>
      <c r="D3247" s="5" t="s">
        <v>18</v>
      </c>
      <c r="E3247" s="5" t="s">
        <v>61</v>
      </c>
      <c r="F3247" s="9" t="s">
        <v>62</v>
      </c>
      <c r="G3247" s="9">
        <v>1286</v>
      </c>
      <c r="H3247" s="5" t="s">
        <v>21</v>
      </c>
      <c r="I3247" s="5" t="s">
        <v>8422</v>
      </c>
      <c r="J3247" s="12" t="str">
        <f>HYPERLINK("https://www.boe.es/gazeta/dias/1808/10/11/pdfs/GMD-1808-133.pdf#page=14","Abrir facsímil")</f>
        <v>Abrir facsímil</v>
      </c>
      <c r="K3247" s="15" t="s">
        <v>23</v>
      </c>
    </row>
    <row r="3248" spans="1:11" ht="42" customHeight="1">
      <c r="A3248" s="4" t="s">
        <v>8423</v>
      </c>
      <c r="B3248" s="5" t="s">
        <v>8424</v>
      </c>
      <c r="C3248" s="5" t="s">
        <v>94</v>
      </c>
      <c r="D3248" s="5" t="s">
        <v>95</v>
      </c>
      <c r="E3248" s="5" t="s">
        <v>215</v>
      </c>
      <c r="F3248" s="9" t="s">
        <v>216</v>
      </c>
      <c r="G3248" s="9">
        <v>300</v>
      </c>
      <c r="H3248" s="5" t="s">
        <v>21</v>
      </c>
      <c r="I3248" s="5" t="s">
        <v>8425</v>
      </c>
      <c r="J3248" s="12" t="str">
        <f>HYPERLINK("https://www.boe.es/gazeta/dias/1808/03/25/pdfs/GMD-1808-25.pdf#page=10","Abrir facsímil")</f>
        <v>Abrir facsímil</v>
      </c>
      <c r="K3248" s="15" t="s">
        <v>23</v>
      </c>
    </row>
    <row r="3249" spans="1:11" ht="42" customHeight="1">
      <c r="A3249" s="4" t="s">
        <v>8423</v>
      </c>
      <c r="B3249" s="5" t="s">
        <v>8424</v>
      </c>
      <c r="C3249" s="5" t="s">
        <v>33</v>
      </c>
      <c r="D3249" s="5" t="s">
        <v>34</v>
      </c>
      <c r="E3249" s="5" t="s">
        <v>35</v>
      </c>
      <c r="F3249" s="9" t="s">
        <v>36</v>
      </c>
      <c r="G3249" s="9" t="s">
        <v>498</v>
      </c>
      <c r="H3249" s="5" t="s">
        <v>21</v>
      </c>
      <c r="I3249" s="5" t="s">
        <v>8426</v>
      </c>
      <c r="J3249" s="12" t="str">
        <f>HYPERLINK("https://www.boe.es/gazeta/dias/1808/04/22/pdfs/GMD-C-1808-38.pdf#page=22","Abrir facsímil")</f>
        <v>Abrir facsímil</v>
      </c>
      <c r="K3249" s="15" t="s">
        <v>23</v>
      </c>
    </row>
    <row r="3250" spans="1:11" ht="42" customHeight="1">
      <c r="A3250" s="4" t="s">
        <v>8423</v>
      </c>
      <c r="B3250" s="5" t="s">
        <v>8424</v>
      </c>
      <c r="C3250" s="5" t="s">
        <v>33</v>
      </c>
      <c r="D3250" s="5" t="s">
        <v>34</v>
      </c>
      <c r="E3250" s="5" t="s">
        <v>89</v>
      </c>
      <c r="F3250" s="9" t="s">
        <v>563</v>
      </c>
      <c r="G3250" s="9" t="s">
        <v>75</v>
      </c>
      <c r="H3250" s="5" t="s">
        <v>21</v>
      </c>
      <c r="I3250" s="5" t="s">
        <v>8427</v>
      </c>
      <c r="J3250" s="12" t="str">
        <f>HYPERLINK("https://www.boe.es/gazeta/dias/1808/10/25/pdfs/GMD-D-1808-137.pdf#page=4","Abrir facsímil")</f>
        <v>Abrir facsímil</v>
      </c>
      <c r="K3250" s="15" t="s">
        <v>23</v>
      </c>
    </row>
    <row r="3251" spans="1:11" ht="42" customHeight="1">
      <c r="A3251" s="4" t="s">
        <v>8428</v>
      </c>
      <c r="B3251" s="5" t="s">
        <v>8429</v>
      </c>
      <c r="C3251" s="5" t="s">
        <v>33</v>
      </c>
      <c r="D3251" s="5" t="s">
        <v>34</v>
      </c>
      <c r="E3251" s="5" t="s">
        <v>35</v>
      </c>
      <c r="F3251" s="9" t="s">
        <v>36</v>
      </c>
      <c r="G3251" s="9" t="s">
        <v>37</v>
      </c>
      <c r="H3251" s="5" t="s">
        <v>21</v>
      </c>
      <c r="I3251" s="5" t="s">
        <v>8430</v>
      </c>
      <c r="J3251" s="12" t="str">
        <f>HYPERLINK("https://www.boe.es/gazeta/dias/1808/04/22/pdfs/GMD-C-1808-38.pdf#page=33","Abrir facsímil")</f>
        <v>Abrir facsímil</v>
      </c>
      <c r="K3251" s="15" t="s">
        <v>23</v>
      </c>
    </row>
    <row r="3252" spans="1:11" ht="42" customHeight="1">
      <c r="A3252" s="4" t="s">
        <v>8431</v>
      </c>
      <c r="B3252" s="5" t="s">
        <v>8432</v>
      </c>
      <c r="C3252" s="5" t="s">
        <v>260</v>
      </c>
      <c r="D3252" s="5" t="s">
        <v>42</v>
      </c>
      <c r="E3252" s="5" t="s">
        <v>1085</v>
      </c>
      <c r="F3252" s="9" t="s">
        <v>1086</v>
      </c>
      <c r="G3252" s="9">
        <v>104</v>
      </c>
      <c r="H3252" s="5" t="s">
        <v>21</v>
      </c>
      <c r="I3252" s="5" t="s">
        <v>8433</v>
      </c>
      <c r="J3252" s="12" t="str">
        <f>HYPERLINK("https://www.boe.es/gazeta/dias/1808/01/29/pdfs/GMD-1808-9.pdf#page=8","Abrir facsímil")</f>
        <v>Abrir facsímil</v>
      </c>
      <c r="K3252" s="15" t="s">
        <v>23</v>
      </c>
    </row>
    <row r="3253" spans="1:11" ht="42" customHeight="1">
      <c r="A3253" s="4" t="s">
        <v>8434</v>
      </c>
      <c r="B3253" s="5" t="s">
        <v>8435</v>
      </c>
      <c r="C3253" s="5" t="s">
        <v>33</v>
      </c>
      <c r="D3253" s="5" t="s">
        <v>34</v>
      </c>
      <c r="E3253" s="5" t="s">
        <v>35</v>
      </c>
      <c r="F3253" s="9" t="s">
        <v>36</v>
      </c>
      <c r="G3253" s="9" t="s">
        <v>322</v>
      </c>
      <c r="H3253" s="5" t="s">
        <v>21</v>
      </c>
      <c r="I3253" s="5" t="s">
        <v>8436</v>
      </c>
      <c r="J3253" s="12" t="str">
        <f>HYPERLINK("https://www.boe.es/gazeta/dias/1808/04/22/pdfs/GMD-C-1808-38.pdf#page=15","Abrir facsímil")</f>
        <v>Abrir facsímil</v>
      </c>
      <c r="K3253" s="15" t="s">
        <v>23</v>
      </c>
    </row>
    <row r="3254" spans="1:11" ht="42" customHeight="1">
      <c r="A3254" s="4" t="s">
        <v>8437</v>
      </c>
      <c r="B3254" s="5" t="s">
        <v>8438</v>
      </c>
      <c r="C3254" s="5" t="s">
        <v>33</v>
      </c>
      <c r="D3254" s="5" t="s">
        <v>34</v>
      </c>
      <c r="E3254" s="5" t="s">
        <v>19</v>
      </c>
      <c r="F3254" s="9" t="s">
        <v>949</v>
      </c>
      <c r="G3254" s="9" t="s">
        <v>106</v>
      </c>
      <c r="H3254" s="5" t="s">
        <v>21</v>
      </c>
      <c r="I3254" s="5" t="s">
        <v>8439</v>
      </c>
      <c r="J3254" s="12" t="str">
        <f>HYPERLINK("https://www.boe.es/gazeta/dias/1808/09/30/pdfs/GMD-C-1808-130.pdf#page=3","Abrir facsímil")</f>
        <v>Abrir facsímil</v>
      </c>
      <c r="K3254" s="15" t="s">
        <v>23</v>
      </c>
    </row>
    <row r="3255" spans="1:11" ht="42" customHeight="1">
      <c r="A3255" s="4" t="s">
        <v>8440</v>
      </c>
      <c r="B3255" s="5" t="s">
        <v>8441</v>
      </c>
      <c r="C3255" s="5" t="s">
        <v>17</v>
      </c>
      <c r="D3255" s="5" t="s">
        <v>18</v>
      </c>
      <c r="E3255" s="5" t="s">
        <v>461</v>
      </c>
      <c r="F3255" s="9" t="s">
        <v>733</v>
      </c>
      <c r="G3255" s="9">
        <v>1447</v>
      </c>
      <c r="H3255" s="5" t="s">
        <v>21</v>
      </c>
      <c r="I3255" s="5" t="s">
        <v>8442</v>
      </c>
      <c r="J3255" s="12" t="str">
        <f>HYPERLINK("https://www.boe.es/gazeta/dias/1808/11/08/pdfs/GMD-1808-142.pdf#page=9","Abrir facsímil")</f>
        <v>Abrir facsímil</v>
      </c>
      <c r="K3255" s="15" t="s">
        <v>23</v>
      </c>
    </row>
    <row r="3256" spans="1:11" ht="42" customHeight="1">
      <c r="A3256" s="4" t="s">
        <v>8443</v>
      </c>
      <c r="B3256" s="5" t="s">
        <v>8444</v>
      </c>
      <c r="C3256" s="5" t="s">
        <v>94</v>
      </c>
      <c r="D3256" s="5" t="s">
        <v>95</v>
      </c>
      <c r="E3256" s="5" t="s">
        <v>65</v>
      </c>
      <c r="F3256" s="9" t="s">
        <v>691</v>
      </c>
      <c r="G3256" s="9">
        <v>1326</v>
      </c>
      <c r="H3256" s="5" t="s">
        <v>21</v>
      </c>
      <c r="I3256" s="5" t="s">
        <v>8445</v>
      </c>
      <c r="J3256" s="12" t="str">
        <f>HYPERLINK("https://www.boe.es/gazeta/dias/1808/10/18/pdfs/GMD-C-1808-135.pdf#page=10","Abrir facsímil")</f>
        <v>Abrir facsímil</v>
      </c>
      <c r="K3256" s="15" t="s">
        <v>23</v>
      </c>
    </row>
    <row r="3257" spans="1:11" ht="42" customHeight="1">
      <c r="A3257" s="4" t="s">
        <v>8446</v>
      </c>
      <c r="B3257" s="5" t="s">
        <v>8447</v>
      </c>
      <c r="C3257" s="5" t="s">
        <v>33</v>
      </c>
      <c r="D3257" s="5" t="s">
        <v>34</v>
      </c>
      <c r="E3257" s="5" t="s">
        <v>139</v>
      </c>
      <c r="F3257" s="9" t="s">
        <v>1089</v>
      </c>
      <c r="G3257" s="9" t="s">
        <v>75</v>
      </c>
      <c r="H3257" s="5" t="s">
        <v>21</v>
      </c>
      <c r="I3257" s="5" t="s">
        <v>8448</v>
      </c>
      <c r="J3257" s="12" t="str">
        <f>HYPERLINK("https://www.boe.es/gazeta/dias/1808/09/23/pdfs/GMD-C-1808-127.pdf#page=4","Abrir facsímil")</f>
        <v>Abrir facsímil</v>
      </c>
      <c r="K3257" s="15" t="s">
        <v>23</v>
      </c>
    </row>
    <row r="3258" spans="1:11" ht="42" customHeight="1">
      <c r="A3258" s="4" t="s">
        <v>8449</v>
      </c>
      <c r="B3258" s="5" t="s">
        <v>8450</v>
      </c>
      <c r="C3258" s="5" t="s">
        <v>94</v>
      </c>
      <c r="D3258" s="5" t="s">
        <v>95</v>
      </c>
      <c r="E3258" s="5" t="s">
        <v>493</v>
      </c>
      <c r="F3258" s="9" t="s">
        <v>494</v>
      </c>
      <c r="G3258" s="9">
        <v>44</v>
      </c>
      <c r="H3258" s="5" t="s">
        <v>21</v>
      </c>
      <c r="I3258" s="5" t="s">
        <v>8451</v>
      </c>
      <c r="J3258" s="12" t="str">
        <f>HYPERLINK("https://www.boe.es/gazeta/dias/1808/01/12/pdfs/GMD-1808-4.pdf#page=8","Abrir facsímil")</f>
        <v>Abrir facsímil</v>
      </c>
      <c r="K3258" s="15" t="s">
        <v>23</v>
      </c>
    </row>
    <row r="3259" spans="1:11" ht="42" customHeight="1">
      <c r="A3259" s="4" t="s">
        <v>8452</v>
      </c>
      <c r="B3259" s="5" t="s">
        <v>8453</v>
      </c>
      <c r="C3259" s="5" t="s">
        <v>389</v>
      </c>
      <c r="D3259" s="5" t="s">
        <v>390</v>
      </c>
      <c r="E3259" s="5" t="s">
        <v>19</v>
      </c>
      <c r="F3259" s="9" t="s">
        <v>949</v>
      </c>
      <c r="G3259" s="9" t="s">
        <v>199</v>
      </c>
      <c r="H3259" s="5" t="s">
        <v>21</v>
      </c>
      <c r="I3259" s="5" t="s">
        <v>8454</v>
      </c>
      <c r="J3259" s="12" t="str">
        <f>HYPERLINK("https://www.boe.es/gazeta/dias/1808/09/30/pdfs/GMD-C-1808-130.pdf#page=2","Abrir facsímil")</f>
        <v>Abrir facsímil</v>
      </c>
      <c r="K3259" s="15" t="s">
        <v>23</v>
      </c>
    </row>
    <row r="3260" spans="1:11" ht="42" customHeight="1">
      <c r="A3260" s="4" t="s">
        <v>8455</v>
      </c>
      <c r="B3260" s="5" t="s">
        <v>8456</v>
      </c>
      <c r="C3260" s="5" t="s">
        <v>389</v>
      </c>
      <c r="D3260" s="5" t="s">
        <v>390</v>
      </c>
      <c r="E3260" s="5" t="s">
        <v>493</v>
      </c>
      <c r="F3260" s="9" t="s">
        <v>494</v>
      </c>
      <c r="G3260" s="9">
        <v>48</v>
      </c>
      <c r="H3260" s="5" t="s">
        <v>21</v>
      </c>
      <c r="I3260" s="5" t="s">
        <v>8457</v>
      </c>
      <c r="J3260" s="12" t="str">
        <f>HYPERLINK("https://www.boe.es/gazeta/dias/1808/01/12/pdfs/GMD-1808-4.pdf#page=12","Abrir facsímil")</f>
        <v>Abrir facsímil</v>
      </c>
      <c r="K3260" s="15" t="s">
        <v>23</v>
      </c>
    </row>
    <row r="3261" spans="1:11" ht="42" customHeight="1">
      <c r="A3261" s="4" t="s">
        <v>8455</v>
      </c>
      <c r="B3261" s="5" t="s">
        <v>8456</v>
      </c>
      <c r="C3261" s="5" t="s">
        <v>389</v>
      </c>
      <c r="D3261" s="5" t="s">
        <v>390</v>
      </c>
      <c r="E3261" s="5" t="s">
        <v>1676</v>
      </c>
      <c r="F3261" s="9" t="s">
        <v>1677</v>
      </c>
      <c r="G3261" s="9">
        <v>558</v>
      </c>
      <c r="H3261" s="5" t="s">
        <v>21</v>
      </c>
      <c r="I3261" s="5" t="s">
        <v>8458</v>
      </c>
      <c r="J3261" s="12" t="str">
        <f>HYPERLINK("https://www.boe.es/gazeta/dias/1808/06/10/pdfs/GMD-1808-55.pdf#page=12","Abrir facsímil")</f>
        <v>Abrir facsímil</v>
      </c>
      <c r="K3261" s="15" t="s">
        <v>23</v>
      </c>
    </row>
    <row r="3262" spans="1:11" ht="42" customHeight="1">
      <c r="A3262" s="4" t="s">
        <v>8459</v>
      </c>
      <c r="B3262" s="5" t="s">
        <v>8460</v>
      </c>
      <c r="C3262" s="5" t="s">
        <v>94</v>
      </c>
      <c r="D3262" s="5" t="s">
        <v>95</v>
      </c>
      <c r="E3262" s="5" t="s">
        <v>54</v>
      </c>
      <c r="F3262" s="9" t="s">
        <v>55</v>
      </c>
      <c r="G3262" s="9">
        <v>1087</v>
      </c>
      <c r="H3262" s="5" t="s">
        <v>21</v>
      </c>
      <c r="I3262" s="5" t="s">
        <v>8461</v>
      </c>
      <c r="J3262" s="12" t="str">
        <f>HYPERLINK("https://www.boe.es/gazeta/dias/1808/08/26/pdfs/GMD-1808-117.pdf#page=9","Abrir facsímil")</f>
        <v>Abrir facsímil</v>
      </c>
      <c r="K3262" s="15" t="s">
        <v>23</v>
      </c>
    </row>
    <row r="3263" spans="1:11" ht="42" customHeight="1">
      <c r="A3263" s="4" t="s">
        <v>8459</v>
      </c>
      <c r="B3263" s="5" t="s">
        <v>8460</v>
      </c>
      <c r="C3263" s="5" t="s">
        <v>94</v>
      </c>
      <c r="D3263" s="5" t="s">
        <v>95</v>
      </c>
      <c r="E3263" s="5" t="s">
        <v>539</v>
      </c>
      <c r="F3263" s="9" t="s">
        <v>540</v>
      </c>
      <c r="G3263" s="9">
        <v>1113</v>
      </c>
      <c r="H3263" s="5" t="s">
        <v>21</v>
      </c>
      <c r="I3263" s="5" t="s">
        <v>8462</v>
      </c>
      <c r="J3263" s="12" t="str">
        <f>HYPERLINK("https://www.boe.es/gazeta/dias/1808/09/02/pdfs/GMD-1808-119.pdf#page=7","Abrir facsímil")</f>
        <v>Abrir facsímil</v>
      </c>
      <c r="K3263" s="15" t="s">
        <v>23</v>
      </c>
    </row>
    <row r="3264" spans="1:11" ht="42" customHeight="1">
      <c r="A3264" s="4" t="s">
        <v>8459</v>
      </c>
      <c r="B3264" s="5" t="s">
        <v>8460</v>
      </c>
      <c r="C3264" s="5" t="s">
        <v>94</v>
      </c>
      <c r="D3264" s="5" t="s">
        <v>95</v>
      </c>
      <c r="E3264" s="5" t="s">
        <v>73</v>
      </c>
      <c r="F3264" s="9" t="s">
        <v>1570</v>
      </c>
      <c r="G3264" s="9">
        <v>1476</v>
      </c>
      <c r="H3264" s="5" t="s">
        <v>21</v>
      </c>
      <c r="I3264" s="5" t="s">
        <v>8463</v>
      </c>
      <c r="J3264" s="12" t="str">
        <f>HYPERLINK("https://www.boe.es/gazeta/dias/1808/11/11/pdfs/GMD-C-1808-143.pdf#page=6","Abrir facsímil")</f>
        <v>Abrir facsímil</v>
      </c>
      <c r="K3264" s="15" t="s">
        <v>23</v>
      </c>
    </row>
    <row r="3265" spans="1:11" ht="42" customHeight="1">
      <c r="A3265" s="4" t="s">
        <v>8459</v>
      </c>
      <c r="B3265" s="5" t="s">
        <v>8460</v>
      </c>
      <c r="C3265" s="5" t="s">
        <v>94</v>
      </c>
      <c r="D3265" s="5" t="s">
        <v>95</v>
      </c>
      <c r="E3265" s="5" t="s">
        <v>73</v>
      </c>
      <c r="F3265" s="9" t="s">
        <v>1570</v>
      </c>
      <c r="G3265" s="9">
        <v>1478</v>
      </c>
      <c r="H3265" s="5" t="s">
        <v>21</v>
      </c>
      <c r="I3265" s="5" t="s">
        <v>8464</v>
      </c>
      <c r="J3265" s="12" t="str">
        <f>HYPERLINK("https://www.boe.es/gazeta/dias/1808/11/11/pdfs/GMD-C-1808-143.pdf#page=8","Abrir facsímil")</f>
        <v>Abrir facsímil</v>
      </c>
      <c r="K3265" s="15" t="s">
        <v>23</v>
      </c>
    </row>
    <row r="3266" spans="1:11" ht="42" customHeight="1">
      <c r="A3266" s="4" t="s">
        <v>8465</v>
      </c>
      <c r="B3266" s="5" t="s">
        <v>8466</v>
      </c>
      <c r="C3266" s="5" t="s">
        <v>33</v>
      </c>
      <c r="D3266" s="5" t="s">
        <v>34</v>
      </c>
      <c r="E3266" s="5" t="s">
        <v>363</v>
      </c>
      <c r="F3266" s="9" t="s">
        <v>364</v>
      </c>
      <c r="G3266" s="9" t="s">
        <v>117</v>
      </c>
      <c r="H3266" s="5" t="s">
        <v>21</v>
      </c>
      <c r="I3266" s="5" t="s">
        <v>8467</v>
      </c>
      <c r="J3266" s="12" t="str">
        <f>HYPERLINK("https://www.boe.es/gazeta/dias/1808/09/20/pdfs/GMD-C-1808-126.pdf#page=1","Abrir facsímil")</f>
        <v>Abrir facsímil</v>
      </c>
      <c r="K3266" s="15" t="s">
        <v>23</v>
      </c>
    </row>
    <row r="3267" spans="1:11" ht="42" customHeight="1">
      <c r="A3267" s="4" t="s">
        <v>8465</v>
      </c>
      <c r="B3267" s="5" t="s">
        <v>8466</v>
      </c>
      <c r="C3267" s="5" t="s">
        <v>33</v>
      </c>
      <c r="D3267" s="5" t="s">
        <v>34</v>
      </c>
      <c r="E3267" s="5" t="s">
        <v>65</v>
      </c>
      <c r="F3267" s="9" t="s">
        <v>105</v>
      </c>
      <c r="G3267" s="9" t="s">
        <v>199</v>
      </c>
      <c r="H3267" s="5" t="s">
        <v>21</v>
      </c>
      <c r="I3267" s="5" t="s">
        <v>8468</v>
      </c>
      <c r="J3267" s="12" t="str">
        <f>HYPERLINK("https://www.boe.es/gazeta/dias/1808/10/18/pdfs/GMD-D-1808-135.pdf#page=2","Abrir facsímil")</f>
        <v>Abrir facsímil</v>
      </c>
      <c r="K3267" s="15" t="s">
        <v>23</v>
      </c>
    </row>
    <row r="3268" spans="1:11" ht="42" customHeight="1">
      <c r="A3268" s="4" t="s">
        <v>8469</v>
      </c>
      <c r="B3268" s="5" t="s">
        <v>8470</v>
      </c>
      <c r="C3268" s="5" t="s">
        <v>17</v>
      </c>
      <c r="D3268" s="5" t="s">
        <v>18</v>
      </c>
      <c r="E3268" s="5" t="s">
        <v>334</v>
      </c>
      <c r="F3268" s="9" t="s">
        <v>1814</v>
      </c>
      <c r="G3268" s="9">
        <v>1245</v>
      </c>
      <c r="H3268" s="5" t="s">
        <v>21</v>
      </c>
      <c r="I3268" s="5" t="s">
        <v>8471</v>
      </c>
      <c r="J3268" s="12" t="str">
        <f>HYPERLINK("https://www.boe.es/gazeta/dias/1808/10/04/pdfs/GMD-1808-131.pdf#page=13","Abrir facsímil")</f>
        <v>Abrir facsímil</v>
      </c>
      <c r="K3268" s="15" t="s">
        <v>23</v>
      </c>
    </row>
    <row r="3269" spans="1:11" ht="42" customHeight="1">
      <c r="A3269" s="4" t="s">
        <v>8472</v>
      </c>
      <c r="B3269" s="5" t="s">
        <v>8473</v>
      </c>
      <c r="C3269" s="5" t="s">
        <v>94</v>
      </c>
      <c r="D3269" s="5" t="s">
        <v>95</v>
      </c>
      <c r="E3269" s="5" t="s">
        <v>35</v>
      </c>
      <c r="F3269" s="9" t="s">
        <v>36</v>
      </c>
      <c r="G3269" s="9" t="s">
        <v>277</v>
      </c>
      <c r="H3269" s="5" t="s">
        <v>21</v>
      </c>
      <c r="I3269" s="5" t="s">
        <v>8474</v>
      </c>
      <c r="J3269" s="12" t="str">
        <f>HYPERLINK("https://www.boe.es/gazeta/dias/1808/04/22/pdfs/GMD-C-1808-38.pdf#page=34","Abrir facsímil")</f>
        <v>Abrir facsímil</v>
      </c>
      <c r="K3269" s="15" t="s">
        <v>23</v>
      </c>
    </row>
    <row r="3270" spans="1:11" ht="42" customHeight="1">
      <c r="A3270" s="4" t="s">
        <v>8475</v>
      </c>
      <c r="B3270" s="5" t="s">
        <v>8476</v>
      </c>
      <c r="C3270" s="5" t="s">
        <v>41</v>
      </c>
      <c r="D3270" s="5" t="s">
        <v>42</v>
      </c>
      <c r="E3270" s="5" t="s">
        <v>8477</v>
      </c>
      <c r="F3270" s="9" t="s">
        <v>8478</v>
      </c>
      <c r="G3270" s="9">
        <v>447</v>
      </c>
      <c r="H3270" s="5" t="s">
        <v>21</v>
      </c>
      <c r="I3270" s="5" t="s">
        <v>8479</v>
      </c>
      <c r="J3270" s="12" t="str">
        <f>HYPERLINK("https://www.boe.es/gazeta/dias/1808/12/09/pdfs/GMS-1808-56.pdf#page=7","Abrir facsímil")</f>
        <v>Abrir facsímil</v>
      </c>
      <c r="K3270" s="15" t="s">
        <v>23</v>
      </c>
    </row>
    <row r="3271" spans="1:11" ht="42" customHeight="1">
      <c r="A3271" s="4" t="s">
        <v>8480</v>
      </c>
      <c r="B3271" s="5" t="s">
        <v>8481</v>
      </c>
      <c r="C3271" s="5" t="s">
        <v>17</v>
      </c>
      <c r="D3271" s="5" t="s">
        <v>18</v>
      </c>
      <c r="E3271" s="5" t="s">
        <v>125</v>
      </c>
      <c r="F3271" s="9" t="s">
        <v>397</v>
      </c>
      <c r="G3271" s="9">
        <v>1269</v>
      </c>
      <c r="H3271" s="5" t="s">
        <v>21</v>
      </c>
      <c r="I3271" s="5" t="s">
        <v>8482</v>
      </c>
      <c r="J3271" s="12" t="str">
        <f>HYPERLINK("https://www.boe.es/gazeta/dias/1808/10/07/pdfs/GMD-1808-132.pdf#page=9","Abrir facsímil")</f>
        <v>Abrir facsímil</v>
      </c>
      <c r="K3271" s="15" t="s">
        <v>23</v>
      </c>
    </row>
    <row r="3272" spans="1:11" ht="42" customHeight="1">
      <c r="A3272" s="4" t="s">
        <v>8483</v>
      </c>
      <c r="B3272" s="5" t="s">
        <v>8484</v>
      </c>
      <c r="C3272" s="5" t="s">
        <v>33</v>
      </c>
      <c r="D3272" s="5" t="s">
        <v>34</v>
      </c>
      <c r="E3272" s="5" t="s">
        <v>35</v>
      </c>
      <c r="F3272" s="9" t="s">
        <v>36</v>
      </c>
      <c r="G3272" s="9" t="s">
        <v>135</v>
      </c>
      <c r="H3272" s="5" t="s">
        <v>21</v>
      </c>
      <c r="I3272" s="5" t="s">
        <v>8485</v>
      </c>
      <c r="J3272" s="12" t="str">
        <f>HYPERLINK("https://www.boe.es/gazeta/dias/1808/04/22/pdfs/GMD-C-1808-38.pdf#page=26","Abrir facsímil")</f>
        <v>Abrir facsímil</v>
      </c>
      <c r="K3272" s="15" t="s">
        <v>23</v>
      </c>
    </row>
    <row r="3273" spans="1:11" ht="42" customHeight="1">
      <c r="A3273" s="4" t="s">
        <v>8486</v>
      </c>
      <c r="B3273" s="5" t="s">
        <v>8486</v>
      </c>
      <c r="C3273" s="5" t="s">
        <v>94</v>
      </c>
      <c r="D3273" s="5" t="s">
        <v>95</v>
      </c>
      <c r="E3273" s="5" t="s">
        <v>516</v>
      </c>
      <c r="F3273" s="9" t="s">
        <v>517</v>
      </c>
      <c r="G3273" s="9">
        <v>602</v>
      </c>
      <c r="H3273" s="5" t="s">
        <v>21</v>
      </c>
      <c r="I3273" s="5" t="s">
        <v>8487</v>
      </c>
      <c r="J3273" s="12" t="str">
        <f>HYPERLINK("https://www.boe.es/gazeta/dias/1808/06/19/pdfs/GMD-1808-61.pdf#page=8","Abrir facsímil")</f>
        <v>Abrir facsímil</v>
      </c>
      <c r="K3273" s="15" t="s">
        <v>23</v>
      </c>
    </row>
    <row r="3274" spans="1:11" ht="42" customHeight="1">
      <c r="A3274" s="4" t="s">
        <v>8488</v>
      </c>
      <c r="B3274" s="5" t="s">
        <v>8488</v>
      </c>
      <c r="C3274" s="5" t="s">
        <v>101</v>
      </c>
      <c r="D3274" s="5" t="s">
        <v>102</v>
      </c>
      <c r="E3274" s="5" t="s">
        <v>339</v>
      </c>
      <c r="F3274" s="9" t="s">
        <v>340</v>
      </c>
      <c r="G3274" s="9">
        <v>73</v>
      </c>
      <c r="H3274" s="5" t="s">
        <v>21</v>
      </c>
      <c r="I3274" s="5" t="s">
        <v>8489</v>
      </c>
      <c r="J3274" s="12" t="str">
        <f>HYPERLINK("https://www.boe.es/gazeta/dias/1808/01/22/pdfs/GMD-1808-7.pdf#page=1","Abrir facsímil")</f>
        <v>Abrir facsímil</v>
      </c>
      <c r="K3274" s="15" t="s">
        <v>23</v>
      </c>
    </row>
    <row r="3275" spans="1:11" ht="42" customHeight="1">
      <c r="A3275" s="4" t="s">
        <v>8490</v>
      </c>
      <c r="B3275" s="5" t="s">
        <v>8490</v>
      </c>
      <c r="C3275" s="5" t="s">
        <v>17</v>
      </c>
      <c r="D3275" s="5" t="s">
        <v>18</v>
      </c>
      <c r="E3275" s="5" t="s">
        <v>919</v>
      </c>
      <c r="F3275" s="9" t="s">
        <v>920</v>
      </c>
      <c r="G3275" s="9">
        <v>491</v>
      </c>
      <c r="H3275" s="5" t="s">
        <v>21</v>
      </c>
      <c r="I3275" s="5" t="s">
        <v>8491</v>
      </c>
      <c r="J3275" s="12" t="str">
        <f>HYPERLINK("https://www.boe.es/gazeta/dias/1808/05/24/pdfs/GMD-1808-49.pdf#page=7","Abrir facsímil")</f>
        <v>Abrir facsímil</v>
      </c>
      <c r="K3275" s="15" t="s">
        <v>23</v>
      </c>
    </row>
    <row r="3276" spans="1:11" ht="42" customHeight="1">
      <c r="A3276" s="4" t="s">
        <v>8492</v>
      </c>
      <c r="B3276" s="5" t="s">
        <v>8492</v>
      </c>
      <c r="C3276" s="5" t="s">
        <v>17</v>
      </c>
      <c r="D3276" s="5" t="s">
        <v>18</v>
      </c>
      <c r="E3276" s="5" t="s">
        <v>3160</v>
      </c>
      <c r="F3276" s="9" t="s">
        <v>3161</v>
      </c>
      <c r="G3276" s="9">
        <v>572</v>
      </c>
      <c r="H3276" s="5" t="s">
        <v>21</v>
      </c>
      <c r="I3276" s="5" t="s">
        <v>8493</v>
      </c>
      <c r="J3276" s="12" t="str">
        <f>HYPERLINK("https://www.boe.es/gazeta/dias/1808/06/14/pdfs/GMD-1808-57.pdf#page=10","Abrir facsímil")</f>
        <v>Abrir facsímil</v>
      </c>
      <c r="K3276" s="15" t="s">
        <v>23</v>
      </c>
    </row>
    <row r="3277" spans="1:11" ht="42" customHeight="1">
      <c r="A3277" s="4" t="s">
        <v>8494</v>
      </c>
      <c r="B3277" s="5" t="s">
        <v>8494</v>
      </c>
      <c r="C3277" s="5" t="s">
        <v>94</v>
      </c>
      <c r="D3277" s="5" t="s">
        <v>95</v>
      </c>
      <c r="E3277" s="5" t="s">
        <v>54</v>
      </c>
      <c r="F3277" s="9" t="s">
        <v>55</v>
      </c>
      <c r="G3277" s="9">
        <v>1087</v>
      </c>
      <c r="H3277" s="5" t="s">
        <v>21</v>
      </c>
      <c r="I3277" s="5" t="s">
        <v>8495</v>
      </c>
      <c r="J3277" s="12" t="str">
        <f>HYPERLINK("https://www.boe.es/gazeta/dias/1808/08/26/pdfs/GMD-1808-117.pdf#page=9","Abrir facsímil")</f>
        <v>Abrir facsímil</v>
      </c>
      <c r="K3277" s="15" t="s">
        <v>23</v>
      </c>
    </row>
    <row r="3278" spans="1:11" ht="42" customHeight="1">
      <c r="A3278" s="4" t="s">
        <v>8496</v>
      </c>
      <c r="B3278" s="5" t="s">
        <v>8497</v>
      </c>
      <c r="C3278" s="5" t="s">
        <v>94</v>
      </c>
      <c r="D3278" s="5" t="s">
        <v>95</v>
      </c>
      <c r="E3278" s="5" t="s">
        <v>3791</v>
      </c>
      <c r="F3278" s="9" t="s">
        <v>8498</v>
      </c>
      <c r="G3278" s="9">
        <v>622</v>
      </c>
      <c r="H3278" s="5" t="s">
        <v>21</v>
      </c>
      <c r="I3278" s="5" t="s">
        <v>8499</v>
      </c>
      <c r="J3278" s="12" t="str">
        <f>HYPERLINK("https://www.boe.es/gazeta/dias/1808/06/21/pdfs/GMD-C-1808-63.pdf#page=4","Abrir facsímil")</f>
        <v>Abrir facsímil</v>
      </c>
      <c r="K3278" s="15" t="s">
        <v>23</v>
      </c>
    </row>
    <row r="3279" spans="1:11" ht="42" customHeight="1">
      <c r="A3279" s="4" t="s">
        <v>8500</v>
      </c>
      <c r="B3279" s="5" t="s">
        <v>8501</v>
      </c>
      <c r="C3279" s="5" t="s">
        <v>389</v>
      </c>
      <c r="D3279" s="5" t="s">
        <v>390</v>
      </c>
      <c r="E3279" s="5" t="s">
        <v>513</v>
      </c>
      <c r="F3279" s="9" t="s">
        <v>514</v>
      </c>
      <c r="G3279" s="9">
        <v>290</v>
      </c>
      <c r="H3279" s="5" t="s">
        <v>21</v>
      </c>
      <c r="I3279" s="5" t="s">
        <v>8502</v>
      </c>
      <c r="J3279" s="12" t="str">
        <f>HYPERLINK("https://www.boe.es/gazeta/dias/1808/03/22/pdfs/GMD-1808-24.pdf#page=12","Abrir facsímil")</f>
        <v>Abrir facsímil</v>
      </c>
      <c r="K3279" s="15" t="s">
        <v>23</v>
      </c>
    </row>
    <row r="3280" spans="1:11" ht="42" customHeight="1">
      <c r="A3280" s="4" t="s">
        <v>8503</v>
      </c>
      <c r="B3280" s="5" t="s">
        <v>8503</v>
      </c>
      <c r="C3280" s="5" t="s">
        <v>101</v>
      </c>
      <c r="D3280" s="5" t="s">
        <v>102</v>
      </c>
      <c r="E3280" s="5" t="s">
        <v>1345</v>
      </c>
      <c r="F3280" s="9" t="s">
        <v>3321</v>
      </c>
      <c r="G3280" s="9">
        <v>735</v>
      </c>
      <c r="H3280" s="5" t="s">
        <v>21</v>
      </c>
      <c r="I3280" s="5" t="s">
        <v>8504</v>
      </c>
      <c r="J3280" s="12" t="str">
        <f>HYPERLINK("https://www.boe.es/gazeta/dias/1808/07/06/pdfs/GMD-1808-78.pdf#page=1","Abrir facsímil")</f>
        <v>Abrir facsímil</v>
      </c>
      <c r="K3280" s="15" t="s">
        <v>23</v>
      </c>
    </row>
    <row r="3281" spans="1:11" ht="42" customHeight="1">
      <c r="A3281" s="4" t="s">
        <v>8505</v>
      </c>
      <c r="B3281" s="5" t="s">
        <v>8506</v>
      </c>
      <c r="C3281" s="5" t="s">
        <v>17</v>
      </c>
      <c r="D3281" s="5" t="s">
        <v>18</v>
      </c>
      <c r="E3281" s="5" t="s">
        <v>19</v>
      </c>
      <c r="F3281" s="9" t="s">
        <v>59</v>
      </c>
      <c r="G3281" s="9">
        <v>1229</v>
      </c>
      <c r="H3281" s="5" t="s">
        <v>21</v>
      </c>
      <c r="I3281" s="5" t="s">
        <v>8507</v>
      </c>
      <c r="J3281" s="12" t="str">
        <f>HYPERLINK("https://www.boe.es/gazeta/dias/1808/09/30/pdfs/GMD-1808-130.pdf#page=9","Abrir facsímil")</f>
        <v>Abrir facsímil</v>
      </c>
      <c r="K3281" s="15" t="s">
        <v>23</v>
      </c>
    </row>
    <row r="3282" spans="1:11" ht="42" customHeight="1">
      <c r="A3282" s="4" t="s">
        <v>8508</v>
      </c>
      <c r="B3282" s="5" t="s">
        <v>8509</v>
      </c>
      <c r="C3282" s="5" t="s">
        <v>94</v>
      </c>
      <c r="D3282" s="5" t="s">
        <v>95</v>
      </c>
      <c r="E3282" s="5" t="s">
        <v>35</v>
      </c>
      <c r="F3282" s="9" t="s">
        <v>36</v>
      </c>
      <c r="G3282" s="9" t="s">
        <v>281</v>
      </c>
      <c r="H3282" s="5" t="s">
        <v>21</v>
      </c>
      <c r="I3282" s="5" t="s">
        <v>8510</v>
      </c>
      <c r="J3282" s="12" t="str">
        <f>HYPERLINK("https://www.boe.es/gazeta/dias/1808/04/22/pdfs/GMD-C-1808-38.pdf#page=47","Abrir facsímil")</f>
        <v>Abrir facsímil</v>
      </c>
      <c r="K3282" s="15" t="s">
        <v>23</v>
      </c>
    </row>
    <row r="3283" spans="1:11" ht="42" customHeight="1">
      <c r="A3283" s="4" t="s">
        <v>8511</v>
      </c>
      <c r="B3283" s="5" t="s">
        <v>8512</v>
      </c>
      <c r="C3283" s="5" t="s">
        <v>389</v>
      </c>
      <c r="D3283" s="5" t="s">
        <v>390</v>
      </c>
      <c r="E3283" s="5" t="s">
        <v>65</v>
      </c>
      <c r="F3283" s="9" t="s">
        <v>105</v>
      </c>
      <c r="G3283" s="9" t="s">
        <v>117</v>
      </c>
      <c r="H3283" s="5" t="s">
        <v>21</v>
      </c>
      <c r="I3283" s="5" t="s">
        <v>8513</v>
      </c>
      <c r="J3283" s="12" t="str">
        <f>HYPERLINK("https://www.boe.es/gazeta/dias/1808/10/18/pdfs/GMD-D-1808-135.pdf#page=1","Abrir facsímil")</f>
        <v>Abrir facsímil</v>
      </c>
      <c r="K3283" s="15" t="s">
        <v>23</v>
      </c>
    </row>
    <row r="3284" spans="1:11" ht="42" customHeight="1">
      <c r="A3284" s="4" t="s">
        <v>8511</v>
      </c>
      <c r="B3284" s="5" t="s">
        <v>8512</v>
      </c>
      <c r="C3284" s="5" t="s">
        <v>41</v>
      </c>
      <c r="D3284" s="5" t="s">
        <v>42</v>
      </c>
      <c r="E3284" s="5" t="s">
        <v>28</v>
      </c>
      <c r="F3284" s="9" t="s">
        <v>446</v>
      </c>
      <c r="G3284" s="9" t="s">
        <v>75</v>
      </c>
      <c r="H3284" s="5" t="s">
        <v>21</v>
      </c>
      <c r="I3284" s="5" t="s">
        <v>8514</v>
      </c>
      <c r="J3284" s="12" t="str">
        <f>HYPERLINK("https://www.boe.es/gazeta/dias/1808/11/04/pdfs/GMD-D-1808-141.pdf#page=4","Abrir facsímil")</f>
        <v>Abrir facsímil</v>
      </c>
      <c r="K3284" s="15" t="s">
        <v>23</v>
      </c>
    </row>
    <row r="3285" spans="1:11" ht="42" customHeight="1">
      <c r="A3285" s="4" t="s">
        <v>8515</v>
      </c>
      <c r="B3285" s="5" t="s">
        <v>8516</v>
      </c>
      <c r="C3285" s="5" t="s">
        <v>17</v>
      </c>
      <c r="D3285" s="5" t="s">
        <v>18</v>
      </c>
      <c r="E3285" s="5" t="s">
        <v>363</v>
      </c>
      <c r="F3285" s="9" t="s">
        <v>1224</v>
      </c>
      <c r="G3285" s="9">
        <v>1188</v>
      </c>
      <c r="H3285" s="5" t="s">
        <v>21</v>
      </c>
      <c r="I3285" s="5" t="s">
        <v>8517</v>
      </c>
      <c r="J3285" s="12" t="str">
        <f>HYPERLINK("https://www.boe.es/gazeta/dias/1808/09/20/pdfs/GMD-1808-126.pdf#page=8","Abrir facsímil")</f>
        <v>Abrir facsímil</v>
      </c>
      <c r="K3285" s="15" t="s">
        <v>23</v>
      </c>
    </row>
    <row r="3286" spans="1:11" ht="42" customHeight="1">
      <c r="A3286" s="4" t="s">
        <v>8515</v>
      </c>
      <c r="B3286" s="5" t="s">
        <v>8516</v>
      </c>
      <c r="C3286" s="5" t="s">
        <v>17</v>
      </c>
      <c r="D3286" s="5" t="s">
        <v>18</v>
      </c>
      <c r="E3286" s="5" t="s">
        <v>61</v>
      </c>
      <c r="F3286" s="9" t="s">
        <v>62</v>
      </c>
      <c r="G3286" s="9">
        <v>1286</v>
      </c>
      <c r="H3286" s="5" t="s">
        <v>21</v>
      </c>
      <c r="I3286" s="5" t="s">
        <v>8518</v>
      </c>
      <c r="J3286" s="12" t="str">
        <f>HYPERLINK("https://www.boe.es/gazeta/dias/1808/10/11/pdfs/GMD-1808-133.pdf#page=14","Abrir facsímil")</f>
        <v>Abrir facsímil</v>
      </c>
      <c r="K3286" s="15" t="s">
        <v>23</v>
      </c>
    </row>
    <row r="3287" spans="1:11" ht="42" customHeight="1">
      <c r="A3287" s="4" t="s">
        <v>8515</v>
      </c>
      <c r="B3287" s="5" t="s">
        <v>8516</v>
      </c>
      <c r="C3287" s="5" t="s">
        <v>33</v>
      </c>
      <c r="D3287" s="5" t="s">
        <v>34</v>
      </c>
      <c r="E3287" s="5" t="s">
        <v>28</v>
      </c>
      <c r="F3287" s="9" t="s">
        <v>446</v>
      </c>
      <c r="G3287" s="9" t="s">
        <v>75</v>
      </c>
      <c r="H3287" s="5" t="s">
        <v>21</v>
      </c>
      <c r="I3287" s="5" t="s">
        <v>8519</v>
      </c>
      <c r="J3287" s="12" t="str">
        <f>HYPERLINK("https://www.boe.es/gazeta/dias/1808/11/04/pdfs/GMD-D-1808-141.pdf#page=4","Abrir facsímil")</f>
        <v>Abrir facsímil</v>
      </c>
      <c r="K3287" s="15" t="s">
        <v>23</v>
      </c>
    </row>
    <row r="3288" spans="1:11" ht="42" customHeight="1">
      <c r="A3288" s="4" t="s">
        <v>8520</v>
      </c>
      <c r="B3288" s="5" t="s">
        <v>8521</v>
      </c>
      <c r="C3288" s="5" t="s">
        <v>41</v>
      </c>
      <c r="D3288" s="5" t="s">
        <v>42</v>
      </c>
      <c r="E3288" s="5" t="s">
        <v>1472</v>
      </c>
      <c r="F3288" s="9" t="s">
        <v>1473</v>
      </c>
      <c r="G3288" s="9">
        <v>95</v>
      </c>
      <c r="H3288" s="5" t="s">
        <v>21</v>
      </c>
      <c r="I3288" s="5" t="s">
        <v>8522</v>
      </c>
      <c r="J3288" s="12" t="str">
        <f>HYPERLINK("https://www.boe.es/gazeta/dias/1808/01/26/pdfs/GMD-1808-8.pdf#page=11","Abrir facsímil")</f>
        <v>Abrir facsímil</v>
      </c>
      <c r="K3288" s="15" t="s">
        <v>23</v>
      </c>
    </row>
    <row r="3289" spans="1:11" ht="42" customHeight="1">
      <c r="A3289" s="4" t="s">
        <v>8520</v>
      </c>
      <c r="B3289" s="5" t="s">
        <v>8521</v>
      </c>
      <c r="C3289" s="5" t="s">
        <v>41</v>
      </c>
      <c r="D3289" s="5" t="s">
        <v>42</v>
      </c>
      <c r="E3289" s="5" t="s">
        <v>2159</v>
      </c>
      <c r="F3289" s="9" t="s">
        <v>2160</v>
      </c>
      <c r="G3289" s="9">
        <v>184</v>
      </c>
      <c r="H3289" s="5" t="s">
        <v>21</v>
      </c>
      <c r="I3289" s="5" t="s">
        <v>8523</v>
      </c>
      <c r="J3289" s="12" t="str">
        <f>HYPERLINK("https://www.boe.es/gazeta/dias/1808/02/19/pdfs/GMD-1808-15.pdf#page=14","Abrir facsímil")</f>
        <v>Abrir facsímil</v>
      </c>
      <c r="K3289" s="15" t="s">
        <v>23</v>
      </c>
    </row>
    <row r="3290" spans="1:11" ht="42" customHeight="1">
      <c r="A3290" s="4" t="s">
        <v>8520</v>
      </c>
      <c r="B3290" s="5" t="s">
        <v>8521</v>
      </c>
      <c r="C3290" s="5" t="s">
        <v>41</v>
      </c>
      <c r="D3290" s="5" t="s">
        <v>42</v>
      </c>
      <c r="E3290" s="5" t="s">
        <v>418</v>
      </c>
      <c r="F3290" s="9" t="s">
        <v>419</v>
      </c>
      <c r="G3290" s="9">
        <v>1140</v>
      </c>
      <c r="H3290" s="5" t="s">
        <v>21</v>
      </c>
      <c r="I3290" s="5" t="s">
        <v>8524</v>
      </c>
      <c r="J3290" s="12" t="str">
        <f>HYPERLINK("https://www.boe.es/gazeta/dias/1808/09/06/pdfs/GMD-C-1808-120.pdf#page=14","Abrir facsímil")</f>
        <v>Abrir facsímil</v>
      </c>
      <c r="K3290" s="15" t="s">
        <v>23</v>
      </c>
    </row>
    <row r="3291" spans="1:11" ht="42" customHeight="1">
      <c r="A3291" s="4" t="s">
        <v>8525</v>
      </c>
      <c r="B3291" s="5" t="s">
        <v>8526</v>
      </c>
      <c r="C3291" s="5" t="s">
        <v>94</v>
      </c>
      <c r="D3291" s="5" t="s">
        <v>95</v>
      </c>
      <c r="E3291" s="5" t="s">
        <v>54</v>
      </c>
      <c r="F3291" s="9" t="s">
        <v>55</v>
      </c>
      <c r="G3291" s="9">
        <v>1087</v>
      </c>
      <c r="H3291" s="5" t="s">
        <v>21</v>
      </c>
      <c r="I3291" s="5" t="s">
        <v>8527</v>
      </c>
      <c r="J3291" s="12" t="str">
        <f>HYPERLINK("https://www.boe.es/gazeta/dias/1808/08/26/pdfs/GMD-1808-117.pdf#page=9","Abrir facsímil")</f>
        <v>Abrir facsímil</v>
      </c>
      <c r="K3291" s="15" t="s">
        <v>23</v>
      </c>
    </row>
    <row r="3292" spans="1:11" ht="42" customHeight="1">
      <c r="A3292" s="4" t="s">
        <v>8528</v>
      </c>
      <c r="B3292" s="5" t="s">
        <v>8529</v>
      </c>
      <c r="C3292" s="5" t="s">
        <v>33</v>
      </c>
      <c r="D3292" s="5" t="s">
        <v>34</v>
      </c>
      <c r="E3292" s="5" t="s">
        <v>89</v>
      </c>
      <c r="F3292" s="9" t="s">
        <v>563</v>
      </c>
      <c r="G3292" s="9" t="s">
        <v>117</v>
      </c>
      <c r="H3292" s="5" t="s">
        <v>21</v>
      </c>
      <c r="I3292" s="5" t="s">
        <v>8530</v>
      </c>
      <c r="J3292" s="12" t="str">
        <f>HYPERLINK("https://www.boe.es/gazeta/dias/1808/10/25/pdfs/GMD-D-1808-137.pdf#page=1","Abrir facsímil")</f>
        <v>Abrir facsímil</v>
      </c>
      <c r="K3292" s="15" t="s">
        <v>23</v>
      </c>
    </row>
    <row r="3293" spans="1:11" ht="42" customHeight="1">
      <c r="A3293" s="4" t="s">
        <v>8531</v>
      </c>
      <c r="B3293" s="5" t="s">
        <v>8532</v>
      </c>
      <c r="C3293" s="5" t="s">
        <v>17</v>
      </c>
      <c r="D3293" s="5" t="s">
        <v>18</v>
      </c>
      <c r="E3293" s="5" t="s">
        <v>2794</v>
      </c>
      <c r="F3293" s="9" t="s">
        <v>2795</v>
      </c>
      <c r="G3293" s="9">
        <v>975</v>
      </c>
      <c r="H3293" s="5" t="s">
        <v>21</v>
      </c>
      <c r="I3293" s="5" t="s">
        <v>8533</v>
      </c>
      <c r="J3293" s="12" t="str">
        <f>HYPERLINK("https://www.boe.es/gazeta/dias/1808/08/06/pdfs/GMD-1808-109.pdf#page=1","Abrir facsímil")</f>
        <v>Abrir facsímil</v>
      </c>
      <c r="K3293" s="15" t="s">
        <v>23</v>
      </c>
    </row>
    <row r="3294" spans="1:11" ht="42" customHeight="1">
      <c r="A3294" s="4" t="s">
        <v>8534</v>
      </c>
      <c r="B3294" s="5" t="s">
        <v>8535</v>
      </c>
      <c r="C3294" s="5" t="s">
        <v>642</v>
      </c>
      <c r="D3294" s="5" t="s">
        <v>643</v>
      </c>
      <c r="E3294" s="5" t="s">
        <v>7774</v>
      </c>
      <c r="F3294" s="9" t="s">
        <v>7775</v>
      </c>
      <c r="G3294" s="9">
        <v>1396</v>
      </c>
      <c r="H3294" s="5" t="s">
        <v>21</v>
      </c>
      <c r="I3294" s="5" t="s">
        <v>8536</v>
      </c>
      <c r="J3294" s="12" t="str">
        <f>HYPERLINK("https://www.boe.es/gazeta/dias/1808/10/30/pdfs/GMD-1808-139E.pdf#page=2","Abrir facsímil")</f>
        <v>Abrir facsímil</v>
      </c>
      <c r="K3294" s="15" t="s">
        <v>23</v>
      </c>
    </row>
    <row r="3295" spans="1:11" ht="42" customHeight="1">
      <c r="A3295" s="4" t="s">
        <v>8537</v>
      </c>
      <c r="B3295" s="5" t="s">
        <v>8538</v>
      </c>
      <c r="C3295" s="5" t="s">
        <v>94</v>
      </c>
      <c r="D3295" s="5" t="s">
        <v>95</v>
      </c>
      <c r="E3295" s="5" t="s">
        <v>513</v>
      </c>
      <c r="F3295" s="9" t="s">
        <v>514</v>
      </c>
      <c r="G3295" s="9">
        <v>286</v>
      </c>
      <c r="H3295" s="5" t="s">
        <v>21</v>
      </c>
      <c r="I3295" s="5" t="s">
        <v>8539</v>
      </c>
      <c r="J3295" s="12" t="str">
        <f>HYPERLINK("https://www.boe.es/gazeta/dias/1808/03/22/pdfs/GMD-1808-24.pdf#page=8","Abrir facsímil")</f>
        <v>Abrir facsímil</v>
      </c>
      <c r="K3295" s="15" t="s">
        <v>23</v>
      </c>
    </row>
    <row r="3296" spans="1:11" ht="42" customHeight="1">
      <c r="A3296" s="4" t="s">
        <v>8540</v>
      </c>
      <c r="B3296" s="5" t="s">
        <v>8541</v>
      </c>
      <c r="C3296" s="5" t="s">
        <v>33</v>
      </c>
      <c r="D3296" s="5" t="s">
        <v>34</v>
      </c>
      <c r="E3296" s="5" t="s">
        <v>65</v>
      </c>
      <c r="F3296" s="9" t="s">
        <v>105</v>
      </c>
      <c r="G3296" s="9" t="s">
        <v>106</v>
      </c>
      <c r="H3296" s="5" t="s">
        <v>21</v>
      </c>
      <c r="I3296" s="5" t="s">
        <v>8542</v>
      </c>
      <c r="J3296" s="12" t="str">
        <f>HYPERLINK("https://www.boe.es/gazeta/dias/1808/10/18/pdfs/GMD-D-1808-135.pdf#page=3","Abrir facsímil")</f>
        <v>Abrir facsímil</v>
      </c>
      <c r="K3296" s="15" t="s">
        <v>23</v>
      </c>
    </row>
    <row r="3297" spans="1:11" ht="42" customHeight="1">
      <c r="A3297" s="4" t="s">
        <v>8543</v>
      </c>
      <c r="B3297" s="5" t="s">
        <v>8544</v>
      </c>
      <c r="C3297" s="5" t="s">
        <v>33</v>
      </c>
      <c r="D3297" s="5" t="s">
        <v>34</v>
      </c>
      <c r="E3297" s="5" t="s">
        <v>363</v>
      </c>
      <c r="F3297" s="9" t="s">
        <v>364</v>
      </c>
      <c r="G3297" s="9" t="s">
        <v>75</v>
      </c>
      <c r="H3297" s="5" t="s">
        <v>21</v>
      </c>
      <c r="I3297" s="5" t="s">
        <v>8545</v>
      </c>
      <c r="J3297" s="12" t="str">
        <f>HYPERLINK("https://www.boe.es/gazeta/dias/1808/09/20/pdfs/GMD-C-1808-126.pdf#page=4","Abrir facsímil")</f>
        <v>Abrir facsímil</v>
      </c>
      <c r="K3297" s="15" t="s">
        <v>23</v>
      </c>
    </row>
    <row r="3298" spans="1:11" ht="42" customHeight="1">
      <c r="A3298" s="4" t="s">
        <v>8546</v>
      </c>
      <c r="B3298" s="5" t="s">
        <v>8546</v>
      </c>
      <c r="C3298" s="5" t="s">
        <v>94</v>
      </c>
      <c r="D3298" s="5" t="s">
        <v>95</v>
      </c>
      <c r="E3298" s="5" t="s">
        <v>96</v>
      </c>
      <c r="F3298" s="9" t="s">
        <v>97</v>
      </c>
      <c r="G3298" s="9">
        <v>266</v>
      </c>
      <c r="H3298" s="5" t="s">
        <v>21</v>
      </c>
      <c r="I3298" s="5" t="s">
        <v>8547</v>
      </c>
      <c r="J3298" s="12" t="str">
        <f>HYPERLINK("https://www.boe.es/gazeta/dias/1808/03/15/pdfs/GMD-1808-22.pdf#page=8","Abrir facsímil")</f>
        <v>Abrir facsímil</v>
      </c>
      <c r="K3298" s="15" t="s">
        <v>23</v>
      </c>
    </row>
    <row r="3299" spans="1:11" ht="42" customHeight="1">
      <c r="A3299" s="4" t="s">
        <v>8548</v>
      </c>
      <c r="B3299" s="5" t="s">
        <v>8549</v>
      </c>
      <c r="C3299" s="5" t="s">
        <v>33</v>
      </c>
      <c r="D3299" s="5" t="s">
        <v>34</v>
      </c>
      <c r="E3299" s="5" t="s">
        <v>35</v>
      </c>
      <c r="F3299" s="9" t="s">
        <v>36</v>
      </c>
      <c r="G3299" s="9" t="s">
        <v>299</v>
      </c>
      <c r="H3299" s="5" t="s">
        <v>21</v>
      </c>
      <c r="I3299" s="5" t="s">
        <v>8550</v>
      </c>
      <c r="J3299" s="12" t="str">
        <f>HYPERLINK("https://www.boe.es/gazeta/dias/1808/04/22/pdfs/GMD-C-1808-38.pdf#page=14","Abrir facsímil")</f>
        <v>Abrir facsímil</v>
      </c>
      <c r="K3299" s="15" t="s">
        <v>23</v>
      </c>
    </row>
    <row r="3300" spans="1:11" ht="42" customHeight="1">
      <c r="A3300" s="4" t="s">
        <v>8551</v>
      </c>
      <c r="B3300" s="5" t="s">
        <v>8552</v>
      </c>
      <c r="C3300" s="5" t="s">
        <v>33</v>
      </c>
      <c r="D3300" s="5" t="s">
        <v>34</v>
      </c>
      <c r="E3300" s="5" t="s">
        <v>35</v>
      </c>
      <c r="F3300" s="9" t="s">
        <v>36</v>
      </c>
      <c r="G3300" s="9" t="s">
        <v>199</v>
      </c>
      <c r="H3300" s="5" t="s">
        <v>21</v>
      </c>
      <c r="I3300" s="5" t="s">
        <v>8553</v>
      </c>
      <c r="J3300" s="12" t="str">
        <f>HYPERLINK("https://www.boe.es/gazeta/dias/1808/04/22/pdfs/GMD-C-1808-38.pdf#page=2","Abrir facsímil")</f>
        <v>Abrir facsímil</v>
      </c>
      <c r="K3300" s="15" t="s">
        <v>23</v>
      </c>
    </row>
    <row r="3301" spans="1:11" ht="42" customHeight="1">
      <c r="A3301" s="4" t="s">
        <v>8554</v>
      </c>
      <c r="B3301" s="5" t="s">
        <v>8554</v>
      </c>
      <c r="C3301" s="5" t="s">
        <v>94</v>
      </c>
      <c r="D3301" s="5" t="s">
        <v>95</v>
      </c>
      <c r="E3301" s="5" t="s">
        <v>6282</v>
      </c>
      <c r="F3301" s="9" t="s">
        <v>6283</v>
      </c>
      <c r="G3301" s="9">
        <v>650</v>
      </c>
      <c r="H3301" s="5" t="s">
        <v>21</v>
      </c>
      <c r="I3301" s="5" t="s">
        <v>8555</v>
      </c>
      <c r="J3301" s="12" t="str">
        <f>HYPERLINK("https://www.boe.es/gazeta/dias/1808/06/25/pdfs/GMD-1808-67.pdf#page=4","Abrir facsímil")</f>
        <v>Abrir facsímil</v>
      </c>
      <c r="K3301" s="15" t="s">
        <v>23</v>
      </c>
    </row>
    <row r="3302" spans="1:11" ht="42" customHeight="1">
      <c r="A3302" s="4" t="s">
        <v>8556</v>
      </c>
      <c r="B3302" s="5" t="s">
        <v>8556</v>
      </c>
      <c r="C3302" s="5" t="s">
        <v>94</v>
      </c>
      <c r="D3302" s="5" t="s">
        <v>95</v>
      </c>
      <c r="E3302" s="5" t="s">
        <v>68</v>
      </c>
      <c r="F3302" s="9" t="s">
        <v>69</v>
      </c>
      <c r="G3302" s="9">
        <v>1330</v>
      </c>
      <c r="H3302" s="5" t="s">
        <v>21</v>
      </c>
      <c r="I3302" s="5" t="s">
        <v>8557</v>
      </c>
      <c r="J3302" s="12" t="str">
        <f>HYPERLINK("https://www.boe.es/gazeta/dias/1808/10/21/pdfs/GMD-1808-136.pdf#page=2","Abrir facsímil")</f>
        <v>Abrir facsímil</v>
      </c>
      <c r="K3302" s="15" t="s">
        <v>23</v>
      </c>
    </row>
    <row r="3303" spans="1:11" ht="42" customHeight="1">
      <c r="A3303" s="4" t="s">
        <v>8558</v>
      </c>
      <c r="B3303" s="5" t="s">
        <v>8558</v>
      </c>
      <c r="C3303" s="5" t="s">
        <v>17</v>
      </c>
      <c r="D3303" s="5" t="s">
        <v>18</v>
      </c>
      <c r="E3303" s="5" t="s">
        <v>28</v>
      </c>
      <c r="F3303" s="9" t="s">
        <v>29</v>
      </c>
      <c r="G3303" s="9">
        <v>1429</v>
      </c>
      <c r="H3303" s="5" t="s">
        <v>21</v>
      </c>
      <c r="I3303" s="5" t="s">
        <v>8559</v>
      </c>
      <c r="J3303" s="12" t="str">
        <f>HYPERLINK("https://www.boe.es/gazeta/dias/1808/11/04/pdfs/GMD-1808-141.pdf#page=11","Abrir facsímil")</f>
        <v>Abrir facsímil</v>
      </c>
      <c r="K3303" s="15" t="s">
        <v>23</v>
      </c>
    </row>
    <row r="3304" spans="1:11" ht="42" customHeight="1">
      <c r="A3304" s="4" t="s">
        <v>8560</v>
      </c>
      <c r="B3304" s="5" t="s">
        <v>8561</v>
      </c>
      <c r="C3304" s="5" t="s">
        <v>17</v>
      </c>
      <c r="D3304" s="5" t="s">
        <v>18</v>
      </c>
      <c r="E3304" s="5" t="s">
        <v>461</v>
      </c>
      <c r="F3304" s="9" t="s">
        <v>733</v>
      </c>
      <c r="G3304" s="9">
        <v>1447</v>
      </c>
      <c r="H3304" s="5" t="s">
        <v>21</v>
      </c>
      <c r="I3304" s="5" t="s">
        <v>8562</v>
      </c>
      <c r="J3304" s="12" t="str">
        <f>HYPERLINK("https://www.boe.es/gazeta/dias/1808/11/08/pdfs/GMD-1808-142.pdf#page=9","Abrir facsímil")</f>
        <v>Abrir facsímil</v>
      </c>
      <c r="K3304" s="15" t="s">
        <v>23</v>
      </c>
    </row>
    <row r="3305" spans="1:11" ht="42" customHeight="1">
      <c r="A3305" s="4" t="s">
        <v>8563</v>
      </c>
      <c r="B3305" s="5" t="s">
        <v>8564</v>
      </c>
      <c r="C3305" s="5" t="s">
        <v>94</v>
      </c>
      <c r="D3305" s="5" t="s">
        <v>95</v>
      </c>
      <c r="E3305" s="5" t="s">
        <v>4567</v>
      </c>
      <c r="F3305" s="9" t="s">
        <v>4568</v>
      </c>
      <c r="G3305" s="9">
        <v>694</v>
      </c>
      <c r="H3305" s="5" t="s">
        <v>21</v>
      </c>
      <c r="I3305" s="5" t="s">
        <v>8565</v>
      </c>
      <c r="J3305" s="12" t="str">
        <f>HYPERLINK("https://www.boe.es/gazeta/dias/1808/06/30/pdfs/GMD-1808-72.pdf#page=8","Abrir facsímil")</f>
        <v>Abrir facsímil</v>
      </c>
      <c r="K3305" s="15" t="s">
        <v>23</v>
      </c>
    </row>
    <row r="3306" spans="1:11" ht="42" customHeight="1">
      <c r="A3306" s="4" t="s">
        <v>8566</v>
      </c>
      <c r="B3306" s="5" t="s">
        <v>8566</v>
      </c>
      <c r="C3306" s="5" t="s">
        <v>17</v>
      </c>
      <c r="D3306" s="5" t="s">
        <v>18</v>
      </c>
      <c r="E3306" s="5" t="s">
        <v>203</v>
      </c>
      <c r="F3306" s="9" t="s">
        <v>204</v>
      </c>
      <c r="G3306" s="9">
        <v>140</v>
      </c>
      <c r="H3306" s="5" t="s">
        <v>21</v>
      </c>
      <c r="I3306" s="5" t="s">
        <v>8567</v>
      </c>
      <c r="J3306" s="12" t="str">
        <f>HYPERLINK("https://www.boe.es/gazeta/dias/1808/02/09/pdfs/GMD-1808-12.pdf#page=8","Abrir facsímil")</f>
        <v>Abrir facsímil</v>
      </c>
      <c r="K3306" s="15" t="s">
        <v>23</v>
      </c>
    </row>
    <row r="3307" spans="1:11" ht="42" customHeight="1">
      <c r="A3307" s="4" t="s">
        <v>8568</v>
      </c>
      <c r="B3307" s="5" t="s">
        <v>8568</v>
      </c>
      <c r="C3307" s="5" t="s">
        <v>101</v>
      </c>
      <c r="D3307" s="5" t="s">
        <v>102</v>
      </c>
      <c r="E3307" s="5" t="s">
        <v>228</v>
      </c>
      <c r="F3307" s="9" t="s">
        <v>229</v>
      </c>
      <c r="G3307" s="9">
        <v>836</v>
      </c>
      <c r="H3307" s="5" t="s">
        <v>21</v>
      </c>
      <c r="I3307" s="5" t="s">
        <v>8569</v>
      </c>
      <c r="J3307" s="12" t="str">
        <f>HYPERLINK("https://www.boe.es/gazeta/dias/1808/07/18/pdfs/GMD-1808-90.pdf#page=6","Abrir facsímil")</f>
        <v>Abrir facsímil</v>
      </c>
      <c r="K3307" s="15" t="s">
        <v>23</v>
      </c>
    </row>
    <row r="3308" spans="1:11" ht="42" customHeight="1">
      <c r="A3308" s="4" t="s">
        <v>8570</v>
      </c>
      <c r="B3308" s="5" t="s">
        <v>8571</v>
      </c>
      <c r="C3308" s="5" t="s">
        <v>17</v>
      </c>
      <c r="D3308" s="5" t="s">
        <v>18</v>
      </c>
      <c r="E3308" s="5" t="s">
        <v>1182</v>
      </c>
      <c r="F3308" s="9" t="s">
        <v>1183</v>
      </c>
      <c r="G3308" s="9">
        <v>61</v>
      </c>
      <c r="H3308" s="5" t="s">
        <v>21</v>
      </c>
      <c r="I3308" s="5" t="s">
        <v>8572</v>
      </c>
      <c r="J3308" s="12" t="str">
        <f>HYPERLINK("https://www.boe.es/gazeta/dias/1808/06/26/pdfs/GMS-1808-8.pdf#page=5","Abrir facsímil")</f>
        <v>Abrir facsímil</v>
      </c>
      <c r="K3308" s="15" t="s">
        <v>23</v>
      </c>
    </row>
    <row r="3309" spans="1:11" ht="42" customHeight="1">
      <c r="A3309" s="4" t="s">
        <v>8573</v>
      </c>
      <c r="B3309" s="5" t="s">
        <v>8574</v>
      </c>
      <c r="C3309" s="5" t="s">
        <v>94</v>
      </c>
      <c r="D3309" s="5" t="s">
        <v>95</v>
      </c>
      <c r="E3309" s="5" t="s">
        <v>35</v>
      </c>
      <c r="F3309" s="9" t="s">
        <v>36</v>
      </c>
      <c r="G3309" s="9" t="s">
        <v>707</v>
      </c>
      <c r="H3309" s="5" t="s">
        <v>21</v>
      </c>
      <c r="I3309" s="5" t="s">
        <v>8575</v>
      </c>
      <c r="J3309" s="12" t="str">
        <f>HYPERLINK("https://www.boe.es/gazeta/dias/1808/04/22/pdfs/GMD-C-1808-38.pdf#page=42","Abrir facsímil")</f>
        <v>Abrir facsímil</v>
      </c>
      <c r="K3309" s="15" t="s">
        <v>23</v>
      </c>
    </row>
    <row r="3310" spans="1:11" ht="42" customHeight="1">
      <c r="A3310" s="4" t="s">
        <v>8576</v>
      </c>
      <c r="B3310" s="5" t="s">
        <v>8577</v>
      </c>
      <c r="C3310" s="5" t="s">
        <v>94</v>
      </c>
      <c r="D3310" s="5" t="s">
        <v>95</v>
      </c>
      <c r="E3310" s="5" t="s">
        <v>215</v>
      </c>
      <c r="F3310" s="9" t="s">
        <v>216</v>
      </c>
      <c r="G3310" s="9">
        <v>300</v>
      </c>
      <c r="H3310" s="5" t="s">
        <v>21</v>
      </c>
      <c r="I3310" s="5" t="s">
        <v>8578</v>
      </c>
      <c r="J3310" s="12" t="str">
        <f>HYPERLINK("https://www.boe.es/gazeta/dias/1808/03/25/pdfs/GMD-1808-25.pdf#page=10","Abrir facsímil")</f>
        <v>Abrir facsímil</v>
      </c>
      <c r="K3310" s="15" t="s">
        <v>23</v>
      </c>
    </row>
    <row r="3311" spans="1:11" ht="42" customHeight="1">
      <c r="A3311" s="4" t="s">
        <v>8579</v>
      </c>
      <c r="B3311" s="5" t="s">
        <v>8579</v>
      </c>
      <c r="C3311" s="5" t="s">
        <v>33</v>
      </c>
      <c r="D3311" s="5" t="s">
        <v>34</v>
      </c>
      <c r="E3311" s="5" t="s">
        <v>68</v>
      </c>
      <c r="F3311" s="9" t="s">
        <v>309</v>
      </c>
      <c r="G3311" s="9" t="s">
        <v>75</v>
      </c>
      <c r="H3311" s="5" t="s">
        <v>21</v>
      </c>
      <c r="I3311" s="5" t="s">
        <v>8580</v>
      </c>
      <c r="J3311" s="12" t="str">
        <f>HYPERLINK("https://www.boe.es/gazeta/dias/1808/10/21/pdfs/GMD-D-1808-136.pdf#page=4","Abrir facsímil")</f>
        <v>Abrir facsímil</v>
      </c>
      <c r="K3311" s="15" t="s">
        <v>23</v>
      </c>
    </row>
    <row r="3312" spans="1:11" ht="42" customHeight="1">
      <c r="A3312" s="4" t="s">
        <v>8581</v>
      </c>
      <c r="B3312" s="5" t="s">
        <v>8581</v>
      </c>
      <c r="C3312" s="5" t="s">
        <v>33</v>
      </c>
      <c r="D3312" s="5" t="s">
        <v>34</v>
      </c>
      <c r="E3312" s="5" t="s">
        <v>35</v>
      </c>
      <c r="F3312" s="9" t="s">
        <v>36</v>
      </c>
      <c r="G3312" s="9" t="s">
        <v>279</v>
      </c>
      <c r="H3312" s="5" t="s">
        <v>21</v>
      </c>
      <c r="I3312" s="5" t="s">
        <v>8582</v>
      </c>
      <c r="J3312" s="12" t="str">
        <f>HYPERLINK("https://www.boe.es/gazeta/dias/1808/04/22/pdfs/GMD-C-1808-38.pdf#page=44","Abrir facsímil")</f>
        <v>Abrir facsímil</v>
      </c>
      <c r="K3312" s="15" t="s">
        <v>23</v>
      </c>
    </row>
    <row r="3313" spans="1:11" ht="42" customHeight="1">
      <c r="A3313" s="4" t="s">
        <v>8581</v>
      </c>
      <c r="B3313" s="5" t="s">
        <v>8581</v>
      </c>
      <c r="C3313" s="5" t="s">
        <v>41</v>
      </c>
      <c r="D3313" s="5" t="s">
        <v>42</v>
      </c>
      <c r="E3313" s="5" t="s">
        <v>391</v>
      </c>
      <c r="F3313" s="9" t="s">
        <v>588</v>
      </c>
      <c r="G3313" s="9" t="s">
        <v>75</v>
      </c>
      <c r="H3313" s="5" t="s">
        <v>21</v>
      </c>
      <c r="I3313" s="5" t="s">
        <v>8583</v>
      </c>
      <c r="J3313" s="12" t="str">
        <f>HYPERLINK("https://www.boe.es/gazeta/dias/1808/09/27/pdfs/GMD-C-1808-128.pdf#page=4","Abrir facsímil")</f>
        <v>Abrir facsímil</v>
      </c>
      <c r="K3313" s="15" t="s">
        <v>23</v>
      </c>
    </row>
    <row r="3314" spans="1:11" ht="42" customHeight="1">
      <c r="A3314" s="4" t="s">
        <v>8584</v>
      </c>
      <c r="B3314" s="5" t="s">
        <v>8584</v>
      </c>
      <c r="C3314" s="5" t="s">
        <v>33</v>
      </c>
      <c r="D3314" s="5" t="s">
        <v>34</v>
      </c>
      <c r="E3314" s="5" t="s">
        <v>35</v>
      </c>
      <c r="F3314" s="9" t="s">
        <v>36</v>
      </c>
      <c r="G3314" s="9" t="s">
        <v>443</v>
      </c>
      <c r="H3314" s="5" t="s">
        <v>21</v>
      </c>
      <c r="I3314" s="5" t="s">
        <v>8585</v>
      </c>
      <c r="J3314" s="12" t="str">
        <f>HYPERLINK("https://www.boe.es/gazeta/dias/1808/04/22/pdfs/GMD-C-1808-38.pdf#page=16","Abrir facsímil")</f>
        <v>Abrir facsímil</v>
      </c>
      <c r="K3314" s="15" t="s">
        <v>23</v>
      </c>
    </row>
    <row r="3315" spans="1:11" ht="42" customHeight="1">
      <c r="A3315" s="4" t="s">
        <v>8586</v>
      </c>
      <c r="B3315" s="5" t="s">
        <v>8586</v>
      </c>
      <c r="C3315" s="5" t="s">
        <v>33</v>
      </c>
      <c r="D3315" s="5" t="s">
        <v>34</v>
      </c>
      <c r="E3315" s="5" t="s">
        <v>68</v>
      </c>
      <c r="F3315" s="9" t="s">
        <v>309</v>
      </c>
      <c r="G3315" s="9" t="s">
        <v>199</v>
      </c>
      <c r="H3315" s="5" t="s">
        <v>21</v>
      </c>
      <c r="I3315" s="5" t="s">
        <v>8587</v>
      </c>
      <c r="J3315" s="12" t="str">
        <f>HYPERLINK("https://www.boe.es/gazeta/dias/1808/10/21/pdfs/GMD-D-1808-136.pdf#page=2","Abrir facsímil")</f>
        <v>Abrir facsímil</v>
      </c>
      <c r="K3315" s="15" t="s">
        <v>23</v>
      </c>
    </row>
    <row r="3316" spans="1:11" ht="42" customHeight="1">
      <c r="A3316" s="4" t="s">
        <v>8588</v>
      </c>
      <c r="B3316" s="5" t="s">
        <v>8588</v>
      </c>
      <c r="C3316" s="5" t="s">
        <v>94</v>
      </c>
      <c r="D3316" s="5" t="s">
        <v>95</v>
      </c>
      <c r="E3316" s="5" t="s">
        <v>974</v>
      </c>
      <c r="F3316" s="9" t="s">
        <v>975</v>
      </c>
      <c r="G3316" s="9">
        <v>391</v>
      </c>
      <c r="H3316" s="5" t="s">
        <v>21</v>
      </c>
      <c r="I3316" s="5" t="s">
        <v>8589</v>
      </c>
      <c r="J3316" s="12" t="str">
        <f>HYPERLINK("https://www.boe.es/gazeta/dias/1808/04/19/pdfs/GMD-1808-37.pdf#page=7","Abrir facsímil")</f>
        <v>Abrir facsímil</v>
      </c>
      <c r="K3316" s="15" t="s">
        <v>23</v>
      </c>
    </row>
    <row r="3317" spans="1:11" ht="42" customHeight="1">
      <c r="A3317" s="4" t="s">
        <v>8588</v>
      </c>
      <c r="B3317" s="5" t="s">
        <v>8588</v>
      </c>
      <c r="C3317" s="5" t="s">
        <v>94</v>
      </c>
      <c r="D3317" s="5" t="s">
        <v>95</v>
      </c>
      <c r="E3317" s="5" t="s">
        <v>35</v>
      </c>
      <c r="F3317" s="9" t="s">
        <v>36</v>
      </c>
      <c r="G3317" s="9" t="s">
        <v>322</v>
      </c>
      <c r="H3317" s="5" t="s">
        <v>21</v>
      </c>
      <c r="I3317" s="5" t="s">
        <v>8590</v>
      </c>
      <c r="J3317" s="12" t="str">
        <f>HYPERLINK("https://www.boe.es/gazeta/dias/1808/04/22/pdfs/GMD-C-1808-38.pdf#page=15","Abrir facsímil")</f>
        <v>Abrir facsímil</v>
      </c>
      <c r="K3317" s="15" t="s">
        <v>23</v>
      </c>
    </row>
    <row r="3318" spans="1:11" ht="42" customHeight="1">
      <c r="A3318" s="4" t="s">
        <v>8591</v>
      </c>
      <c r="B3318" s="5" t="s">
        <v>8592</v>
      </c>
      <c r="C3318" s="5" t="s">
        <v>26</v>
      </c>
      <c r="D3318" s="5" t="s">
        <v>27</v>
      </c>
      <c r="E3318" s="5" t="s">
        <v>508</v>
      </c>
      <c r="F3318" s="9" t="s">
        <v>5993</v>
      </c>
      <c r="G3318" s="9">
        <v>182</v>
      </c>
      <c r="H3318" s="5" t="s">
        <v>21</v>
      </c>
      <c r="I3318" s="5" t="s">
        <v>8593</v>
      </c>
      <c r="J3318" s="12" t="str">
        <f>HYPERLINK("https://www.boe.es/gazeta/dias/1808/08/16/pdfs/GMS-1808-23.pdf#page=6","Abrir facsímil")</f>
        <v>Abrir facsímil</v>
      </c>
      <c r="K3318" s="15" t="s">
        <v>23</v>
      </c>
    </row>
    <row r="3319" spans="1:11" ht="42" customHeight="1">
      <c r="A3319" s="4" t="s">
        <v>8594</v>
      </c>
      <c r="B3319" s="5" t="s">
        <v>8595</v>
      </c>
      <c r="C3319" s="5" t="s">
        <v>17</v>
      </c>
      <c r="D3319" s="5" t="s">
        <v>18</v>
      </c>
      <c r="E3319" s="5" t="s">
        <v>157</v>
      </c>
      <c r="F3319" s="9" t="s">
        <v>158</v>
      </c>
      <c r="G3319" s="9">
        <v>43</v>
      </c>
      <c r="H3319" s="5" t="s">
        <v>21</v>
      </c>
      <c r="I3319" s="5" t="s">
        <v>8596</v>
      </c>
      <c r="J3319" s="12" t="str">
        <f>HYPERLINK("https://www.boe.es/gazeta/dias/1808/06/18/pdfs/GMS-1808-6.pdf#page=3","Abrir facsímil")</f>
        <v>Abrir facsímil</v>
      </c>
      <c r="K3319" s="15" t="s">
        <v>23</v>
      </c>
    </row>
    <row r="3320" spans="1:11" ht="42" customHeight="1">
      <c r="A3320" s="4" t="s">
        <v>8597</v>
      </c>
      <c r="B3320" s="5" t="s">
        <v>8598</v>
      </c>
      <c r="C3320" s="5" t="s">
        <v>389</v>
      </c>
      <c r="D3320" s="5" t="s">
        <v>390</v>
      </c>
      <c r="E3320" s="5" t="s">
        <v>2204</v>
      </c>
      <c r="F3320" s="9" t="s">
        <v>2205</v>
      </c>
      <c r="G3320" s="9">
        <v>67</v>
      </c>
      <c r="H3320" s="5" t="s">
        <v>21</v>
      </c>
      <c r="I3320" s="5" t="s">
        <v>8599</v>
      </c>
      <c r="J3320" s="12" t="str">
        <f>HYPERLINK("https://www.boe.es/gazeta/dias/1808/06/29/pdfs/GMS-1808-9.pdf#page=3","Abrir facsímil")</f>
        <v>Abrir facsímil</v>
      </c>
      <c r="K3320" s="15" t="s">
        <v>23</v>
      </c>
    </row>
    <row r="3321" spans="1:11" ht="42" customHeight="1">
      <c r="A3321" s="4" t="s">
        <v>8600</v>
      </c>
      <c r="B3321" s="5" t="s">
        <v>8601</v>
      </c>
      <c r="C3321" s="5" t="s">
        <v>17</v>
      </c>
      <c r="D3321" s="5" t="s">
        <v>18</v>
      </c>
      <c r="E3321" s="5" t="s">
        <v>2856</v>
      </c>
      <c r="F3321" s="9" t="s">
        <v>2857</v>
      </c>
      <c r="G3321" s="9">
        <v>148</v>
      </c>
      <c r="H3321" s="5" t="s">
        <v>21</v>
      </c>
      <c r="I3321" s="5" t="s">
        <v>8602</v>
      </c>
      <c r="J3321" s="12" t="str">
        <f>HYPERLINK("https://www.boe.es/gazeta/dias/1808/08/03/pdfs/GMS-1808-19.pdf#page=4","Abrir facsímil")</f>
        <v>Abrir facsímil</v>
      </c>
      <c r="K3321" s="15" t="s">
        <v>23</v>
      </c>
    </row>
    <row r="3322" spans="1:11" ht="42" customHeight="1">
      <c r="A3322" s="4" t="s">
        <v>8603</v>
      </c>
      <c r="B3322" s="5" t="s">
        <v>8604</v>
      </c>
      <c r="C3322" s="5" t="s">
        <v>17</v>
      </c>
      <c r="D3322" s="5" t="s">
        <v>18</v>
      </c>
      <c r="E3322" s="5" t="s">
        <v>157</v>
      </c>
      <c r="F3322" s="9" t="s">
        <v>158</v>
      </c>
      <c r="G3322" s="9">
        <v>46</v>
      </c>
      <c r="H3322" s="5" t="s">
        <v>21</v>
      </c>
      <c r="I3322" s="5" t="s">
        <v>8605</v>
      </c>
      <c r="J3322" s="12" t="str">
        <f>HYPERLINK("https://www.boe.es/gazeta/dias/1808/06/18/pdfs/GMS-1808-6.pdf#page=6","Abrir facsímil")</f>
        <v>Abrir facsímil</v>
      </c>
      <c r="K3322" s="15" t="s">
        <v>23</v>
      </c>
    </row>
    <row r="3323" spans="1:11" ht="42" customHeight="1">
      <c r="A3323" s="4" t="s">
        <v>8606</v>
      </c>
      <c r="B3323" s="5" t="s">
        <v>8607</v>
      </c>
      <c r="C3323" s="5" t="s">
        <v>17</v>
      </c>
      <c r="D3323" s="5" t="s">
        <v>18</v>
      </c>
      <c r="E3323" s="5" t="s">
        <v>1791</v>
      </c>
      <c r="F3323" s="9" t="s">
        <v>1792</v>
      </c>
      <c r="G3323" s="9">
        <v>143</v>
      </c>
      <c r="H3323" s="5" t="s">
        <v>21</v>
      </c>
      <c r="I3323" s="5" t="s">
        <v>8608</v>
      </c>
      <c r="J3323" s="12" t="str">
        <f>HYPERLINK("https://www.boe.es/gazeta/dias/1808/07/30/pdfs/GMS-1808-18.pdf#page=7","Abrir facsímil")</f>
        <v>Abrir facsímil</v>
      </c>
      <c r="K3323" s="15" t="s">
        <v>23</v>
      </c>
    </row>
    <row r="3324" spans="1:11" ht="42" customHeight="1">
      <c r="A3324" s="4" t="s">
        <v>8609</v>
      </c>
      <c r="B3324" s="5" t="s">
        <v>8610</v>
      </c>
      <c r="C3324" s="5" t="s">
        <v>17</v>
      </c>
      <c r="D3324" s="5" t="s">
        <v>18</v>
      </c>
      <c r="E3324" s="5" t="s">
        <v>1821</v>
      </c>
      <c r="F3324" s="9" t="s">
        <v>1822</v>
      </c>
      <c r="G3324" s="9">
        <v>51</v>
      </c>
      <c r="H3324" s="5" t="s">
        <v>21</v>
      </c>
      <c r="I3324" s="5" t="s">
        <v>8611</v>
      </c>
      <c r="J3324" s="12" t="str">
        <f>HYPERLINK("https://www.boe.es/gazeta/dias/1808/06/22/pdfs/GMS-1808-7.pdf#page=3","Abrir facsímil")</f>
        <v>Abrir facsímil</v>
      </c>
      <c r="K3324" s="15" t="s">
        <v>23</v>
      </c>
    </row>
    <row r="3325" spans="1:11" ht="42" customHeight="1">
      <c r="A3325" s="4" t="s">
        <v>8612</v>
      </c>
      <c r="B3325" s="5" t="s">
        <v>8612</v>
      </c>
      <c r="C3325" s="5" t="s">
        <v>101</v>
      </c>
      <c r="D3325" s="5" t="s">
        <v>102</v>
      </c>
      <c r="E3325" s="5" t="s">
        <v>456</v>
      </c>
      <c r="F3325" s="9" t="s">
        <v>457</v>
      </c>
      <c r="G3325" s="9">
        <v>1290</v>
      </c>
      <c r="H3325" s="5" t="s">
        <v>21</v>
      </c>
      <c r="I3325" s="5" t="s">
        <v>8613</v>
      </c>
      <c r="J3325" s="12" t="str">
        <f>HYPERLINK("https://www.boe.es/gazeta/dias/1808/10/14/pdfs/GMD-1808-134.pdf#page=2","Abrir facsímil")</f>
        <v>Abrir facsímil</v>
      </c>
      <c r="K3325" s="15" t="s">
        <v>23</v>
      </c>
    </row>
    <row r="3326" spans="1:11" ht="42" customHeight="1">
      <c r="A3326" s="4" t="s">
        <v>8612</v>
      </c>
      <c r="B3326" s="5" t="s">
        <v>8612</v>
      </c>
      <c r="C3326" s="5" t="s">
        <v>101</v>
      </c>
      <c r="D3326" s="5" t="s">
        <v>102</v>
      </c>
      <c r="E3326" s="5" t="s">
        <v>456</v>
      </c>
      <c r="F3326" s="9" t="s">
        <v>457</v>
      </c>
      <c r="G3326" s="9">
        <v>1291</v>
      </c>
      <c r="H3326" s="5" t="s">
        <v>21</v>
      </c>
      <c r="I3326" s="5" t="s">
        <v>8614</v>
      </c>
      <c r="J3326" s="12" t="str">
        <f>HYPERLINK("https://www.boe.es/gazeta/dias/1808/10/14/pdfs/GMD-1808-134.pdf#page=3","Abrir facsímil")</f>
        <v>Abrir facsímil</v>
      </c>
      <c r="K3326" s="15" t="s">
        <v>23</v>
      </c>
    </row>
    <row r="3327" spans="1:11" ht="42" customHeight="1">
      <c r="A3327" s="4" t="s">
        <v>8615</v>
      </c>
      <c r="B3327" s="5" t="s">
        <v>8615</v>
      </c>
      <c r="C3327" s="5" t="s">
        <v>94</v>
      </c>
      <c r="D3327" s="5" t="s">
        <v>95</v>
      </c>
      <c r="E3327" s="5" t="s">
        <v>1472</v>
      </c>
      <c r="F3327" s="9" t="s">
        <v>1473</v>
      </c>
      <c r="G3327" s="9">
        <v>92</v>
      </c>
      <c r="H3327" s="5" t="s">
        <v>21</v>
      </c>
      <c r="I3327" s="5" t="s">
        <v>8616</v>
      </c>
      <c r="J3327" s="12" t="str">
        <f>HYPERLINK("https://www.boe.es/gazeta/dias/1808/01/26/pdfs/GMD-1808-8.pdf#page=8","Abrir facsímil")</f>
        <v>Abrir facsímil</v>
      </c>
      <c r="K3327" s="15" t="s">
        <v>23</v>
      </c>
    </row>
    <row r="3328" spans="1:11" ht="42" customHeight="1">
      <c r="A3328" s="4" t="s">
        <v>8617</v>
      </c>
      <c r="B3328" s="5" t="s">
        <v>8617</v>
      </c>
      <c r="C3328" s="5" t="s">
        <v>17</v>
      </c>
      <c r="D3328" s="5" t="s">
        <v>18</v>
      </c>
      <c r="E3328" s="5" t="s">
        <v>1286</v>
      </c>
      <c r="F3328" s="9" t="s">
        <v>1287</v>
      </c>
      <c r="G3328" s="9">
        <v>1624</v>
      </c>
      <c r="H3328" s="5" t="s">
        <v>21</v>
      </c>
      <c r="I3328" s="5" t="s">
        <v>8618</v>
      </c>
      <c r="J3328" s="12" t="str">
        <f>HYPERLINK("https://www.boe.es/gazeta/dias/1808/12/17/pdfs/GMD-1808-157.pdf#page=4","Abrir facsímil")</f>
        <v>Abrir facsímil</v>
      </c>
      <c r="K3328" s="15" t="s">
        <v>23</v>
      </c>
    </row>
    <row r="3329" spans="1:11" ht="42" customHeight="1">
      <c r="A3329" s="4" t="s">
        <v>8619</v>
      </c>
      <c r="B3329" s="5" t="s">
        <v>8619</v>
      </c>
      <c r="C3329" s="5" t="s">
        <v>17</v>
      </c>
      <c r="D3329" s="5" t="s">
        <v>18</v>
      </c>
      <c r="E3329" s="5" t="s">
        <v>1791</v>
      </c>
      <c r="F3329" s="9" t="s">
        <v>1792</v>
      </c>
      <c r="G3329" s="9">
        <v>143</v>
      </c>
      <c r="H3329" s="5" t="s">
        <v>21</v>
      </c>
      <c r="I3329" s="5" t="s">
        <v>8620</v>
      </c>
      <c r="J3329" s="12" t="str">
        <f>HYPERLINK("https://www.boe.es/gazeta/dias/1808/07/30/pdfs/GMS-1808-18.pdf#page=7","Abrir facsímil")</f>
        <v>Abrir facsímil</v>
      </c>
      <c r="K3329" s="15" t="s">
        <v>23</v>
      </c>
    </row>
    <row r="3330" spans="1:11" ht="42" customHeight="1">
      <c r="A3330" s="4" t="s">
        <v>8621</v>
      </c>
      <c r="B3330" s="5" t="s">
        <v>8621</v>
      </c>
      <c r="C3330" s="5" t="s">
        <v>17</v>
      </c>
      <c r="D3330" s="5" t="s">
        <v>18</v>
      </c>
      <c r="E3330" s="5" t="s">
        <v>51</v>
      </c>
      <c r="F3330" s="9" t="s">
        <v>52</v>
      </c>
      <c r="G3330" s="9">
        <v>995</v>
      </c>
      <c r="H3330" s="5" t="s">
        <v>21</v>
      </c>
      <c r="I3330" s="5" t="s">
        <v>8622</v>
      </c>
      <c r="J3330" s="12" t="str">
        <f>HYPERLINK("https://www.boe.es/gazeta/dias/1808/08/09/pdfs/GMD-1808-111.pdf#page=11","Abrir facsímil")</f>
        <v>Abrir facsímil</v>
      </c>
      <c r="K3330" s="15" t="s">
        <v>23</v>
      </c>
    </row>
    <row r="3331" spans="1:11" ht="42" customHeight="1">
      <c r="A3331" s="4" t="s">
        <v>8623</v>
      </c>
      <c r="B3331" s="5" t="s">
        <v>8623</v>
      </c>
      <c r="C3331" s="5" t="s">
        <v>389</v>
      </c>
      <c r="D3331" s="5" t="s">
        <v>390</v>
      </c>
      <c r="E3331" s="5" t="s">
        <v>228</v>
      </c>
      <c r="F3331" s="9" t="s">
        <v>229</v>
      </c>
      <c r="G3331" s="9">
        <v>831</v>
      </c>
      <c r="H3331" s="5" t="s">
        <v>21</v>
      </c>
      <c r="I3331" s="5" t="s">
        <v>8624</v>
      </c>
      <c r="J3331" s="12" t="str">
        <f>HYPERLINK("https://www.boe.es/gazeta/dias/1808/07/18/pdfs/GMD-1808-90.pdf#page=1","Abrir facsímil")</f>
        <v>Abrir facsímil</v>
      </c>
      <c r="K3331" s="15" t="s">
        <v>23</v>
      </c>
    </row>
    <row r="3332" spans="1:11" ht="42" customHeight="1">
      <c r="A3332" s="4" t="s">
        <v>8625</v>
      </c>
      <c r="B3332" s="5" t="s">
        <v>8625</v>
      </c>
      <c r="C3332" s="5" t="s">
        <v>17</v>
      </c>
      <c r="D3332" s="5" t="s">
        <v>18</v>
      </c>
      <c r="E3332" s="5" t="s">
        <v>363</v>
      </c>
      <c r="F3332" s="9" t="s">
        <v>3718</v>
      </c>
      <c r="G3332" s="9">
        <v>263</v>
      </c>
      <c r="H3332" s="5" t="s">
        <v>21</v>
      </c>
      <c r="I3332" s="5" t="s">
        <v>8626</v>
      </c>
      <c r="J3332" s="12" t="str">
        <f>HYPERLINK("https://www.boe.es/gazeta/dias/1808/09/20/pdfs/GMS-1808-33.pdf#page=7","Abrir facsímil")</f>
        <v>Abrir facsímil</v>
      </c>
      <c r="K3332" s="15" t="s">
        <v>23</v>
      </c>
    </row>
    <row r="3333" spans="1:11" ht="42" customHeight="1">
      <c r="A3333" s="4" t="s">
        <v>8627</v>
      </c>
      <c r="B3333" s="5" t="s">
        <v>8627</v>
      </c>
      <c r="C3333" s="5" t="s">
        <v>101</v>
      </c>
      <c r="D3333" s="5" t="s">
        <v>102</v>
      </c>
      <c r="E3333" s="5" t="s">
        <v>456</v>
      </c>
      <c r="F3333" s="9" t="s">
        <v>457</v>
      </c>
      <c r="G3333" s="9">
        <v>1290</v>
      </c>
      <c r="H3333" s="5" t="s">
        <v>21</v>
      </c>
      <c r="I3333" s="5" t="s">
        <v>8613</v>
      </c>
      <c r="J3333" s="12" t="str">
        <f>HYPERLINK("https://www.boe.es/gazeta/dias/1808/10/14/pdfs/GMD-1808-134.pdf#page=2","Abrir facsímil")</f>
        <v>Abrir facsímil</v>
      </c>
      <c r="K3333" s="15" t="s">
        <v>23</v>
      </c>
    </row>
    <row r="3334" spans="1:11" ht="42" customHeight="1">
      <c r="A3334" s="4" t="s">
        <v>8627</v>
      </c>
      <c r="B3334" s="5" t="s">
        <v>8627</v>
      </c>
      <c r="C3334" s="5" t="s">
        <v>101</v>
      </c>
      <c r="D3334" s="5" t="s">
        <v>102</v>
      </c>
      <c r="E3334" s="5" t="s">
        <v>456</v>
      </c>
      <c r="F3334" s="9" t="s">
        <v>457</v>
      </c>
      <c r="G3334" s="9">
        <v>1291</v>
      </c>
      <c r="H3334" s="5" t="s">
        <v>21</v>
      </c>
      <c r="I3334" s="5" t="s">
        <v>8614</v>
      </c>
      <c r="J3334" s="12" t="str">
        <f>HYPERLINK("https://www.boe.es/gazeta/dias/1808/10/14/pdfs/GMD-1808-134.pdf#page=3","Abrir facsímil")</f>
        <v>Abrir facsímil</v>
      </c>
      <c r="K3334" s="15" t="s">
        <v>23</v>
      </c>
    </row>
    <row r="3335" spans="1:11" ht="42" customHeight="1">
      <c r="A3335" s="4" t="s">
        <v>8628</v>
      </c>
      <c r="B3335" s="5" t="s">
        <v>8628</v>
      </c>
      <c r="C3335" s="5" t="s">
        <v>17</v>
      </c>
      <c r="D3335" s="5" t="s">
        <v>18</v>
      </c>
      <c r="E3335" s="5" t="s">
        <v>363</v>
      </c>
      <c r="F3335" s="9" t="s">
        <v>3718</v>
      </c>
      <c r="G3335" s="9">
        <v>258</v>
      </c>
      <c r="H3335" s="5" t="s">
        <v>21</v>
      </c>
      <c r="I3335" s="5" t="s">
        <v>8629</v>
      </c>
      <c r="J3335" s="12" t="str">
        <f>HYPERLINK("https://www.boe.es/gazeta/dias/1808/09/20/pdfs/GMS-1808-33.pdf#page=2","Abrir facsímil")</f>
        <v>Abrir facsímil</v>
      </c>
      <c r="K3335" s="15" t="s">
        <v>23</v>
      </c>
    </row>
    <row r="3336" spans="1:11" ht="42" customHeight="1">
      <c r="A3336" s="4" t="s">
        <v>8630</v>
      </c>
      <c r="B3336" s="5" t="s">
        <v>8630</v>
      </c>
      <c r="C3336" s="5" t="s">
        <v>17</v>
      </c>
      <c r="D3336" s="5" t="s">
        <v>18</v>
      </c>
      <c r="E3336" s="5" t="s">
        <v>2856</v>
      </c>
      <c r="F3336" s="9" t="s">
        <v>2857</v>
      </c>
      <c r="G3336" s="9">
        <v>150</v>
      </c>
      <c r="H3336" s="5" t="s">
        <v>21</v>
      </c>
      <c r="I3336" s="5" t="s">
        <v>8631</v>
      </c>
      <c r="J3336" s="12" t="str">
        <f>HYPERLINK("https://www.boe.es/gazeta/dias/1808/08/03/pdfs/GMS-1808-19.pdf#page=6","Abrir facsímil")</f>
        <v>Abrir facsímil</v>
      </c>
      <c r="K3336" s="15" t="s">
        <v>23</v>
      </c>
    </row>
    <row r="3337" spans="1:11" ht="42" customHeight="1">
      <c r="A3337" s="4" t="s">
        <v>8632</v>
      </c>
      <c r="B3337" s="5" t="s">
        <v>8632</v>
      </c>
      <c r="C3337" s="5" t="s">
        <v>17</v>
      </c>
      <c r="D3337" s="5" t="s">
        <v>18</v>
      </c>
      <c r="E3337" s="5" t="s">
        <v>508</v>
      </c>
      <c r="F3337" s="9" t="s">
        <v>509</v>
      </c>
      <c r="G3337" s="9">
        <v>1015</v>
      </c>
      <c r="H3337" s="5" t="s">
        <v>21</v>
      </c>
      <c r="I3337" s="5" t="s">
        <v>8633</v>
      </c>
      <c r="J3337" s="12" t="str">
        <f>HYPERLINK("https://www.boe.es/gazeta/dias/1808/08/16/pdfs/GMD-1808-113.pdf#page=7","Abrir facsímil")</f>
        <v>Abrir facsímil</v>
      </c>
      <c r="K3337" s="15" t="s">
        <v>23</v>
      </c>
    </row>
    <row r="3338" spans="1:11" ht="42" customHeight="1">
      <c r="A3338" s="4" t="s">
        <v>8632</v>
      </c>
      <c r="B3338" s="5" t="s">
        <v>8632</v>
      </c>
      <c r="C3338" s="5" t="s">
        <v>17</v>
      </c>
      <c r="D3338" s="5" t="s">
        <v>18</v>
      </c>
      <c r="E3338" s="5" t="s">
        <v>1286</v>
      </c>
      <c r="F3338" s="9" t="s">
        <v>1287</v>
      </c>
      <c r="G3338" s="9">
        <v>1624</v>
      </c>
      <c r="H3338" s="5" t="s">
        <v>21</v>
      </c>
      <c r="I3338" s="5" t="s">
        <v>8634</v>
      </c>
      <c r="J3338" s="12" t="str">
        <f>HYPERLINK("https://www.boe.es/gazeta/dias/1808/12/17/pdfs/GMD-1808-157.pdf#page=4","Abrir facsímil")</f>
        <v>Abrir facsímil</v>
      </c>
      <c r="K3338" s="15" t="s">
        <v>23</v>
      </c>
    </row>
    <row r="3339" spans="1:11" ht="42" customHeight="1">
      <c r="A3339" s="4" t="s">
        <v>8635</v>
      </c>
      <c r="B3339" s="5" t="s">
        <v>8635</v>
      </c>
      <c r="C3339" s="5" t="s">
        <v>94</v>
      </c>
      <c r="D3339" s="5" t="s">
        <v>95</v>
      </c>
      <c r="E3339" s="5" t="s">
        <v>3361</v>
      </c>
      <c r="F3339" s="9" t="s">
        <v>3362</v>
      </c>
      <c r="G3339" s="9">
        <v>1639</v>
      </c>
      <c r="H3339" s="5" t="s">
        <v>21</v>
      </c>
      <c r="I3339" s="5" t="s">
        <v>8636</v>
      </c>
      <c r="J3339" s="12" t="str">
        <f>HYPERLINK("https://www.boe.es/gazeta/dias/1808/12/19/pdfs/GMD-1808-159.pdf#page=1","Abrir facsímil")</f>
        <v>Abrir facsímil</v>
      </c>
      <c r="K3339" s="15" t="s">
        <v>23</v>
      </c>
    </row>
    <row r="3340" spans="1:11" ht="42" customHeight="1">
      <c r="A3340" s="4" t="s">
        <v>8637</v>
      </c>
      <c r="B3340" s="5" t="s">
        <v>8637</v>
      </c>
      <c r="C3340" s="5" t="s">
        <v>101</v>
      </c>
      <c r="D3340" s="5" t="s">
        <v>102</v>
      </c>
      <c r="E3340" s="5" t="s">
        <v>1361</v>
      </c>
      <c r="F3340" s="9" t="s">
        <v>1362</v>
      </c>
      <c r="G3340" s="9">
        <v>465</v>
      </c>
      <c r="H3340" s="5" t="s">
        <v>21</v>
      </c>
      <c r="I3340" s="5" t="s">
        <v>8638</v>
      </c>
      <c r="J3340" s="12" t="str">
        <f>HYPERLINK("https://www.boe.es/gazeta/dias/1808/05/17/pdfs/GMD-1808-47.pdf#page=5","Abrir facsímil")</f>
        <v>Abrir facsímil</v>
      </c>
      <c r="K3340" s="15" t="s">
        <v>23</v>
      </c>
    </row>
    <row r="3341" spans="1:11" ht="42" customHeight="1">
      <c r="A3341" s="4" t="s">
        <v>8639</v>
      </c>
      <c r="B3341" s="5" t="s">
        <v>8639</v>
      </c>
      <c r="C3341" s="5" t="s">
        <v>94</v>
      </c>
      <c r="D3341" s="5" t="s">
        <v>95</v>
      </c>
      <c r="E3341" s="5" t="s">
        <v>54</v>
      </c>
      <c r="F3341" s="9" t="s">
        <v>55</v>
      </c>
      <c r="G3341" s="9">
        <v>1083</v>
      </c>
      <c r="H3341" s="5" t="s">
        <v>21</v>
      </c>
      <c r="I3341" s="5" t="s">
        <v>8640</v>
      </c>
      <c r="J3341" s="12" t="str">
        <f>HYPERLINK("https://www.boe.es/gazeta/dias/1808/08/26/pdfs/GMD-1808-117.pdf#page=5","Abrir facsímil")</f>
        <v>Abrir facsímil</v>
      </c>
      <c r="K3341" s="15" t="s">
        <v>23</v>
      </c>
    </row>
    <row r="3342" spans="1:11" ht="42" customHeight="1">
      <c r="A3342" s="4" t="s">
        <v>8641</v>
      </c>
      <c r="B3342" s="5" t="s">
        <v>8641</v>
      </c>
      <c r="C3342" s="5" t="s">
        <v>101</v>
      </c>
      <c r="D3342" s="5" t="s">
        <v>102</v>
      </c>
      <c r="E3342" s="5" t="s">
        <v>125</v>
      </c>
      <c r="F3342" s="9" t="s">
        <v>397</v>
      </c>
      <c r="G3342" s="9">
        <v>1262</v>
      </c>
      <c r="H3342" s="5" t="s">
        <v>21</v>
      </c>
      <c r="I3342" s="5" t="s">
        <v>8642</v>
      </c>
      <c r="J3342" s="12" t="str">
        <f>HYPERLINK("https://www.boe.es/gazeta/dias/1808/10/07/pdfs/GMD-1808-132.pdf#page=2","Abrir facsímil")</f>
        <v>Abrir facsímil</v>
      </c>
      <c r="K3342" s="15" t="s">
        <v>23</v>
      </c>
    </row>
    <row r="3343" spans="1:11" ht="42" customHeight="1">
      <c r="A3343" s="4" t="s">
        <v>8643</v>
      </c>
      <c r="B3343" s="5" t="s">
        <v>8643</v>
      </c>
      <c r="C3343" s="5" t="s">
        <v>389</v>
      </c>
      <c r="D3343" s="5" t="s">
        <v>390</v>
      </c>
      <c r="E3343" s="5" t="s">
        <v>19</v>
      </c>
      <c r="F3343" s="9" t="s">
        <v>59</v>
      </c>
      <c r="G3343" s="9">
        <v>1232</v>
      </c>
      <c r="H3343" s="5" t="s">
        <v>21</v>
      </c>
      <c r="I3343" s="5" t="s">
        <v>8644</v>
      </c>
      <c r="J3343" s="12" t="str">
        <f>HYPERLINK("https://www.boe.es/gazeta/dias/1808/09/30/pdfs/GMD-1808-130.pdf#page=12","Abrir facsímil")</f>
        <v>Abrir facsímil</v>
      </c>
      <c r="K3343" s="15" t="s">
        <v>23</v>
      </c>
    </row>
    <row r="3344" spans="1:11" ht="42" customHeight="1">
      <c r="A3344" s="4" t="s">
        <v>8643</v>
      </c>
      <c r="B3344" s="5" t="s">
        <v>8643</v>
      </c>
      <c r="C3344" s="5" t="s">
        <v>17</v>
      </c>
      <c r="D3344" s="5" t="s">
        <v>18</v>
      </c>
      <c r="E3344" s="5" t="s">
        <v>1286</v>
      </c>
      <c r="F3344" s="9" t="s">
        <v>1287</v>
      </c>
      <c r="G3344" s="9">
        <v>1624</v>
      </c>
      <c r="H3344" s="5" t="s">
        <v>21</v>
      </c>
      <c r="I3344" s="5" t="s">
        <v>8634</v>
      </c>
      <c r="J3344" s="12" t="str">
        <f>HYPERLINK("https://www.boe.es/gazeta/dias/1808/12/17/pdfs/GMD-1808-157.pdf#page=4","Abrir facsímil")</f>
        <v>Abrir facsímil</v>
      </c>
      <c r="K3344" s="15" t="s">
        <v>23</v>
      </c>
    </row>
    <row r="3345" spans="1:11" ht="42" customHeight="1">
      <c r="A3345" s="4" t="s">
        <v>8645</v>
      </c>
      <c r="B3345" s="5" t="s">
        <v>8645</v>
      </c>
      <c r="C3345" s="5" t="s">
        <v>33</v>
      </c>
      <c r="D3345" s="5" t="s">
        <v>34</v>
      </c>
      <c r="E3345" s="5" t="s">
        <v>616</v>
      </c>
      <c r="F3345" s="9" t="s">
        <v>4334</v>
      </c>
      <c r="G3345" s="9">
        <v>1053</v>
      </c>
      <c r="H3345" s="5" t="s">
        <v>21</v>
      </c>
      <c r="I3345" s="5" t="s">
        <v>8646</v>
      </c>
      <c r="J3345" s="12" t="str">
        <f>HYPERLINK("https://www.boe.es/gazeta/dias/1808/08/19/pdfs/GMD-C-1808-115.pdf#page=7","Abrir facsímil")</f>
        <v>Abrir facsímil</v>
      </c>
      <c r="K3345" s="15" t="s">
        <v>23</v>
      </c>
    </row>
    <row r="3346" spans="1:11" ht="42" customHeight="1">
      <c r="A3346" s="4" t="s">
        <v>8647</v>
      </c>
      <c r="B3346" s="5" t="s">
        <v>8647</v>
      </c>
      <c r="C3346" s="5" t="s">
        <v>17</v>
      </c>
      <c r="D3346" s="5" t="s">
        <v>18</v>
      </c>
      <c r="E3346" s="5" t="s">
        <v>1351</v>
      </c>
      <c r="F3346" s="9" t="s">
        <v>1352</v>
      </c>
      <c r="G3346" s="9">
        <v>1658</v>
      </c>
      <c r="H3346" s="5" t="s">
        <v>21</v>
      </c>
      <c r="I3346" s="5" t="s">
        <v>8648</v>
      </c>
      <c r="J3346" s="12" t="str">
        <f>HYPERLINK("https://www.boe.es/gazeta/dias/1808/12/22/pdfs/GMD-1808-162.pdf#page=4","Abrir facsímil")</f>
        <v>Abrir facsímil</v>
      </c>
      <c r="K3346" s="15" t="s">
        <v>23</v>
      </c>
    </row>
    <row r="3347" spans="1:11" ht="42" customHeight="1">
      <c r="A3347" s="4" t="s">
        <v>8649</v>
      </c>
      <c r="B3347" s="5" t="s">
        <v>8649</v>
      </c>
      <c r="C3347" s="5" t="s">
        <v>17</v>
      </c>
      <c r="D3347" s="5" t="s">
        <v>18</v>
      </c>
      <c r="E3347" s="5" t="s">
        <v>1286</v>
      </c>
      <c r="F3347" s="9" t="s">
        <v>1287</v>
      </c>
      <c r="G3347" s="9">
        <v>1627</v>
      </c>
      <c r="H3347" s="5" t="s">
        <v>21</v>
      </c>
      <c r="I3347" s="5" t="s">
        <v>8650</v>
      </c>
      <c r="J3347" s="12" t="str">
        <f>HYPERLINK("https://www.boe.es/gazeta/dias/1808/12/17/pdfs/GMD-1808-157.pdf#page=7","Abrir facsímil")</f>
        <v>Abrir facsímil</v>
      </c>
      <c r="K3347" s="15" t="s">
        <v>23</v>
      </c>
    </row>
    <row r="3348" spans="1:11" ht="42" customHeight="1">
      <c r="A3348" s="4" t="s">
        <v>8651</v>
      </c>
      <c r="B3348" s="5" t="s">
        <v>8651</v>
      </c>
      <c r="C3348" s="5" t="s">
        <v>94</v>
      </c>
      <c r="D3348" s="5" t="s">
        <v>95</v>
      </c>
      <c r="E3348" s="5" t="s">
        <v>2603</v>
      </c>
      <c r="F3348" s="9" t="s">
        <v>2604</v>
      </c>
      <c r="G3348" s="9">
        <v>664</v>
      </c>
      <c r="H3348" s="5" t="s">
        <v>21</v>
      </c>
      <c r="I3348" s="5" t="s">
        <v>8652</v>
      </c>
      <c r="J3348" s="12" t="str">
        <f>HYPERLINK("https://www.boe.es/gazeta/dias/1808/06/27/pdfs/GMD-1808-69.pdf#page=2","Abrir facsímil")</f>
        <v>Abrir facsímil</v>
      </c>
      <c r="K3348" s="15" t="s">
        <v>23</v>
      </c>
    </row>
    <row r="3349" spans="1:11" ht="42" customHeight="1">
      <c r="A3349" s="4" t="s">
        <v>8653</v>
      </c>
      <c r="B3349" s="5" t="s">
        <v>8653</v>
      </c>
      <c r="C3349" s="5" t="s">
        <v>101</v>
      </c>
      <c r="D3349" s="5" t="s">
        <v>102</v>
      </c>
      <c r="E3349" s="5" t="s">
        <v>1361</v>
      </c>
      <c r="F3349" s="9" t="s">
        <v>1362</v>
      </c>
      <c r="G3349" s="9">
        <v>465</v>
      </c>
      <c r="H3349" s="5" t="s">
        <v>21</v>
      </c>
      <c r="I3349" s="5" t="s">
        <v>8638</v>
      </c>
      <c r="J3349" s="12" t="str">
        <f>HYPERLINK("https://www.boe.es/gazeta/dias/1808/05/17/pdfs/GMD-1808-47.pdf#page=5","Abrir facsímil")</f>
        <v>Abrir facsímil</v>
      </c>
      <c r="K3349" s="15" t="s">
        <v>23</v>
      </c>
    </row>
    <row r="3350" spans="1:11" ht="42" customHeight="1">
      <c r="A3350" s="4" t="s">
        <v>8654</v>
      </c>
      <c r="B3350" s="5" t="s">
        <v>8654</v>
      </c>
      <c r="C3350" s="5" t="s">
        <v>17</v>
      </c>
      <c r="D3350" s="5" t="s">
        <v>18</v>
      </c>
      <c r="E3350" s="5" t="s">
        <v>1182</v>
      </c>
      <c r="F3350" s="9" t="s">
        <v>1197</v>
      </c>
      <c r="G3350" s="9">
        <v>661</v>
      </c>
      <c r="H3350" s="5" t="s">
        <v>21</v>
      </c>
      <c r="I3350" s="5" t="s">
        <v>8655</v>
      </c>
      <c r="J3350" s="12" t="str">
        <f>HYPERLINK("https://www.boe.es/gazeta/dias/1808/06/26/pdfs/GMD-1808-68.pdf#page=7","Abrir facsímil")</f>
        <v>Abrir facsímil</v>
      </c>
      <c r="K3350" s="15" t="s">
        <v>23</v>
      </c>
    </row>
    <row r="3351" spans="1:11" ht="42" customHeight="1">
      <c r="A3351" s="4" t="s">
        <v>8656</v>
      </c>
      <c r="B3351" s="5" t="s">
        <v>8656</v>
      </c>
      <c r="C3351" s="5" t="s">
        <v>17</v>
      </c>
      <c r="D3351" s="5" t="s">
        <v>18</v>
      </c>
      <c r="E3351" s="5" t="s">
        <v>203</v>
      </c>
      <c r="F3351" s="9" t="s">
        <v>204</v>
      </c>
      <c r="G3351" s="9">
        <v>140</v>
      </c>
      <c r="H3351" s="5" t="s">
        <v>21</v>
      </c>
      <c r="I3351" s="5" t="s">
        <v>8657</v>
      </c>
      <c r="J3351" s="12" t="str">
        <f>HYPERLINK("https://www.boe.es/gazeta/dias/1808/02/09/pdfs/GMD-1808-12.pdf#page=8","Abrir facsímil")</f>
        <v>Abrir facsímil</v>
      </c>
      <c r="K3351" s="15" t="s">
        <v>23</v>
      </c>
    </row>
    <row r="3352" spans="1:11" ht="42" customHeight="1">
      <c r="A3352" s="4" t="s">
        <v>8658</v>
      </c>
      <c r="B3352" s="5" t="s">
        <v>8658</v>
      </c>
      <c r="C3352" s="5" t="s">
        <v>41</v>
      </c>
      <c r="D3352" s="5" t="s">
        <v>42</v>
      </c>
      <c r="E3352" s="5" t="s">
        <v>287</v>
      </c>
      <c r="F3352" s="9" t="s">
        <v>288</v>
      </c>
      <c r="G3352" s="9">
        <v>175</v>
      </c>
      <c r="H3352" s="5" t="s">
        <v>21</v>
      </c>
      <c r="I3352" s="5" t="s">
        <v>8659</v>
      </c>
      <c r="J3352" s="12" t="str">
        <f>HYPERLINK("https://www.boe.es/gazeta/dias/1808/08/12/pdfs/GMS-1808-22.pdf#page=7","Abrir facsímil")</f>
        <v>Abrir facsímil</v>
      </c>
      <c r="K3352" s="15" t="s">
        <v>23</v>
      </c>
    </row>
    <row r="3353" spans="1:11" ht="42" customHeight="1">
      <c r="A3353" s="4" t="s">
        <v>8658</v>
      </c>
      <c r="B3353" s="5" t="s">
        <v>8658</v>
      </c>
      <c r="C3353" s="5" t="s">
        <v>33</v>
      </c>
      <c r="D3353" s="5" t="s">
        <v>34</v>
      </c>
      <c r="E3353" s="5" t="s">
        <v>508</v>
      </c>
      <c r="F3353" s="9" t="s">
        <v>1561</v>
      </c>
      <c r="G3353" s="9">
        <v>1028</v>
      </c>
      <c r="H3353" s="5" t="s">
        <v>21</v>
      </c>
      <c r="I3353" s="5" t="s">
        <v>8660</v>
      </c>
      <c r="J3353" s="12" t="str">
        <f>HYPERLINK("https://www.boe.es/gazeta/dias/1808/08/16/pdfs/GMD-C-1808-113.pdf#page=8","Abrir facsímil")</f>
        <v>Abrir facsímil</v>
      </c>
      <c r="K3353" s="15" t="s">
        <v>23</v>
      </c>
    </row>
    <row r="3354" spans="1:11" ht="42" customHeight="1">
      <c r="A3354" s="4" t="s">
        <v>8661</v>
      </c>
      <c r="B3354" s="5" t="s">
        <v>8661</v>
      </c>
      <c r="C3354" s="5" t="s">
        <v>17</v>
      </c>
      <c r="D3354" s="5" t="s">
        <v>18</v>
      </c>
      <c r="E3354" s="5" t="s">
        <v>153</v>
      </c>
      <c r="F3354" s="9" t="s">
        <v>1185</v>
      </c>
      <c r="G3354" s="9">
        <v>1148</v>
      </c>
      <c r="H3354" s="5" t="s">
        <v>21</v>
      </c>
      <c r="I3354" s="5" t="s">
        <v>8662</v>
      </c>
      <c r="J3354" s="12" t="str">
        <f>HYPERLINK("https://www.boe.es/gazeta/dias/1808/09/09/pdfs/GMD-1808-121.pdf#page=6","Abrir facsímil")</f>
        <v>Abrir facsímil</v>
      </c>
      <c r="K3354" s="15" t="s">
        <v>23</v>
      </c>
    </row>
    <row r="3355" spans="1:11" ht="42" customHeight="1">
      <c r="A3355" s="4" t="s">
        <v>8663</v>
      </c>
      <c r="B3355" s="5" t="s">
        <v>8663</v>
      </c>
      <c r="C3355" s="5" t="s">
        <v>94</v>
      </c>
      <c r="D3355" s="5" t="s">
        <v>95</v>
      </c>
      <c r="E3355" s="5" t="s">
        <v>125</v>
      </c>
      <c r="F3355" s="9" t="s">
        <v>397</v>
      </c>
      <c r="G3355" s="9">
        <v>1264</v>
      </c>
      <c r="H3355" s="5" t="s">
        <v>21</v>
      </c>
      <c r="I3355" s="5" t="s">
        <v>8664</v>
      </c>
      <c r="J3355" s="12" t="str">
        <f>HYPERLINK("https://www.boe.es/gazeta/dias/1808/10/07/pdfs/GMD-1808-132.pdf#page=4","Abrir facsímil")</f>
        <v>Abrir facsímil</v>
      </c>
      <c r="K3355" s="15" t="s">
        <v>23</v>
      </c>
    </row>
    <row r="3356" spans="1:11" ht="42" customHeight="1">
      <c r="A3356" s="4" t="s">
        <v>8665</v>
      </c>
      <c r="B3356" s="5" t="s">
        <v>8665</v>
      </c>
      <c r="C3356" s="5" t="s">
        <v>94</v>
      </c>
      <c r="D3356" s="5" t="s">
        <v>95</v>
      </c>
      <c r="E3356" s="5" t="s">
        <v>1286</v>
      </c>
      <c r="F3356" s="9" t="s">
        <v>1287</v>
      </c>
      <c r="G3356" s="9">
        <v>1626</v>
      </c>
      <c r="H3356" s="5" t="s">
        <v>21</v>
      </c>
      <c r="I3356" s="5" t="s">
        <v>8666</v>
      </c>
      <c r="J3356" s="12" t="str">
        <f>HYPERLINK("https://www.boe.es/gazeta/dias/1808/12/17/pdfs/GMD-1808-157.pdf#page=6","Abrir facsímil")</f>
        <v>Abrir facsímil</v>
      </c>
      <c r="K3356" s="15" t="s">
        <v>23</v>
      </c>
    </row>
    <row r="3357" spans="1:11" ht="42" customHeight="1">
      <c r="A3357" s="4" t="s">
        <v>8667</v>
      </c>
      <c r="B3357" s="5" t="s">
        <v>8667</v>
      </c>
      <c r="C3357" s="5" t="s">
        <v>17</v>
      </c>
      <c r="D3357" s="5" t="s">
        <v>18</v>
      </c>
      <c r="E3357" s="5" t="s">
        <v>363</v>
      </c>
      <c r="F3357" s="9" t="s">
        <v>3718</v>
      </c>
      <c r="G3357" s="9">
        <v>259</v>
      </c>
      <c r="H3357" s="5" t="s">
        <v>21</v>
      </c>
      <c r="I3357" s="5" t="s">
        <v>8668</v>
      </c>
      <c r="J3357" s="12" t="str">
        <f>HYPERLINK("https://www.boe.es/gazeta/dias/1808/09/20/pdfs/GMS-1808-33.pdf#page=3","Abrir facsímil")</f>
        <v>Abrir facsímil</v>
      </c>
      <c r="K3357" s="15" t="s">
        <v>23</v>
      </c>
    </row>
    <row r="3358" spans="1:11" ht="42" customHeight="1">
      <c r="A3358" s="4" t="s">
        <v>8669</v>
      </c>
      <c r="B3358" s="5" t="s">
        <v>8669</v>
      </c>
      <c r="C3358" s="5" t="s">
        <v>17</v>
      </c>
      <c r="D3358" s="5" t="s">
        <v>18</v>
      </c>
      <c r="E3358" s="5" t="s">
        <v>1371</v>
      </c>
      <c r="F3358" s="9" t="s">
        <v>1372</v>
      </c>
      <c r="G3358" s="9">
        <v>1668</v>
      </c>
      <c r="H3358" s="5" t="s">
        <v>21</v>
      </c>
      <c r="I3358" s="5" t="s">
        <v>8670</v>
      </c>
      <c r="J3358" s="12" t="str">
        <f>HYPERLINK("https://www.boe.es/gazeta/dias/1808/12/24/pdfs/GMD-1808-164.pdf#page=2","Abrir facsímil")</f>
        <v>Abrir facsímil</v>
      </c>
      <c r="K3358" s="15" t="s">
        <v>23</v>
      </c>
    </row>
    <row r="3359" spans="1:11" ht="42" customHeight="1">
      <c r="A3359" s="4" t="s">
        <v>8671</v>
      </c>
      <c r="B3359" s="5" t="s">
        <v>8671</v>
      </c>
      <c r="C3359" s="5" t="s">
        <v>33</v>
      </c>
      <c r="D3359" s="5" t="s">
        <v>34</v>
      </c>
      <c r="E3359" s="5" t="s">
        <v>616</v>
      </c>
      <c r="F3359" s="9" t="s">
        <v>4334</v>
      </c>
      <c r="G3359" s="9">
        <v>1053</v>
      </c>
      <c r="H3359" s="5" t="s">
        <v>21</v>
      </c>
      <c r="I3359" s="5" t="s">
        <v>8646</v>
      </c>
      <c r="J3359" s="12" t="str">
        <f>HYPERLINK("https://www.boe.es/gazeta/dias/1808/08/19/pdfs/GMD-C-1808-115.pdf#page=7","Abrir facsímil")</f>
        <v>Abrir facsímil</v>
      </c>
      <c r="K3359" s="15" t="s">
        <v>23</v>
      </c>
    </row>
    <row r="3360" spans="1:11" ht="42" customHeight="1">
      <c r="A3360" s="4" t="s">
        <v>8672</v>
      </c>
      <c r="B3360" s="5" t="s">
        <v>8672</v>
      </c>
      <c r="C3360" s="5" t="s">
        <v>17</v>
      </c>
      <c r="D3360" s="5" t="s">
        <v>18</v>
      </c>
      <c r="E3360" s="5" t="s">
        <v>1791</v>
      </c>
      <c r="F3360" s="9" t="s">
        <v>1792</v>
      </c>
      <c r="G3360" s="9">
        <v>143</v>
      </c>
      <c r="H3360" s="5" t="s">
        <v>21</v>
      </c>
      <c r="I3360" s="5" t="s">
        <v>8620</v>
      </c>
      <c r="J3360" s="12" t="str">
        <f>HYPERLINK("https://www.boe.es/gazeta/dias/1808/07/30/pdfs/GMS-1808-18.pdf#page=7","Abrir facsímil")</f>
        <v>Abrir facsímil</v>
      </c>
      <c r="K3360" s="15" t="s">
        <v>23</v>
      </c>
    </row>
    <row r="3361" spans="1:11" ht="42" customHeight="1">
      <c r="A3361" s="4" t="s">
        <v>8673</v>
      </c>
      <c r="B3361" s="5" t="s">
        <v>8673</v>
      </c>
      <c r="C3361" s="5" t="s">
        <v>17</v>
      </c>
      <c r="D3361" s="5" t="s">
        <v>18</v>
      </c>
      <c r="E3361" s="5" t="s">
        <v>51</v>
      </c>
      <c r="F3361" s="9" t="s">
        <v>52</v>
      </c>
      <c r="G3361" s="9">
        <v>995</v>
      </c>
      <c r="H3361" s="5" t="s">
        <v>21</v>
      </c>
      <c r="I3361" s="5" t="s">
        <v>8622</v>
      </c>
      <c r="J3361" s="12" t="str">
        <f>HYPERLINK("https://www.boe.es/gazeta/dias/1808/08/09/pdfs/GMD-1808-111.pdf#page=11","Abrir facsímil")</f>
        <v>Abrir facsímil</v>
      </c>
      <c r="K3361" s="15" t="s">
        <v>23</v>
      </c>
    </row>
    <row r="3362" spans="1:11" ht="42" customHeight="1">
      <c r="A3362" s="4" t="s">
        <v>8674</v>
      </c>
      <c r="B3362" s="5" t="s">
        <v>8674</v>
      </c>
      <c r="C3362" s="5" t="s">
        <v>33</v>
      </c>
      <c r="D3362" s="5" t="s">
        <v>34</v>
      </c>
      <c r="E3362" s="5" t="s">
        <v>6654</v>
      </c>
      <c r="F3362" s="9" t="s">
        <v>8675</v>
      </c>
      <c r="G3362" s="9">
        <v>1577</v>
      </c>
      <c r="H3362" s="5" t="s">
        <v>21</v>
      </c>
      <c r="I3362" s="5" t="s">
        <v>8676</v>
      </c>
      <c r="J3362" s="12" t="str">
        <f>HYPERLINK("https://www.boe.es/gazeta/dias/1808/12/12/pdfs/GMD-C-1808-152.pdf#page=1","Abrir facsímil")</f>
        <v>Abrir facsímil</v>
      </c>
      <c r="K3362" s="15" t="s">
        <v>23</v>
      </c>
    </row>
    <row r="3363" spans="1:11" ht="42" customHeight="1">
      <c r="A3363" s="4" t="s">
        <v>8677</v>
      </c>
      <c r="B3363" s="5" t="s">
        <v>8677</v>
      </c>
      <c r="C3363" s="5" t="s">
        <v>101</v>
      </c>
      <c r="D3363" s="5" t="s">
        <v>102</v>
      </c>
      <c r="E3363" s="5" t="s">
        <v>1154</v>
      </c>
      <c r="F3363" s="9" t="s">
        <v>1155</v>
      </c>
      <c r="G3363" s="9">
        <v>863</v>
      </c>
      <c r="H3363" s="5" t="s">
        <v>21</v>
      </c>
      <c r="I3363" s="5" t="s">
        <v>8678</v>
      </c>
      <c r="J3363" s="12" t="str">
        <f>HYPERLINK("https://www.boe.es/gazeta/dias/1808/07/22/pdfs/GMD-1808-94.pdf#page=1","Abrir facsímil")</f>
        <v>Abrir facsímil</v>
      </c>
      <c r="K3363" s="15" t="s">
        <v>23</v>
      </c>
    </row>
    <row r="3364" spans="1:11" ht="42" customHeight="1">
      <c r="A3364" s="4" t="s">
        <v>8677</v>
      </c>
      <c r="B3364" s="5" t="s">
        <v>8677</v>
      </c>
      <c r="C3364" s="5" t="s">
        <v>94</v>
      </c>
      <c r="D3364" s="5" t="s">
        <v>95</v>
      </c>
      <c r="E3364" s="5" t="s">
        <v>185</v>
      </c>
      <c r="F3364" s="9" t="s">
        <v>6822</v>
      </c>
      <c r="G3364" s="9">
        <v>211</v>
      </c>
      <c r="H3364" s="5" t="s">
        <v>21</v>
      </c>
      <c r="I3364" s="5" t="s">
        <v>8679</v>
      </c>
      <c r="J3364" s="12" t="str">
        <f>HYPERLINK("https://www.boe.es/gazeta/dias/1808/08/30/pdfs/GMS-1808-27.pdf#page=3","Abrir facsímil")</f>
        <v>Abrir facsímil</v>
      </c>
      <c r="K3364" s="15" t="s">
        <v>23</v>
      </c>
    </row>
    <row r="3365" spans="1:11" ht="42" customHeight="1">
      <c r="A3365" s="4" t="s">
        <v>8677</v>
      </c>
      <c r="B3365" s="5" t="s">
        <v>8677</v>
      </c>
      <c r="C3365" s="5" t="s">
        <v>17</v>
      </c>
      <c r="D3365" s="5" t="s">
        <v>18</v>
      </c>
      <c r="E3365" s="5" t="s">
        <v>3951</v>
      </c>
      <c r="F3365" s="9" t="s">
        <v>3952</v>
      </c>
      <c r="G3365" s="9">
        <v>1647</v>
      </c>
      <c r="H3365" s="5" t="s">
        <v>21</v>
      </c>
      <c r="I3365" s="5" t="s">
        <v>8680</v>
      </c>
      <c r="J3365" s="12" t="str">
        <f>HYPERLINK("https://www.boe.es/gazeta/dias/1808/12/20/pdfs/GMD-1808-160.pdf#page=5","Abrir facsímil")</f>
        <v>Abrir facsímil</v>
      </c>
      <c r="K3365" s="15" t="s">
        <v>23</v>
      </c>
    </row>
    <row r="3366" spans="1:11" ht="42" customHeight="1">
      <c r="A3366" s="4" t="s">
        <v>8681</v>
      </c>
      <c r="B3366" s="5" t="s">
        <v>8681</v>
      </c>
      <c r="C3366" s="5" t="s">
        <v>17</v>
      </c>
      <c r="D3366" s="5" t="s">
        <v>18</v>
      </c>
      <c r="E3366" s="5" t="s">
        <v>256</v>
      </c>
      <c r="F3366" s="9" t="s">
        <v>257</v>
      </c>
      <c r="G3366" s="9">
        <v>524</v>
      </c>
      <c r="H3366" s="5" t="s">
        <v>21</v>
      </c>
      <c r="I3366" s="5" t="s">
        <v>8682</v>
      </c>
      <c r="J3366" s="12" t="str">
        <f>HYPERLINK("https://www.boe.es/gazeta/dias/1808/06/03/pdfs/GMD-1808-53.pdf#page=2","Abrir facsímil")</f>
        <v>Abrir facsímil</v>
      </c>
      <c r="K3366" s="15" t="s">
        <v>23</v>
      </c>
    </row>
    <row r="3367" spans="1:11" ht="42" customHeight="1">
      <c r="A3367" s="4" t="s">
        <v>8683</v>
      </c>
      <c r="B3367" s="5" t="s">
        <v>8683</v>
      </c>
      <c r="C3367" s="5" t="s">
        <v>17</v>
      </c>
      <c r="D3367" s="5" t="s">
        <v>18</v>
      </c>
      <c r="E3367" s="5" t="s">
        <v>256</v>
      </c>
      <c r="F3367" s="9" t="s">
        <v>257</v>
      </c>
      <c r="G3367" s="9">
        <v>524</v>
      </c>
      <c r="H3367" s="5" t="s">
        <v>21</v>
      </c>
      <c r="I3367" s="5" t="s">
        <v>8682</v>
      </c>
      <c r="J3367" s="12" t="str">
        <f>HYPERLINK("https://www.boe.es/gazeta/dias/1808/06/03/pdfs/GMD-1808-53.pdf#page=2","Abrir facsímil")</f>
        <v>Abrir facsímil</v>
      </c>
      <c r="K3367" s="15" t="s">
        <v>23</v>
      </c>
    </row>
    <row r="3368" spans="1:11" ht="42" customHeight="1">
      <c r="A3368" s="4" t="s">
        <v>8684</v>
      </c>
      <c r="B3368" s="5" t="s">
        <v>8684</v>
      </c>
      <c r="C3368" s="5" t="s">
        <v>17</v>
      </c>
      <c r="D3368" s="5" t="s">
        <v>18</v>
      </c>
      <c r="E3368" s="5" t="s">
        <v>6654</v>
      </c>
      <c r="F3368" s="9" t="s">
        <v>6655</v>
      </c>
      <c r="G3368" s="9">
        <v>1576</v>
      </c>
      <c r="H3368" s="5" t="s">
        <v>21</v>
      </c>
      <c r="I3368" s="5" t="s">
        <v>8685</v>
      </c>
      <c r="J3368" s="12" t="str">
        <f>HYPERLINK("https://www.boe.es/gazeta/dias/1808/12/12/pdfs/GMD-1808-152.pdf#page=4","Abrir facsímil")</f>
        <v>Abrir facsímil</v>
      </c>
      <c r="K3368" s="15" t="s">
        <v>23</v>
      </c>
    </row>
    <row r="3369" spans="1:11" ht="42" customHeight="1">
      <c r="A3369" s="4" t="s">
        <v>8686</v>
      </c>
      <c r="B3369" s="5" t="s">
        <v>8686</v>
      </c>
      <c r="C3369" s="5" t="s">
        <v>389</v>
      </c>
      <c r="D3369" s="5" t="s">
        <v>390</v>
      </c>
      <c r="E3369" s="5" t="s">
        <v>870</v>
      </c>
      <c r="F3369" s="9" t="s">
        <v>871</v>
      </c>
      <c r="G3369" s="9">
        <v>583</v>
      </c>
      <c r="H3369" s="5" t="s">
        <v>21</v>
      </c>
      <c r="I3369" s="5" t="s">
        <v>8687</v>
      </c>
      <c r="J3369" s="12" t="str">
        <f>HYPERLINK("https://www.boe.es/gazeta/dias/1808/06/17/pdfs/GMD-1808-59.pdf#page=5","Abrir facsímil")</f>
        <v>Abrir facsímil</v>
      </c>
      <c r="K3369" s="15" t="s">
        <v>23</v>
      </c>
    </row>
    <row r="3370" spans="1:11" ht="42" customHeight="1">
      <c r="A3370" s="4" t="s">
        <v>8688</v>
      </c>
      <c r="B3370" s="5" t="s">
        <v>8688</v>
      </c>
      <c r="C3370" s="5" t="s">
        <v>17</v>
      </c>
      <c r="D3370" s="5" t="s">
        <v>18</v>
      </c>
      <c r="E3370" s="5" t="s">
        <v>363</v>
      </c>
      <c r="F3370" s="9" t="s">
        <v>3718</v>
      </c>
      <c r="G3370" s="9">
        <v>260</v>
      </c>
      <c r="H3370" s="5" t="s">
        <v>21</v>
      </c>
      <c r="I3370" s="5" t="s">
        <v>8689</v>
      </c>
      <c r="J3370" s="12" t="str">
        <f>HYPERLINK("https://www.boe.es/gazeta/dias/1808/09/20/pdfs/GMS-1808-33.pdf#page=4","Abrir facsímil")</f>
        <v>Abrir facsímil</v>
      </c>
      <c r="K3370" s="15" t="s">
        <v>23</v>
      </c>
    </row>
    <row r="3371" spans="1:11" ht="42" customHeight="1">
      <c r="A3371" s="4" t="s">
        <v>8688</v>
      </c>
      <c r="B3371" s="5" t="s">
        <v>8688</v>
      </c>
      <c r="C3371" s="5" t="s">
        <v>17</v>
      </c>
      <c r="D3371" s="5" t="s">
        <v>18</v>
      </c>
      <c r="E3371" s="5" t="s">
        <v>363</v>
      </c>
      <c r="F3371" s="9" t="s">
        <v>3718</v>
      </c>
      <c r="G3371" s="9">
        <v>263</v>
      </c>
      <c r="H3371" s="5" t="s">
        <v>21</v>
      </c>
      <c r="I3371" s="5" t="s">
        <v>8626</v>
      </c>
      <c r="J3371" s="12" t="str">
        <f>HYPERLINK("https://www.boe.es/gazeta/dias/1808/09/20/pdfs/GMS-1808-33.pdf#page=7","Abrir facsímil")</f>
        <v>Abrir facsímil</v>
      </c>
      <c r="K3371" s="15" t="s">
        <v>23</v>
      </c>
    </row>
    <row r="3372" spans="1:11" ht="42" customHeight="1">
      <c r="A3372" s="4" t="s">
        <v>8690</v>
      </c>
      <c r="B3372" s="5" t="s">
        <v>8690</v>
      </c>
      <c r="C3372" s="5" t="s">
        <v>41</v>
      </c>
      <c r="D3372" s="5" t="s">
        <v>42</v>
      </c>
      <c r="E3372" s="5" t="s">
        <v>287</v>
      </c>
      <c r="F3372" s="9" t="s">
        <v>288</v>
      </c>
      <c r="G3372" s="9">
        <v>175</v>
      </c>
      <c r="H3372" s="5" t="s">
        <v>21</v>
      </c>
      <c r="I3372" s="5" t="s">
        <v>8659</v>
      </c>
      <c r="J3372" s="12" t="str">
        <f>HYPERLINK("https://www.boe.es/gazeta/dias/1808/08/12/pdfs/GMS-1808-22.pdf#page=7","Abrir facsímil")</f>
        <v>Abrir facsímil</v>
      </c>
      <c r="K3372" s="15" t="s">
        <v>23</v>
      </c>
    </row>
    <row r="3373" spans="1:11" ht="42" customHeight="1">
      <c r="A3373" s="4" t="s">
        <v>8690</v>
      </c>
      <c r="B3373" s="5" t="s">
        <v>8690</v>
      </c>
      <c r="C3373" s="5" t="s">
        <v>33</v>
      </c>
      <c r="D3373" s="5" t="s">
        <v>34</v>
      </c>
      <c r="E3373" s="5" t="s">
        <v>508</v>
      </c>
      <c r="F3373" s="9" t="s">
        <v>1561</v>
      </c>
      <c r="G3373" s="9">
        <v>1028</v>
      </c>
      <c r="H3373" s="5" t="s">
        <v>21</v>
      </c>
      <c r="I3373" s="5" t="s">
        <v>8660</v>
      </c>
      <c r="J3373" s="12" t="str">
        <f>HYPERLINK("https://www.boe.es/gazeta/dias/1808/08/16/pdfs/GMD-C-1808-113.pdf#page=8","Abrir facsímil")</f>
        <v>Abrir facsímil</v>
      </c>
      <c r="K3373" s="15" t="s">
        <v>23</v>
      </c>
    </row>
    <row r="3374" spans="1:11" ht="42" customHeight="1">
      <c r="A3374" s="4" t="s">
        <v>8691</v>
      </c>
      <c r="B3374" s="5" t="s">
        <v>8691</v>
      </c>
      <c r="C3374" s="5" t="s">
        <v>389</v>
      </c>
      <c r="D3374" s="5" t="s">
        <v>390</v>
      </c>
      <c r="E3374" s="5" t="s">
        <v>228</v>
      </c>
      <c r="F3374" s="9" t="s">
        <v>229</v>
      </c>
      <c r="G3374" s="9">
        <v>831</v>
      </c>
      <c r="H3374" s="5" t="s">
        <v>21</v>
      </c>
      <c r="I3374" s="5" t="s">
        <v>8624</v>
      </c>
      <c r="J3374" s="12" t="str">
        <f>HYPERLINK("https://www.boe.es/gazeta/dias/1808/07/18/pdfs/GMD-1808-90.pdf#page=1","Abrir facsímil")</f>
        <v>Abrir facsímil</v>
      </c>
      <c r="K3374" s="15" t="s">
        <v>23</v>
      </c>
    </row>
    <row r="3375" spans="1:11" ht="42" customHeight="1">
      <c r="A3375" s="4" t="s">
        <v>8692</v>
      </c>
      <c r="B3375" s="5" t="s">
        <v>8692</v>
      </c>
      <c r="C3375" s="5" t="s">
        <v>17</v>
      </c>
      <c r="D3375" s="5" t="s">
        <v>18</v>
      </c>
      <c r="E3375" s="5" t="s">
        <v>1286</v>
      </c>
      <c r="F3375" s="9" t="s">
        <v>1287</v>
      </c>
      <c r="G3375" s="9">
        <v>1627</v>
      </c>
      <c r="H3375" s="5" t="s">
        <v>21</v>
      </c>
      <c r="I3375" s="5" t="s">
        <v>8650</v>
      </c>
      <c r="J3375" s="12" t="str">
        <f>HYPERLINK("https://www.boe.es/gazeta/dias/1808/12/17/pdfs/GMD-1808-157.pdf#page=7","Abrir facsímil")</f>
        <v>Abrir facsímil</v>
      </c>
      <c r="K3375" s="15" t="s">
        <v>23</v>
      </c>
    </row>
    <row r="3376" spans="1:11" ht="42" customHeight="1">
      <c r="A3376" s="4" t="s">
        <v>8692</v>
      </c>
      <c r="B3376" s="5" t="s">
        <v>8692</v>
      </c>
      <c r="C3376" s="5" t="s">
        <v>17</v>
      </c>
      <c r="D3376" s="5" t="s">
        <v>18</v>
      </c>
      <c r="E3376" s="5" t="s">
        <v>1351</v>
      </c>
      <c r="F3376" s="9" t="s">
        <v>1352</v>
      </c>
      <c r="G3376" s="9">
        <v>1658</v>
      </c>
      <c r="H3376" s="5" t="s">
        <v>21</v>
      </c>
      <c r="I3376" s="5" t="s">
        <v>8648</v>
      </c>
      <c r="J3376" s="12" t="str">
        <f>HYPERLINK("https://www.boe.es/gazeta/dias/1808/12/22/pdfs/GMD-1808-162.pdf#page=4","Abrir facsímil")</f>
        <v>Abrir facsímil</v>
      </c>
      <c r="K3376" s="15" t="s">
        <v>23</v>
      </c>
    </row>
    <row r="3377" spans="1:11" ht="42" customHeight="1">
      <c r="A3377" s="4" t="s">
        <v>8693</v>
      </c>
      <c r="B3377" s="5" t="s">
        <v>8693</v>
      </c>
      <c r="C3377" s="5" t="s">
        <v>17</v>
      </c>
      <c r="D3377" s="5" t="s">
        <v>18</v>
      </c>
      <c r="E3377" s="5" t="s">
        <v>1286</v>
      </c>
      <c r="F3377" s="9" t="s">
        <v>1287</v>
      </c>
      <c r="G3377" s="9">
        <v>1624</v>
      </c>
      <c r="H3377" s="5" t="s">
        <v>21</v>
      </c>
      <c r="I3377" s="5" t="s">
        <v>8694</v>
      </c>
      <c r="J3377" s="12" t="str">
        <f>HYPERLINK("https://www.boe.es/gazeta/dias/1808/12/17/pdfs/GMD-1808-157.pdf#page=4","Abrir facsímil")</f>
        <v>Abrir facsímil</v>
      </c>
      <c r="K3377" s="15" t="s">
        <v>23</v>
      </c>
    </row>
    <row r="3378" spans="1:11" ht="42" customHeight="1">
      <c r="A3378" s="4" t="s">
        <v>8695</v>
      </c>
      <c r="B3378" s="5" t="s">
        <v>8695</v>
      </c>
      <c r="C3378" s="5" t="s">
        <v>389</v>
      </c>
      <c r="D3378" s="5" t="s">
        <v>390</v>
      </c>
      <c r="E3378" s="5" t="s">
        <v>6654</v>
      </c>
      <c r="F3378" s="9" t="s">
        <v>8675</v>
      </c>
      <c r="G3378" s="9">
        <v>1580</v>
      </c>
      <c r="H3378" s="5" t="s">
        <v>21</v>
      </c>
      <c r="I3378" s="5" t="s">
        <v>8696</v>
      </c>
      <c r="J3378" s="12" t="str">
        <f>HYPERLINK("https://www.boe.es/gazeta/dias/1808/12/12/pdfs/GMD-C-1808-152.pdf#page=4","Abrir facsímil")</f>
        <v>Abrir facsímil</v>
      </c>
      <c r="K3378" s="15" t="s">
        <v>23</v>
      </c>
    </row>
    <row r="3379" spans="1:11" ht="42" customHeight="1">
      <c r="A3379" s="4" t="s">
        <v>8697</v>
      </c>
      <c r="B3379" s="5" t="s">
        <v>8697</v>
      </c>
      <c r="C3379" s="5" t="s">
        <v>17</v>
      </c>
      <c r="D3379" s="5" t="s">
        <v>18</v>
      </c>
      <c r="E3379" s="5" t="s">
        <v>478</v>
      </c>
      <c r="F3379" s="9" t="s">
        <v>479</v>
      </c>
      <c r="G3379" s="9">
        <v>240</v>
      </c>
      <c r="H3379" s="5" t="s">
        <v>21</v>
      </c>
      <c r="I3379" s="5" t="s">
        <v>8698</v>
      </c>
      <c r="J3379" s="12" t="str">
        <f>HYPERLINK("https://www.boe.es/gazeta/dias/1808/03/08/pdfs/GMD-1808-20.pdf#page=6","Abrir facsímil")</f>
        <v>Abrir facsímil</v>
      </c>
      <c r="K3379" s="15" t="s">
        <v>23</v>
      </c>
    </row>
    <row r="3380" spans="1:11" ht="42" customHeight="1">
      <c r="A3380" s="4" t="s">
        <v>8697</v>
      </c>
      <c r="B3380" s="5" t="s">
        <v>8697</v>
      </c>
      <c r="C3380" s="5" t="s">
        <v>389</v>
      </c>
      <c r="D3380" s="5" t="s">
        <v>390</v>
      </c>
      <c r="E3380" s="5" t="s">
        <v>870</v>
      </c>
      <c r="F3380" s="9" t="s">
        <v>871</v>
      </c>
      <c r="G3380" s="9">
        <v>583</v>
      </c>
      <c r="H3380" s="5" t="s">
        <v>21</v>
      </c>
      <c r="I3380" s="5" t="s">
        <v>8687</v>
      </c>
      <c r="J3380" s="12" t="str">
        <f>HYPERLINK("https://www.boe.es/gazeta/dias/1808/06/17/pdfs/GMD-1808-59.pdf#page=5","Abrir facsímil")</f>
        <v>Abrir facsímil</v>
      </c>
      <c r="K3380" s="15" t="s">
        <v>23</v>
      </c>
    </row>
    <row r="3381" spans="1:11" ht="42" customHeight="1">
      <c r="A3381" s="4" t="s">
        <v>8697</v>
      </c>
      <c r="B3381" s="5" t="s">
        <v>8697</v>
      </c>
      <c r="C3381" s="5" t="s">
        <v>17</v>
      </c>
      <c r="D3381" s="5" t="s">
        <v>18</v>
      </c>
      <c r="E3381" s="5" t="s">
        <v>1182</v>
      </c>
      <c r="F3381" s="9" t="s">
        <v>1197</v>
      </c>
      <c r="G3381" s="9">
        <v>661</v>
      </c>
      <c r="H3381" s="5" t="s">
        <v>21</v>
      </c>
      <c r="I3381" s="5" t="s">
        <v>8655</v>
      </c>
      <c r="J3381" s="12" t="str">
        <f>HYPERLINK("https://www.boe.es/gazeta/dias/1808/06/26/pdfs/GMD-1808-68.pdf#page=7","Abrir facsímil")</f>
        <v>Abrir facsímil</v>
      </c>
      <c r="K3381" s="15" t="s">
        <v>23</v>
      </c>
    </row>
    <row r="3382" spans="1:11" ht="42" customHeight="1">
      <c r="A3382" s="4" t="s">
        <v>8699</v>
      </c>
      <c r="B3382" s="5" t="s">
        <v>8699</v>
      </c>
      <c r="C3382" s="5" t="s">
        <v>94</v>
      </c>
      <c r="D3382" s="5" t="s">
        <v>95</v>
      </c>
      <c r="E3382" s="5" t="s">
        <v>245</v>
      </c>
      <c r="F3382" s="9" t="s">
        <v>246</v>
      </c>
      <c r="G3382" s="9">
        <v>537</v>
      </c>
      <c r="H3382" s="5" t="s">
        <v>21</v>
      </c>
      <c r="I3382" s="5" t="s">
        <v>8700</v>
      </c>
      <c r="J3382" s="12" t="str">
        <f>HYPERLINK("https://www.boe.es/gazeta/dias/1808/06/07/pdfs/GMD-1808-54.pdf#page=3","Abrir facsímil")</f>
        <v>Abrir facsímil</v>
      </c>
      <c r="K3382" s="15" t="s">
        <v>23</v>
      </c>
    </row>
    <row r="3383" spans="1:11" ht="42" customHeight="1">
      <c r="A3383" s="4" t="s">
        <v>8701</v>
      </c>
      <c r="B3383" s="5" t="s">
        <v>8701</v>
      </c>
      <c r="C3383" s="5" t="s">
        <v>389</v>
      </c>
      <c r="D3383" s="5" t="s">
        <v>390</v>
      </c>
      <c r="E3383" s="5" t="s">
        <v>616</v>
      </c>
      <c r="F3383" s="9" t="s">
        <v>8009</v>
      </c>
      <c r="G3383" s="9">
        <v>186</v>
      </c>
      <c r="H3383" s="5" t="s">
        <v>21</v>
      </c>
      <c r="I3383" s="5" t="s">
        <v>8702</v>
      </c>
      <c r="J3383" s="12" t="str">
        <f>HYPERLINK("https://www.boe.es/gazeta/dias/1808/08/19/pdfs/GMS-1808-24.pdf#page=2","Abrir facsímil")</f>
        <v>Abrir facsímil</v>
      </c>
      <c r="K3383" s="15" t="s">
        <v>23</v>
      </c>
    </row>
    <row r="3384" spans="1:11" ht="42" customHeight="1">
      <c r="A3384" s="4" t="s">
        <v>8701</v>
      </c>
      <c r="B3384" s="5" t="s">
        <v>8701</v>
      </c>
      <c r="C3384" s="5" t="s">
        <v>389</v>
      </c>
      <c r="D3384" s="5" t="s">
        <v>390</v>
      </c>
      <c r="E3384" s="5" t="s">
        <v>539</v>
      </c>
      <c r="F3384" s="9" t="s">
        <v>540</v>
      </c>
      <c r="G3384" s="9">
        <v>1108</v>
      </c>
      <c r="H3384" s="5" t="s">
        <v>21</v>
      </c>
      <c r="I3384" s="5" t="s">
        <v>8703</v>
      </c>
      <c r="J3384" s="12" t="str">
        <f>HYPERLINK("https://www.boe.es/gazeta/dias/1808/09/02/pdfs/GMD-1808-119.pdf#page=2","Abrir facsímil")</f>
        <v>Abrir facsímil</v>
      </c>
      <c r="K3384" s="15" t="s">
        <v>23</v>
      </c>
    </row>
    <row r="3385" spans="1:11" ht="42" customHeight="1">
      <c r="A3385" s="4" t="s">
        <v>8701</v>
      </c>
      <c r="B3385" s="5" t="s">
        <v>8701</v>
      </c>
      <c r="C3385" s="5" t="s">
        <v>17</v>
      </c>
      <c r="D3385" s="5" t="s">
        <v>18</v>
      </c>
      <c r="E3385" s="5" t="s">
        <v>1286</v>
      </c>
      <c r="F3385" s="9" t="s">
        <v>1287</v>
      </c>
      <c r="G3385" s="9">
        <v>1624</v>
      </c>
      <c r="H3385" s="5" t="s">
        <v>21</v>
      </c>
      <c r="I3385" s="5" t="s">
        <v>8618</v>
      </c>
      <c r="J3385" s="12" t="str">
        <f>HYPERLINK("https://www.boe.es/gazeta/dias/1808/12/17/pdfs/GMD-1808-157.pdf#page=4","Abrir facsímil")</f>
        <v>Abrir facsímil</v>
      </c>
      <c r="K3385" s="15" t="s">
        <v>23</v>
      </c>
    </row>
    <row r="3386" spans="1:11" ht="42" customHeight="1">
      <c r="A3386" s="4" t="s">
        <v>8701</v>
      </c>
      <c r="B3386" s="5" t="s">
        <v>8701</v>
      </c>
      <c r="C3386" s="5" t="s">
        <v>17</v>
      </c>
      <c r="D3386" s="5" t="s">
        <v>18</v>
      </c>
      <c r="E3386" s="5" t="s">
        <v>3951</v>
      </c>
      <c r="F3386" s="9" t="s">
        <v>3952</v>
      </c>
      <c r="G3386" s="9">
        <v>1647</v>
      </c>
      <c r="H3386" s="5" t="s">
        <v>21</v>
      </c>
      <c r="I3386" s="5" t="s">
        <v>8680</v>
      </c>
      <c r="J3386" s="12" t="str">
        <f>HYPERLINK("https://www.boe.es/gazeta/dias/1808/12/20/pdfs/GMD-1808-160.pdf#page=5","Abrir facsímil")</f>
        <v>Abrir facsímil</v>
      </c>
      <c r="K3386" s="15" t="s">
        <v>23</v>
      </c>
    </row>
    <row r="3387" spans="1:11" ht="42" customHeight="1">
      <c r="A3387" s="4" t="s">
        <v>8704</v>
      </c>
      <c r="B3387" s="5" t="s">
        <v>8704</v>
      </c>
      <c r="C3387" s="5" t="s">
        <v>389</v>
      </c>
      <c r="D3387" s="5" t="s">
        <v>390</v>
      </c>
      <c r="E3387" s="5" t="s">
        <v>6654</v>
      </c>
      <c r="F3387" s="9" t="s">
        <v>8675</v>
      </c>
      <c r="G3387" s="9">
        <v>1580</v>
      </c>
      <c r="H3387" s="5" t="s">
        <v>21</v>
      </c>
      <c r="I3387" s="5" t="s">
        <v>8696</v>
      </c>
      <c r="J3387" s="12" t="str">
        <f>HYPERLINK("https://www.boe.es/gazeta/dias/1808/12/12/pdfs/GMD-C-1808-152.pdf#page=4","Abrir facsímil")</f>
        <v>Abrir facsímil</v>
      </c>
      <c r="K3387" s="15" t="s">
        <v>23</v>
      </c>
    </row>
    <row r="3388" spans="1:11" ht="42" customHeight="1">
      <c r="A3388" s="4" t="s">
        <v>8705</v>
      </c>
      <c r="B3388" s="5" t="s">
        <v>8705</v>
      </c>
      <c r="C3388" s="5" t="s">
        <v>94</v>
      </c>
      <c r="D3388" s="5" t="s">
        <v>95</v>
      </c>
      <c r="E3388" s="5" t="s">
        <v>1286</v>
      </c>
      <c r="F3388" s="9" t="s">
        <v>1287</v>
      </c>
      <c r="G3388" s="9">
        <v>1626</v>
      </c>
      <c r="H3388" s="5" t="s">
        <v>21</v>
      </c>
      <c r="I3388" s="5" t="s">
        <v>8666</v>
      </c>
      <c r="J3388" s="12" t="str">
        <f>HYPERLINK("https://www.boe.es/gazeta/dias/1808/12/17/pdfs/GMD-1808-157.pdf#page=6","Abrir facsímil")</f>
        <v>Abrir facsímil</v>
      </c>
      <c r="K3388" s="15" t="s">
        <v>23</v>
      </c>
    </row>
    <row r="3389" spans="1:11" ht="42" customHeight="1">
      <c r="A3389" s="4" t="s">
        <v>8706</v>
      </c>
      <c r="B3389" s="5" t="s">
        <v>8706</v>
      </c>
      <c r="C3389" s="5" t="s">
        <v>17</v>
      </c>
      <c r="D3389" s="5" t="s">
        <v>18</v>
      </c>
      <c r="E3389" s="5" t="s">
        <v>28</v>
      </c>
      <c r="F3389" s="9" t="s">
        <v>29</v>
      </c>
      <c r="G3389" s="9">
        <v>1420</v>
      </c>
      <c r="H3389" s="5" t="s">
        <v>21</v>
      </c>
      <c r="I3389" s="5" t="s">
        <v>8707</v>
      </c>
      <c r="J3389" s="12" t="str">
        <f>HYPERLINK("https://www.boe.es/gazeta/dias/1808/11/04/pdfs/GMD-1808-141.pdf#page=2","Abrir facsímil")</f>
        <v>Abrir facsímil</v>
      </c>
      <c r="K3389" s="15" t="s">
        <v>23</v>
      </c>
    </row>
    <row r="3390" spans="1:11" ht="42" customHeight="1">
      <c r="A3390" s="4" t="s">
        <v>8708</v>
      </c>
      <c r="B3390" s="5" t="s">
        <v>8708</v>
      </c>
      <c r="C3390" s="5" t="s">
        <v>101</v>
      </c>
      <c r="D3390" s="5" t="s">
        <v>102</v>
      </c>
      <c r="E3390" s="5" t="s">
        <v>125</v>
      </c>
      <c r="F3390" s="9" t="s">
        <v>397</v>
      </c>
      <c r="G3390" s="9">
        <v>1262</v>
      </c>
      <c r="H3390" s="5" t="s">
        <v>21</v>
      </c>
      <c r="I3390" s="5" t="s">
        <v>8642</v>
      </c>
      <c r="J3390" s="12" t="str">
        <f>HYPERLINK("https://www.boe.es/gazeta/dias/1808/10/07/pdfs/GMD-1808-132.pdf#page=2","Abrir facsímil")</f>
        <v>Abrir facsímil</v>
      </c>
      <c r="K3390" s="15" t="s">
        <v>23</v>
      </c>
    </row>
    <row r="3391" spans="1:11" ht="42" customHeight="1">
      <c r="A3391" s="4" t="s">
        <v>8708</v>
      </c>
      <c r="B3391" s="5" t="s">
        <v>8708</v>
      </c>
      <c r="C3391" s="5" t="s">
        <v>94</v>
      </c>
      <c r="D3391" s="5" t="s">
        <v>95</v>
      </c>
      <c r="E3391" s="5" t="s">
        <v>125</v>
      </c>
      <c r="F3391" s="9" t="s">
        <v>397</v>
      </c>
      <c r="G3391" s="9">
        <v>1264</v>
      </c>
      <c r="H3391" s="5" t="s">
        <v>21</v>
      </c>
      <c r="I3391" s="5" t="s">
        <v>8664</v>
      </c>
      <c r="J3391" s="12" t="str">
        <f>HYPERLINK("https://www.boe.es/gazeta/dias/1808/10/07/pdfs/GMD-1808-132.pdf#page=4","Abrir facsímil")</f>
        <v>Abrir facsímil</v>
      </c>
      <c r="K3391" s="15" t="s">
        <v>23</v>
      </c>
    </row>
    <row r="3392" spans="1:11" ht="42" customHeight="1">
      <c r="A3392" s="4" t="s">
        <v>8709</v>
      </c>
      <c r="B3392" s="5" t="s">
        <v>8709</v>
      </c>
      <c r="C3392" s="5" t="s">
        <v>389</v>
      </c>
      <c r="D3392" s="5" t="s">
        <v>390</v>
      </c>
      <c r="E3392" s="5" t="s">
        <v>19</v>
      </c>
      <c r="F3392" s="9" t="s">
        <v>59</v>
      </c>
      <c r="G3392" s="9">
        <v>1232</v>
      </c>
      <c r="H3392" s="5" t="s">
        <v>21</v>
      </c>
      <c r="I3392" s="5" t="s">
        <v>8644</v>
      </c>
      <c r="J3392" s="12" t="str">
        <f>HYPERLINK("https://www.boe.es/gazeta/dias/1808/09/30/pdfs/GMD-1808-130.pdf#page=12","Abrir facsímil")</f>
        <v>Abrir facsímil</v>
      </c>
      <c r="K3392" s="15" t="s">
        <v>23</v>
      </c>
    </row>
    <row r="3393" spans="1:11" ht="42" customHeight="1">
      <c r="A3393" s="4" t="s">
        <v>8710</v>
      </c>
      <c r="B3393" s="5" t="s">
        <v>8710</v>
      </c>
      <c r="C3393" s="5" t="s">
        <v>94</v>
      </c>
      <c r="D3393" s="5" t="s">
        <v>95</v>
      </c>
      <c r="E3393" s="5" t="s">
        <v>1286</v>
      </c>
      <c r="F3393" s="9" t="s">
        <v>1287</v>
      </c>
      <c r="G3393" s="9">
        <v>1626</v>
      </c>
      <c r="H3393" s="5" t="s">
        <v>21</v>
      </c>
      <c r="I3393" s="5" t="s">
        <v>8711</v>
      </c>
      <c r="J3393" s="12" t="str">
        <f>HYPERLINK("https://www.boe.es/gazeta/dias/1808/12/17/pdfs/GMD-1808-157.pdf#page=6","Abrir facsímil")</f>
        <v>Abrir facsímil</v>
      </c>
      <c r="K3393" s="15" t="s">
        <v>23</v>
      </c>
    </row>
    <row r="3394" spans="1:11" ht="42" customHeight="1">
      <c r="A3394" s="4" t="s">
        <v>8712</v>
      </c>
      <c r="B3394" s="5" t="s">
        <v>8712</v>
      </c>
      <c r="C3394" s="5" t="s">
        <v>17</v>
      </c>
      <c r="D3394" s="5" t="s">
        <v>18</v>
      </c>
      <c r="E3394" s="5" t="s">
        <v>363</v>
      </c>
      <c r="F3394" s="9" t="s">
        <v>3718</v>
      </c>
      <c r="G3394" s="9">
        <v>258</v>
      </c>
      <c r="H3394" s="5" t="s">
        <v>21</v>
      </c>
      <c r="I3394" s="5" t="s">
        <v>8629</v>
      </c>
      <c r="J3394" s="12" t="str">
        <f>HYPERLINK("https://www.boe.es/gazeta/dias/1808/09/20/pdfs/GMS-1808-33.pdf#page=2","Abrir facsímil")</f>
        <v>Abrir facsímil</v>
      </c>
      <c r="K3394" s="15" t="s">
        <v>23</v>
      </c>
    </row>
    <row r="3395" spans="1:11" ht="42" customHeight="1">
      <c r="A3395" s="4" t="s">
        <v>8713</v>
      </c>
      <c r="B3395" s="5" t="s">
        <v>8713</v>
      </c>
      <c r="C3395" s="5" t="s">
        <v>389</v>
      </c>
      <c r="D3395" s="5" t="s">
        <v>390</v>
      </c>
      <c r="E3395" s="5" t="s">
        <v>1866</v>
      </c>
      <c r="F3395" s="9" t="s">
        <v>8714</v>
      </c>
      <c r="G3395" s="9">
        <v>1596</v>
      </c>
      <c r="H3395" s="5" t="s">
        <v>21</v>
      </c>
      <c r="I3395" s="5" t="s">
        <v>8715</v>
      </c>
      <c r="J3395" s="12" t="str">
        <f>HYPERLINK("https://www.boe.es/gazeta/dias/1808/12/14/pdfs/GMD-C-1808-154.pdf#page=4","Abrir facsímil")</f>
        <v>Abrir facsímil</v>
      </c>
      <c r="K3395" s="15" t="s">
        <v>23</v>
      </c>
    </row>
    <row r="3396" spans="1:11" ht="42" customHeight="1">
      <c r="A3396" s="4" t="s">
        <v>8716</v>
      </c>
      <c r="B3396" s="5" t="s">
        <v>8716</v>
      </c>
      <c r="C3396" s="5" t="s">
        <v>101</v>
      </c>
      <c r="D3396" s="5" t="s">
        <v>102</v>
      </c>
      <c r="E3396" s="5" t="s">
        <v>1361</v>
      </c>
      <c r="F3396" s="9" t="s">
        <v>1362</v>
      </c>
      <c r="G3396" s="9">
        <v>464</v>
      </c>
      <c r="H3396" s="5" t="s">
        <v>21</v>
      </c>
      <c r="I3396" s="5" t="s">
        <v>8717</v>
      </c>
      <c r="J3396" s="12" t="str">
        <f>HYPERLINK("https://www.boe.es/gazeta/dias/1808/05/17/pdfs/GMD-1808-47.pdf#page=4","Abrir facsímil")</f>
        <v>Abrir facsímil</v>
      </c>
      <c r="K3396" s="15" t="s">
        <v>23</v>
      </c>
    </row>
    <row r="3397" spans="1:11" ht="42" customHeight="1">
      <c r="A3397" s="4" t="s">
        <v>8718</v>
      </c>
      <c r="B3397" s="5" t="s">
        <v>8718</v>
      </c>
      <c r="C3397" s="5" t="s">
        <v>94</v>
      </c>
      <c r="D3397" s="5" t="s">
        <v>95</v>
      </c>
      <c r="E3397" s="5" t="s">
        <v>54</v>
      </c>
      <c r="F3397" s="9" t="s">
        <v>55</v>
      </c>
      <c r="G3397" s="9">
        <v>1083</v>
      </c>
      <c r="H3397" s="5" t="s">
        <v>21</v>
      </c>
      <c r="I3397" s="5" t="s">
        <v>8640</v>
      </c>
      <c r="J3397" s="12" t="str">
        <f>HYPERLINK("https://www.boe.es/gazeta/dias/1808/08/26/pdfs/GMD-1808-117.pdf#page=5","Abrir facsímil")</f>
        <v>Abrir facsímil</v>
      </c>
      <c r="K3397" s="15" t="s">
        <v>23</v>
      </c>
    </row>
    <row r="3398" spans="1:11" ht="42" customHeight="1">
      <c r="A3398" s="4" t="s">
        <v>8719</v>
      </c>
      <c r="B3398" s="5" t="s">
        <v>8719</v>
      </c>
      <c r="C3398" s="5" t="s">
        <v>389</v>
      </c>
      <c r="D3398" s="5" t="s">
        <v>390</v>
      </c>
      <c r="E3398" s="5" t="s">
        <v>1866</v>
      </c>
      <c r="F3398" s="9" t="s">
        <v>8714</v>
      </c>
      <c r="G3398" s="9">
        <v>1596</v>
      </c>
      <c r="H3398" s="5" t="s">
        <v>21</v>
      </c>
      <c r="I3398" s="5" t="s">
        <v>8715</v>
      </c>
      <c r="J3398" s="12" t="str">
        <f>HYPERLINK("https://www.boe.es/gazeta/dias/1808/12/14/pdfs/GMD-C-1808-154.pdf#page=4","Abrir facsímil")</f>
        <v>Abrir facsímil</v>
      </c>
      <c r="K3398" s="15" t="s">
        <v>23</v>
      </c>
    </row>
    <row r="3399" spans="1:11" ht="42" customHeight="1">
      <c r="A3399" s="4" t="s">
        <v>8720</v>
      </c>
      <c r="B3399" s="5" t="s">
        <v>8720</v>
      </c>
      <c r="C3399" s="5" t="s">
        <v>17</v>
      </c>
      <c r="D3399" s="5" t="s">
        <v>18</v>
      </c>
      <c r="E3399" s="5" t="s">
        <v>256</v>
      </c>
      <c r="F3399" s="9" t="s">
        <v>257</v>
      </c>
      <c r="G3399" s="9">
        <v>524</v>
      </c>
      <c r="H3399" s="5" t="s">
        <v>21</v>
      </c>
      <c r="I3399" s="5" t="s">
        <v>8721</v>
      </c>
      <c r="J3399" s="12" t="str">
        <f>HYPERLINK("https://www.boe.es/gazeta/dias/1808/06/03/pdfs/GMD-1808-53.pdf#page=2","Abrir facsímil")</f>
        <v>Abrir facsímil</v>
      </c>
      <c r="K3399" s="15" t="s">
        <v>23</v>
      </c>
    </row>
    <row r="3400" spans="1:11" ht="42" customHeight="1">
      <c r="A3400" s="4" t="s">
        <v>8722</v>
      </c>
      <c r="B3400" s="5" t="s">
        <v>8722</v>
      </c>
      <c r="C3400" s="5" t="s">
        <v>101</v>
      </c>
      <c r="D3400" s="5" t="s">
        <v>102</v>
      </c>
      <c r="E3400" s="5" t="s">
        <v>558</v>
      </c>
      <c r="F3400" s="9" t="s">
        <v>559</v>
      </c>
      <c r="G3400" s="9">
        <v>1536</v>
      </c>
      <c r="H3400" s="5" t="s">
        <v>21</v>
      </c>
      <c r="I3400" s="5" t="s">
        <v>8723</v>
      </c>
      <c r="J3400" s="12" t="str">
        <f>HYPERLINK("https://www.boe.es/gazeta/dias/1808/11/25/pdfs/GMD-1808-147.pdf#page=2","Abrir facsímil")</f>
        <v>Abrir facsímil</v>
      </c>
      <c r="K3400" s="15" t="s">
        <v>23</v>
      </c>
    </row>
    <row r="3401" spans="1:11" ht="42" customHeight="1">
      <c r="A3401" s="4" t="s">
        <v>8724</v>
      </c>
      <c r="B3401" s="5" t="s">
        <v>8724</v>
      </c>
      <c r="C3401" s="5" t="s">
        <v>94</v>
      </c>
      <c r="D3401" s="5" t="s">
        <v>95</v>
      </c>
      <c r="E3401" s="5" t="s">
        <v>1286</v>
      </c>
      <c r="F3401" s="9" t="s">
        <v>1287</v>
      </c>
      <c r="G3401" s="9">
        <v>1626</v>
      </c>
      <c r="H3401" s="5" t="s">
        <v>21</v>
      </c>
      <c r="I3401" s="5" t="s">
        <v>8725</v>
      </c>
      <c r="J3401" s="12" t="str">
        <f>HYPERLINK("https://www.boe.es/gazeta/dias/1808/12/17/pdfs/GMD-1808-157.pdf#page=6","Abrir facsímil")</f>
        <v>Abrir facsímil</v>
      </c>
      <c r="K3401" s="15" t="s">
        <v>23</v>
      </c>
    </row>
    <row r="3402" spans="1:11" ht="42" customHeight="1">
      <c r="A3402" s="4" t="s">
        <v>8726</v>
      </c>
      <c r="B3402" s="5" t="s">
        <v>8726</v>
      </c>
      <c r="C3402" s="5" t="s">
        <v>94</v>
      </c>
      <c r="D3402" s="5" t="s">
        <v>95</v>
      </c>
      <c r="E3402" s="5" t="s">
        <v>3361</v>
      </c>
      <c r="F3402" s="9" t="s">
        <v>3362</v>
      </c>
      <c r="G3402" s="9">
        <v>1639</v>
      </c>
      <c r="H3402" s="5" t="s">
        <v>21</v>
      </c>
      <c r="I3402" s="5" t="s">
        <v>8636</v>
      </c>
      <c r="J3402" s="12" t="str">
        <f>HYPERLINK("https://www.boe.es/gazeta/dias/1808/12/19/pdfs/GMD-1808-159.pdf#page=1","Abrir facsímil")</f>
        <v>Abrir facsímil</v>
      </c>
      <c r="K3402" s="15" t="s">
        <v>23</v>
      </c>
    </row>
    <row r="3403" spans="1:11" ht="42" customHeight="1">
      <c r="A3403" s="4" t="s">
        <v>8727</v>
      </c>
      <c r="B3403" s="5" t="s">
        <v>8727</v>
      </c>
      <c r="C3403" s="5" t="s">
        <v>94</v>
      </c>
      <c r="D3403" s="5" t="s">
        <v>95</v>
      </c>
      <c r="E3403" s="5" t="s">
        <v>245</v>
      </c>
      <c r="F3403" s="9" t="s">
        <v>246</v>
      </c>
      <c r="G3403" s="9">
        <v>537</v>
      </c>
      <c r="H3403" s="5" t="s">
        <v>21</v>
      </c>
      <c r="I3403" s="5" t="s">
        <v>8700</v>
      </c>
      <c r="J3403" s="12" t="str">
        <f>HYPERLINK("https://www.boe.es/gazeta/dias/1808/06/07/pdfs/GMD-1808-54.pdf#page=3","Abrir facsímil")</f>
        <v>Abrir facsímil</v>
      </c>
      <c r="K3403" s="15" t="s">
        <v>23</v>
      </c>
    </row>
    <row r="3404" spans="1:11" ht="42" customHeight="1">
      <c r="A3404" s="4" t="s">
        <v>8728</v>
      </c>
      <c r="B3404" s="5" t="s">
        <v>8728</v>
      </c>
      <c r="C3404" s="5" t="s">
        <v>94</v>
      </c>
      <c r="D3404" s="5" t="s">
        <v>95</v>
      </c>
      <c r="E3404" s="5" t="s">
        <v>1866</v>
      </c>
      <c r="F3404" s="9" t="s">
        <v>1867</v>
      </c>
      <c r="G3404" s="9">
        <v>1590</v>
      </c>
      <c r="H3404" s="5" t="s">
        <v>21</v>
      </c>
      <c r="I3404" s="5" t="s">
        <v>8729</v>
      </c>
      <c r="J3404" s="12" t="str">
        <f>HYPERLINK("https://www.boe.es/gazeta/dias/1808/12/14/pdfs/GMD-1808-154.pdf#page=2","Abrir facsímil")</f>
        <v>Abrir facsímil</v>
      </c>
      <c r="K3404" s="15" t="s">
        <v>23</v>
      </c>
    </row>
    <row r="3405" spans="1:11" ht="42" customHeight="1">
      <c r="A3405" s="4" t="s">
        <v>8730</v>
      </c>
      <c r="B3405" s="5" t="s">
        <v>8730</v>
      </c>
      <c r="C3405" s="5" t="s">
        <v>17</v>
      </c>
      <c r="D3405" s="5" t="s">
        <v>18</v>
      </c>
      <c r="E3405" s="5" t="s">
        <v>269</v>
      </c>
      <c r="F3405" s="9" t="s">
        <v>270</v>
      </c>
      <c r="G3405" s="9">
        <v>64</v>
      </c>
      <c r="H3405" s="5" t="s">
        <v>21</v>
      </c>
      <c r="I3405" s="5" t="s">
        <v>8731</v>
      </c>
      <c r="J3405" s="12" t="str">
        <f>HYPERLINK("https://www.boe.es/gazeta/dias/1808/01/19/pdfs/GMD-1808-6.pdf#page=4","Abrir facsímil")</f>
        <v>Abrir facsímil</v>
      </c>
      <c r="K3405" s="15" t="s">
        <v>23</v>
      </c>
    </row>
    <row r="3406" spans="1:11" ht="42" customHeight="1">
      <c r="A3406" s="4" t="s">
        <v>8732</v>
      </c>
      <c r="B3406" s="5" t="s">
        <v>8732</v>
      </c>
      <c r="C3406" s="5" t="s">
        <v>17</v>
      </c>
      <c r="D3406" s="5" t="s">
        <v>18</v>
      </c>
      <c r="E3406" s="5" t="s">
        <v>363</v>
      </c>
      <c r="F3406" s="9" t="s">
        <v>3718</v>
      </c>
      <c r="G3406" s="9">
        <v>260</v>
      </c>
      <c r="H3406" s="5" t="s">
        <v>21</v>
      </c>
      <c r="I3406" s="5" t="s">
        <v>8689</v>
      </c>
      <c r="J3406" s="12" t="str">
        <f>HYPERLINK("https://www.boe.es/gazeta/dias/1808/09/20/pdfs/GMS-1808-33.pdf#page=4","Abrir facsímil")</f>
        <v>Abrir facsímil</v>
      </c>
      <c r="K3406" s="15" t="s">
        <v>23</v>
      </c>
    </row>
    <row r="3407" spans="1:11" ht="42" customHeight="1">
      <c r="A3407" s="4" t="s">
        <v>8733</v>
      </c>
      <c r="B3407" s="5" t="s">
        <v>8733</v>
      </c>
      <c r="C3407" s="5" t="s">
        <v>101</v>
      </c>
      <c r="D3407" s="5" t="s">
        <v>102</v>
      </c>
      <c r="E3407" s="5" t="s">
        <v>558</v>
      </c>
      <c r="F3407" s="9" t="s">
        <v>559</v>
      </c>
      <c r="G3407" s="9">
        <v>1536</v>
      </c>
      <c r="H3407" s="5" t="s">
        <v>21</v>
      </c>
      <c r="I3407" s="5" t="s">
        <v>8723</v>
      </c>
      <c r="J3407" s="12" t="str">
        <f>HYPERLINK("https://www.boe.es/gazeta/dias/1808/11/25/pdfs/GMD-1808-147.pdf#page=2","Abrir facsímil")</f>
        <v>Abrir facsímil</v>
      </c>
      <c r="K3407" s="15" t="s">
        <v>23</v>
      </c>
    </row>
    <row r="3408" spans="1:11" ht="42" customHeight="1">
      <c r="A3408" s="4" t="s">
        <v>8734</v>
      </c>
      <c r="B3408" s="5" t="s">
        <v>8735</v>
      </c>
      <c r="C3408" s="5" t="s">
        <v>94</v>
      </c>
      <c r="D3408" s="5" t="s">
        <v>95</v>
      </c>
      <c r="E3408" s="5" t="s">
        <v>339</v>
      </c>
      <c r="F3408" s="9" t="s">
        <v>340</v>
      </c>
      <c r="G3408" s="9">
        <v>81</v>
      </c>
      <c r="H3408" s="5" t="s">
        <v>21</v>
      </c>
      <c r="I3408" s="5" t="s">
        <v>8736</v>
      </c>
      <c r="J3408" s="12" t="str">
        <f>HYPERLINK("https://www.boe.es/gazeta/dias/1808/01/22/pdfs/GMD-1808-7.pdf#page=9","Abrir facsímil")</f>
        <v>Abrir facsímil</v>
      </c>
      <c r="K3408" s="15" t="s">
        <v>23</v>
      </c>
    </row>
    <row r="3409" spans="1:11" ht="42" customHeight="1">
      <c r="A3409" s="4" t="s">
        <v>8737</v>
      </c>
      <c r="B3409" s="5" t="s">
        <v>8738</v>
      </c>
      <c r="C3409" s="5" t="s">
        <v>17</v>
      </c>
      <c r="D3409" s="5" t="s">
        <v>18</v>
      </c>
      <c r="E3409" s="5" t="s">
        <v>242</v>
      </c>
      <c r="F3409" s="9" t="s">
        <v>243</v>
      </c>
      <c r="G3409" s="9">
        <v>9</v>
      </c>
      <c r="H3409" s="5" t="s">
        <v>21</v>
      </c>
      <c r="I3409" s="5" t="s">
        <v>8739</v>
      </c>
      <c r="J3409" s="12" t="str">
        <f>HYPERLINK("https://www.boe.es/gazeta/dias/1808/01/01/pdfs/GMD-1808-1.pdf#page=9","Abrir facsímil")</f>
        <v>Abrir facsímil</v>
      </c>
      <c r="K3409" s="15" t="s">
        <v>23</v>
      </c>
    </row>
    <row r="3410" spans="1:11" ht="42" customHeight="1">
      <c r="A3410" s="4" t="s">
        <v>8737</v>
      </c>
      <c r="B3410" s="5" t="s">
        <v>8738</v>
      </c>
      <c r="C3410" s="5" t="s">
        <v>94</v>
      </c>
      <c r="D3410" s="5" t="s">
        <v>95</v>
      </c>
      <c r="E3410" s="5" t="s">
        <v>203</v>
      </c>
      <c r="F3410" s="9" t="s">
        <v>204</v>
      </c>
      <c r="G3410" s="9">
        <v>140</v>
      </c>
      <c r="H3410" s="5" t="s">
        <v>21</v>
      </c>
      <c r="I3410" s="5" t="s">
        <v>8740</v>
      </c>
      <c r="J3410" s="12" t="str">
        <f>HYPERLINK("https://www.boe.es/gazeta/dias/1808/02/09/pdfs/GMD-1808-12.pdf#page=8","Abrir facsímil")</f>
        <v>Abrir facsímil</v>
      </c>
      <c r="K3410" s="15" t="s">
        <v>23</v>
      </c>
    </row>
    <row r="3411" spans="1:11" ht="42" customHeight="1">
      <c r="A3411" s="4" t="s">
        <v>8741</v>
      </c>
      <c r="B3411" s="5" t="s">
        <v>8741</v>
      </c>
      <c r="C3411" s="5" t="s">
        <v>17</v>
      </c>
      <c r="D3411" s="5" t="s">
        <v>18</v>
      </c>
      <c r="E3411" s="5" t="s">
        <v>1361</v>
      </c>
      <c r="F3411" s="9" t="s">
        <v>1362</v>
      </c>
      <c r="G3411" s="9">
        <v>471</v>
      </c>
      <c r="H3411" s="5" t="s">
        <v>21</v>
      </c>
      <c r="I3411" s="5" t="s">
        <v>8742</v>
      </c>
      <c r="J3411" s="12" t="str">
        <f>HYPERLINK("https://www.boe.es/gazeta/dias/1808/05/17/pdfs/GMD-1808-47.pdf#page=11","Abrir facsímil")</f>
        <v>Abrir facsímil</v>
      </c>
      <c r="K3411" s="15" t="s">
        <v>23</v>
      </c>
    </row>
    <row r="3412" spans="1:11" ht="42" customHeight="1">
      <c r="A3412" s="4" t="s">
        <v>8743</v>
      </c>
      <c r="B3412" s="5" t="s">
        <v>8743</v>
      </c>
      <c r="C3412" s="5" t="s">
        <v>389</v>
      </c>
      <c r="D3412" s="5" t="s">
        <v>390</v>
      </c>
      <c r="E3412" s="5" t="s">
        <v>1962</v>
      </c>
      <c r="F3412" s="9" t="s">
        <v>1963</v>
      </c>
      <c r="G3412" s="9">
        <v>730</v>
      </c>
      <c r="H3412" s="5" t="s">
        <v>21</v>
      </c>
      <c r="I3412" s="5" t="s">
        <v>8744</v>
      </c>
      <c r="J3412" s="12" t="str">
        <f>HYPERLINK("https://www.boe.es/gazeta/dias/1808/07/05/pdfs/GMD-1808-77.pdf#page=4","Abrir facsímil")</f>
        <v>Abrir facsímil</v>
      </c>
      <c r="K3412" s="15" t="s">
        <v>23</v>
      </c>
    </row>
    <row r="3413" spans="1:11" ht="42" customHeight="1">
      <c r="A3413" s="4" t="s">
        <v>8745</v>
      </c>
      <c r="B3413" s="5" t="s">
        <v>8745</v>
      </c>
      <c r="C3413" s="5" t="s">
        <v>17</v>
      </c>
      <c r="D3413" s="5" t="s">
        <v>18</v>
      </c>
      <c r="E3413" s="5" t="s">
        <v>1345</v>
      </c>
      <c r="F3413" s="9" t="s">
        <v>1346</v>
      </c>
      <c r="G3413" s="9">
        <v>83</v>
      </c>
      <c r="H3413" s="5" t="s">
        <v>21</v>
      </c>
      <c r="I3413" s="5" t="s">
        <v>8746</v>
      </c>
      <c r="J3413" s="12" t="str">
        <f>HYPERLINK("https://www.boe.es/gazeta/dias/1808/07/06/pdfs/GMS-1808-11.pdf#page=3","Abrir facsímil")</f>
        <v>Abrir facsímil</v>
      </c>
      <c r="K3413" s="15" t="s">
        <v>23</v>
      </c>
    </row>
    <row r="3414" spans="1:11" ht="42" customHeight="1">
      <c r="A3414" s="4" t="s">
        <v>8747</v>
      </c>
      <c r="B3414" s="5" t="s">
        <v>8747</v>
      </c>
      <c r="C3414" s="5" t="s">
        <v>33</v>
      </c>
      <c r="D3414" s="5" t="s">
        <v>34</v>
      </c>
      <c r="E3414" s="5" t="s">
        <v>166</v>
      </c>
      <c r="F3414" s="9" t="s">
        <v>400</v>
      </c>
      <c r="G3414" s="9" t="s">
        <v>75</v>
      </c>
      <c r="H3414" s="5" t="s">
        <v>21</v>
      </c>
      <c r="I3414" s="5" t="s">
        <v>8748</v>
      </c>
      <c r="J3414" s="12" t="str">
        <f>HYPERLINK("https://www.boe.es/gazeta/dias/1808/11/18/pdfs/D00069-00072.pdf#page=4","Abrir facsímil")</f>
        <v>Abrir facsímil</v>
      </c>
      <c r="K3414" s="15" t="s">
        <v>23</v>
      </c>
    </row>
    <row r="3415" spans="1:11" ht="42" customHeight="1">
      <c r="A3415" s="4" t="s">
        <v>8749</v>
      </c>
      <c r="B3415" s="5" t="s">
        <v>8749</v>
      </c>
      <c r="C3415" s="5" t="s">
        <v>94</v>
      </c>
      <c r="D3415" s="5" t="s">
        <v>95</v>
      </c>
      <c r="E3415" s="5" t="s">
        <v>974</v>
      </c>
      <c r="F3415" s="9" t="s">
        <v>975</v>
      </c>
      <c r="G3415" s="9">
        <v>391</v>
      </c>
      <c r="H3415" s="5" t="s">
        <v>21</v>
      </c>
      <c r="I3415" s="5" t="s">
        <v>8750</v>
      </c>
      <c r="J3415" s="12" t="str">
        <f>HYPERLINK("https://www.boe.es/gazeta/dias/1808/04/19/pdfs/GMD-1808-37.pdf#page=7","Abrir facsímil")</f>
        <v>Abrir facsímil</v>
      </c>
      <c r="K3415" s="15" t="s">
        <v>23</v>
      </c>
    </row>
    <row r="3416" spans="1:11" ht="42" customHeight="1">
      <c r="A3416" s="4" t="s">
        <v>8751</v>
      </c>
      <c r="B3416" s="5" t="s">
        <v>8752</v>
      </c>
      <c r="C3416" s="5" t="s">
        <v>17</v>
      </c>
      <c r="D3416" s="5" t="s">
        <v>18</v>
      </c>
      <c r="E3416" s="5" t="s">
        <v>1385</v>
      </c>
      <c r="F3416" s="9" t="s">
        <v>1386</v>
      </c>
      <c r="G3416" s="9">
        <v>230</v>
      </c>
      <c r="H3416" s="5" t="s">
        <v>21</v>
      </c>
      <c r="I3416" s="5" t="s">
        <v>8753</v>
      </c>
      <c r="J3416" s="12" t="str">
        <f>HYPERLINK("https://www.boe.es/gazeta/dias/1808/03/04/pdfs/GMD-1808-19.pdf#page=8","Abrir facsímil")</f>
        <v>Abrir facsímil</v>
      </c>
      <c r="K3416" s="15" t="s">
        <v>23</v>
      </c>
    </row>
    <row r="3417" spans="1:11" ht="42" customHeight="1">
      <c r="A3417" s="4" t="s">
        <v>8754</v>
      </c>
      <c r="B3417" s="5" t="s">
        <v>8754</v>
      </c>
      <c r="C3417" s="5" t="s">
        <v>389</v>
      </c>
      <c r="D3417" s="5" t="s">
        <v>390</v>
      </c>
      <c r="E3417" s="5" t="s">
        <v>153</v>
      </c>
      <c r="F3417" s="9" t="s">
        <v>154</v>
      </c>
      <c r="G3417" s="9" t="s">
        <v>117</v>
      </c>
      <c r="H3417" s="5" t="s">
        <v>21</v>
      </c>
      <c r="I3417" s="5" t="s">
        <v>8755</v>
      </c>
      <c r="J3417" s="12" t="str">
        <f>HYPERLINK("https://www.boe.es/gazeta/dias/1808/09/09/pdfs/GMD-C-1808-121.pdf#page=1","Abrir facsímil")</f>
        <v>Abrir facsímil</v>
      </c>
      <c r="K3417" s="15" t="s">
        <v>23</v>
      </c>
    </row>
    <row r="3418" spans="1:11" ht="42" customHeight="1">
      <c r="A3418" s="4" t="s">
        <v>8756</v>
      </c>
      <c r="B3418" s="5" t="s">
        <v>8756</v>
      </c>
      <c r="C3418" s="5" t="s">
        <v>33</v>
      </c>
      <c r="D3418" s="5" t="s">
        <v>34</v>
      </c>
      <c r="E3418" s="5" t="s">
        <v>35</v>
      </c>
      <c r="F3418" s="9" t="s">
        <v>36</v>
      </c>
      <c r="G3418" s="9" t="s">
        <v>135</v>
      </c>
      <c r="H3418" s="5" t="s">
        <v>21</v>
      </c>
      <c r="I3418" s="5" t="s">
        <v>8757</v>
      </c>
      <c r="J3418" s="12" t="str">
        <f>HYPERLINK("https://www.boe.es/gazeta/dias/1808/04/22/pdfs/GMD-C-1808-38.pdf#page=26","Abrir facsímil")</f>
        <v>Abrir facsímil</v>
      </c>
      <c r="K3418" s="15" t="s">
        <v>23</v>
      </c>
    </row>
    <row r="3419" spans="1:11" ht="42" customHeight="1">
      <c r="A3419" s="4" t="s">
        <v>8758</v>
      </c>
      <c r="B3419" s="5" t="s">
        <v>8758</v>
      </c>
      <c r="C3419" s="5" t="s">
        <v>41</v>
      </c>
      <c r="D3419" s="5" t="s">
        <v>42</v>
      </c>
      <c r="E3419" s="5" t="s">
        <v>493</v>
      </c>
      <c r="F3419" s="9" t="s">
        <v>494</v>
      </c>
      <c r="G3419" s="9">
        <v>46</v>
      </c>
      <c r="H3419" s="5" t="s">
        <v>21</v>
      </c>
      <c r="I3419" s="5" t="s">
        <v>8759</v>
      </c>
      <c r="J3419" s="12" t="str">
        <f>HYPERLINK("https://www.boe.es/gazeta/dias/1808/01/12/pdfs/GMD-1808-4.pdf#page=10","Abrir facsímil")</f>
        <v>Abrir facsímil</v>
      </c>
      <c r="K3419" s="15" t="s">
        <v>23</v>
      </c>
    </row>
    <row r="3420" spans="1:11" ht="42" customHeight="1">
      <c r="A3420" s="4" t="s">
        <v>8760</v>
      </c>
      <c r="B3420" s="5" t="s">
        <v>8760</v>
      </c>
      <c r="C3420" s="5" t="s">
        <v>94</v>
      </c>
      <c r="D3420" s="5" t="s">
        <v>95</v>
      </c>
      <c r="E3420" s="5" t="s">
        <v>210</v>
      </c>
      <c r="F3420" s="9" t="s">
        <v>211</v>
      </c>
      <c r="G3420" s="9">
        <v>254</v>
      </c>
      <c r="H3420" s="5" t="s">
        <v>21</v>
      </c>
      <c r="I3420" s="5" t="s">
        <v>8761</v>
      </c>
      <c r="J3420" s="12" t="str">
        <f>HYPERLINK("https://www.boe.es/gazeta/dias/1808/03/11/pdfs/GMD-1808-21.pdf#page=8","Abrir facsímil")</f>
        <v>Abrir facsímil</v>
      </c>
      <c r="K3420" s="15" t="s">
        <v>23</v>
      </c>
    </row>
    <row r="3421" spans="1:11" ht="42" customHeight="1">
      <c r="A3421" s="4" t="s">
        <v>8762</v>
      </c>
      <c r="B3421" s="5" t="s">
        <v>8763</v>
      </c>
      <c r="C3421" s="5" t="s">
        <v>33</v>
      </c>
      <c r="D3421" s="5" t="s">
        <v>34</v>
      </c>
      <c r="E3421" s="5" t="s">
        <v>391</v>
      </c>
      <c r="F3421" s="9" t="s">
        <v>588</v>
      </c>
      <c r="G3421" s="9" t="s">
        <v>199</v>
      </c>
      <c r="H3421" s="5" t="s">
        <v>21</v>
      </c>
      <c r="I3421" s="5" t="s">
        <v>8764</v>
      </c>
      <c r="J3421" s="12" t="str">
        <f>HYPERLINK("https://www.boe.es/gazeta/dias/1808/09/27/pdfs/GMD-C-1808-128.pdf#page=2","Abrir facsímil")</f>
        <v>Abrir facsímil</v>
      </c>
      <c r="K3421" s="15" t="s">
        <v>23</v>
      </c>
    </row>
    <row r="3422" spans="1:11" ht="42" customHeight="1">
      <c r="A3422" s="4" t="s">
        <v>8765</v>
      </c>
      <c r="B3422" s="5" t="s">
        <v>8766</v>
      </c>
      <c r="C3422" s="5" t="s">
        <v>389</v>
      </c>
      <c r="D3422" s="5" t="s">
        <v>390</v>
      </c>
      <c r="E3422" s="5" t="s">
        <v>35</v>
      </c>
      <c r="F3422" s="9" t="s">
        <v>36</v>
      </c>
      <c r="G3422" s="9" t="s">
        <v>322</v>
      </c>
      <c r="H3422" s="5" t="s">
        <v>21</v>
      </c>
      <c r="I3422" s="5" t="s">
        <v>8767</v>
      </c>
      <c r="J3422" s="12" t="str">
        <f>HYPERLINK("https://www.boe.es/gazeta/dias/1808/04/22/pdfs/GMD-C-1808-38.pdf#page=15","Abrir facsímil")</f>
        <v>Abrir facsímil</v>
      </c>
      <c r="K3422" s="15" t="s">
        <v>23</v>
      </c>
    </row>
    <row r="3423" spans="1:11" ht="42" customHeight="1">
      <c r="A3423" s="4" t="s">
        <v>8768</v>
      </c>
      <c r="B3423" s="5" t="s">
        <v>8768</v>
      </c>
      <c r="C3423" s="5" t="s">
        <v>41</v>
      </c>
      <c r="D3423" s="5" t="s">
        <v>42</v>
      </c>
      <c r="E3423" s="5" t="s">
        <v>35</v>
      </c>
      <c r="F3423" s="9" t="s">
        <v>36</v>
      </c>
      <c r="G3423" s="9" t="s">
        <v>498</v>
      </c>
      <c r="H3423" s="5" t="s">
        <v>21</v>
      </c>
      <c r="I3423" s="5" t="s">
        <v>8769</v>
      </c>
      <c r="J3423" s="12" t="str">
        <f>HYPERLINK("https://www.boe.es/gazeta/dias/1808/04/22/pdfs/GMD-C-1808-38.pdf#page=22","Abrir facsímil")</f>
        <v>Abrir facsímil</v>
      </c>
      <c r="K3423" s="15" t="s">
        <v>23</v>
      </c>
    </row>
    <row r="3424" spans="1:11" ht="42" customHeight="1">
      <c r="A3424" s="4" t="s">
        <v>8770</v>
      </c>
      <c r="B3424" s="5" t="s">
        <v>8770</v>
      </c>
      <c r="C3424" s="5" t="s">
        <v>33</v>
      </c>
      <c r="D3424" s="5" t="s">
        <v>34</v>
      </c>
      <c r="E3424" s="5" t="s">
        <v>35</v>
      </c>
      <c r="F3424" s="9" t="s">
        <v>36</v>
      </c>
      <c r="G3424" s="9" t="s">
        <v>144</v>
      </c>
      <c r="H3424" s="5" t="s">
        <v>21</v>
      </c>
      <c r="I3424" s="5" t="s">
        <v>8771</v>
      </c>
      <c r="J3424" s="12" t="str">
        <f>HYPERLINK("https://www.boe.es/gazeta/dias/1808/04/22/pdfs/GMD-C-1808-38.pdf#page=40","Abrir facsímil")</f>
        <v>Abrir facsímil</v>
      </c>
      <c r="K3424" s="15" t="s">
        <v>23</v>
      </c>
    </row>
    <row r="3425" spans="1:11" ht="42" customHeight="1">
      <c r="A3425" s="4" t="s">
        <v>8772</v>
      </c>
      <c r="B3425" s="5" t="s">
        <v>8772</v>
      </c>
      <c r="C3425" s="5" t="s">
        <v>17</v>
      </c>
      <c r="D3425" s="5" t="s">
        <v>18</v>
      </c>
      <c r="E3425" s="5" t="s">
        <v>663</v>
      </c>
      <c r="F3425" s="9" t="s">
        <v>664</v>
      </c>
      <c r="G3425" s="9">
        <v>208</v>
      </c>
      <c r="H3425" s="5" t="s">
        <v>21</v>
      </c>
      <c r="I3425" s="5" t="s">
        <v>8773</v>
      </c>
      <c r="J3425" s="12" t="str">
        <f>HYPERLINK("https://www.boe.es/gazeta/dias/1808/02/26/pdfs/GMD-1808-17.pdf#page=10","Abrir facsímil")</f>
        <v>Abrir facsímil</v>
      </c>
      <c r="K3425" s="15" t="s">
        <v>23</v>
      </c>
    </row>
    <row r="3426" spans="1:11" ht="42" customHeight="1">
      <c r="A3426" s="4" t="s">
        <v>8774</v>
      </c>
      <c r="B3426" s="5" t="s">
        <v>8774</v>
      </c>
      <c r="C3426" s="5" t="s">
        <v>17</v>
      </c>
      <c r="D3426" s="5" t="s">
        <v>18</v>
      </c>
      <c r="E3426" s="5" t="s">
        <v>125</v>
      </c>
      <c r="F3426" s="9" t="s">
        <v>397</v>
      </c>
      <c r="G3426" s="9">
        <v>1269</v>
      </c>
      <c r="H3426" s="5" t="s">
        <v>21</v>
      </c>
      <c r="I3426" s="5" t="s">
        <v>8775</v>
      </c>
      <c r="J3426" s="12" t="str">
        <f>HYPERLINK("https://www.boe.es/gazeta/dias/1808/10/07/pdfs/GMD-1808-132.pdf#page=9","Abrir facsímil")</f>
        <v>Abrir facsímil</v>
      </c>
      <c r="K3426" s="15" t="s">
        <v>23</v>
      </c>
    </row>
    <row r="3427" spans="1:11" ht="42" customHeight="1">
      <c r="A3427" s="4" t="s">
        <v>8776</v>
      </c>
      <c r="B3427" s="5" t="s">
        <v>8777</v>
      </c>
      <c r="C3427" s="5" t="s">
        <v>17</v>
      </c>
      <c r="D3427" s="5" t="s">
        <v>18</v>
      </c>
      <c r="E3427" s="5" t="s">
        <v>461</v>
      </c>
      <c r="F3427" s="9" t="s">
        <v>733</v>
      </c>
      <c r="G3427" s="9">
        <v>1447</v>
      </c>
      <c r="H3427" s="5" t="s">
        <v>21</v>
      </c>
      <c r="I3427" s="5" t="s">
        <v>8778</v>
      </c>
      <c r="J3427" s="12" t="str">
        <f>HYPERLINK("https://www.boe.es/gazeta/dias/1808/11/08/pdfs/GMD-1808-142.pdf#page=9","Abrir facsímil")</f>
        <v>Abrir facsímil</v>
      </c>
      <c r="K3427" s="15" t="s">
        <v>23</v>
      </c>
    </row>
    <row r="3428" spans="1:11" ht="42" customHeight="1">
      <c r="A3428" s="4" t="s">
        <v>8779</v>
      </c>
      <c r="B3428" s="5" t="s">
        <v>8780</v>
      </c>
      <c r="C3428" s="5" t="s">
        <v>41</v>
      </c>
      <c r="D3428" s="5" t="s">
        <v>42</v>
      </c>
      <c r="E3428" s="5" t="s">
        <v>110</v>
      </c>
      <c r="F3428" s="9" t="s">
        <v>111</v>
      </c>
      <c r="G3428" s="9">
        <v>1384</v>
      </c>
      <c r="H3428" s="5" t="s">
        <v>21</v>
      </c>
      <c r="I3428" s="5" t="s">
        <v>8781</v>
      </c>
      <c r="J3428" s="12" t="str">
        <f>HYPERLINK("https://www.boe.es/gazeta/dias/1808/10/28/pdfs/GMD-1808-138.pdf#page=10","Abrir facsímil")</f>
        <v>Abrir facsímil</v>
      </c>
      <c r="K3428" s="15" t="s">
        <v>23</v>
      </c>
    </row>
    <row r="3429" spans="1:11" ht="42" customHeight="1">
      <c r="A3429" s="4" t="s">
        <v>8782</v>
      </c>
      <c r="B3429" s="5" t="s">
        <v>8783</v>
      </c>
      <c r="C3429" s="5" t="s">
        <v>94</v>
      </c>
      <c r="D3429" s="5" t="s">
        <v>95</v>
      </c>
      <c r="E3429" s="5" t="s">
        <v>203</v>
      </c>
      <c r="F3429" s="9" t="s">
        <v>204</v>
      </c>
      <c r="G3429" s="9">
        <v>141</v>
      </c>
      <c r="H3429" s="5" t="s">
        <v>21</v>
      </c>
      <c r="I3429" s="5" t="s">
        <v>8784</v>
      </c>
      <c r="J3429" s="12" t="str">
        <f>HYPERLINK("https://www.boe.es/gazeta/dias/1808/02/09/pdfs/GMD-1808-12.pdf#page=9","Abrir facsímil")</f>
        <v>Abrir facsímil</v>
      </c>
      <c r="K3429" s="15" t="s">
        <v>23</v>
      </c>
    </row>
    <row r="3430" spans="1:11" ht="42" customHeight="1">
      <c r="A3430" s="4" t="s">
        <v>8785</v>
      </c>
      <c r="B3430" s="5" t="s">
        <v>8786</v>
      </c>
      <c r="C3430" s="5" t="s">
        <v>94</v>
      </c>
      <c r="D3430" s="5" t="s">
        <v>95</v>
      </c>
      <c r="E3430" s="5" t="s">
        <v>2194</v>
      </c>
      <c r="F3430" s="9" t="s">
        <v>2195</v>
      </c>
      <c r="G3430" s="9">
        <v>344</v>
      </c>
      <c r="H3430" s="5" t="s">
        <v>21</v>
      </c>
      <c r="I3430" s="5" t="s">
        <v>8787</v>
      </c>
      <c r="J3430" s="12" t="str">
        <f>HYPERLINK("https://www.boe.es/gazeta/dias/1808/04/05/pdfs/GMD-C-1808-31.pdf#page=2","Abrir facsímil")</f>
        <v>Abrir facsímil</v>
      </c>
      <c r="K3430" s="15" t="s">
        <v>23</v>
      </c>
    </row>
    <row r="3431" spans="1:11" ht="42" customHeight="1">
      <c r="A3431" s="4" t="s">
        <v>8788</v>
      </c>
      <c r="B3431" s="5" t="s">
        <v>8789</v>
      </c>
      <c r="C3431" s="5" t="s">
        <v>33</v>
      </c>
      <c r="D3431" s="5" t="s">
        <v>34</v>
      </c>
      <c r="E3431" s="5" t="s">
        <v>418</v>
      </c>
      <c r="F3431" s="9" t="s">
        <v>419</v>
      </c>
      <c r="G3431" s="9">
        <v>1134</v>
      </c>
      <c r="H3431" s="5" t="s">
        <v>21</v>
      </c>
      <c r="I3431" s="5" t="s">
        <v>8790</v>
      </c>
      <c r="J3431" s="12" t="str">
        <f>HYPERLINK("https://www.boe.es/gazeta/dias/1808/09/06/pdfs/GMD-C-1808-120.pdf#page=8","Abrir facsímil")</f>
        <v>Abrir facsímil</v>
      </c>
      <c r="K3431" s="15" t="s">
        <v>23</v>
      </c>
    </row>
    <row r="3432" spans="1:11" ht="42" customHeight="1">
      <c r="A3432" s="4" t="s">
        <v>8791</v>
      </c>
      <c r="B3432" s="5" t="s">
        <v>8792</v>
      </c>
      <c r="C3432" s="5" t="s">
        <v>17</v>
      </c>
      <c r="D3432" s="5" t="s">
        <v>18</v>
      </c>
      <c r="E3432" s="5" t="s">
        <v>1258</v>
      </c>
      <c r="F3432" s="9" t="s">
        <v>1259</v>
      </c>
      <c r="G3432" s="9">
        <v>890</v>
      </c>
      <c r="H3432" s="5" t="s">
        <v>21</v>
      </c>
      <c r="I3432" s="5" t="s">
        <v>8793</v>
      </c>
      <c r="J3432" s="12" t="str">
        <f>HYPERLINK("https://www.boe.es/gazeta/dias/1808/07/25/pdfs/GMD-1808-97.pdf#page=4","Abrir facsímil")</f>
        <v>Abrir facsímil</v>
      </c>
      <c r="K3432" s="15" t="s">
        <v>23</v>
      </c>
    </row>
    <row r="3433" spans="1:11" ht="42" customHeight="1">
      <c r="A3433" s="4" t="s">
        <v>8794</v>
      </c>
      <c r="B3433" s="5" t="s">
        <v>8795</v>
      </c>
      <c r="C3433" s="5" t="s">
        <v>41</v>
      </c>
      <c r="D3433" s="5" t="s">
        <v>42</v>
      </c>
      <c r="E3433" s="5" t="s">
        <v>35</v>
      </c>
      <c r="F3433" s="9" t="s">
        <v>36</v>
      </c>
      <c r="G3433" s="9" t="s">
        <v>1128</v>
      </c>
      <c r="H3433" s="5" t="s">
        <v>21</v>
      </c>
      <c r="I3433" s="5" t="s">
        <v>8796</v>
      </c>
      <c r="J3433" s="12" t="str">
        <f>HYPERLINK("https://www.boe.es/gazeta/dias/1808/04/22/pdfs/GMD-C-1808-38.pdf#page=11","Abrir facsímil")</f>
        <v>Abrir facsímil</v>
      </c>
      <c r="K3433" s="15" t="s">
        <v>23</v>
      </c>
    </row>
    <row r="3434" spans="1:11" ht="42" customHeight="1">
      <c r="A3434" s="4" t="s">
        <v>8797</v>
      </c>
      <c r="B3434" s="5" t="s">
        <v>8798</v>
      </c>
      <c r="C3434" s="5" t="s">
        <v>17</v>
      </c>
      <c r="D3434" s="5" t="s">
        <v>18</v>
      </c>
      <c r="E3434" s="5" t="s">
        <v>427</v>
      </c>
      <c r="F3434" s="9" t="s">
        <v>1802</v>
      </c>
      <c r="G3434" s="9">
        <v>1526</v>
      </c>
      <c r="H3434" s="5" t="s">
        <v>21</v>
      </c>
      <c r="I3434" s="5" t="s">
        <v>8799</v>
      </c>
      <c r="J3434" s="12" t="str">
        <f>HYPERLINK("https://www.boe.es/gazeta/dias/1808/11/22/pdfs/GMD-1808-146.pdf#page=12","Abrir facsímil")</f>
        <v>Abrir facsímil</v>
      </c>
      <c r="K3434" s="15" t="s">
        <v>23</v>
      </c>
    </row>
    <row r="3435" spans="1:11" ht="42" customHeight="1">
      <c r="A3435" s="4" t="s">
        <v>8800</v>
      </c>
      <c r="B3435" s="5" t="s">
        <v>8801</v>
      </c>
      <c r="C3435" s="5" t="s">
        <v>33</v>
      </c>
      <c r="D3435" s="5" t="s">
        <v>34</v>
      </c>
      <c r="E3435" s="5" t="s">
        <v>65</v>
      </c>
      <c r="F3435" s="9" t="s">
        <v>105</v>
      </c>
      <c r="G3435" s="9" t="s">
        <v>75</v>
      </c>
      <c r="H3435" s="5" t="s">
        <v>21</v>
      </c>
      <c r="I3435" s="5" t="s">
        <v>8802</v>
      </c>
      <c r="J3435" s="12" t="str">
        <f>HYPERLINK("https://www.boe.es/gazeta/dias/1808/10/18/pdfs/GMD-D-1808-135.pdf#page=4","Abrir facsímil")</f>
        <v>Abrir facsímil</v>
      </c>
      <c r="K3435" s="15" t="s">
        <v>23</v>
      </c>
    </row>
    <row r="3436" spans="1:11" ht="42" customHeight="1">
      <c r="A3436" s="4" t="s">
        <v>8803</v>
      </c>
      <c r="B3436" s="5" t="s">
        <v>8804</v>
      </c>
      <c r="C3436" s="5" t="s">
        <v>94</v>
      </c>
      <c r="D3436" s="5" t="s">
        <v>95</v>
      </c>
      <c r="E3436" s="5" t="s">
        <v>991</v>
      </c>
      <c r="F3436" s="9" t="s">
        <v>992</v>
      </c>
      <c r="G3436" s="9">
        <v>212</v>
      </c>
      <c r="H3436" s="5" t="s">
        <v>21</v>
      </c>
      <c r="I3436" s="5" t="s">
        <v>8805</v>
      </c>
      <c r="J3436" s="12" t="str">
        <f>HYPERLINK("https://www.boe.es/gazeta/dias/1808/03/01/pdfs/GMD-1808-18.pdf#page=2","Abrir facsímil")</f>
        <v>Abrir facsímil</v>
      </c>
      <c r="K3436" s="15" t="s">
        <v>23</v>
      </c>
    </row>
    <row r="3437" spans="1:11" ht="42" customHeight="1">
      <c r="A3437" s="4" t="s">
        <v>8806</v>
      </c>
      <c r="B3437" s="5" t="s">
        <v>8807</v>
      </c>
      <c r="C3437" s="5" t="s">
        <v>17</v>
      </c>
      <c r="D3437" s="5" t="s">
        <v>18</v>
      </c>
      <c r="E3437" s="5" t="s">
        <v>130</v>
      </c>
      <c r="F3437" s="9" t="s">
        <v>131</v>
      </c>
      <c r="G3437" s="9">
        <v>1602</v>
      </c>
      <c r="H3437" s="5" t="s">
        <v>21</v>
      </c>
      <c r="I3437" s="5" t="s">
        <v>8808</v>
      </c>
      <c r="J3437" s="12" t="str">
        <f>HYPERLINK("https://www.boe.es/gazeta/dias/1808/12/15/pdfs/GMD-1808-155.pdf#page=6","Abrir facsímil")</f>
        <v>Abrir facsímil</v>
      </c>
      <c r="K3437" s="15" t="s">
        <v>23</v>
      </c>
    </row>
    <row r="3438" spans="1:11" ht="42" customHeight="1">
      <c r="A3438" s="4" t="s">
        <v>8809</v>
      </c>
      <c r="B3438" s="5" t="s">
        <v>8809</v>
      </c>
      <c r="C3438" s="5" t="s">
        <v>33</v>
      </c>
      <c r="D3438" s="5" t="s">
        <v>34</v>
      </c>
      <c r="E3438" s="5" t="s">
        <v>391</v>
      </c>
      <c r="F3438" s="9" t="s">
        <v>588</v>
      </c>
      <c r="G3438" s="9" t="s">
        <v>199</v>
      </c>
      <c r="H3438" s="5" t="s">
        <v>21</v>
      </c>
      <c r="I3438" s="5" t="s">
        <v>8810</v>
      </c>
      <c r="J3438" s="12" t="str">
        <f>HYPERLINK("https://www.boe.es/gazeta/dias/1808/09/27/pdfs/GMD-C-1808-128.pdf#page=2","Abrir facsímil")</f>
        <v>Abrir facsímil</v>
      </c>
      <c r="K3438" s="15" t="s">
        <v>23</v>
      </c>
    </row>
    <row r="3439" spans="1:11" ht="42" customHeight="1">
      <c r="A3439" s="4" t="s">
        <v>8811</v>
      </c>
      <c r="B3439" s="5" t="s">
        <v>8812</v>
      </c>
      <c r="C3439" s="5" t="s">
        <v>17</v>
      </c>
      <c r="D3439" s="5" t="s">
        <v>18</v>
      </c>
      <c r="E3439" s="5" t="s">
        <v>461</v>
      </c>
      <c r="F3439" s="9" t="s">
        <v>733</v>
      </c>
      <c r="G3439" s="9">
        <v>1447</v>
      </c>
      <c r="H3439" s="5" t="s">
        <v>21</v>
      </c>
      <c r="I3439" s="5" t="s">
        <v>8813</v>
      </c>
      <c r="J3439" s="12" t="str">
        <f>HYPERLINK("https://www.boe.es/gazeta/dias/1808/11/08/pdfs/GMD-1808-142.pdf#page=9","Abrir facsímil")</f>
        <v>Abrir facsímil</v>
      </c>
      <c r="K3439" s="15" t="s">
        <v>23</v>
      </c>
    </row>
    <row r="3440" spans="1:11" ht="42" customHeight="1">
      <c r="A3440" s="4" t="s">
        <v>8814</v>
      </c>
      <c r="B3440" s="5" t="s">
        <v>8815</v>
      </c>
      <c r="C3440" s="5" t="s">
        <v>41</v>
      </c>
      <c r="D3440" s="5" t="s">
        <v>42</v>
      </c>
      <c r="E3440" s="5" t="s">
        <v>35</v>
      </c>
      <c r="F3440" s="9" t="s">
        <v>36</v>
      </c>
      <c r="G3440" s="9" t="s">
        <v>43</v>
      </c>
      <c r="H3440" s="5" t="s">
        <v>21</v>
      </c>
      <c r="I3440" s="5" t="s">
        <v>8816</v>
      </c>
      <c r="J3440" s="12" t="str">
        <f>HYPERLINK("https://www.boe.es/gazeta/dias/1808/04/22/pdfs/GMD-C-1808-38.pdf#page=30","Abrir facsímil")</f>
        <v>Abrir facsímil</v>
      </c>
      <c r="K3440" s="15" t="s">
        <v>23</v>
      </c>
    </row>
    <row r="3441" spans="1:11" ht="42" customHeight="1">
      <c r="A3441" s="4" t="s">
        <v>8814</v>
      </c>
      <c r="B3441" s="5" t="s">
        <v>8815</v>
      </c>
      <c r="C3441" s="5" t="s">
        <v>41</v>
      </c>
      <c r="D3441" s="5" t="s">
        <v>42</v>
      </c>
      <c r="E3441" s="5" t="s">
        <v>35</v>
      </c>
      <c r="F3441" s="9" t="s">
        <v>36</v>
      </c>
      <c r="G3441" s="9" t="s">
        <v>4783</v>
      </c>
      <c r="H3441" s="5" t="s">
        <v>21</v>
      </c>
      <c r="I3441" s="5" t="s">
        <v>8817</v>
      </c>
      <c r="J3441" s="12" t="str">
        <f>HYPERLINK("https://www.boe.es/gazeta/dias/1808/04/22/pdfs/GMD-C-1808-38.pdf#page=36","Abrir facsímil")</f>
        <v>Abrir facsímil</v>
      </c>
      <c r="K3441" s="15" t="s">
        <v>23</v>
      </c>
    </row>
    <row r="3442" spans="1:11" ht="42" customHeight="1">
      <c r="A3442" s="4" t="s">
        <v>8818</v>
      </c>
      <c r="B3442" s="5" t="s">
        <v>8819</v>
      </c>
      <c r="C3442" s="5" t="s">
        <v>17</v>
      </c>
      <c r="D3442" s="5" t="s">
        <v>18</v>
      </c>
      <c r="E3442" s="5" t="s">
        <v>1194</v>
      </c>
      <c r="F3442" s="9" t="s">
        <v>1195</v>
      </c>
      <c r="G3442" s="9">
        <v>442</v>
      </c>
      <c r="H3442" s="5" t="s">
        <v>21</v>
      </c>
      <c r="I3442" s="5" t="s">
        <v>8820</v>
      </c>
      <c r="J3442" s="12" t="str">
        <f>HYPERLINK("https://www.boe.es/gazeta/dias/1808/05/10/pdfs/GMD-1808-45.pdf#page=2","Abrir facsímil")</f>
        <v>Abrir facsímil</v>
      </c>
      <c r="K3442" s="15" t="s">
        <v>23</v>
      </c>
    </row>
    <row r="3443" spans="1:11" ht="42" customHeight="1">
      <c r="A3443" s="4" t="s">
        <v>8818</v>
      </c>
      <c r="B3443" s="5" t="s">
        <v>8819</v>
      </c>
      <c r="C3443" s="5" t="s">
        <v>94</v>
      </c>
      <c r="D3443" s="5" t="s">
        <v>95</v>
      </c>
      <c r="E3443" s="5" t="s">
        <v>68</v>
      </c>
      <c r="F3443" s="9" t="s">
        <v>69</v>
      </c>
      <c r="G3443" s="9">
        <v>1338</v>
      </c>
      <c r="H3443" s="5" t="s">
        <v>21</v>
      </c>
      <c r="I3443" s="5" t="s">
        <v>8821</v>
      </c>
      <c r="J3443" s="12" t="str">
        <f>HYPERLINK("https://www.boe.es/gazeta/dias/1808/10/21/pdfs/GMD-1808-136.pdf#page=10","Abrir facsímil")</f>
        <v>Abrir facsímil</v>
      </c>
      <c r="K3443" s="15" t="s">
        <v>23</v>
      </c>
    </row>
    <row r="3444" spans="1:11" ht="42" customHeight="1">
      <c r="A3444" s="4" t="s">
        <v>8822</v>
      </c>
      <c r="B3444" s="5" t="s">
        <v>8823</v>
      </c>
      <c r="C3444" s="5" t="s">
        <v>17</v>
      </c>
      <c r="D3444" s="5" t="s">
        <v>18</v>
      </c>
      <c r="E3444" s="5" t="s">
        <v>256</v>
      </c>
      <c r="F3444" s="9" t="s">
        <v>257</v>
      </c>
      <c r="G3444" s="9">
        <v>528</v>
      </c>
      <c r="H3444" s="5" t="s">
        <v>21</v>
      </c>
      <c r="I3444" s="5" t="s">
        <v>8824</v>
      </c>
      <c r="J3444" s="12" t="str">
        <f>HYPERLINK("https://www.boe.es/gazeta/dias/1808/06/03/pdfs/GMD-1808-53.pdf#page=6","Abrir facsímil")</f>
        <v>Abrir facsímil</v>
      </c>
      <c r="K3444" s="15" t="s">
        <v>23</v>
      </c>
    </row>
    <row r="3445" spans="1:11" ht="42" customHeight="1">
      <c r="A3445" s="4" t="s">
        <v>8825</v>
      </c>
      <c r="B3445" s="5" t="s">
        <v>8826</v>
      </c>
      <c r="C3445" s="5" t="s">
        <v>33</v>
      </c>
      <c r="D3445" s="5" t="s">
        <v>34</v>
      </c>
      <c r="E3445" s="5" t="s">
        <v>35</v>
      </c>
      <c r="F3445" s="9" t="s">
        <v>36</v>
      </c>
      <c r="G3445" s="9" t="s">
        <v>814</v>
      </c>
      <c r="H3445" s="5" t="s">
        <v>21</v>
      </c>
      <c r="I3445" s="5" t="s">
        <v>8827</v>
      </c>
      <c r="J3445" s="12" t="str">
        <f>HYPERLINK("https://www.boe.es/gazeta/dias/1808/04/22/pdfs/GMD-C-1808-38.pdf#page=25","Abrir facsímil")</f>
        <v>Abrir facsímil</v>
      </c>
      <c r="K3445" s="15" t="s">
        <v>23</v>
      </c>
    </row>
    <row r="3446" spans="1:11" ht="42" customHeight="1">
      <c r="A3446" s="4" t="s">
        <v>8828</v>
      </c>
      <c r="B3446" s="5" t="s">
        <v>8829</v>
      </c>
      <c r="C3446" s="5" t="s">
        <v>33</v>
      </c>
      <c r="D3446" s="5" t="s">
        <v>34</v>
      </c>
      <c r="E3446" s="5" t="s">
        <v>427</v>
      </c>
      <c r="F3446" s="9" t="s">
        <v>428</v>
      </c>
      <c r="G3446" s="9" t="s">
        <v>106</v>
      </c>
      <c r="H3446" s="5" t="s">
        <v>21</v>
      </c>
      <c r="I3446" s="5" t="s">
        <v>8830</v>
      </c>
      <c r="J3446" s="12" t="str">
        <f>HYPERLINK("https://www.boe.es/gazeta/dias/1808/11/22/pdfs/GMD-D-1808-146.pdf#page=3","Abrir facsímil")</f>
        <v>Abrir facsímil</v>
      </c>
      <c r="K3446" s="15" t="s">
        <v>23</v>
      </c>
    </row>
    <row r="3447" spans="1:11" ht="42" customHeight="1">
      <c r="A3447" s="4" t="s">
        <v>8831</v>
      </c>
      <c r="B3447" s="5" t="s">
        <v>8831</v>
      </c>
      <c r="C3447" s="5" t="s">
        <v>33</v>
      </c>
      <c r="D3447" s="5" t="s">
        <v>34</v>
      </c>
      <c r="E3447" s="5" t="s">
        <v>35</v>
      </c>
      <c r="F3447" s="9" t="s">
        <v>36</v>
      </c>
      <c r="G3447" s="9" t="s">
        <v>867</v>
      </c>
      <c r="H3447" s="5" t="s">
        <v>21</v>
      </c>
      <c r="I3447" s="5" t="s">
        <v>8832</v>
      </c>
      <c r="J3447" s="12" t="str">
        <f>HYPERLINK("https://www.boe.es/gazeta/dias/1808/04/22/pdfs/GMD-C-1808-38.pdf#page=19","Abrir facsímil")</f>
        <v>Abrir facsímil</v>
      </c>
      <c r="K3447" s="15" t="s">
        <v>23</v>
      </c>
    </row>
    <row r="3448" spans="1:11" ht="42" customHeight="1">
      <c r="A3448" s="4" t="s">
        <v>8833</v>
      </c>
      <c r="B3448" s="5" t="s">
        <v>8834</v>
      </c>
      <c r="C3448" s="5" t="s">
        <v>41</v>
      </c>
      <c r="D3448" s="5" t="s">
        <v>42</v>
      </c>
      <c r="E3448" s="5" t="s">
        <v>339</v>
      </c>
      <c r="F3448" s="9" t="s">
        <v>340</v>
      </c>
      <c r="G3448" s="9">
        <v>83</v>
      </c>
      <c r="H3448" s="5" t="s">
        <v>21</v>
      </c>
      <c r="I3448" s="5" t="s">
        <v>8835</v>
      </c>
      <c r="J3448" s="12" t="str">
        <f>HYPERLINK("https://www.boe.es/gazeta/dias/1808/01/22/pdfs/GMD-1808-7.pdf#page=11","Abrir facsímil")</f>
        <v>Abrir facsímil</v>
      </c>
      <c r="K3448" s="15" t="s">
        <v>23</v>
      </c>
    </row>
    <row r="3449" spans="1:11" ht="42" customHeight="1">
      <c r="A3449" s="4" t="s">
        <v>8833</v>
      </c>
      <c r="B3449" s="5" t="s">
        <v>8834</v>
      </c>
      <c r="C3449" s="5" t="s">
        <v>41</v>
      </c>
      <c r="D3449" s="5" t="s">
        <v>42</v>
      </c>
      <c r="E3449" s="5" t="s">
        <v>478</v>
      </c>
      <c r="F3449" s="9" t="s">
        <v>479</v>
      </c>
      <c r="G3449" s="9">
        <v>243</v>
      </c>
      <c r="H3449" s="5" t="s">
        <v>21</v>
      </c>
      <c r="I3449" s="5" t="s">
        <v>8836</v>
      </c>
      <c r="J3449" s="12" t="str">
        <f>HYPERLINK("https://www.boe.es/gazeta/dias/1808/03/08/pdfs/GMD-1808-20.pdf#page=9","Abrir facsímil")</f>
        <v>Abrir facsímil</v>
      </c>
      <c r="K3449" s="15" t="s">
        <v>23</v>
      </c>
    </row>
    <row r="3450" spans="1:11" ht="42" customHeight="1">
      <c r="A3450" s="4" t="s">
        <v>8833</v>
      </c>
      <c r="B3450" s="5" t="s">
        <v>8834</v>
      </c>
      <c r="C3450" s="5" t="s">
        <v>41</v>
      </c>
      <c r="D3450" s="5" t="s">
        <v>42</v>
      </c>
      <c r="E3450" s="5" t="s">
        <v>513</v>
      </c>
      <c r="F3450" s="9" t="s">
        <v>514</v>
      </c>
      <c r="G3450" s="9">
        <v>287</v>
      </c>
      <c r="H3450" s="5" t="s">
        <v>21</v>
      </c>
      <c r="I3450" s="5" t="s">
        <v>8837</v>
      </c>
      <c r="J3450" s="12" t="str">
        <f>HYPERLINK("https://www.boe.es/gazeta/dias/1808/03/22/pdfs/GMD-1808-24.pdf#page=9","Abrir facsímil")</f>
        <v>Abrir facsímil</v>
      </c>
      <c r="K3450" s="15" t="s">
        <v>23</v>
      </c>
    </row>
    <row r="3451" spans="1:11" ht="42" customHeight="1">
      <c r="A3451" s="4" t="s">
        <v>8833</v>
      </c>
      <c r="B3451" s="5" t="s">
        <v>8834</v>
      </c>
      <c r="C3451" s="5" t="s">
        <v>41</v>
      </c>
      <c r="D3451" s="5" t="s">
        <v>42</v>
      </c>
      <c r="E3451" s="5" t="s">
        <v>35</v>
      </c>
      <c r="F3451" s="9" t="s">
        <v>3452</v>
      </c>
      <c r="G3451" s="9">
        <v>402</v>
      </c>
      <c r="H3451" s="5" t="s">
        <v>21</v>
      </c>
      <c r="I3451" s="5" t="s">
        <v>8838</v>
      </c>
      <c r="J3451" s="12" t="str">
        <f>HYPERLINK("https://www.boe.es/gazeta/dias/1808/04/22/pdfs/GMD-1808-38.pdf#page=10","Abrir facsímil")</f>
        <v>Abrir facsímil</v>
      </c>
      <c r="K3451" s="15" t="s">
        <v>23</v>
      </c>
    </row>
    <row r="3452" spans="1:11" ht="42" customHeight="1">
      <c r="A3452" s="4" t="s">
        <v>8833</v>
      </c>
      <c r="B3452" s="5" t="s">
        <v>8834</v>
      </c>
      <c r="C3452" s="5" t="s">
        <v>17</v>
      </c>
      <c r="D3452" s="5" t="s">
        <v>18</v>
      </c>
      <c r="E3452" s="5" t="s">
        <v>522</v>
      </c>
      <c r="F3452" s="9" t="s">
        <v>523</v>
      </c>
      <c r="G3452" s="9">
        <v>984</v>
      </c>
      <c r="H3452" s="5" t="s">
        <v>21</v>
      </c>
      <c r="I3452" s="5" t="s">
        <v>8839</v>
      </c>
      <c r="J3452" s="12" t="str">
        <f>HYPERLINK("https://www.boe.es/gazeta/dias/1808/08/07/pdfs/GMD-1808-110.pdf#page=6","Abrir facsímil")</f>
        <v>Abrir facsímil</v>
      </c>
      <c r="K3452" s="15" t="s">
        <v>23</v>
      </c>
    </row>
    <row r="3453" spans="1:11" ht="42" customHeight="1">
      <c r="A3453" s="4" t="s">
        <v>8833</v>
      </c>
      <c r="B3453" s="5" t="s">
        <v>8834</v>
      </c>
      <c r="C3453" s="5" t="s">
        <v>17</v>
      </c>
      <c r="D3453" s="5" t="s">
        <v>18</v>
      </c>
      <c r="E3453" s="5" t="s">
        <v>73</v>
      </c>
      <c r="F3453" s="9" t="s">
        <v>581</v>
      </c>
      <c r="G3453" s="9">
        <v>1467</v>
      </c>
      <c r="H3453" s="5" t="s">
        <v>21</v>
      </c>
      <c r="I3453" s="5" t="s">
        <v>8840</v>
      </c>
      <c r="J3453" s="12" t="str">
        <f>HYPERLINK("https://www.boe.es/gazeta/dias/1808/11/11/pdfs/GMD-1808-143.pdf#page=9","Abrir facsímil")</f>
        <v>Abrir facsímil</v>
      </c>
      <c r="K3453" s="15" t="s">
        <v>23</v>
      </c>
    </row>
    <row r="3454" spans="1:11" ht="42" customHeight="1">
      <c r="A3454" s="4" t="s">
        <v>8833</v>
      </c>
      <c r="B3454" s="5" t="s">
        <v>8834</v>
      </c>
      <c r="C3454" s="5" t="s">
        <v>41</v>
      </c>
      <c r="D3454" s="5" t="s">
        <v>42</v>
      </c>
      <c r="E3454" s="5" t="s">
        <v>73</v>
      </c>
      <c r="F3454" s="9" t="s">
        <v>581</v>
      </c>
      <c r="G3454" s="9">
        <v>1469</v>
      </c>
      <c r="H3454" s="5" t="s">
        <v>21</v>
      </c>
      <c r="I3454" s="5" t="s">
        <v>8841</v>
      </c>
      <c r="J3454" s="12" t="str">
        <f>HYPERLINK("https://www.boe.es/gazeta/dias/1808/11/11/pdfs/GMD-1808-143.pdf#page=11","Abrir facsímil")</f>
        <v>Abrir facsímil</v>
      </c>
      <c r="K3454" s="15" t="s">
        <v>23</v>
      </c>
    </row>
    <row r="3455" spans="1:11" ht="42" customHeight="1">
      <c r="A3455" s="4" t="s">
        <v>8842</v>
      </c>
      <c r="B3455" s="5" t="s">
        <v>8843</v>
      </c>
      <c r="C3455" s="5" t="s">
        <v>41</v>
      </c>
      <c r="D3455" s="5" t="s">
        <v>42</v>
      </c>
      <c r="E3455" s="5" t="s">
        <v>166</v>
      </c>
      <c r="F3455" s="9" t="s">
        <v>400</v>
      </c>
      <c r="G3455" s="9" t="s">
        <v>117</v>
      </c>
      <c r="H3455" s="5" t="s">
        <v>21</v>
      </c>
      <c r="I3455" s="5" t="s">
        <v>8844</v>
      </c>
      <c r="J3455" s="12" t="str">
        <f>HYPERLINK("https://www.boe.es/gazeta/dias/1808/11/18/pdfs/D00069-00072.pdf#page=1","Abrir facsímil")</f>
        <v>Abrir facsímil</v>
      </c>
      <c r="K3455" s="15" t="s">
        <v>23</v>
      </c>
    </row>
    <row r="3456" spans="1:11" ht="42" customHeight="1">
      <c r="A3456" s="4" t="s">
        <v>8845</v>
      </c>
      <c r="B3456" s="5" t="s">
        <v>8845</v>
      </c>
      <c r="C3456" s="5" t="s">
        <v>33</v>
      </c>
      <c r="D3456" s="5" t="s">
        <v>34</v>
      </c>
      <c r="E3456" s="5" t="s">
        <v>89</v>
      </c>
      <c r="F3456" s="9" t="s">
        <v>1247</v>
      </c>
      <c r="G3456" s="9">
        <v>1373</v>
      </c>
      <c r="H3456" s="5" t="s">
        <v>21</v>
      </c>
      <c r="I3456" s="5" t="s">
        <v>8846</v>
      </c>
      <c r="J3456" s="12" t="str">
        <f>HYPERLINK("https://www.boe.es/gazeta/dias/1808/10/25/pdfs/GMD-C-1808-137.pdf#page=9","Abrir facsímil")</f>
        <v>Abrir facsímil</v>
      </c>
      <c r="K3456" s="15" t="s">
        <v>23</v>
      </c>
    </row>
    <row r="3457" spans="1:11" ht="42" customHeight="1">
      <c r="A3457" s="4" t="s">
        <v>8847</v>
      </c>
      <c r="B3457" s="5" t="s">
        <v>8848</v>
      </c>
      <c r="C3457" s="5" t="s">
        <v>17</v>
      </c>
      <c r="D3457" s="5" t="s">
        <v>18</v>
      </c>
      <c r="E3457" s="5" t="s">
        <v>61</v>
      </c>
      <c r="F3457" s="9" t="s">
        <v>62</v>
      </c>
      <c r="G3457" s="9">
        <v>1285</v>
      </c>
      <c r="H3457" s="5" t="s">
        <v>21</v>
      </c>
      <c r="I3457" s="5" t="s">
        <v>8849</v>
      </c>
      <c r="J3457" s="12" t="str">
        <f>HYPERLINK("https://www.boe.es/gazeta/dias/1808/10/11/pdfs/GMD-1808-133.pdf#page=13","Abrir facsímil")</f>
        <v>Abrir facsímil</v>
      </c>
      <c r="K3457" s="15" t="s">
        <v>23</v>
      </c>
    </row>
    <row r="3458" spans="1:11" ht="42" customHeight="1">
      <c r="A3458" s="4" t="s">
        <v>8850</v>
      </c>
      <c r="B3458" s="5" t="s">
        <v>8851</v>
      </c>
      <c r="C3458" s="5" t="s">
        <v>33</v>
      </c>
      <c r="D3458" s="5" t="s">
        <v>34</v>
      </c>
      <c r="E3458" s="5" t="s">
        <v>35</v>
      </c>
      <c r="F3458" s="9" t="s">
        <v>36</v>
      </c>
      <c r="G3458" s="9" t="s">
        <v>144</v>
      </c>
      <c r="H3458" s="5" t="s">
        <v>21</v>
      </c>
      <c r="I3458" s="5" t="s">
        <v>8852</v>
      </c>
      <c r="J3458" s="12" t="str">
        <f>HYPERLINK("https://www.boe.es/gazeta/dias/1808/04/22/pdfs/GMD-C-1808-38.pdf#page=40","Abrir facsímil")</f>
        <v>Abrir facsímil</v>
      </c>
      <c r="K3458" s="15" t="s">
        <v>23</v>
      </c>
    </row>
    <row r="3459" spans="1:11" ht="42" customHeight="1">
      <c r="A3459" s="4" t="s">
        <v>8853</v>
      </c>
      <c r="B3459" s="5" t="s">
        <v>8854</v>
      </c>
      <c r="C3459" s="5" t="s">
        <v>33</v>
      </c>
      <c r="D3459" s="5" t="s">
        <v>34</v>
      </c>
      <c r="E3459" s="5" t="s">
        <v>28</v>
      </c>
      <c r="F3459" s="9" t="s">
        <v>446</v>
      </c>
      <c r="G3459" s="9" t="s">
        <v>106</v>
      </c>
      <c r="H3459" s="5" t="s">
        <v>21</v>
      </c>
      <c r="I3459" s="5" t="s">
        <v>8855</v>
      </c>
      <c r="J3459" s="12" t="str">
        <f>HYPERLINK("https://www.boe.es/gazeta/dias/1808/11/04/pdfs/GMD-D-1808-141.pdf#page=3","Abrir facsímil")</f>
        <v>Abrir facsímil</v>
      </c>
      <c r="K3459" s="15" t="s">
        <v>23</v>
      </c>
    </row>
    <row r="3460" spans="1:11" ht="42" customHeight="1">
      <c r="A3460" s="4" t="s">
        <v>8856</v>
      </c>
      <c r="B3460" s="5" t="s">
        <v>8857</v>
      </c>
      <c r="C3460" s="5" t="s">
        <v>94</v>
      </c>
      <c r="D3460" s="5" t="s">
        <v>95</v>
      </c>
      <c r="E3460" s="5" t="s">
        <v>1671</v>
      </c>
      <c r="F3460" s="9" t="s">
        <v>1672</v>
      </c>
      <c r="G3460" s="9">
        <v>484</v>
      </c>
      <c r="H3460" s="5" t="s">
        <v>21</v>
      </c>
      <c r="I3460" s="5" t="s">
        <v>8858</v>
      </c>
      <c r="J3460" s="12" t="str">
        <f>HYPERLINK("https://www.boe.es/gazeta/dias/1808/05/20/pdfs/GMD-1808-48.pdf#page=12","Abrir facsímil")</f>
        <v>Abrir facsímil</v>
      </c>
      <c r="K3460" s="15" t="s">
        <v>23</v>
      </c>
    </row>
    <row r="3461" spans="1:11" ht="42" customHeight="1">
      <c r="A3461" s="4" t="s">
        <v>8856</v>
      </c>
      <c r="B3461" s="5" t="s">
        <v>8857</v>
      </c>
      <c r="C3461" s="5" t="s">
        <v>26</v>
      </c>
      <c r="D3461" s="5" t="s">
        <v>27</v>
      </c>
      <c r="E3461" s="5" t="s">
        <v>28</v>
      </c>
      <c r="F3461" s="9" t="s">
        <v>446</v>
      </c>
      <c r="G3461" s="9" t="s">
        <v>106</v>
      </c>
      <c r="H3461" s="5" t="s">
        <v>21</v>
      </c>
      <c r="I3461" s="5" t="s">
        <v>8859</v>
      </c>
      <c r="J3461" s="12" t="str">
        <f>HYPERLINK("https://www.boe.es/gazeta/dias/1808/11/04/pdfs/GMD-D-1808-141.pdf#page=3","Abrir facsímil")</f>
        <v>Abrir facsímil</v>
      </c>
      <c r="K3461" s="15" t="s">
        <v>23</v>
      </c>
    </row>
    <row r="3462" spans="1:11" ht="42" customHeight="1">
      <c r="A3462" s="4" t="s">
        <v>8860</v>
      </c>
      <c r="B3462" s="5" t="s">
        <v>8861</v>
      </c>
      <c r="C3462" s="5" t="s">
        <v>260</v>
      </c>
      <c r="D3462" s="5" t="s">
        <v>42</v>
      </c>
      <c r="E3462" s="5" t="s">
        <v>115</v>
      </c>
      <c r="F3462" s="9" t="s">
        <v>1650</v>
      </c>
      <c r="G3462" s="9">
        <v>1177</v>
      </c>
      <c r="H3462" s="5" t="s">
        <v>21</v>
      </c>
      <c r="I3462" s="5" t="s">
        <v>8862</v>
      </c>
      <c r="J3462" s="12" t="str">
        <f>HYPERLINK("https://www.boe.es/gazeta/dias/1808/09/16/pdfs/GMD-1808-125.pdf#page=9","Abrir facsímil")</f>
        <v>Abrir facsímil</v>
      </c>
      <c r="K3462" s="15" t="s">
        <v>23</v>
      </c>
    </row>
    <row r="3463" spans="1:11" ht="42" customHeight="1">
      <c r="A3463" s="4" t="s">
        <v>8860</v>
      </c>
      <c r="B3463" s="5" t="s">
        <v>8861</v>
      </c>
      <c r="C3463" s="5" t="s">
        <v>33</v>
      </c>
      <c r="D3463" s="5" t="s">
        <v>34</v>
      </c>
      <c r="E3463" s="5" t="s">
        <v>363</v>
      </c>
      <c r="F3463" s="9" t="s">
        <v>364</v>
      </c>
      <c r="G3463" s="9" t="s">
        <v>117</v>
      </c>
      <c r="H3463" s="5" t="s">
        <v>21</v>
      </c>
      <c r="I3463" s="5" t="s">
        <v>8863</v>
      </c>
      <c r="J3463" s="12" t="str">
        <f>HYPERLINK("https://www.boe.es/gazeta/dias/1808/09/20/pdfs/GMD-C-1808-126.pdf#page=1","Abrir facsímil")</f>
        <v>Abrir facsímil</v>
      </c>
      <c r="K3463" s="15" t="s">
        <v>23</v>
      </c>
    </row>
    <row r="3464" spans="1:11" ht="42" customHeight="1">
      <c r="A3464" s="4" t="s">
        <v>8864</v>
      </c>
      <c r="B3464" s="5" t="s">
        <v>8865</v>
      </c>
      <c r="C3464" s="5" t="s">
        <v>41</v>
      </c>
      <c r="D3464" s="5" t="s">
        <v>42</v>
      </c>
      <c r="E3464" s="5" t="s">
        <v>180</v>
      </c>
      <c r="F3464" s="9" t="s">
        <v>768</v>
      </c>
      <c r="G3464" s="9" t="s">
        <v>199</v>
      </c>
      <c r="H3464" s="5" t="s">
        <v>21</v>
      </c>
      <c r="I3464" s="5" t="s">
        <v>8866</v>
      </c>
      <c r="J3464" s="12" t="str">
        <f>HYPERLINK("https://www.boe.es/gazeta/dias/1808/11/15/pdfs/GMD-D-1808-144.pdf#page=2","Abrir facsímil")</f>
        <v>Abrir facsímil</v>
      </c>
      <c r="K3464" s="15" t="s">
        <v>23</v>
      </c>
    </row>
    <row r="3465" spans="1:11" ht="42" customHeight="1">
      <c r="A3465" s="4" t="s">
        <v>8867</v>
      </c>
      <c r="B3465" s="5" t="s">
        <v>8868</v>
      </c>
      <c r="C3465" s="5" t="s">
        <v>260</v>
      </c>
      <c r="D3465" s="5" t="s">
        <v>42</v>
      </c>
      <c r="E3465" s="5" t="s">
        <v>96</v>
      </c>
      <c r="F3465" s="9" t="s">
        <v>97</v>
      </c>
      <c r="G3465" s="9">
        <v>265</v>
      </c>
      <c r="H3465" s="5" t="s">
        <v>21</v>
      </c>
      <c r="I3465" s="5" t="s">
        <v>8869</v>
      </c>
      <c r="J3465" s="12" t="str">
        <f>HYPERLINK("https://www.boe.es/gazeta/dias/1808/03/15/pdfs/GMD-1808-22.pdf#page=7","Abrir facsímil")</f>
        <v>Abrir facsímil</v>
      </c>
      <c r="K3465" s="15" t="s">
        <v>23</v>
      </c>
    </row>
    <row r="3466" spans="1:11" ht="42" customHeight="1">
      <c r="A3466" s="4" t="s">
        <v>8870</v>
      </c>
      <c r="B3466" s="5" t="s">
        <v>8871</v>
      </c>
      <c r="C3466" s="5" t="s">
        <v>17</v>
      </c>
      <c r="D3466" s="5" t="s">
        <v>18</v>
      </c>
      <c r="E3466" s="5" t="s">
        <v>242</v>
      </c>
      <c r="F3466" s="9" t="s">
        <v>243</v>
      </c>
      <c r="G3466" s="9">
        <v>11</v>
      </c>
      <c r="H3466" s="5" t="s">
        <v>21</v>
      </c>
      <c r="I3466" s="5" t="s">
        <v>8872</v>
      </c>
      <c r="J3466" s="12" t="str">
        <f>HYPERLINK("https://www.boe.es/gazeta/dias/1808/01/01/pdfs/GMD-1808-1.pdf#page=11","Abrir facsímil")</f>
        <v>Abrir facsímil</v>
      </c>
      <c r="K3466" s="15" t="s">
        <v>23</v>
      </c>
    </row>
    <row r="3467" spans="1:11" ht="42" customHeight="1">
      <c r="A3467" s="4" t="s">
        <v>8870</v>
      </c>
      <c r="B3467" s="5" t="s">
        <v>8871</v>
      </c>
      <c r="C3467" s="5" t="s">
        <v>94</v>
      </c>
      <c r="D3467" s="5" t="s">
        <v>95</v>
      </c>
      <c r="E3467" s="5" t="s">
        <v>215</v>
      </c>
      <c r="F3467" s="9" t="s">
        <v>216</v>
      </c>
      <c r="G3467" s="9">
        <v>298</v>
      </c>
      <c r="H3467" s="5" t="s">
        <v>21</v>
      </c>
      <c r="I3467" s="5" t="s">
        <v>8873</v>
      </c>
      <c r="J3467" s="12" t="str">
        <f>HYPERLINK("https://www.boe.es/gazeta/dias/1808/03/25/pdfs/GMD-1808-25.pdf#page=8","Abrir facsímil")</f>
        <v>Abrir facsímil</v>
      </c>
      <c r="K3467" s="15" t="s">
        <v>23</v>
      </c>
    </row>
    <row r="3468" spans="1:11" ht="42" customHeight="1">
      <c r="A3468" s="4" t="s">
        <v>8870</v>
      </c>
      <c r="B3468" s="5" t="s">
        <v>8871</v>
      </c>
      <c r="C3468" s="5" t="s">
        <v>17</v>
      </c>
      <c r="D3468" s="5" t="s">
        <v>18</v>
      </c>
      <c r="E3468" s="5" t="s">
        <v>1210</v>
      </c>
      <c r="F3468" s="9" t="s">
        <v>1211</v>
      </c>
      <c r="G3468" s="9">
        <v>454</v>
      </c>
      <c r="H3468" s="5" t="s">
        <v>21</v>
      </c>
      <c r="I3468" s="5" t="s">
        <v>8874</v>
      </c>
      <c r="J3468" s="12" t="str">
        <f>HYPERLINK("https://www.boe.es/gazeta/dias/1808/05/13/pdfs/GMD-1808-46.pdf#page=6","Abrir facsímil")</f>
        <v>Abrir facsímil</v>
      </c>
      <c r="K3468" s="15" t="s">
        <v>23</v>
      </c>
    </row>
    <row r="3469" spans="1:11" ht="42" customHeight="1">
      <c r="A3469" s="4" t="s">
        <v>8870</v>
      </c>
      <c r="B3469" s="5" t="s">
        <v>8871</v>
      </c>
      <c r="C3469" s="5" t="s">
        <v>17</v>
      </c>
      <c r="D3469" s="5" t="s">
        <v>18</v>
      </c>
      <c r="E3469" s="5" t="s">
        <v>8875</v>
      </c>
      <c r="F3469" s="9" t="s">
        <v>8876</v>
      </c>
      <c r="G3469" s="9">
        <v>881</v>
      </c>
      <c r="H3469" s="5" t="s">
        <v>21</v>
      </c>
      <c r="I3469" s="5" t="s">
        <v>8877</v>
      </c>
      <c r="J3469" s="12" t="str">
        <f>HYPERLINK("https://www.boe.es/gazeta/dias/1808/07/24/pdfs/GMD-1808-96.pdf#page=3","Abrir facsímil")</f>
        <v>Abrir facsímil</v>
      </c>
      <c r="K3469" s="15" t="s">
        <v>23</v>
      </c>
    </row>
    <row r="3470" spans="1:11" ht="42" customHeight="1">
      <c r="A3470" s="4" t="s">
        <v>8870</v>
      </c>
      <c r="B3470" s="5" t="s">
        <v>8871</v>
      </c>
      <c r="C3470" s="5" t="s">
        <v>389</v>
      </c>
      <c r="D3470" s="5" t="s">
        <v>390</v>
      </c>
      <c r="E3470" s="5" t="s">
        <v>418</v>
      </c>
      <c r="F3470" s="9" t="s">
        <v>419</v>
      </c>
      <c r="G3470" s="9">
        <v>1133</v>
      </c>
      <c r="H3470" s="5" t="s">
        <v>21</v>
      </c>
      <c r="I3470" s="5" t="s">
        <v>8878</v>
      </c>
      <c r="J3470" s="12" t="str">
        <f>HYPERLINK("https://www.boe.es/gazeta/dias/1808/09/06/pdfs/GMD-C-1808-120.pdf#page=7","Abrir facsímil")</f>
        <v>Abrir facsímil</v>
      </c>
      <c r="K3470" s="15" t="s">
        <v>23</v>
      </c>
    </row>
    <row r="3471" spans="1:11" ht="42" customHeight="1">
      <c r="A3471" s="4" t="s">
        <v>8870</v>
      </c>
      <c r="B3471" s="5" t="s">
        <v>8871</v>
      </c>
      <c r="C3471" s="5" t="s">
        <v>33</v>
      </c>
      <c r="D3471" s="5" t="s">
        <v>34</v>
      </c>
      <c r="E3471" s="5" t="s">
        <v>334</v>
      </c>
      <c r="F3471" s="9" t="s">
        <v>335</v>
      </c>
      <c r="G3471" s="9">
        <v>1256</v>
      </c>
      <c r="H3471" s="5" t="s">
        <v>21</v>
      </c>
      <c r="I3471" s="5" t="s">
        <v>8879</v>
      </c>
      <c r="J3471" s="12" t="str">
        <f>HYPERLINK("https://www.boe.es/gazeta/dias/1808/10/04/pdfs/GMD-C-1808-131.pdf#page=8","Abrir facsímil")</f>
        <v>Abrir facsímil</v>
      </c>
      <c r="K3471" s="15" t="s">
        <v>23</v>
      </c>
    </row>
    <row r="3472" spans="1:11" ht="42" customHeight="1">
      <c r="A3472" s="4" t="s">
        <v>8870</v>
      </c>
      <c r="B3472" s="5" t="s">
        <v>8871</v>
      </c>
      <c r="C3472" s="5" t="s">
        <v>17</v>
      </c>
      <c r="D3472" s="5" t="s">
        <v>18</v>
      </c>
      <c r="E3472" s="5" t="s">
        <v>110</v>
      </c>
      <c r="F3472" s="9" t="s">
        <v>111</v>
      </c>
      <c r="G3472" s="9">
        <v>1384</v>
      </c>
      <c r="H3472" s="5" t="s">
        <v>21</v>
      </c>
      <c r="I3472" s="5" t="s">
        <v>8880</v>
      </c>
      <c r="J3472" s="12" t="str">
        <f>HYPERLINK("https://www.boe.es/gazeta/dias/1808/10/28/pdfs/GMD-1808-138.pdf#page=10","Abrir facsímil")</f>
        <v>Abrir facsímil</v>
      </c>
      <c r="K3472" s="15" t="s">
        <v>23</v>
      </c>
    </row>
    <row r="3473" spans="1:11" ht="42" customHeight="1">
      <c r="A3473" s="4" t="s">
        <v>8881</v>
      </c>
      <c r="B3473" s="5" t="s">
        <v>8882</v>
      </c>
      <c r="C3473" s="5" t="s">
        <v>33</v>
      </c>
      <c r="D3473" s="5" t="s">
        <v>34</v>
      </c>
      <c r="E3473" s="5" t="s">
        <v>35</v>
      </c>
      <c r="F3473" s="9" t="s">
        <v>36</v>
      </c>
      <c r="G3473" s="9" t="s">
        <v>1006</v>
      </c>
      <c r="H3473" s="5" t="s">
        <v>21</v>
      </c>
      <c r="I3473" s="5" t="s">
        <v>8883</v>
      </c>
      <c r="J3473" s="12" t="str">
        <f>HYPERLINK("https://www.boe.es/gazeta/dias/1808/04/22/pdfs/GMD-C-1808-38.pdf#page=46","Abrir facsímil")</f>
        <v>Abrir facsímil</v>
      </c>
      <c r="K3473" s="15" t="s">
        <v>23</v>
      </c>
    </row>
    <row r="3474" spans="1:11" ht="42" customHeight="1">
      <c r="A3474" s="4" t="s">
        <v>8884</v>
      </c>
      <c r="B3474" s="5" t="s">
        <v>8885</v>
      </c>
      <c r="C3474" s="5" t="s">
        <v>33</v>
      </c>
      <c r="D3474" s="5" t="s">
        <v>34</v>
      </c>
      <c r="E3474" s="5" t="s">
        <v>35</v>
      </c>
      <c r="F3474" s="9" t="s">
        <v>36</v>
      </c>
      <c r="G3474" s="9" t="s">
        <v>299</v>
      </c>
      <c r="H3474" s="5" t="s">
        <v>21</v>
      </c>
      <c r="I3474" s="5" t="s">
        <v>8886</v>
      </c>
      <c r="J3474" s="12" t="str">
        <f>HYPERLINK("https://www.boe.es/gazeta/dias/1808/04/22/pdfs/GMD-C-1808-38.pdf#page=14","Abrir facsímil")</f>
        <v>Abrir facsímil</v>
      </c>
      <c r="K3474" s="15" t="s">
        <v>23</v>
      </c>
    </row>
    <row r="3475" spans="1:11" ht="42" customHeight="1">
      <c r="A3475" s="4" t="s">
        <v>8887</v>
      </c>
      <c r="B3475" s="5" t="s">
        <v>8888</v>
      </c>
      <c r="C3475" s="5" t="s">
        <v>33</v>
      </c>
      <c r="D3475" s="5" t="s">
        <v>34</v>
      </c>
      <c r="E3475" s="5" t="s">
        <v>89</v>
      </c>
      <c r="F3475" s="9" t="s">
        <v>563</v>
      </c>
      <c r="G3475" s="9" t="s">
        <v>75</v>
      </c>
      <c r="H3475" s="5" t="s">
        <v>21</v>
      </c>
      <c r="I3475" s="5" t="s">
        <v>8889</v>
      </c>
      <c r="J3475" s="12" t="str">
        <f>HYPERLINK("https://www.boe.es/gazeta/dias/1808/10/25/pdfs/GMD-D-1808-137.pdf#page=4","Abrir facsímil")</f>
        <v>Abrir facsímil</v>
      </c>
      <c r="K3475" s="15" t="s">
        <v>23</v>
      </c>
    </row>
    <row r="3476" spans="1:11" ht="42" customHeight="1">
      <c r="A3476" s="4" t="s">
        <v>8890</v>
      </c>
      <c r="B3476" s="5" t="s">
        <v>8891</v>
      </c>
      <c r="C3476" s="5" t="s">
        <v>33</v>
      </c>
      <c r="D3476" s="5" t="s">
        <v>34</v>
      </c>
      <c r="E3476" s="5" t="s">
        <v>35</v>
      </c>
      <c r="F3476" s="9" t="s">
        <v>36</v>
      </c>
      <c r="G3476" s="9" t="s">
        <v>4783</v>
      </c>
      <c r="H3476" s="5" t="s">
        <v>21</v>
      </c>
      <c r="I3476" s="5" t="s">
        <v>8892</v>
      </c>
      <c r="J3476" s="12" t="str">
        <f>HYPERLINK("https://www.boe.es/gazeta/dias/1808/04/22/pdfs/GMD-C-1808-38.pdf#page=36","Abrir facsímil")</f>
        <v>Abrir facsímil</v>
      </c>
      <c r="K3476" s="15" t="s">
        <v>23</v>
      </c>
    </row>
    <row r="3477" spans="1:11" ht="42" customHeight="1">
      <c r="A3477" s="4" t="s">
        <v>8893</v>
      </c>
      <c r="B3477" s="5" t="s">
        <v>8894</v>
      </c>
      <c r="C3477" s="5" t="s">
        <v>17</v>
      </c>
      <c r="D3477" s="5" t="s">
        <v>18</v>
      </c>
      <c r="E3477" s="5" t="s">
        <v>3365</v>
      </c>
      <c r="F3477" s="9" t="s">
        <v>3366</v>
      </c>
      <c r="G3477" s="9">
        <v>122</v>
      </c>
      <c r="H3477" s="5" t="s">
        <v>21</v>
      </c>
      <c r="I3477" s="5" t="s">
        <v>8895</v>
      </c>
      <c r="J3477" s="12" t="str">
        <f>HYPERLINK("https://www.boe.es/gazeta/dias/1808/07/23/pdfs/GMS-1808-16.pdf#page=2","Abrir facsímil")</f>
        <v>Abrir facsímil</v>
      </c>
      <c r="K3477" s="15" t="s">
        <v>23</v>
      </c>
    </row>
    <row r="3478" spans="1:11" ht="42" customHeight="1">
      <c r="A3478" s="4" t="s">
        <v>8896</v>
      </c>
      <c r="B3478" s="5" t="s">
        <v>8897</v>
      </c>
      <c r="C3478" s="5" t="s">
        <v>17</v>
      </c>
      <c r="D3478" s="5" t="s">
        <v>18</v>
      </c>
      <c r="E3478" s="5" t="s">
        <v>215</v>
      </c>
      <c r="F3478" s="9" t="s">
        <v>216</v>
      </c>
      <c r="G3478" s="9">
        <v>300</v>
      </c>
      <c r="H3478" s="5" t="s">
        <v>21</v>
      </c>
      <c r="I3478" s="5" t="s">
        <v>8898</v>
      </c>
      <c r="J3478" s="12" t="str">
        <f>HYPERLINK("https://www.boe.es/gazeta/dias/1808/03/25/pdfs/GMD-1808-25.pdf#page=10","Abrir facsímil")</f>
        <v>Abrir facsímil</v>
      </c>
      <c r="K3478" s="15" t="s">
        <v>23</v>
      </c>
    </row>
    <row r="3479" spans="1:11" ht="42" customHeight="1">
      <c r="A3479" s="4" t="s">
        <v>8899</v>
      </c>
      <c r="B3479" s="5" t="s">
        <v>8900</v>
      </c>
      <c r="C3479" s="5" t="s">
        <v>41</v>
      </c>
      <c r="D3479" s="5" t="s">
        <v>42</v>
      </c>
      <c r="E3479" s="5" t="s">
        <v>35</v>
      </c>
      <c r="F3479" s="9" t="s">
        <v>36</v>
      </c>
      <c r="G3479" s="9" t="s">
        <v>281</v>
      </c>
      <c r="H3479" s="5" t="s">
        <v>21</v>
      </c>
      <c r="I3479" s="5" t="s">
        <v>8901</v>
      </c>
      <c r="J3479" s="12" t="str">
        <f>HYPERLINK("https://www.boe.es/gazeta/dias/1808/04/22/pdfs/GMD-C-1808-38.pdf#page=47","Abrir facsímil")</f>
        <v>Abrir facsímil</v>
      </c>
      <c r="K3479" s="15" t="s">
        <v>23</v>
      </c>
    </row>
    <row r="3480" spans="1:11" ht="42" customHeight="1">
      <c r="A3480" s="4" t="s">
        <v>8902</v>
      </c>
      <c r="B3480" s="5" t="s">
        <v>8902</v>
      </c>
      <c r="C3480" s="5" t="s">
        <v>17</v>
      </c>
      <c r="D3480" s="5" t="s">
        <v>18</v>
      </c>
      <c r="E3480" s="5" t="s">
        <v>110</v>
      </c>
      <c r="F3480" s="9" t="s">
        <v>111</v>
      </c>
      <c r="G3480" s="9">
        <v>1383</v>
      </c>
      <c r="H3480" s="5" t="s">
        <v>21</v>
      </c>
      <c r="I3480" s="5" t="s">
        <v>8903</v>
      </c>
      <c r="J3480" s="12" t="str">
        <f>HYPERLINK("https://www.boe.es/gazeta/dias/1808/10/28/pdfs/GMD-1808-138.pdf#page=9","Abrir facsímil")</f>
        <v>Abrir facsímil</v>
      </c>
      <c r="K3480" s="15" t="s">
        <v>23</v>
      </c>
    </row>
    <row r="3481" spans="1:11" ht="42" customHeight="1">
      <c r="A3481" s="4" t="s">
        <v>8904</v>
      </c>
      <c r="B3481" s="5" t="s">
        <v>8905</v>
      </c>
      <c r="C3481" s="5" t="s">
        <v>389</v>
      </c>
      <c r="D3481" s="5" t="s">
        <v>390</v>
      </c>
      <c r="E3481" s="5" t="s">
        <v>991</v>
      </c>
      <c r="F3481" s="9" t="s">
        <v>992</v>
      </c>
      <c r="G3481" s="9">
        <v>220</v>
      </c>
      <c r="H3481" s="5" t="s">
        <v>21</v>
      </c>
      <c r="I3481" s="5" t="s">
        <v>8906</v>
      </c>
      <c r="J3481" s="12" t="str">
        <f>HYPERLINK("https://www.boe.es/gazeta/dias/1808/03/01/pdfs/GMD-1808-18.pdf#page=10","Abrir facsímil")</f>
        <v>Abrir facsímil</v>
      </c>
      <c r="K3481" s="15" t="s">
        <v>23</v>
      </c>
    </row>
    <row r="3482" spans="1:11" ht="42" customHeight="1">
      <c r="A3482" s="4" t="s">
        <v>8907</v>
      </c>
      <c r="B3482" s="5" t="s">
        <v>8908</v>
      </c>
      <c r="C3482" s="5" t="s">
        <v>17</v>
      </c>
      <c r="D3482" s="5" t="s">
        <v>18</v>
      </c>
      <c r="E3482" s="5" t="s">
        <v>73</v>
      </c>
      <c r="F3482" s="9" t="s">
        <v>2883</v>
      </c>
      <c r="G3482" s="9">
        <v>382</v>
      </c>
      <c r="H3482" s="5" t="s">
        <v>21</v>
      </c>
      <c r="I3482" s="5" t="s">
        <v>8909</v>
      </c>
      <c r="J3482" s="12" t="str">
        <f>HYPERLINK("https://www.boe.es/gazeta/dias/1808/11/11/pdfs/GMS-1808-48.pdf#page=6","Abrir facsímil")</f>
        <v>Abrir facsímil</v>
      </c>
      <c r="K3482" s="15" t="s">
        <v>23</v>
      </c>
    </row>
    <row r="3483" spans="1:11" ht="42" customHeight="1">
      <c r="A3483" s="4" t="s">
        <v>8910</v>
      </c>
      <c r="B3483" s="5" t="s">
        <v>8911</v>
      </c>
      <c r="C3483" s="5" t="s">
        <v>17</v>
      </c>
      <c r="D3483" s="5" t="s">
        <v>18</v>
      </c>
      <c r="E3483" s="5" t="s">
        <v>558</v>
      </c>
      <c r="F3483" s="9" t="s">
        <v>559</v>
      </c>
      <c r="G3483" s="9">
        <v>1544</v>
      </c>
      <c r="H3483" s="5" t="s">
        <v>21</v>
      </c>
      <c r="I3483" s="5" t="s">
        <v>8912</v>
      </c>
      <c r="J3483" s="12" t="str">
        <f>HYPERLINK("https://www.boe.es/gazeta/dias/1808/11/25/pdfs/GMD-1808-147.pdf#page=10","Abrir facsímil")</f>
        <v>Abrir facsímil</v>
      </c>
      <c r="K3483" s="15" t="s">
        <v>23</v>
      </c>
    </row>
    <row r="3484" spans="1:11" ht="42" customHeight="1">
      <c r="A3484" s="4" t="s">
        <v>8913</v>
      </c>
      <c r="B3484" s="5" t="s">
        <v>8914</v>
      </c>
      <c r="C3484" s="5" t="s">
        <v>94</v>
      </c>
      <c r="D3484" s="5" t="s">
        <v>95</v>
      </c>
      <c r="E3484" s="5" t="s">
        <v>2143</v>
      </c>
      <c r="F3484" s="9" t="s">
        <v>2144</v>
      </c>
      <c r="G3484" s="9">
        <v>1218</v>
      </c>
      <c r="H3484" s="5" t="s">
        <v>21</v>
      </c>
      <c r="I3484" s="5" t="s">
        <v>8915</v>
      </c>
      <c r="J3484" s="12" t="str">
        <f>HYPERLINK("https://www.boe.es/gazeta/dias/1808/09/29/pdfs/GMD-1808-129E.pdf#page=2","Abrir facsímil")</f>
        <v>Abrir facsímil</v>
      </c>
      <c r="K3484" s="15" t="s">
        <v>23</v>
      </c>
    </row>
    <row r="3485" spans="1:11" ht="42" customHeight="1">
      <c r="A3485" s="4" t="s">
        <v>8916</v>
      </c>
      <c r="B3485" s="5" t="s">
        <v>8916</v>
      </c>
      <c r="C3485" s="5" t="s">
        <v>41</v>
      </c>
      <c r="D3485" s="5" t="s">
        <v>42</v>
      </c>
      <c r="E3485" s="5" t="s">
        <v>368</v>
      </c>
      <c r="F3485" s="9" t="s">
        <v>369</v>
      </c>
      <c r="G3485" s="9">
        <v>169</v>
      </c>
      <c r="H3485" s="5" t="s">
        <v>21</v>
      </c>
      <c r="I3485" s="5" t="s">
        <v>8917</v>
      </c>
      <c r="J3485" s="12" t="str">
        <f>HYPERLINK("https://www.boe.es/gazeta/dias/1808/02/16/pdfs/GMD-1808-14.pdf#page=11","Abrir facsímil")</f>
        <v>Abrir facsímil</v>
      </c>
      <c r="K3485" s="15" t="s">
        <v>23</v>
      </c>
    </row>
    <row r="3486" spans="1:11" ht="42" customHeight="1">
      <c r="A3486" s="4" t="s">
        <v>8918</v>
      </c>
      <c r="B3486" s="5" t="s">
        <v>8919</v>
      </c>
      <c r="C3486" s="5" t="s">
        <v>389</v>
      </c>
      <c r="D3486" s="5" t="s">
        <v>390</v>
      </c>
      <c r="E3486" s="5" t="s">
        <v>461</v>
      </c>
      <c r="F3486" s="9" t="s">
        <v>1404</v>
      </c>
      <c r="G3486" s="9">
        <v>1455</v>
      </c>
      <c r="H3486" s="5" t="s">
        <v>21</v>
      </c>
      <c r="I3486" s="5" t="s">
        <v>8920</v>
      </c>
      <c r="J3486" s="12" t="str">
        <f>HYPERLINK("https://www.boe.es/gazeta/dias/1808/11/08/pdfs/GMD-C-1808-142.pdf#page=5","Abrir facsímil")</f>
        <v>Abrir facsímil</v>
      </c>
      <c r="K3486" s="15" t="s">
        <v>23</v>
      </c>
    </row>
    <row r="3487" spans="1:11" ht="42" customHeight="1">
      <c r="A3487" s="4" t="s">
        <v>8921</v>
      </c>
      <c r="B3487" s="5" t="s">
        <v>8922</v>
      </c>
      <c r="C3487" s="5" t="s">
        <v>94</v>
      </c>
      <c r="D3487" s="5" t="s">
        <v>95</v>
      </c>
      <c r="E3487" s="5" t="s">
        <v>644</v>
      </c>
      <c r="F3487" s="9" t="s">
        <v>645</v>
      </c>
      <c r="G3487" s="9">
        <v>320</v>
      </c>
      <c r="H3487" s="5" t="s">
        <v>21</v>
      </c>
      <c r="I3487" s="5" t="s">
        <v>8923</v>
      </c>
      <c r="J3487" s="12" t="str">
        <f>HYPERLINK("https://www.boe.es/gazeta/dias/1808/03/31/pdfs/GMD-1808-28E.pdf#page=4","Abrir facsímil")</f>
        <v>Abrir facsímil</v>
      </c>
      <c r="K3487" s="15" t="s">
        <v>23</v>
      </c>
    </row>
    <row r="3488" spans="1:11" ht="42" customHeight="1">
      <c r="A3488" s="4" t="s">
        <v>8924</v>
      </c>
      <c r="B3488" s="5" t="s">
        <v>8924</v>
      </c>
      <c r="C3488" s="5" t="s">
        <v>41</v>
      </c>
      <c r="D3488" s="5" t="s">
        <v>42</v>
      </c>
      <c r="E3488" s="5" t="s">
        <v>3001</v>
      </c>
      <c r="F3488" s="9" t="s">
        <v>3002</v>
      </c>
      <c r="G3488" s="9">
        <v>1652</v>
      </c>
      <c r="H3488" s="5" t="s">
        <v>21</v>
      </c>
      <c r="I3488" s="5" t="s">
        <v>8925</v>
      </c>
      <c r="J3488" s="12" t="str">
        <f>HYPERLINK("https://www.boe.es/gazeta/dias/1808/12/21/pdfs/GMD-1808-161.pdf#page=2","Abrir facsímil")</f>
        <v>Abrir facsímil</v>
      </c>
      <c r="K3488" s="15" t="s">
        <v>23</v>
      </c>
    </row>
    <row r="3489" spans="1:11" ht="42" customHeight="1">
      <c r="A3489" s="4" t="s">
        <v>8924</v>
      </c>
      <c r="B3489" s="5" t="s">
        <v>8924</v>
      </c>
      <c r="C3489" s="5" t="s">
        <v>17</v>
      </c>
      <c r="D3489" s="5" t="s">
        <v>18</v>
      </c>
      <c r="E3489" s="5" t="s">
        <v>3001</v>
      </c>
      <c r="F3489" s="9" t="s">
        <v>3002</v>
      </c>
      <c r="G3489" s="9">
        <v>1653</v>
      </c>
      <c r="H3489" s="5" t="s">
        <v>21</v>
      </c>
      <c r="I3489" s="5" t="s">
        <v>8926</v>
      </c>
      <c r="J3489" s="12" t="str">
        <f>HYPERLINK("https://www.boe.es/gazeta/dias/1808/12/21/pdfs/GMD-1808-161.pdf#page=3","Abrir facsímil")</f>
        <v>Abrir facsímil</v>
      </c>
      <c r="K3489" s="15" t="s">
        <v>23</v>
      </c>
    </row>
    <row r="3490" spans="1:11" ht="42" customHeight="1">
      <c r="A3490" s="4" t="s">
        <v>8927</v>
      </c>
      <c r="B3490" s="5" t="s">
        <v>8927</v>
      </c>
      <c r="C3490" s="5" t="s">
        <v>101</v>
      </c>
      <c r="D3490" s="5" t="s">
        <v>102</v>
      </c>
      <c r="E3490" s="5" t="s">
        <v>6282</v>
      </c>
      <c r="F3490" s="9" t="s">
        <v>6283</v>
      </c>
      <c r="G3490" s="9">
        <v>650</v>
      </c>
      <c r="H3490" s="5" t="s">
        <v>21</v>
      </c>
      <c r="I3490" s="5" t="s">
        <v>8928</v>
      </c>
      <c r="J3490" s="12" t="str">
        <f>HYPERLINK("https://www.boe.es/gazeta/dias/1808/06/25/pdfs/GMD-1808-67.pdf#page=4","Abrir facsímil")</f>
        <v>Abrir facsímil</v>
      </c>
      <c r="K3490" s="15" t="s">
        <v>23</v>
      </c>
    </row>
    <row r="3491" spans="1:11" ht="42" customHeight="1">
      <c r="A3491" s="4" t="s">
        <v>8929</v>
      </c>
      <c r="B3491" s="5" t="s">
        <v>8930</v>
      </c>
      <c r="C3491" s="5" t="s">
        <v>33</v>
      </c>
      <c r="D3491" s="5" t="s">
        <v>34</v>
      </c>
      <c r="E3491" s="5" t="s">
        <v>197</v>
      </c>
      <c r="F3491" s="9" t="s">
        <v>198</v>
      </c>
      <c r="G3491" s="9" t="s">
        <v>106</v>
      </c>
      <c r="H3491" s="5" t="s">
        <v>21</v>
      </c>
      <c r="I3491" s="5" t="s">
        <v>8931</v>
      </c>
      <c r="J3491" s="12" t="str">
        <f>HYPERLINK("https://www.boe.es/gazeta/dias/1808/11/01/pdfs/GMD-D-1808-140.pdf#page=3","Abrir facsímil")</f>
        <v>Abrir facsímil</v>
      </c>
      <c r="K3491" s="15" t="s">
        <v>23</v>
      </c>
    </row>
    <row r="3492" spans="1:11" ht="42" customHeight="1">
      <c r="A3492" s="4" t="s">
        <v>8932</v>
      </c>
      <c r="B3492" s="5" t="s">
        <v>8933</v>
      </c>
      <c r="C3492" s="5" t="s">
        <v>94</v>
      </c>
      <c r="D3492" s="5" t="s">
        <v>95</v>
      </c>
      <c r="E3492" s="5" t="s">
        <v>558</v>
      </c>
      <c r="F3492" s="9" t="s">
        <v>758</v>
      </c>
      <c r="G3492" s="9" t="s">
        <v>75</v>
      </c>
      <c r="H3492" s="5" t="s">
        <v>21</v>
      </c>
      <c r="I3492" s="5" t="s">
        <v>8934</v>
      </c>
      <c r="J3492" s="12" t="str">
        <f>HYPERLINK("https://www.boe.es/gazeta/dias/1808/11/25/pdfs/GMD-E-1808-147.pdf#page=4","Abrir facsímil")</f>
        <v>Abrir facsímil</v>
      </c>
      <c r="K3492" s="15" t="s">
        <v>23</v>
      </c>
    </row>
    <row r="3493" spans="1:11" ht="42" customHeight="1">
      <c r="A3493" s="4" t="s">
        <v>8935</v>
      </c>
      <c r="B3493" s="5" t="s">
        <v>8936</v>
      </c>
      <c r="C3493" s="5" t="s">
        <v>260</v>
      </c>
      <c r="D3493" s="5" t="s">
        <v>42</v>
      </c>
      <c r="E3493" s="5" t="s">
        <v>516</v>
      </c>
      <c r="F3493" s="9" t="s">
        <v>517</v>
      </c>
      <c r="G3493" s="9">
        <v>602</v>
      </c>
      <c r="H3493" s="5" t="s">
        <v>21</v>
      </c>
      <c r="I3493" s="5" t="s">
        <v>8937</v>
      </c>
      <c r="J3493" s="12" t="str">
        <f>HYPERLINK("https://www.boe.es/gazeta/dias/1808/06/19/pdfs/GMD-1808-61.pdf#page=8","Abrir facsímil")</f>
        <v>Abrir facsímil</v>
      </c>
      <c r="K3493" s="15" t="s">
        <v>23</v>
      </c>
    </row>
    <row r="3494" spans="1:11" ht="42" customHeight="1">
      <c r="A3494" s="4" t="s">
        <v>8938</v>
      </c>
      <c r="B3494" s="5" t="s">
        <v>8939</v>
      </c>
      <c r="C3494" s="5" t="s">
        <v>17</v>
      </c>
      <c r="D3494" s="5" t="s">
        <v>18</v>
      </c>
      <c r="E3494" s="5" t="s">
        <v>461</v>
      </c>
      <c r="F3494" s="9" t="s">
        <v>733</v>
      </c>
      <c r="G3494" s="9">
        <v>1448</v>
      </c>
      <c r="H3494" s="5" t="s">
        <v>21</v>
      </c>
      <c r="I3494" s="5" t="s">
        <v>8940</v>
      </c>
      <c r="J3494" s="12" t="str">
        <f>HYPERLINK("https://www.boe.es/gazeta/dias/1808/11/08/pdfs/GMD-1808-142.pdf#page=10","Abrir facsímil")</f>
        <v>Abrir facsímil</v>
      </c>
      <c r="K3494" s="15" t="s">
        <v>23</v>
      </c>
    </row>
    <row r="3495" spans="1:11" ht="42" customHeight="1">
      <c r="A3495" s="4" t="s">
        <v>8941</v>
      </c>
      <c r="B3495" s="5" t="s">
        <v>8942</v>
      </c>
      <c r="C3495" s="5" t="s">
        <v>33</v>
      </c>
      <c r="D3495" s="5" t="s">
        <v>34</v>
      </c>
      <c r="E3495" s="5" t="s">
        <v>35</v>
      </c>
      <c r="F3495" s="9" t="s">
        <v>36</v>
      </c>
      <c r="G3495" s="9" t="s">
        <v>148</v>
      </c>
      <c r="H3495" s="5" t="s">
        <v>21</v>
      </c>
      <c r="I3495" s="5" t="s">
        <v>8943</v>
      </c>
      <c r="J3495" s="12" t="str">
        <f>HYPERLINK("https://www.boe.es/gazeta/dias/1808/04/22/pdfs/GMD-C-1808-38.pdf#page=38","Abrir facsímil")</f>
        <v>Abrir facsímil</v>
      </c>
      <c r="K3495" s="15" t="s">
        <v>23</v>
      </c>
    </row>
    <row r="3496" spans="1:11" ht="42" customHeight="1">
      <c r="A3496" s="4" t="s">
        <v>8944</v>
      </c>
      <c r="B3496" s="5" t="s">
        <v>8945</v>
      </c>
      <c r="C3496" s="5" t="s">
        <v>17</v>
      </c>
      <c r="D3496" s="5" t="s">
        <v>18</v>
      </c>
      <c r="E3496" s="5" t="s">
        <v>197</v>
      </c>
      <c r="F3496" s="9" t="s">
        <v>790</v>
      </c>
      <c r="G3496" s="9">
        <v>1405</v>
      </c>
      <c r="H3496" s="5" t="s">
        <v>21</v>
      </c>
      <c r="I3496" s="5" t="s">
        <v>8946</v>
      </c>
      <c r="J3496" s="12" t="str">
        <f>HYPERLINK("https://www.boe.es/gazeta/dias/1808/11/01/pdfs/GMD-1808-140.pdf#page=7","Abrir facsímil")</f>
        <v>Abrir facsímil</v>
      </c>
      <c r="K3496" s="15" t="s">
        <v>23</v>
      </c>
    </row>
    <row r="3497" spans="1:11" ht="42" customHeight="1">
      <c r="A3497" s="4" t="s">
        <v>8947</v>
      </c>
      <c r="B3497" s="5" t="s">
        <v>8947</v>
      </c>
      <c r="C3497" s="5" t="s">
        <v>101</v>
      </c>
      <c r="D3497" s="5" t="s">
        <v>102</v>
      </c>
      <c r="E3497" s="5" t="s">
        <v>919</v>
      </c>
      <c r="F3497" s="9" t="s">
        <v>920</v>
      </c>
      <c r="G3497" s="9">
        <v>489</v>
      </c>
      <c r="H3497" s="5" t="s">
        <v>21</v>
      </c>
      <c r="I3497" s="5" t="s">
        <v>8948</v>
      </c>
      <c r="J3497" s="12" t="str">
        <f>HYPERLINK("https://www.boe.es/gazeta/dias/1808/05/24/pdfs/GMD-1808-49.pdf#page=5","Abrir facsímil")</f>
        <v>Abrir facsímil</v>
      </c>
      <c r="K3497" s="15" t="s">
        <v>23</v>
      </c>
    </row>
    <row r="3498" spans="1:11" ht="42" customHeight="1">
      <c r="A3498" s="4" t="s">
        <v>8949</v>
      </c>
      <c r="B3498" s="5" t="s">
        <v>8950</v>
      </c>
      <c r="C3498" s="5" t="s">
        <v>17</v>
      </c>
      <c r="D3498" s="5" t="s">
        <v>18</v>
      </c>
      <c r="E3498" s="5" t="s">
        <v>553</v>
      </c>
      <c r="F3498" s="9" t="s">
        <v>3282</v>
      </c>
      <c r="G3498" s="9">
        <v>136</v>
      </c>
      <c r="H3498" s="5" t="s">
        <v>21</v>
      </c>
      <c r="I3498" s="5" t="s">
        <v>8951</v>
      </c>
      <c r="J3498" s="12" t="str">
        <f>HYPERLINK("https://www.boe.es/gazeta/dias/1808/07/27/pdfs/GMS-1808-17.pdf#page=8","Abrir facsímil")</f>
        <v>Abrir facsímil</v>
      </c>
      <c r="K3498" s="15" t="s">
        <v>23</v>
      </c>
    </row>
    <row r="3499" spans="1:11" ht="42" customHeight="1">
      <c r="A3499" s="4" t="s">
        <v>8952</v>
      </c>
      <c r="B3499" s="5" t="s">
        <v>8953</v>
      </c>
      <c r="C3499" s="5" t="s">
        <v>33</v>
      </c>
      <c r="D3499" s="5" t="s">
        <v>34</v>
      </c>
      <c r="E3499" s="5" t="s">
        <v>418</v>
      </c>
      <c r="F3499" s="9" t="s">
        <v>419</v>
      </c>
      <c r="G3499" s="9">
        <v>1132</v>
      </c>
      <c r="H3499" s="5" t="s">
        <v>21</v>
      </c>
      <c r="I3499" s="5" t="s">
        <v>8954</v>
      </c>
      <c r="J3499" s="12" t="str">
        <f>HYPERLINK("https://www.boe.es/gazeta/dias/1808/09/06/pdfs/GMD-C-1808-120.pdf#page=6","Abrir facsímil")</f>
        <v>Abrir facsímil</v>
      </c>
      <c r="K3499" s="15" t="s">
        <v>23</v>
      </c>
    </row>
    <row r="3500" spans="1:11" ht="42" customHeight="1">
      <c r="A3500" s="4" t="s">
        <v>8955</v>
      </c>
      <c r="B3500" s="5" t="s">
        <v>8956</v>
      </c>
      <c r="C3500" s="5" t="s">
        <v>94</v>
      </c>
      <c r="D3500" s="5" t="s">
        <v>95</v>
      </c>
      <c r="E3500" s="5" t="s">
        <v>548</v>
      </c>
      <c r="F3500" s="9" t="s">
        <v>549</v>
      </c>
      <c r="G3500" s="9">
        <v>276</v>
      </c>
      <c r="H3500" s="5" t="s">
        <v>21</v>
      </c>
      <c r="I3500" s="5" t="s">
        <v>8957</v>
      </c>
      <c r="J3500" s="12" t="str">
        <f>HYPERLINK("https://www.boe.es/gazeta/dias/1808/03/18/pdfs/GMD-1808-23.pdf#page=6","Abrir facsímil")</f>
        <v>Abrir facsímil</v>
      </c>
      <c r="K3500" s="15" t="s">
        <v>23</v>
      </c>
    </row>
    <row r="3501" spans="1:11" ht="42" customHeight="1">
      <c r="A3501" s="4" t="s">
        <v>8958</v>
      </c>
      <c r="B3501" s="5" t="s">
        <v>8958</v>
      </c>
      <c r="C3501" s="5" t="s">
        <v>33</v>
      </c>
      <c r="D3501" s="5" t="s">
        <v>34</v>
      </c>
      <c r="E3501" s="5" t="s">
        <v>456</v>
      </c>
      <c r="F3501" s="9" t="s">
        <v>748</v>
      </c>
      <c r="G3501" s="9" t="s">
        <v>117</v>
      </c>
      <c r="H3501" s="5" t="s">
        <v>21</v>
      </c>
      <c r="I3501" s="5" t="s">
        <v>8959</v>
      </c>
      <c r="J3501" s="12" t="str">
        <f>HYPERLINK("https://www.boe.es/gazeta/dias/1808/10/14/pdfs/GMD-C-1808-134.pdf#page=1","Abrir facsímil")</f>
        <v>Abrir facsímil</v>
      </c>
      <c r="K3501" s="15" t="s">
        <v>23</v>
      </c>
    </row>
    <row r="3502" spans="1:11" ht="42" customHeight="1">
      <c r="A3502" s="4" t="s">
        <v>8960</v>
      </c>
      <c r="B3502" s="5" t="s">
        <v>8960</v>
      </c>
      <c r="C3502" s="5" t="s">
        <v>17</v>
      </c>
      <c r="D3502" s="5" t="s">
        <v>18</v>
      </c>
      <c r="E3502" s="5" t="s">
        <v>28</v>
      </c>
      <c r="F3502" s="9" t="s">
        <v>29</v>
      </c>
      <c r="G3502" s="9">
        <v>1423</v>
      </c>
      <c r="H3502" s="5" t="s">
        <v>21</v>
      </c>
      <c r="I3502" s="5" t="s">
        <v>8961</v>
      </c>
      <c r="J3502" s="12" t="str">
        <f>HYPERLINK("https://www.boe.es/gazeta/dias/1808/11/04/pdfs/GMD-1808-141.pdf#page=5","Abrir facsímil")</f>
        <v>Abrir facsímil</v>
      </c>
      <c r="K3502" s="15" t="s">
        <v>23</v>
      </c>
    </row>
    <row r="3503" spans="1:11" ht="42" customHeight="1">
      <c r="A3503" s="4" t="s">
        <v>8962</v>
      </c>
      <c r="B3503" s="5" t="s">
        <v>8962</v>
      </c>
      <c r="C3503" s="5" t="s">
        <v>17</v>
      </c>
      <c r="D3503" s="5" t="s">
        <v>18</v>
      </c>
      <c r="E3503" s="5" t="s">
        <v>431</v>
      </c>
      <c r="F3503" s="9" t="s">
        <v>432</v>
      </c>
      <c r="G3503" s="9">
        <v>486</v>
      </c>
      <c r="H3503" s="5" t="s">
        <v>21</v>
      </c>
      <c r="I3503" s="5" t="s">
        <v>8963</v>
      </c>
      <c r="J3503" s="12" t="str">
        <f>HYPERLINK("https://www.boe.es/gazeta/dias/1808/12/27/pdfs/GMS-1808-61.pdf#page=2","Abrir facsímil")</f>
        <v>Abrir facsímil</v>
      </c>
      <c r="K3503" s="15" t="s">
        <v>23</v>
      </c>
    </row>
    <row r="3504" spans="1:11" ht="42" customHeight="1">
      <c r="A3504" s="4" t="s">
        <v>8964</v>
      </c>
      <c r="B3504" s="5" t="s">
        <v>8964</v>
      </c>
      <c r="C3504" s="5" t="s">
        <v>101</v>
      </c>
      <c r="D3504" s="5" t="s">
        <v>102</v>
      </c>
      <c r="E3504" s="5" t="s">
        <v>473</v>
      </c>
      <c r="F3504" s="9" t="s">
        <v>474</v>
      </c>
      <c r="G3504" s="9">
        <v>703</v>
      </c>
      <c r="H3504" s="5" t="s">
        <v>21</v>
      </c>
      <c r="I3504" s="5" t="s">
        <v>8965</v>
      </c>
      <c r="J3504" s="12" t="str">
        <f>HYPERLINK("https://www.boe.es/gazeta/dias/1808/07/02/pdfs/GMD-1808-74.pdf#page=1","Abrir facsímil")</f>
        <v>Abrir facsímil</v>
      </c>
      <c r="K3504" s="15" t="s">
        <v>23</v>
      </c>
    </row>
    <row r="3505" spans="1:11" ht="42" customHeight="1">
      <c r="A3505" s="4" t="s">
        <v>8966</v>
      </c>
      <c r="B3505" s="5" t="s">
        <v>8966</v>
      </c>
      <c r="C3505" s="5" t="s">
        <v>17</v>
      </c>
      <c r="D3505" s="5" t="s">
        <v>18</v>
      </c>
      <c r="E3505" s="5" t="s">
        <v>1148</v>
      </c>
      <c r="F3505" s="9" t="s">
        <v>1149</v>
      </c>
      <c r="G3505" s="9">
        <v>505</v>
      </c>
      <c r="H3505" s="5" t="s">
        <v>21</v>
      </c>
      <c r="I3505" s="5" t="s">
        <v>8967</v>
      </c>
      <c r="J3505" s="12" t="str">
        <f>HYPERLINK("https://www.boe.es/gazeta/dias/1808/05/27/pdfs/GMD-1808-50.pdf#page=9","Abrir facsímil")</f>
        <v>Abrir facsímil</v>
      </c>
      <c r="K3505" s="15" t="s">
        <v>23</v>
      </c>
    </row>
    <row r="3506" spans="1:11" ht="42" customHeight="1">
      <c r="A3506" s="4" t="s">
        <v>8968</v>
      </c>
      <c r="B3506" s="5" t="s">
        <v>8969</v>
      </c>
      <c r="C3506" s="5" t="s">
        <v>94</v>
      </c>
      <c r="D3506" s="5" t="s">
        <v>95</v>
      </c>
      <c r="E3506" s="5" t="s">
        <v>473</v>
      </c>
      <c r="F3506" s="9" t="s">
        <v>474</v>
      </c>
      <c r="G3506" s="9">
        <v>709</v>
      </c>
      <c r="H3506" s="5" t="s">
        <v>21</v>
      </c>
      <c r="I3506" s="5" t="s">
        <v>8970</v>
      </c>
      <c r="J3506" s="12" t="str">
        <f>HYPERLINK("https://www.boe.es/gazeta/dias/1808/07/02/pdfs/GMD-1808-74.pdf#page=7","Abrir facsímil")</f>
        <v>Abrir facsímil</v>
      </c>
      <c r="K3506" s="15" t="s">
        <v>23</v>
      </c>
    </row>
    <row r="3507" spans="1:11" ht="42" customHeight="1">
      <c r="A3507" s="4" t="s">
        <v>8971</v>
      </c>
      <c r="B3507" s="5" t="s">
        <v>8972</v>
      </c>
      <c r="C3507" s="5" t="s">
        <v>642</v>
      </c>
      <c r="D3507" s="5" t="s">
        <v>643</v>
      </c>
      <c r="E3507" s="5" t="s">
        <v>644</v>
      </c>
      <c r="F3507" s="9" t="s">
        <v>645</v>
      </c>
      <c r="G3507" s="9">
        <v>320</v>
      </c>
      <c r="H3507" s="5" t="s">
        <v>21</v>
      </c>
      <c r="I3507" s="5" t="s">
        <v>8973</v>
      </c>
      <c r="J3507" s="12" t="str">
        <f>HYPERLINK("https://www.boe.es/gazeta/dias/1808/03/31/pdfs/GMD-1808-28E.pdf#page=4","Abrir facsímil")</f>
        <v>Abrir facsímil</v>
      </c>
      <c r="K3507" s="15" t="s">
        <v>23</v>
      </c>
    </row>
    <row r="3508" spans="1:11" ht="42" customHeight="1">
      <c r="A3508" s="4" t="s">
        <v>8974</v>
      </c>
      <c r="B3508" s="5" t="s">
        <v>8975</v>
      </c>
      <c r="C3508" s="5" t="s">
        <v>94</v>
      </c>
      <c r="D3508" s="5" t="s">
        <v>95</v>
      </c>
      <c r="E3508" s="5" t="s">
        <v>203</v>
      </c>
      <c r="F3508" s="9" t="s">
        <v>204</v>
      </c>
      <c r="G3508" s="9">
        <v>141</v>
      </c>
      <c r="H3508" s="5" t="s">
        <v>21</v>
      </c>
      <c r="I3508" s="5" t="s">
        <v>8976</v>
      </c>
      <c r="J3508" s="12" t="str">
        <f>HYPERLINK("https://www.boe.es/gazeta/dias/1808/02/09/pdfs/GMD-1808-12.pdf#page=9","Abrir facsímil")</f>
        <v>Abrir facsímil</v>
      </c>
      <c r="K3508" s="15" t="s">
        <v>23</v>
      </c>
    </row>
    <row r="3509" spans="1:11" ht="42" customHeight="1">
      <c r="A3509" s="4" t="s">
        <v>8977</v>
      </c>
      <c r="B3509" s="5" t="s">
        <v>8978</v>
      </c>
      <c r="C3509" s="5" t="s">
        <v>389</v>
      </c>
      <c r="D3509" s="5" t="s">
        <v>390</v>
      </c>
      <c r="E3509" s="5" t="s">
        <v>644</v>
      </c>
      <c r="F3509" s="9" t="s">
        <v>645</v>
      </c>
      <c r="G3509" s="9">
        <v>319</v>
      </c>
      <c r="H3509" s="5" t="s">
        <v>21</v>
      </c>
      <c r="I3509" s="5" t="s">
        <v>8979</v>
      </c>
      <c r="J3509" s="12" t="str">
        <f>HYPERLINK("https://www.boe.es/gazeta/dias/1808/03/31/pdfs/GMD-1808-28E.pdf#page=3","Abrir facsímil")</f>
        <v>Abrir facsímil</v>
      </c>
      <c r="K3509" s="15" t="s">
        <v>23</v>
      </c>
    </row>
    <row r="3510" spans="1:11" ht="42" customHeight="1">
      <c r="A3510" s="4" t="s">
        <v>8980</v>
      </c>
      <c r="B3510" s="5" t="s">
        <v>8981</v>
      </c>
      <c r="C3510" s="5" t="s">
        <v>94</v>
      </c>
      <c r="D3510" s="5" t="s">
        <v>95</v>
      </c>
      <c r="E3510" s="5" t="s">
        <v>215</v>
      </c>
      <c r="F3510" s="9" t="s">
        <v>216</v>
      </c>
      <c r="G3510" s="9">
        <v>298</v>
      </c>
      <c r="H3510" s="5" t="s">
        <v>21</v>
      </c>
      <c r="I3510" s="5" t="s">
        <v>8982</v>
      </c>
      <c r="J3510" s="12" t="str">
        <f>HYPERLINK("https://www.boe.es/gazeta/dias/1808/03/25/pdfs/GMD-1808-25.pdf#page=8","Abrir facsímil")</f>
        <v>Abrir facsímil</v>
      </c>
      <c r="K3510" s="15" t="s">
        <v>23</v>
      </c>
    </row>
    <row r="3511" spans="1:11" ht="42" customHeight="1">
      <c r="A3511" s="4" t="s">
        <v>8980</v>
      </c>
      <c r="B3511" s="5" t="s">
        <v>8981</v>
      </c>
      <c r="C3511" s="5" t="s">
        <v>41</v>
      </c>
      <c r="D3511" s="5" t="s">
        <v>42</v>
      </c>
      <c r="E3511" s="5" t="s">
        <v>644</v>
      </c>
      <c r="F3511" s="9" t="s">
        <v>645</v>
      </c>
      <c r="G3511" s="9">
        <v>317</v>
      </c>
      <c r="H3511" s="5" t="s">
        <v>21</v>
      </c>
      <c r="I3511" s="5" t="s">
        <v>8983</v>
      </c>
      <c r="J3511" s="12" t="str">
        <f>HYPERLINK("https://www.boe.es/gazeta/dias/1808/03/31/pdfs/GMD-1808-28E.pdf#page=1","Abrir facsímil")</f>
        <v>Abrir facsímil</v>
      </c>
      <c r="K3511" s="15" t="s">
        <v>23</v>
      </c>
    </row>
    <row r="3512" spans="1:11" ht="42" customHeight="1">
      <c r="A3512" s="4" t="s">
        <v>8980</v>
      </c>
      <c r="B3512" s="5" t="s">
        <v>8981</v>
      </c>
      <c r="C3512" s="5" t="s">
        <v>642</v>
      </c>
      <c r="D3512" s="5" t="s">
        <v>643</v>
      </c>
      <c r="E3512" s="5" t="s">
        <v>644</v>
      </c>
      <c r="F3512" s="9" t="s">
        <v>645</v>
      </c>
      <c r="G3512" s="9">
        <v>319</v>
      </c>
      <c r="H3512" s="5" t="s">
        <v>21</v>
      </c>
      <c r="I3512" s="5" t="s">
        <v>8984</v>
      </c>
      <c r="J3512" s="12" t="str">
        <f>HYPERLINK("https://www.boe.es/gazeta/dias/1808/03/31/pdfs/GMD-1808-28E.pdf#page=3","Abrir facsímil")</f>
        <v>Abrir facsímil</v>
      </c>
      <c r="K3512" s="15" t="s">
        <v>23</v>
      </c>
    </row>
    <row r="3513" spans="1:11" ht="42" customHeight="1">
      <c r="A3513" s="4" t="s">
        <v>8980</v>
      </c>
      <c r="B3513" s="5" t="s">
        <v>8981</v>
      </c>
      <c r="C3513" s="5" t="s">
        <v>389</v>
      </c>
      <c r="D3513" s="5" t="s">
        <v>390</v>
      </c>
      <c r="E3513" s="5" t="s">
        <v>616</v>
      </c>
      <c r="F3513" s="9" t="s">
        <v>617</v>
      </c>
      <c r="G3513" s="9">
        <v>1043</v>
      </c>
      <c r="H3513" s="5" t="s">
        <v>21</v>
      </c>
      <c r="I3513" s="5" t="s">
        <v>8985</v>
      </c>
      <c r="J3513" s="12" t="str">
        <f>HYPERLINK("https://www.boe.es/gazeta/dias/1808/08/19/pdfs/GMD-1808-115.pdf#page=9","Abrir facsímil")</f>
        <v>Abrir facsímil</v>
      </c>
      <c r="K3513" s="15" t="s">
        <v>23</v>
      </c>
    </row>
    <row r="3514" spans="1:11" ht="42" customHeight="1">
      <c r="A3514" s="4" t="s">
        <v>8980</v>
      </c>
      <c r="B3514" s="5" t="s">
        <v>8981</v>
      </c>
      <c r="C3514" s="5" t="s">
        <v>17</v>
      </c>
      <c r="D3514" s="5" t="s">
        <v>18</v>
      </c>
      <c r="E3514" s="5" t="s">
        <v>290</v>
      </c>
      <c r="F3514" s="9" t="s">
        <v>291</v>
      </c>
      <c r="G3514" s="9">
        <v>1063</v>
      </c>
      <c r="H3514" s="5" t="s">
        <v>21</v>
      </c>
      <c r="I3514" s="5" t="s">
        <v>8986</v>
      </c>
      <c r="J3514" s="12" t="str">
        <f>HYPERLINK("https://www.boe.es/gazeta/dias/1808/08/23/pdfs/GMD-1808-116.pdf#page=9","Abrir facsímil")</f>
        <v>Abrir facsímil</v>
      </c>
      <c r="K3514" s="15" t="s">
        <v>23</v>
      </c>
    </row>
    <row r="3515" spans="1:11" ht="42" customHeight="1">
      <c r="A3515" s="4" t="s">
        <v>8980</v>
      </c>
      <c r="B3515" s="5" t="s">
        <v>8981</v>
      </c>
      <c r="C3515" s="5" t="s">
        <v>17</v>
      </c>
      <c r="D3515" s="5" t="s">
        <v>18</v>
      </c>
      <c r="E3515" s="5" t="s">
        <v>54</v>
      </c>
      <c r="F3515" s="9" t="s">
        <v>55</v>
      </c>
      <c r="G3515" s="9">
        <v>1090</v>
      </c>
      <c r="H3515" s="5" t="s">
        <v>21</v>
      </c>
      <c r="I3515" s="5" t="s">
        <v>8987</v>
      </c>
      <c r="J3515" s="12" t="str">
        <f>HYPERLINK("https://www.boe.es/gazeta/dias/1808/08/26/pdfs/GMD-1808-117.pdf#page=12","Abrir facsímil")</f>
        <v>Abrir facsímil</v>
      </c>
      <c r="K3515" s="15" t="s">
        <v>23</v>
      </c>
    </row>
    <row r="3516" spans="1:11" ht="42" customHeight="1">
      <c r="A3516" s="4" t="s">
        <v>8980</v>
      </c>
      <c r="B3516" s="5" t="s">
        <v>8981</v>
      </c>
      <c r="C3516" s="5" t="s">
        <v>260</v>
      </c>
      <c r="D3516" s="5" t="s">
        <v>42</v>
      </c>
      <c r="E3516" s="5" t="s">
        <v>418</v>
      </c>
      <c r="F3516" s="9" t="s">
        <v>419</v>
      </c>
      <c r="G3516" s="9">
        <v>1132</v>
      </c>
      <c r="H3516" s="5" t="s">
        <v>21</v>
      </c>
      <c r="I3516" s="5" t="s">
        <v>8988</v>
      </c>
      <c r="J3516" s="12" t="str">
        <f>HYPERLINK("https://www.boe.es/gazeta/dias/1808/09/06/pdfs/GMD-C-1808-120.pdf#page=6","Abrir facsímil")</f>
        <v>Abrir facsímil</v>
      </c>
      <c r="K3516" s="15" t="s">
        <v>23</v>
      </c>
    </row>
    <row r="3517" spans="1:11" ht="42" customHeight="1">
      <c r="A3517" s="4" t="s">
        <v>8980</v>
      </c>
      <c r="B3517" s="5" t="s">
        <v>8981</v>
      </c>
      <c r="C3517" s="5" t="s">
        <v>33</v>
      </c>
      <c r="D3517" s="5" t="s">
        <v>34</v>
      </c>
      <c r="E3517" s="5" t="s">
        <v>418</v>
      </c>
      <c r="F3517" s="9" t="s">
        <v>419</v>
      </c>
      <c r="G3517" s="9">
        <v>1133</v>
      </c>
      <c r="H3517" s="5" t="s">
        <v>21</v>
      </c>
      <c r="I3517" s="5" t="s">
        <v>8989</v>
      </c>
      <c r="J3517" s="12" t="str">
        <f>HYPERLINK("https://www.boe.es/gazeta/dias/1808/09/06/pdfs/GMD-C-1808-120.pdf#page=7","Abrir facsímil")</f>
        <v>Abrir facsímil</v>
      </c>
      <c r="K3517" s="15" t="s">
        <v>23</v>
      </c>
    </row>
    <row r="3518" spans="1:11" ht="42" customHeight="1">
      <c r="A3518" s="4" t="s">
        <v>8980</v>
      </c>
      <c r="B3518" s="5" t="s">
        <v>8981</v>
      </c>
      <c r="C3518" s="5" t="s">
        <v>33</v>
      </c>
      <c r="D3518" s="5" t="s">
        <v>34</v>
      </c>
      <c r="E3518" s="5" t="s">
        <v>418</v>
      </c>
      <c r="F3518" s="9" t="s">
        <v>419</v>
      </c>
      <c r="G3518" s="9">
        <v>1134</v>
      </c>
      <c r="H3518" s="5" t="s">
        <v>21</v>
      </c>
      <c r="I3518" s="5" t="s">
        <v>8990</v>
      </c>
      <c r="J3518" s="12" t="str">
        <f>HYPERLINK("https://www.boe.es/gazeta/dias/1808/09/06/pdfs/GMD-C-1808-120.pdf#page=8","Abrir facsímil")</f>
        <v>Abrir facsímil</v>
      </c>
      <c r="K3518" s="15" t="s">
        <v>23</v>
      </c>
    </row>
    <row r="3519" spans="1:11" ht="42" customHeight="1">
      <c r="A3519" s="4" t="s">
        <v>8980</v>
      </c>
      <c r="B3519" s="5" t="s">
        <v>8981</v>
      </c>
      <c r="C3519" s="5" t="s">
        <v>17</v>
      </c>
      <c r="D3519" s="5" t="s">
        <v>18</v>
      </c>
      <c r="E3519" s="5" t="s">
        <v>456</v>
      </c>
      <c r="F3519" s="9" t="s">
        <v>457</v>
      </c>
      <c r="G3519" s="9">
        <v>1293</v>
      </c>
      <c r="H3519" s="5" t="s">
        <v>21</v>
      </c>
      <c r="I3519" s="5" t="s">
        <v>8991</v>
      </c>
      <c r="J3519" s="12" t="str">
        <f>HYPERLINK("https://www.boe.es/gazeta/dias/1808/10/14/pdfs/GMD-1808-134.pdf#page=5","Abrir facsímil")</f>
        <v>Abrir facsímil</v>
      </c>
      <c r="K3519" s="15" t="s">
        <v>23</v>
      </c>
    </row>
    <row r="3520" spans="1:11" ht="42" customHeight="1">
      <c r="A3520" s="4" t="s">
        <v>8980</v>
      </c>
      <c r="B3520" s="5" t="s">
        <v>8981</v>
      </c>
      <c r="C3520" s="5" t="s">
        <v>41</v>
      </c>
      <c r="D3520" s="5" t="s">
        <v>42</v>
      </c>
      <c r="E3520" s="5" t="s">
        <v>28</v>
      </c>
      <c r="F3520" s="9" t="s">
        <v>29</v>
      </c>
      <c r="G3520" s="9">
        <v>1426</v>
      </c>
      <c r="H3520" s="5" t="s">
        <v>21</v>
      </c>
      <c r="I3520" s="5" t="s">
        <v>8992</v>
      </c>
      <c r="J3520" s="12" t="str">
        <f>HYPERLINK("https://www.boe.es/gazeta/dias/1808/11/04/pdfs/GMD-1808-141.pdf#page=8","Abrir facsímil")</f>
        <v>Abrir facsímil</v>
      </c>
      <c r="K3520" s="15" t="s">
        <v>23</v>
      </c>
    </row>
    <row r="3521" spans="1:11" ht="42" customHeight="1">
      <c r="A3521" s="4" t="s">
        <v>8980</v>
      </c>
      <c r="B3521" s="5" t="s">
        <v>8981</v>
      </c>
      <c r="C3521" s="5" t="s">
        <v>17</v>
      </c>
      <c r="D3521" s="5" t="s">
        <v>18</v>
      </c>
      <c r="E3521" s="5" t="s">
        <v>427</v>
      </c>
      <c r="F3521" s="9" t="s">
        <v>1802</v>
      </c>
      <c r="G3521" s="9">
        <v>1521</v>
      </c>
      <c r="H3521" s="5" t="s">
        <v>21</v>
      </c>
      <c r="I3521" s="5" t="s">
        <v>8993</v>
      </c>
      <c r="J3521" s="12" t="str">
        <f>HYPERLINK("https://www.boe.es/gazeta/dias/1808/11/22/pdfs/GMD-1808-146.pdf#page=7","Abrir facsímil")</f>
        <v>Abrir facsímil</v>
      </c>
      <c r="K3521" s="15" t="s">
        <v>23</v>
      </c>
    </row>
    <row r="3522" spans="1:11" ht="42" customHeight="1">
      <c r="A3522" s="4" t="s">
        <v>8994</v>
      </c>
      <c r="B3522" s="5" t="s">
        <v>8995</v>
      </c>
      <c r="C3522" s="5" t="s">
        <v>33</v>
      </c>
      <c r="D3522" s="5" t="s">
        <v>34</v>
      </c>
      <c r="E3522" s="5" t="s">
        <v>513</v>
      </c>
      <c r="F3522" s="9" t="s">
        <v>3074</v>
      </c>
      <c r="G3522" s="9" t="s">
        <v>117</v>
      </c>
      <c r="H3522" s="5" t="s">
        <v>21</v>
      </c>
      <c r="I3522" s="5" t="s">
        <v>8996</v>
      </c>
      <c r="J3522" s="12" t="str">
        <f>HYPERLINK("https://www.boe.es/gazeta/dias/1808/03/22/pdfs/GMD-C-1808-24.pdf#page=1","Abrir facsímil")</f>
        <v>Abrir facsímil</v>
      </c>
      <c r="K3522" s="15" t="s">
        <v>23</v>
      </c>
    </row>
    <row r="3523" spans="1:11" ht="42" customHeight="1">
      <c r="A3523" s="4" t="s">
        <v>8997</v>
      </c>
      <c r="B3523" s="5" t="s">
        <v>8997</v>
      </c>
      <c r="C3523" s="5" t="s">
        <v>101</v>
      </c>
      <c r="D3523" s="5" t="s">
        <v>102</v>
      </c>
      <c r="E3523" s="5" t="s">
        <v>3313</v>
      </c>
      <c r="F3523" s="9" t="s">
        <v>3314</v>
      </c>
      <c r="G3523" s="9">
        <v>809</v>
      </c>
      <c r="H3523" s="5" t="s">
        <v>21</v>
      </c>
      <c r="I3523" s="5" t="s">
        <v>8998</v>
      </c>
      <c r="J3523" s="12" t="str">
        <f>HYPERLINK("https://www.boe.es/gazeta/dias/1808/07/15/pdfs/GMD-1808-87.pdf#page=3","Abrir facsímil")</f>
        <v>Abrir facsímil</v>
      </c>
      <c r="K3523" s="15" t="s">
        <v>23</v>
      </c>
    </row>
    <row r="3524" spans="1:11" ht="42" customHeight="1">
      <c r="A3524" s="4" t="s">
        <v>8999</v>
      </c>
      <c r="B3524" s="5" t="s">
        <v>9000</v>
      </c>
      <c r="C3524" s="5" t="s">
        <v>41</v>
      </c>
      <c r="D3524" s="5" t="s">
        <v>42</v>
      </c>
      <c r="E3524" s="5" t="s">
        <v>89</v>
      </c>
      <c r="F3524" s="9" t="s">
        <v>563</v>
      </c>
      <c r="G3524" s="9" t="s">
        <v>75</v>
      </c>
      <c r="H3524" s="5" t="s">
        <v>21</v>
      </c>
      <c r="I3524" s="5" t="s">
        <v>9001</v>
      </c>
      <c r="J3524" s="12" t="str">
        <f>HYPERLINK("https://www.boe.es/gazeta/dias/1808/10/25/pdfs/GMD-D-1808-137.pdf#page=4","Abrir facsímil")</f>
        <v>Abrir facsímil</v>
      </c>
      <c r="K3524" s="15" t="s">
        <v>23</v>
      </c>
    </row>
    <row r="3525" spans="1:11" ht="42" customHeight="1">
      <c r="A3525" s="4" t="s">
        <v>9002</v>
      </c>
      <c r="B3525" s="5" t="s">
        <v>9003</v>
      </c>
      <c r="C3525" s="5" t="s">
        <v>33</v>
      </c>
      <c r="D3525" s="5" t="s">
        <v>34</v>
      </c>
      <c r="E3525" s="5" t="s">
        <v>35</v>
      </c>
      <c r="F3525" s="9" t="s">
        <v>36</v>
      </c>
      <c r="G3525" s="9" t="s">
        <v>4783</v>
      </c>
      <c r="H3525" s="5" t="s">
        <v>21</v>
      </c>
      <c r="I3525" s="5" t="s">
        <v>9004</v>
      </c>
      <c r="J3525" s="12" t="str">
        <f>HYPERLINK("https://www.boe.es/gazeta/dias/1808/04/22/pdfs/GMD-C-1808-38.pdf#page=36","Abrir facsímil")</f>
        <v>Abrir facsímil</v>
      </c>
      <c r="K3525" s="15" t="s">
        <v>23</v>
      </c>
    </row>
    <row r="3526" spans="1:11" ht="42" customHeight="1">
      <c r="A3526" s="4" t="s">
        <v>9005</v>
      </c>
      <c r="B3526" s="5" t="s">
        <v>9006</v>
      </c>
      <c r="C3526" s="5" t="s">
        <v>41</v>
      </c>
      <c r="D3526" s="5" t="s">
        <v>42</v>
      </c>
      <c r="E3526" s="5" t="s">
        <v>493</v>
      </c>
      <c r="F3526" s="9" t="s">
        <v>494</v>
      </c>
      <c r="G3526" s="9">
        <v>46</v>
      </c>
      <c r="H3526" s="5" t="s">
        <v>21</v>
      </c>
      <c r="I3526" s="5" t="s">
        <v>9007</v>
      </c>
      <c r="J3526" s="12" t="str">
        <f>HYPERLINK("https://www.boe.es/gazeta/dias/1808/01/12/pdfs/GMD-1808-4.pdf#page=10","Abrir facsímil")</f>
        <v>Abrir facsímil</v>
      </c>
      <c r="K3526" s="15" t="s">
        <v>23</v>
      </c>
    </row>
    <row r="3527" spans="1:11" ht="42" customHeight="1">
      <c r="A3527" s="4" t="s">
        <v>9008</v>
      </c>
      <c r="B3527" s="5" t="s">
        <v>9009</v>
      </c>
      <c r="C3527" s="5" t="s">
        <v>17</v>
      </c>
      <c r="D3527" s="5" t="s">
        <v>18</v>
      </c>
      <c r="E3527" s="5" t="s">
        <v>634</v>
      </c>
      <c r="F3527" s="9" t="s">
        <v>635</v>
      </c>
      <c r="G3527" s="9">
        <v>918</v>
      </c>
      <c r="H3527" s="5" t="s">
        <v>21</v>
      </c>
      <c r="I3527" s="5" t="s">
        <v>9010</v>
      </c>
      <c r="J3527" s="12" t="str">
        <f>HYPERLINK("https://www.boe.es/gazeta/dias/1808/07/28/pdfs/GMD-1808-100.pdf#page=8","Abrir facsímil")</f>
        <v>Abrir facsímil</v>
      </c>
      <c r="K3527" s="15" t="s">
        <v>23</v>
      </c>
    </row>
    <row r="3528" spans="1:11" ht="42" customHeight="1">
      <c r="A3528" s="4" t="s">
        <v>9011</v>
      </c>
      <c r="B3528" s="5" t="s">
        <v>9012</v>
      </c>
      <c r="C3528" s="5" t="s">
        <v>33</v>
      </c>
      <c r="D3528" s="5" t="s">
        <v>34</v>
      </c>
      <c r="E3528" s="5" t="s">
        <v>35</v>
      </c>
      <c r="F3528" s="9" t="s">
        <v>36</v>
      </c>
      <c r="G3528" s="9" t="s">
        <v>162</v>
      </c>
      <c r="H3528" s="5" t="s">
        <v>21</v>
      </c>
      <c r="I3528" s="5" t="s">
        <v>9013</v>
      </c>
      <c r="J3528" s="12" t="str">
        <f>HYPERLINK("https://www.boe.es/gazeta/dias/1808/04/22/pdfs/GMD-C-1808-38.pdf#page=31","Abrir facsímil")</f>
        <v>Abrir facsímil</v>
      </c>
      <c r="K3528" s="15" t="s">
        <v>23</v>
      </c>
    </row>
    <row r="3529" spans="1:11" ht="42" customHeight="1">
      <c r="A3529" s="4" t="s">
        <v>9014</v>
      </c>
      <c r="B3529" s="5" t="s">
        <v>9015</v>
      </c>
      <c r="C3529" s="5" t="s">
        <v>94</v>
      </c>
      <c r="D3529" s="5" t="s">
        <v>95</v>
      </c>
      <c r="E3529" s="5" t="s">
        <v>89</v>
      </c>
      <c r="F3529" s="9" t="s">
        <v>1247</v>
      </c>
      <c r="G3529" s="9">
        <v>1373</v>
      </c>
      <c r="H3529" s="5" t="s">
        <v>21</v>
      </c>
      <c r="I3529" s="5" t="s">
        <v>9016</v>
      </c>
      <c r="J3529" s="12" t="str">
        <f>HYPERLINK("https://www.boe.es/gazeta/dias/1808/10/25/pdfs/GMD-C-1808-137.pdf#page=9","Abrir facsímil")</f>
        <v>Abrir facsímil</v>
      </c>
      <c r="K3529" s="15" t="s">
        <v>23</v>
      </c>
    </row>
    <row r="3530" spans="1:11" ht="42" customHeight="1">
      <c r="A3530" s="4" t="s">
        <v>9014</v>
      </c>
      <c r="B3530" s="5" t="s">
        <v>9015</v>
      </c>
      <c r="C3530" s="5" t="s">
        <v>94</v>
      </c>
      <c r="D3530" s="5" t="s">
        <v>95</v>
      </c>
      <c r="E3530" s="5" t="s">
        <v>427</v>
      </c>
      <c r="F3530" s="9" t="s">
        <v>1802</v>
      </c>
      <c r="G3530" s="9">
        <v>1522</v>
      </c>
      <c r="H3530" s="5" t="s">
        <v>21</v>
      </c>
      <c r="I3530" s="5" t="s">
        <v>9017</v>
      </c>
      <c r="J3530" s="12" t="str">
        <f>HYPERLINK("https://www.boe.es/gazeta/dias/1808/11/22/pdfs/GMD-1808-146.pdf#page=8","Abrir facsímil")</f>
        <v>Abrir facsímil</v>
      </c>
      <c r="K3530" s="15" t="s">
        <v>23</v>
      </c>
    </row>
    <row r="3531" spans="1:11" ht="42" customHeight="1">
      <c r="A3531" s="4" t="s">
        <v>9018</v>
      </c>
      <c r="B3531" s="5" t="s">
        <v>9019</v>
      </c>
      <c r="C3531" s="5" t="s">
        <v>17</v>
      </c>
      <c r="D3531" s="5" t="s">
        <v>18</v>
      </c>
      <c r="E3531" s="5" t="s">
        <v>130</v>
      </c>
      <c r="F3531" s="9" t="s">
        <v>131</v>
      </c>
      <c r="G3531" s="9">
        <v>1603</v>
      </c>
      <c r="H3531" s="5" t="s">
        <v>21</v>
      </c>
      <c r="I3531" s="5" t="s">
        <v>9020</v>
      </c>
      <c r="J3531" s="12" t="str">
        <f>HYPERLINK("https://www.boe.es/gazeta/dias/1808/12/15/pdfs/GMD-1808-155.pdf#page=7","Abrir facsímil")</f>
        <v>Abrir facsímil</v>
      </c>
      <c r="K3531" s="15" t="s">
        <v>23</v>
      </c>
    </row>
    <row r="3532" spans="1:11" ht="42" customHeight="1">
      <c r="A3532" s="4" t="s">
        <v>9021</v>
      </c>
      <c r="B3532" s="5" t="s">
        <v>9022</v>
      </c>
      <c r="C3532" s="5" t="s">
        <v>17</v>
      </c>
      <c r="D3532" s="5" t="s">
        <v>18</v>
      </c>
      <c r="E3532" s="5" t="s">
        <v>469</v>
      </c>
      <c r="F3532" s="9" t="s">
        <v>470</v>
      </c>
      <c r="G3532" s="9">
        <v>155</v>
      </c>
      <c r="H3532" s="5" t="s">
        <v>21</v>
      </c>
      <c r="I3532" s="5" t="s">
        <v>9023</v>
      </c>
      <c r="J3532" s="12" t="str">
        <f>HYPERLINK("https://www.boe.es/gazeta/dias/1808/02/12/pdfs/GMD-1808-13.pdf#page=11","Abrir facsímil")</f>
        <v>Abrir facsímil</v>
      </c>
      <c r="K3532" s="15" t="s">
        <v>23</v>
      </c>
    </row>
    <row r="3533" spans="1:11" ht="42" customHeight="1">
      <c r="A3533" s="4" t="s">
        <v>9024</v>
      </c>
      <c r="B3533" s="5" t="s">
        <v>9025</v>
      </c>
      <c r="C3533" s="5" t="s">
        <v>17</v>
      </c>
      <c r="D3533" s="5" t="s">
        <v>18</v>
      </c>
      <c r="E3533" s="5" t="s">
        <v>461</v>
      </c>
      <c r="F3533" s="9" t="s">
        <v>733</v>
      </c>
      <c r="G3533" s="9">
        <v>1445</v>
      </c>
      <c r="H3533" s="5" t="s">
        <v>21</v>
      </c>
      <c r="I3533" s="5" t="s">
        <v>9026</v>
      </c>
      <c r="J3533" s="12" t="str">
        <f>HYPERLINK("https://www.boe.es/gazeta/dias/1808/11/08/pdfs/GMD-1808-142.pdf#page=7","Abrir facsímil")</f>
        <v>Abrir facsímil</v>
      </c>
      <c r="K3533" s="15" t="s">
        <v>23</v>
      </c>
    </row>
    <row r="3534" spans="1:11" ht="42" customHeight="1">
      <c r="A3534" s="4" t="s">
        <v>9027</v>
      </c>
      <c r="B3534" s="5" t="s">
        <v>9028</v>
      </c>
      <c r="C3534" s="5" t="s">
        <v>41</v>
      </c>
      <c r="D3534" s="5" t="s">
        <v>42</v>
      </c>
      <c r="E3534" s="5" t="s">
        <v>558</v>
      </c>
      <c r="F3534" s="9" t="s">
        <v>559</v>
      </c>
      <c r="G3534" s="9">
        <v>1545</v>
      </c>
      <c r="H3534" s="5" t="s">
        <v>21</v>
      </c>
      <c r="I3534" s="5" t="s">
        <v>9029</v>
      </c>
      <c r="J3534" s="12" t="str">
        <f>HYPERLINK("https://www.boe.es/gazeta/dias/1808/11/25/pdfs/GMD-1808-147.pdf#page=11","Abrir facsímil")</f>
        <v>Abrir facsímil</v>
      </c>
      <c r="K3534" s="15" t="s">
        <v>23</v>
      </c>
    </row>
    <row r="3535" spans="1:11" ht="42" customHeight="1">
      <c r="A3535" s="4" t="s">
        <v>9030</v>
      </c>
      <c r="B3535" s="5" t="s">
        <v>9031</v>
      </c>
      <c r="C3535" s="5" t="s">
        <v>94</v>
      </c>
      <c r="D3535" s="5" t="s">
        <v>95</v>
      </c>
      <c r="E3535" s="5" t="s">
        <v>974</v>
      </c>
      <c r="F3535" s="9" t="s">
        <v>975</v>
      </c>
      <c r="G3535" s="9">
        <v>391</v>
      </c>
      <c r="H3535" s="5" t="s">
        <v>21</v>
      </c>
      <c r="I3535" s="5" t="s">
        <v>9032</v>
      </c>
      <c r="J3535" s="12" t="str">
        <f>HYPERLINK("https://www.boe.es/gazeta/dias/1808/04/19/pdfs/GMD-1808-37.pdf#page=7","Abrir facsímil")</f>
        <v>Abrir facsímil</v>
      </c>
      <c r="K3535" s="15" t="s">
        <v>23</v>
      </c>
    </row>
    <row r="3536" spans="1:11" ht="42" customHeight="1">
      <c r="A3536" s="4" t="s">
        <v>9033</v>
      </c>
      <c r="B3536" s="5" t="s">
        <v>9034</v>
      </c>
      <c r="C3536" s="5" t="s">
        <v>41</v>
      </c>
      <c r="D3536" s="5" t="s">
        <v>42</v>
      </c>
      <c r="E3536" s="5" t="s">
        <v>264</v>
      </c>
      <c r="F3536" s="9" t="s">
        <v>318</v>
      </c>
      <c r="G3536" s="9" t="s">
        <v>75</v>
      </c>
      <c r="H3536" s="5" t="s">
        <v>21</v>
      </c>
      <c r="I3536" s="5" t="s">
        <v>9035</v>
      </c>
      <c r="J3536" s="12" t="str">
        <f>HYPERLINK("https://www.boe.es/gazeta/dias/1808/11/29/pdfs/GMD-C-1808-148.pdf#page=4","Abrir facsímil")</f>
        <v>Abrir facsímil</v>
      </c>
      <c r="K3536" s="15" t="s">
        <v>23</v>
      </c>
    </row>
    <row r="3537" spans="1:11" ht="42" customHeight="1">
      <c r="A3537" s="4" t="s">
        <v>9036</v>
      </c>
      <c r="B3537" s="5" t="s">
        <v>9037</v>
      </c>
      <c r="C3537" s="5" t="s">
        <v>33</v>
      </c>
      <c r="D3537" s="5" t="s">
        <v>34</v>
      </c>
      <c r="E3537" s="5" t="s">
        <v>264</v>
      </c>
      <c r="F3537" s="9" t="s">
        <v>318</v>
      </c>
      <c r="G3537" s="9" t="s">
        <v>75</v>
      </c>
      <c r="H3537" s="5" t="s">
        <v>21</v>
      </c>
      <c r="I3537" s="5" t="s">
        <v>9038</v>
      </c>
      <c r="J3537" s="12" t="str">
        <f>HYPERLINK("https://www.boe.es/gazeta/dias/1808/11/29/pdfs/GMD-C-1808-148.pdf#page=4","Abrir facsímil")</f>
        <v>Abrir facsímil</v>
      </c>
      <c r="K3537" s="15" t="s">
        <v>23</v>
      </c>
    </row>
    <row r="3538" spans="1:11" ht="42" customHeight="1">
      <c r="A3538" s="4" t="s">
        <v>9039</v>
      </c>
      <c r="B3538" s="5" t="s">
        <v>9040</v>
      </c>
      <c r="C3538" s="5" t="s">
        <v>260</v>
      </c>
      <c r="D3538" s="5" t="s">
        <v>42</v>
      </c>
      <c r="E3538" s="5" t="s">
        <v>218</v>
      </c>
      <c r="F3538" s="9" t="s">
        <v>219</v>
      </c>
      <c r="G3538" s="9">
        <v>329</v>
      </c>
      <c r="H3538" s="5" t="s">
        <v>21</v>
      </c>
      <c r="I3538" s="5" t="s">
        <v>9041</v>
      </c>
      <c r="J3538" s="12" t="str">
        <f>HYPERLINK("https://www.boe.es/gazeta/dias/1808/04/01/pdfs/GMD-1808-29.pdf#page=5","Abrir facsímil")</f>
        <v>Abrir facsímil</v>
      </c>
      <c r="K3538" s="15" t="s">
        <v>23</v>
      </c>
    </row>
    <row r="3539" spans="1:11" ht="42" customHeight="1">
      <c r="A3539" s="4" t="s">
        <v>9042</v>
      </c>
      <c r="B3539" s="5" t="s">
        <v>9043</v>
      </c>
      <c r="C3539" s="5" t="s">
        <v>17</v>
      </c>
      <c r="D3539" s="5" t="s">
        <v>18</v>
      </c>
      <c r="E3539" s="5" t="s">
        <v>461</v>
      </c>
      <c r="F3539" s="9" t="s">
        <v>733</v>
      </c>
      <c r="G3539" s="9">
        <v>1445</v>
      </c>
      <c r="H3539" s="5" t="s">
        <v>21</v>
      </c>
      <c r="I3539" s="5" t="s">
        <v>9044</v>
      </c>
      <c r="J3539" s="12" t="str">
        <f>HYPERLINK("https://www.boe.es/gazeta/dias/1808/11/08/pdfs/GMD-1808-142.pdf#page=7","Abrir facsímil")</f>
        <v>Abrir facsímil</v>
      </c>
      <c r="K3539" s="15" t="s">
        <v>23</v>
      </c>
    </row>
    <row r="3540" spans="1:11" ht="42" customHeight="1">
      <c r="A3540" s="4" t="s">
        <v>9045</v>
      </c>
      <c r="B3540" s="5" t="s">
        <v>9046</v>
      </c>
      <c r="C3540" s="5" t="s">
        <v>389</v>
      </c>
      <c r="D3540" s="5" t="s">
        <v>390</v>
      </c>
      <c r="E3540" s="5" t="s">
        <v>222</v>
      </c>
      <c r="F3540" s="9" t="s">
        <v>223</v>
      </c>
      <c r="G3540" s="9">
        <v>358</v>
      </c>
      <c r="H3540" s="5" t="s">
        <v>21</v>
      </c>
      <c r="I3540" s="5" t="s">
        <v>9047</v>
      </c>
      <c r="J3540" s="12" t="str">
        <f>HYPERLINK("https://www.boe.es/gazeta/dias/1808/04/08/pdfs/GMD-1808-32.pdf#page=12","Abrir facsímil")</f>
        <v>Abrir facsímil</v>
      </c>
      <c r="K3540" s="15" t="s">
        <v>23</v>
      </c>
    </row>
    <row r="3541" spans="1:11" ht="42" customHeight="1">
      <c r="A3541" s="4" t="s">
        <v>9048</v>
      </c>
      <c r="B3541" s="5" t="s">
        <v>9049</v>
      </c>
      <c r="C3541" s="5" t="s">
        <v>17</v>
      </c>
      <c r="D3541" s="5" t="s">
        <v>18</v>
      </c>
      <c r="E3541" s="5" t="s">
        <v>553</v>
      </c>
      <c r="F3541" s="9" t="s">
        <v>3282</v>
      </c>
      <c r="G3541" s="9">
        <v>135</v>
      </c>
      <c r="H3541" s="5" t="s">
        <v>21</v>
      </c>
      <c r="I3541" s="5" t="s">
        <v>9050</v>
      </c>
      <c r="J3541" s="12" t="str">
        <f>HYPERLINK("https://www.boe.es/gazeta/dias/1808/07/27/pdfs/GMS-1808-17.pdf#page=7","Abrir facsímil")</f>
        <v>Abrir facsímil</v>
      </c>
      <c r="K3541" s="15" t="s">
        <v>23</v>
      </c>
    </row>
    <row r="3542" spans="1:11" ht="42" customHeight="1">
      <c r="A3542" s="4" t="s">
        <v>9051</v>
      </c>
      <c r="B3542" s="5" t="s">
        <v>9052</v>
      </c>
      <c r="C3542" s="5" t="s">
        <v>17</v>
      </c>
      <c r="D3542" s="5" t="s">
        <v>18</v>
      </c>
      <c r="E3542" s="5" t="s">
        <v>125</v>
      </c>
      <c r="F3542" s="9" t="s">
        <v>347</v>
      </c>
      <c r="G3542" s="9">
        <v>301</v>
      </c>
      <c r="H3542" s="5" t="s">
        <v>21</v>
      </c>
      <c r="I3542" s="5" t="s">
        <v>9053</v>
      </c>
      <c r="J3542" s="12" t="str">
        <f>HYPERLINK("https://www.boe.es/gazeta/dias/1808/10/07/pdfs/GMS-1808-38.pdf#page=5","Abrir facsímil")</f>
        <v>Abrir facsímil</v>
      </c>
      <c r="K3542" s="15" t="s">
        <v>23</v>
      </c>
    </row>
    <row r="3543" spans="1:11" ht="42" customHeight="1">
      <c r="A3543" s="4" t="s">
        <v>9054</v>
      </c>
      <c r="B3543" s="5" t="s">
        <v>9055</v>
      </c>
      <c r="C3543" s="5" t="s">
        <v>17</v>
      </c>
      <c r="D3543" s="5" t="s">
        <v>18</v>
      </c>
      <c r="E3543" s="5" t="s">
        <v>2651</v>
      </c>
      <c r="F3543" s="9" t="s">
        <v>2652</v>
      </c>
      <c r="G3543" s="9">
        <v>638</v>
      </c>
      <c r="H3543" s="5" t="s">
        <v>21</v>
      </c>
      <c r="I3543" s="5" t="s">
        <v>9056</v>
      </c>
      <c r="J3543" s="12" t="str">
        <f>HYPERLINK("https://www.boe.es/gazeta/dias/1808/06/23/pdfs/GMD-1808-65.pdf#page=8","Abrir facsímil")</f>
        <v>Abrir facsímil</v>
      </c>
      <c r="K3543" s="15" t="s">
        <v>23</v>
      </c>
    </row>
    <row r="3544" spans="1:11" ht="42" customHeight="1">
      <c r="A3544" s="4" t="s">
        <v>9057</v>
      </c>
      <c r="B3544" s="5" t="s">
        <v>9058</v>
      </c>
      <c r="C3544" s="5" t="s">
        <v>41</v>
      </c>
      <c r="D3544" s="5" t="s">
        <v>42</v>
      </c>
      <c r="E3544" s="5" t="s">
        <v>35</v>
      </c>
      <c r="F3544" s="9" t="s">
        <v>36</v>
      </c>
      <c r="G3544" s="9" t="s">
        <v>2643</v>
      </c>
      <c r="H3544" s="5" t="s">
        <v>21</v>
      </c>
      <c r="I3544" s="5" t="s">
        <v>9059</v>
      </c>
      <c r="J3544" s="12" t="str">
        <f>HYPERLINK("https://www.boe.es/gazeta/dias/1808/04/22/pdfs/GMD-C-1808-38.pdf#page=17","Abrir facsímil")</f>
        <v>Abrir facsímil</v>
      </c>
      <c r="K3544" s="15" t="s">
        <v>23</v>
      </c>
    </row>
    <row r="3545" spans="1:11" ht="42" customHeight="1">
      <c r="A3545" s="4" t="s">
        <v>9060</v>
      </c>
      <c r="B3545" s="5" t="s">
        <v>9061</v>
      </c>
      <c r="C3545" s="5" t="s">
        <v>33</v>
      </c>
      <c r="D3545" s="5" t="s">
        <v>34</v>
      </c>
      <c r="E3545" s="5" t="s">
        <v>68</v>
      </c>
      <c r="F3545" s="9" t="s">
        <v>309</v>
      </c>
      <c r="G3545" s="9" t="s">
        <v>117</v>
      </c>
      <c r="H3545" s="5" t="s">
        <v>21</v>
      </c>
      <c r="I3545" s="5" t="s">
        <v>9062</v>
      </c>
      <c r="J3545" s="12" t="str">
        <f>HYPERLINK("https://www.boe.es/gazeta/dias/1808/10/21/pdfs/GMD-D-1808-136.pdf#page=1","Abrir facsímil")</f>
        <v>Abrir facsímil</v>
      </c>
      <c r="K3545" s="15" t="s">
        <v>23</v>
      </c>
    </row>
    <row r="3546" spans="1:11" ht="42" customHeight="1">
      <c r="A3546" s="4" t="s">
        <v>9063</v>
      </c>
      <c r="B3546" s="5" t="s">
        <v>9064</v>
      </c>
      <c r="C3546" s="5" t="s">
        <v>33</v>
      </c>
      <c r="D3546" s="5" t="s">
        <v>34</v>
      </c>
      <c r="E3546" s="5" t="s">
        <v>616</v>
      </c>
      <c r="F3546" s="9" t="s">
        <v>4334</v>
      </c>
      <c r="G3546" s="9">
        <v>1053</v>
      </c>
      <c r="H3546" s="5" t="s">
        <v>21</v>
      </c>
      <c r="I3546" s="5" t="s">
        <v>9065</v>
      </c>
      <c r="J3546" s="12" t="str">
        <f>HYPERLINK("https://www.boe.es/gazeta/dias/1808/08/19/pdfs/GMD-C-1808-115.pdf#page=7","Abrir facsímil")</f>
        <v>Abrir facsímil</v>
      </c>
      <c r="K3546" s="15" t="s">
        <v>23</v>
      </c>
    </row>
    <row r="3547" spans="1:11" ht="42" customHeight="1">
      <c r="A3547" s="4" t="s">
        <v>9066</v>
      </c>
      <c r="B3547" s="5" t="s">
        <v>9067</v>
      </c>
      <c r="C3547" s="5" t="s">
        <v>94</v>
      </c>
      <c r="D3547" s="5" t="s">
        <v>95</v>
      </c>
      <c r="E3547" s="5" t="s">
        <v>203</v>
      </c>
      <c r="F3547" s="9" t="s">
        <v>204</v>
      </c>
      <c r="G3547" s="9">
        <v>141</v>
      </c>
      <c r="H3547" s="5" t="s">
        <v>21</v>
      </c>
      <c r="I3547" s="5" t="s">
        <v>9068</v>
      </c>
      <c r="J3547" s="12" t="str">
        <f>HYPERLINK("https://www.boe.es/gazeta/dias/1808/02/09/pdfs/GMD-1808-12.pdf#page=9","Abrir facsímil")</f>
        <v>Abrir facsímil</v>
      </c>
      <c r="K3547" s="15" t="s">
        <v>23</v>
      </c>
    </row>
    <row r="3548" spans="1:11" ht="42" customHeight="1">
      <c r="A3548" s="4" t="s">
        <v>9069</v>
      </c>
      <c r="B3548" s="5" t="s">
        <v>9070</v>
      </c>
      <c r="C3548" s="5" t="s">
        <v>41</v>
      </c>
      <c r="D3548" s="5" t="s">
        <v>42</v>
      </c>
      <c r="E3548" s="5" t="s">
        <v>65</v>
      </c>
      <c r="F3548" s="9" t="s">
        <v>105</v>
      </c>
      <c r="G3548" s="9" t="s">
        <v>75</v>
      </c>
      <c r="H3548" s="5" t="s">
        <v>21</v>
      </c>
      <c r="I3548" s="5" t="s">
        <v>9071</v>
      </c>
      <c r="J3548" s="12" t="str">
        <f>HYPERLINK("https://www.boe.es/gazeta/dias/1808/10/18/pdfs/GMD-D-1808-135.pdf#page=4","Abrir facsímil")</f>
        <v>Abrir facsímil</v>
      </c>
      <c r="K3548" s="15" t="s">
        <v>23</v>
      </c>
    </row>
    <row r="3549" spans="1:11" ht="42" customHeight="1">
      <c r="A3549" s="4" t="s">
        <v>9072</v>
      </c>
      <c r="B3549" s="5" t="s">
        <v>9073</v>
      </c>
      <c r="C3549" s="5" t="s">
        <v>33</v>
      </c>
      <c r="D3549" s="5" t="s">
        <v>34</v>
      </c>
      <c r="E3549" s="5" t="s">
        <v>427</v>
      </c>
      <c r="F3549" s="9" t="s">
        <v>428</v>
      </c>
      <c r="G3549" s="9" t="s">
        <v>117</v>
      </c>
      <c r="H3549" s="5" t="s">
        <v>21</v>
      </c>
      <c r="I3549" s="5" t="s">
        <v>9074</v>
      </c>
      <c r="J3549" s="12" t="str">
        <f>HYPERLINK("https://www.boe.es/gazeta/dias/1808/11/22/pdfs/GMD-D-1808-146.pdf#page=1","Abrir facsímil")</f>
        <v>Abrir facsímil</v>
      </c>
      <c r="K3549" s="15" t="s">
        <v>23</v>
      </c>
    </row>
    <row r="3550" spans="1:11" ht="42" customHeight="1">
      <c r="A3550" s="4" t="s">
        <v>9075</v>
      </c>
      <c r="B3550" s="5" t="s">
        <v>9076</v>
      </c>
      <c r="C3550" s="5" t="s">
        <v>17</v>
      </c>
      <c r="D3550" s="5" t="s">
        <v>18</v>
      </c>
      <c r="E3550" s="5" t="s">
        <v>1791</v>
      </c>
      <c r="F3550" s="9" t="s">
        <v>2814</v>
      </c>
      <c r="G3550" s="9">
        <v>930</v>
      </c>
      <c r="H3550" s="5" t="s">
        <v>21</v>
      </c>
      <c r="I3550" s="5" t="s">
        <v>9077</v>
      </c>
      <c r="J3550" s="12" t="str">
        <f>HYPERLINK("https://www.boe.es/gazeta/dias/1808/07/30/pdfs/GMD-1808-102.pdf#page=4","Abrir facsímil")</f>
        <v>Abrir facsímil</v>
      </c>
      <c r="K3550" s="15" t="s">
        <v>23</v>
      </c>
    </row>
    <row r="3551" spans="1:11" ht="42" customHeight="1">
      <c r="A3551" s="4" t="s">
        <v>9078</v>
      </c>
      <c r="B3551" s="5" t="s">
        <v>9079</v>
      </c>
      <c r="C3551" s="5" t="s">
        <v>33</v>
      </c>
      <c r="D3551" s="5" t="s">
        <v>34</v>
      </c>
      <c r="E3551" s="5" t="s">
        <v>115</v>
      </c>
      <c r="F3551" s="9" t="s">
        <v>116</v>
      </c>
      <c r="G3551" s="9" t="s">
        <v>75</v>
      </c>
      <c r="H3551" s="5" t="s">
        <v>21</v>
      </c>
      <c r="I3551" s="5" t="s">
        <v>9080</v>
      </c>
      <c r="J3551" s="12" t="str">
        <f>HYPERLINK("https://www.boe.es/gazeta/dias/1808/09/16/pdfs/GMD-C-1808-125.pdf#page=4","Abrir facsímil")</f>
        <v>Abrir facsímil</v>
      </c>
      <c r="K3551" s="15" t="s">
        <v>23</v>
      </c>
    </row>
    <row r="3552" spans="1:11" ht="42" customHeight="1">
      <c r="A3552" s="4" t="s">
        <v>9081</v>
      </c>
      <c r="B3552" s="5" t="s">
        <v>9082</v>
      </c>
      <c r="C3552" s="5" t="s">
        <v>41</v>
      </c>
      <c r="D3552" s="5" t="s">
        <v>42</v>
      </c>
      <c r="E3552" s="5" t="s">
        <v>89</v>
      </c>
      <c r="F3552" s="9" t="s">
        <v>90</v>
      </c>
      <c r="G3552" s="9">
        <v>1359</v>
      </c>
      <c r="H3552" s="5" t="s">
        <v>21</v>
      </c>
      <c r="I3552" s="5" t="s">
        <v>9083</v>
      </c>
      <c r="J3552" s="12" t="str">
        <f>HYPERLINK("https://www.boe.es/gazeta/dias/1808/10/25/pdfs/GMD-1808-137.pdf#page=7","Abrir facsímil")</f>
        <v>Abrir facsímil</v>
      </c>
      <c r="K3552" s="15" t="s">
        <v>23</v>
      </c>
    </row>
    <row r="3553" spans="1:11" ht="42" customHeight="1">
      <c r="A3553" s="4" t="s">
        <v>9081</v>
      </c>
      <c r="B3553" s="5" t="s">
        <v>9082</v>
      </c>
      <c r="C3553" s="5" t="s">
        <v>17</v>
      </c>
      <c r="D3553" s="5" t="s">
        <v>18</v>
      </c>
      <c r="E3553" s="5" t="s">
        <v>28</v>
      </c>
      <c r="F3553" s="9" t="s">
        <v>9084</v>
      </c>
      <c r="G3553" s="9">
        <v>366</v>
      </c>
      <c r="H3553" s="5" t="s">
        <v>21</v>
      </c>
      <c r="I3553" s="5" t="s">
        <v>9085</v>
      </c>
      <c r="J3553" s="12" t="str">
        <f>HYPERLINK("https://www.boe.es/gazeta/dias/1808/11/04/pdfs/GMS-1808-46.pdf#page=6","Abrir facsímil")</f>
        <v>Abrir facsímil</v>
      </c>
      <c r="K3553" s="15" t="s">
        <v>23</v>
      </c>
    </row>
    <row r="3554" spans="1:11" ht="42" customHeight="1">
      <c r="A3554" s="4" t="s">
        <v>9086</v>
      </c>
      <c r="B3554" s="5" t="s">
        <v>9087</v>
      </c>
      <c r="C3554" s="5" t="s">
        <v>94</v>
      </c>
      <c r="D3554" s="5" t="s">
        <v>95</v>
      </c>
      <c r="E3554" s="5" t="s">
        <v>68</v>
      </c>
      <c r="F3554" s="9" t="s">
        <v>849</v>
      </c>
      <c r="G3554" s="9">
        <v>1350</v>
      </c>
      <c r="H3554" s="5" t="s">
        <v>21</v>
      </c>
      <c r="I3554" s="5" t="s">
        <v>9088</v>
      </c>
      <c r="J3554" s="12" t="str">
        <f>HYPERLINK("https://www.boe.es/gazeta/dias/1808/10/21/pdfs/GMD-C-1808-136.pdf#page=10","Abrir facsímil")</f>
        <v>Abrir facsímil</v>
      </c>
      <c r="K3554" s="15" t="s">
        <v>23</v>
      </c>
    </row>
    <row r="3555" spans="1:11" ht="42" customHeight="1">
      <c r="A3555" s="4" t="s">
        <v>9089</v>
      </c>
      <c r="B3555" s="5" t="s">
        <v>9090</v>
      </c>
      <c r="C3555" s="5" t="s">
        <v>94</v>
      </c>
      <c r="D3555" s="5" t="s">
        <v>95</v>
      </c>
      <c r="E3555" s="5" t="s">
        <v>461</v>
      </c>
      <c r="F3555" s="9" t="s">
        <v>733</v>
      </c>
      <c r="G3555" s="9">
        <v>1445</v>
      </c>
      <c r="H3555" s="5" t="s">
        <v>21</v>
      </c>
      <c r="I3555" s="5" t="s">
        <v>9091</v>
      </c>
      <c r="J3555" s="12" t="str">
        <f>HYPERLINK("https://www.boe.es/gazeta/dias/1808/11/08/pdfs/GMD-1808-142.pdf#page=7","Abrir facsímil")</f>
        <v>Abrir facsímil</v>
      </c>
      <c r="K3555" s="15" t="s">
        <v>23</v>
      </c>
    </row>
    <row r="3556" spans="1:11" ht="42" customHeight="1">
      <c r="A3556" s="4" t="s">
        <v>9089</v>
      </c>
      <c r="B3556" s="5" t="s">
        <v>9090</v>
      </c>
      <c r="C3556" s="5" t="s">
        <v>17</v>
      </c>
      <c r="D3556" s="5" t="s">
        <v>18</v>
      </c>
      <c r="E3556" s="5" t="s">
        <v>461</v>
      </c>
      <c r="F3556" s="9" t="s">
        <v>733</v>
      </c>
      <c r="G3556" s="9">
        <v>1446</v>
      </c>
      <c r="H3556" s="5" t="s">
        <v>21</v>
      </c>
      <c r="I3556" s="5" t="s">
        <v>9092</v>
      </c>
      <c r="J3556" s="12" t="str">
        <f>HYPERLINK("https://www.boe.es/gazeta/dias/1808/11/08/pdfs/GMD-1808-142.pdf#page=8","Abrir facsímil")</f>
        <v>Abrir facsímil</v>
      </c>
      <c r="K3556" s="15" t="s">
        <v>23</v>
      </c>
    </row>
    <row r="3557" spans="1:11" ht="42" customHeight="1">
      <c r="A3557" s="4" t="s">
        <v>9093</v>
      </c>
      <c r="B3557" s="5" t="s">
        <v>9094</v>
      </c>
      <c r="C3557" s="5" t="s">
        <v>389</v>
      </c>
      <c r="D3557" s="5" t="s">
        <v>390</v>
      </c>
      <c r="E3557" s="5" t="s">
        <v>368</v>
      </c>
      <c r="F3557" s="9" t="s">
        <v>369</v>
      </c>
      <c r="G3557" s="9">
        <v>169</v>
      </c>
      <c r="H3557" s="5" t="s">
        <v>21</v>
      </c>
      <c r="I3557" s="5" t="s">
        <v>9095</v>
      </c>
      <c r="J3557" s="12" t="str">
        <f>HYPERLINK("https://www.boe.es/gazeta/dias/1808/02/16/pdfs/GMD-1808-14.pdf#page=11","Abrir facsímil")</f>
        <v>Abrir facsímil</v>
      </c>
      <c r="K3557" s="15" t="s">
        <v>23</v>
      </c>
    </row>
    <row r="3558" spans="1:11" ht="42" customHeight="1">
      <c r="A3558" s="4" t="s">
        <v>9096</v>
      </c>
      <c r="B3558" s="5" t="s">
        <v>9097</v>
      </c>
      <c r="C3558" s="5" t="s">
        <v>41</v>
      </c>
      <c r="D3558" s="5" t="s">
        <v>42</v>
      </c>
      <c r="E3558" s="5" t="s">
        <v>35</v>
      </c>
      <c r="F3558" s="9" t="s">
        <v>36</v>
      </c>
      <c r="G3558" s="9" t="s">
        <v>1806</v>
      </c>
      <c r="H3558" s="5" t="s">
        <v>21</v>
      </c>
      <c r="I3558" s="5" t="s">
        <v>9098</v>
      </c>
      <c r="J3558" s="12" t="str">
        <f>HYPERLINK("https://www.boe.es/gazeta/dias/1808/04/22/pdfs/GMD-C-1808-38.pdf#page=6","Abrir facsímil")</f>
        <v>Abrir facsímil</v>
      </c>
      <c r="K3558" s="15" t="s">
        <v>23</v>
      </c>
    </row>
    <row r="3559" spans="1:11" ht="42" customHeight="1">
      <c r="A3559" s="4" t="s">
        <v>9099</v>
      </c>
      <c r="B3559" s="5" t="s">
        <v>9100</v>
      </c>
      <c r="C3559" s="5" t="s">
        <v>94</v>
      </c>
      <c r="D3559" s="5" t="s">
        <v>95</v>
      </c>
      <c r="E3559" s="5" t="s">
        <v>418</v>
      </c>
      <c r="F3559" s="9" t="s">
        <v>419</v>
      </c>
      <c r="G3559" s="9">
        <v>1136</v>
      </c>
      <c r="H3559" s="5" t="s">
        <v>21</v>
      </c>
      <c r="I3559" s="5" t="s">
        <v>9101</v>
      </c>
      <c r="J3559" s="12" t="str">
        <f>HYPERLINK("https://www.boe.es/gazeta/dias/1808/09/06/pdfs/GMD-C-1808-120.pdf#page=10","Abrir facsímil")</f>
        <v>Abrir facsímil</v>
      </c>
      <c r="K3559" s="15" t="s">
        <v>23</v>
      </c>
    </row>
    <row r="3560" spans="1:11" ht="42" customHeight="1">
      <c r="A3560" s="4" t="s">
        <v>9102</v>
      </c>
      <c r="B3560" s="5" t="s">
        <v>9103</v>
      </c>
      <c r="C3560" s="5" t="s">
        <v>41</v>
      </c>
      <c r="D3560" s="5" t="s">
        <v>42</v>
      </c>
      <c r="E3560" s="5" t="s">
        <v>508</v>
      </c>
      <c r="F3560" s="9" t="s">
        <v>509</v>
      </c>
      <c r="G3560" s="9">
        <v>1019</v>
      </c>
      <c r="H3560" s="5" t="s">
        <v>21</v>
      </c>
      <c r="I3560" s="5" t="s">
        <v>9104</v>
      </c>
      <c r="J3560" s="12" t="str">
        <f>HYPERLINK("https://www.boe.es/gazeta/dias/1808/08/16/pdfs/GMD-1808-113.pdf#page=11","Abrir facsímil")</f>
        <v>Abrir facsímil</v>
      </c>
      <c r="K3560" s="15" t="s">
        <v>23</v>
      </c>
    </row>
    <row r="3561" spans="1:11" ht="42" customHeight="1">
      <c r="A3561" s="4" t="s">
        <v>9102</v>
      </c>
      <c r="B3561" s="5" t="s">
        <v>9103</v>
      </c>
      <c r="C3561" s="5" t="s">
        <v>33</v>
      </c>
      <c r="D3561" s="5" t="s">
        <v>34</v>
      </c>
      <c r="E3561" s="5" t="s">
        <v>456</v>
      </c>
      <c r="F3561" s="9" t="s">
        <v>748</v>
      </c>
      <c r="G3561" s="9" t="s">
        <v>199</v>
      </c>
      <c r="H3561" s="5" t="s">
        <v>21</v>
      </c>
      <c r="I3561" s="5" t="s">
        <v>9105</v>
      </c>
      <c r="J3561" s="12" t="str">
        <f>HYPERLINK("https://www.boe.es/gazeta/dias/1808/10/14/pdfs/GMD-C-1808-134.pdf#page=2","Abrir facsímil")</f>
        <v>Abrir facsímil</v>
      </c>
      <c r="K3561" s="15" t="s">
        <v>23</v>
      </c>
    </row>
    <row r="3562" spans="1:11" ht="42" customHeight="1">
      <c r="A3562" s="4" t="s">
        <v>9106</v>
      </c>
      <c r="B3562" s="5" t="s">
        <v>9106</v>
      </c>
      <c r="C3562" s="5" t="s">
        <v>17</v>
      </c>
      <c r="D3562" s="5" t="s">
        <v>18</v>
      </c>
      <c r="E3562" s="5" t="s">
        <v>461</v>
      </c>
      <c r="F3562" s="9" t="s">
        <v>733</v>
      </c>
      <c r="G3562" s="9">
        <v>1449</v>
      </c>
      <c r="H3562" s="5" t="s">
        <v>21</v>
      </c>
      <c r="I3562" s="5" t="s">
        <v>9107</v>
      </c>
      <c r="J3562" s="12" t="str">
        <f>HYPERLINK("https://www.boe.es/gazeta/dias/1808/11/08/pdfs/GMD-1808-142.pdf#page=11","Abrir facsímil")</f>
        <v>Abrir facsímil</v>
      </c>
      <c r="K3562" s="15" t="s">
        <v>23</v>
      </c>
    </row>
    <row r="3563" spans="1:11" ht="42" customHeight="1">
      <c r="A3563" s="4" t="s">
        <v>9108</v>
      </c>
      <c r="B3563" s="5" t="s">
        <v>9109</v>
      </c>
      <c r="C3563" s="5" t="s">
        <v>33</v>
      </c>
      <c r="D3563" s="5" t="s">
        <v>34</v>
      </c>
      <c r="E3563" s="5" t="s">
        <v>35</v>
      </c>
      <c r="F3563" s="9" t="s">
        <v>36</v>
      </c>
      <c r="G3563" s="9" t="s">
        <v>80</v>
      </c>
      <c r="H3563" s="5" t="s">
        <v>21</v>
      </c>
      <c r="I3563" s="5" t="s">
        <v>9110</v>
      </c>
      <c r="J3563" s="12" t="str">
        <f>HYPERLINK("https://www.boe.es/gazeta/dias/1808/04/22/pdfs/GMD-C-1808-38.pdf#page=18","Abrir facsímil")</f>
        <v>Abrir facsímil</v>
      </c>
      <c r="K3563" s="15" t="s">
        <v>23</v>
      </c>
    </row>
    <row r="3564" spans="1:11" ht="42" customHeight="1">
      <c r="A3564" s="4" t="s">
        <v>9111</v>
      </c>
      <c r="B3564" s="5" t="s">
        <v>9112</v>
      </c>
      <c r="C3564" s="5" t="s">
        <v>33</v>
      </c>
      <c r="D3564" s="5" t="s">
        <v>34</v>
      </c>
      <c r="E3564" s="5" t="s">
        <v>153</v>
      </c>
      <c r="F3564" s="9" t="s">
        <v>154</v>
      </c>
      <c r="G3564" s="9" t="s">
        <v>75</v>
      </c>
      <c r="H3564" s="5" t="s">
        <v>21</v>
      </c>
      <c r="I3564" s="5" t="s">
        <v>9113</v>
      </c>
      <c r="J3564" s="12" t="str">
        <f>HYPERLINK("https://www.boe.es/gazeta/dias/1808/09/09/pdfs/GMD-C-1808-121.pdf#page=4","Abrir facsímil")</f>
        <v>Abrir facsímil</v>
      </c>
      <c r="K3564" s="15" t="s">
        <v>23</v>
      </c>
    </row>
    <row r="3565" spans="1:11" ht="42" customHeight="1">
      <c r="A3565" s="4" t="s">
        <v>9114</v>
      </c>
      <c r="B3565" s="5" t="s">
        <v>9115</v>
      </c>
      <c r="C3565" s="5" t="s">
        <v>41</v>
      </c>
      <c r="D3565" s="5" t="s">
        <v>42</v>
      </c>
      <c r="E3565" s="5" t="s">
        <v>197</v>
      </c>
      <c r="F3565" s="9" t="s">
        <v>198</v>
      </c>
      <c r="G3565" s="9" t="s">
        <v>117</v>
      </c>
      <c r="H3565" s="5" t="s">
        <v>21</v>
      </c>
      <c r="I3565" s="5" t="s">
        <v>9116</v>
      </c>
      <c r="J3565" s="12" t="str">
        <f>HYPERLINK("https://www.boe.es/gazeta/dias/1808/11/01/pdfs/GMD-D-1808-140.pdf#page=1","Abrir facsímil")</f>
        <v>Abrir facsímil</v>
      </c>
      <c r="K3565" s="15" t="s">
        <v>23</v>
      </c>
    </row>
    <row r="3566" spans="1:11" ht="42" customHeight="1">
      <c r="A3566" s="4" t="s">
        <v>9114</v>
      </c>
      <c r="B3566" s="5" t="s">
        <v>9115</v>
      </c>
      <c r="C3566" s="5" t="s">
        <v>41</v>
      </c>
      <c r="D3566" s="5" t="s">
        <v>42</v>
      </c>
      <c r="E3566" s="5" t="s">
        <v>28</v>
      </c>
      <c r="F3566" s="9" t="s">
        <v>29</v>
      </c>
      <c r="G3566" s="9">
        <v>1427</v>
      </c>
      <c r="H3566" s="5" t="s">
        <v>21</v>
      </c>
      <c r="I3566" s="5" t="s">
        <v>9117</v>
      </c>
      <c r="J3566" s="12" t="str">
        <f>HYPERLINK("https://www.boe.es/gazeta/dias/1808/11/04/pdfs/GMD-1808-141.pdf#page=9","Abrir facsímil")</f>
        <v>Abrir facsímil</v>
      </c>
      <c r="K3566" s="15" t="s">
        <v>23</v>
      </c>
    </row>
    <row r="3567" spans="1:11" ht="42" customHeight="1">
      <c r="A3567" s="4" t="s">
        <v>9118</v>
      </c>
      <c r="B3567" s="5" t="s">
        <v>9119</v>
      </c>
      <c r="C3567" s="5" t="s">
        <v>17</v>
      </c>
      <c r="D3567" s="5" t="s">
        <v>18</v>
      </c>
      <c r="E3567" s="5" t="s">
        <v>2171</v>
      </c>
      <c r="F3567" s="9" t="s">
        <v>2172</v>
      </c>
      <c r="G3567" s="9">
        <v>774</v>
      </c>
      <c r="H3567" s="5" t="s">
        <v>21</v>
      </c>
      <c r="I3567" s="5" t="s">
        <v>9120</v>
      </c>
      <c r="J3567" s="12" t="str">
        <f>HYPERLINK("https://www.boe.es/gazeta/dias/1808/07/10/pdfs/GMD-1808-82.pdf#page=8","Abrir facsímil")</f>
        <v>Abrir facsímil</v>
      </c>
      <c r="K3567" s="15" t="s">
        <v>23</v>
      </c>
    </row>
    <row r="3568" spans="1:11" ht="42" customHeight="1">
      <c r="A3568" s="4" t="s">
        <v>9121</v>
      </c>
      <c r="B3568" s="5" t="s">
        <v>9122</v>
      </c>
      <c r="C3568" s="5" t="s">
        <v>33</v>
      </c>
      <c r="D3568" s="5" t="s">
        <v>34</v>
      </c>
      <c r="E3568" s="5" t="s">
        <v>363</v>
      </c>
      <c r="F3568" s="9" t="s">
        <v>364</v>
      </c>
      <c r="G3568" s="9" t="s">
        <v>117</v>
      </c>
      <c r="H3568" s="5" t="s">
        <v>21</v>
      </c>
      <c r="I3568" s="5" t="s">
        <v>9123</v>
      </c>
      <c r="J3568" s="12" t="str">
        <f>HYPERLINK("https://www.boe.es/gazeta/dias/1808/09/20/pdfs/GMD-C-1808-126.pdf#page=1","Abrir facsímil")</f>
        <v>Abrir facsímil</v>
      </c>
      <c r="K3568" s="15" t="s">
        <v>23</v>
      </c>
    </row>
    <row r="3569" spans="1:11" ht="42" customHeight="1">
      <c r="A3569" s="4" t="s">
        <v>9124</v>
      </c>
      <c r="B3569" s="5" t="s">
        <v>9125</v>
      </c>
      <c r="C3569" s="5" t="s">
        <v>41</v>
      </c>
      <c r="D3569" s="5" t="s">
        <v>42</v>
      </c>
      <c r="E3569" s="5" t="s">
        <v>65</v>
      </c>
      <c r="F3569" s="9" t="s">
        <v>66</v>
      </c>
      <c r="G3569" s="9">
        <v>1316</v>
      </c>
      <c r="H3569" s="5" t="s">
        <v>21</v>
      </c>
      <c r="I3569" s="5" t="s">
        <v>9126</v>
      </c>
      <c r="J3569" s="12" t="str">
        <f>HYPERLINK("https://www.boe.es/gazeta/dias/1808/10/18/pdfs/GMD-1808-135.pdf#page=16","Abrir facsímil")</f>
        <v>Abrir facsímil</v>
      </c>
      <c r="K3569" s="15" t="s">
        <v>23</v>
      </c>
    </row>
    <row r="3570" spans="1:11" ht="42" customHeight="1">
      <c r="A3570" s="4" t="s">
        <v>9127</v>
      </c>
      <c r="B3570" s="5" t="s">
        <v>9128</v>
      </c>
      <c r="C3570" s="5" t="s">
        <v>94</v>
      </c>
      <c r="D3570" s="5" t="s">
        <v>95</v>
      </c>
      <c r="E3570" s="5" t="s">
        <v>96</v>
      </c>
      <c r="F3570" s="9" t="s">
        <v>97</v>
      </c>
      <c r="G3570" s="9">
        <v>266</v>
      </c>
      <c r="H3570" s="5" t="s">
        <v>21</v>
      </c>
      <c r="I3570" s="5" t="s">
        <v>9129</v>
      </c>
      <c r="J3570" s="12" t="str">
        <f>HYPERLINK("https://www.boe.es/gazeta/dias/1808/03/15/pdfs/GMD-1808-22.pdf#page=8","Abrir facsímil")</f>
        <v>Abrir facsímil</v>
      </c>
      <c r="K3570" s="15" t="s">
        <v>23</v>
      </c>
    </row>
    <row r="3571" spans="1:11" ht="42" customHeight="1">
      <c r="A3571" s="4" t="s">
        <v>9130</v>
      </c>
      <c r="B3571" s="5" t="s">
        <v>9131</v>
      </c>
      <c r="C3571" s="5" t="s">
        <v>260</v>
      </c>
      <c r="D3571" s="5" t="s">
        <v>42</v>
      </c>
      <c r="E3571" s="5" t="s">
        <v>1194</v>
      </c>
      <c r="F3571" s="9" t="s">
        <v>1195</v>
      </c>
      <c r="G3571" s="9">
        <v>448</v>
      </c>
      <c r="H3571" s="5" t="s">
        <v>21</v>
      </c>
      <c r="I3571" s="5" t="s">
        <v>9132</v>
      </c>
      <c r="J3571" s="12" t="str">
        <f>HYPERLINK("https://www.boe.es/gazeta/dias/1808/05/10/pdfs/GMD-1808-45.pdf#page=8","Abrir facsímil")</f>
        <v>Abrir facsímil</v>
      </c>
      <c r="K3571" s="15" t="s">
        <v>23</v>
      </c>
    </row>
    <row r="3572" spans="1:11" ht="42" customHeight="1">
      <c r="A3572" s="4" t="s">
        <v>9133</v>
      </c>
      <c r="B3572" s="5" t="s">
        <v>9134</v>
      </c>
      <c r="C3572" s="5" t="s">
        <v>33</v>
      </c>
      <c r="D3572" s="5" t="s">
        <v>34</v>
      </c>
      <c r="E3572" s="5" t="s">
        <v>35</v>
      </c>
      <c r="F3572" s="9" t="s">
        <v>36</v>
      </c>
      <c r="G3572" s="9" t="s">
        <v>443</v>
      </c>
      <c r="H3572" s="5" t="s">
        <v>21</v>
      </c>
      <c r="I3572" s="5" t="s">
        <v>9135</v>
      </c>
      <c r="J3572" s="12" t="str">
        <f>HYPERLINK("https://www.boe.es/gazeta/dias/1808/04/22/pdfs/GMD-C-1808-38.pdf#page=16","Abrir facsímil")</f>
        <v>Abrir facsímil</v>
      </c>
      <c r="K3572" s="15" t="s">
        <v>23</v>
      </c>
    </row>
    <row r="3573" spans="1:11" ht="42" customHeight="1">
      <c r="A3573" s="4" t="s">
        <v>9136</v>
      </c>
      <c r="B3573" s="5" t="s">
        <v>9137</v>
      </c>
      <c r="C3573" s="5" t="s">
        <v>94</v>
      </c>
      <c r="D3573" s="5" t="s">
        <v>95</v>
      </c>
      <c r="E3573" s="5" t="s">
        <v>65</v>
      </c>
      <c r="F3573" s="9" t="s">
        <v>66</v>
      </c>
      <c r="G3573" s="9">
        <v>1307</v>
      </c>
      <c r="H3573" s="5" t="s">
        <v>21</v>
      </c>
      <c r="I3573" s="5" t="s">
        <v>9138</v>
      </c>
      <c r="J3573" s="12" t="str">
        <f>HYPERLINK("https://www.boe.es/gazeta/dias/1808/10/18/pdfs/GMD-1808-135.pdf#page=7","Abrir facsímil")</f>
        <v>Abrir facsímil</v>
      </c>
      <c r="K3573" s="15" t="s">
        <v>23</v>
      </c>
    </row>
    <row r="3574" spans="1:11" ht="42" customHeight="1">
      <c r="A3574" s="4" t="s">
        <v>9139</v>
      </c>
      <c r="B3574" s="5" t="s">
        <v>9140</v>
      </c>
      <c r="C3574" s="5" t="s">
        <v>33</v>
      </c>
      <c r="D3574" s="5" t="s">
        <v>34</v>
      </c>
      <c r="E3574" s="5" t="s">
        <v>461</v>
      </c>
      <c r="F3574" s="9" t="s">
        <v>462</v>
      </c>
      <c r="G3574" s="9" t="s">
        <v>75</v>
      </c>
      <c r="H3574" s="5" t="s">
        <v>21</v>
      </c>
      <c r="I3574" s="5" t="s">
        <v>9141</v>
      </c>
      <c r="J3574" s="12" t="str">
        <f>HYPERLINK("https://www.boe.es/gazeta/dias/1808/11/08/pdfs/GMD-D-1808-142.pdf#page=4","Abrir facsímil")</f>
        <v>Abrir facsímil</v>
      </c>
      <c r="K3574" s="15" t="s">
        <v>23</v>
      </c>
    </row>
    <row r="3575" spans="1:11" ht="42" customHeight="1">
      <c r="A3575" s="4" t="s">
        <v>9142</v>
      </c>
      <c r="B3575" s="5" t="s">
        <v>9143</v>
      </c>
      <c r="C3575" s="5" t="s">
        <v>41</v>
      </c>
      <c r="D3575" s="5" t="s">
        <v>42</v>
      </c>
      <c r="E3575" s="5" t="s">
        <v>35</v>
      </c>
      <c r="F3575" s="9" t="s">
        <v>36</v>
      </c>
      <c r="G3575" s="9" t="s">
        <v>1860</v>
      </c>
      <c r="H3575" s="5" t="s">
        <v>21</v>
      </c>
      <c r="I3575" s="5" t="s">
        <v>9144</v>
      </c>
      <c r="J3575" s="12" t="str">
        <f>HYPERLINK("https://www.boe.es/gazeta/dias/1808/04/22/pdfs/GMD-C-1808-38.pdf#page=37","Abrir facsímil")</f>
        <v>Abrir facsímil</v>
      </c>
      <c r="K3575" s="15" t="s">
        <v>23</v>
      </c>
    </row>
    <row r="3576" spans="1:11" ht="42" customHeight="1">
      <c r="A3576" s="4" t="s">
        <v>9142</v>
      </c>
      <c r="B3576" s="5" t="s">
        <v>9143</v>
      </c>
      <c r="C3576" s="5" t="s">
        <v>33</v>
      </c>
      <c r="D3576" s="5" t="s">
        <v>34</v>
      </c>
      <c r="E3576" s="5" t="s">
        <v>35</v>
      </c>
      <c r="F3576" s="9" t="s">
        <v>36</v>
      </c>
      <c r="G3576" s="9" t="s">
        <v>655</v>
      </c>
      <c r="H3576" s="5" t="s">
        <v>21</v>
      </c>
      <c r="I3576" s="5" t="s">
        <v>9145</v>
      </c>
      <c r="J3576" s="12" t="str">
        <f>HYPERLINK("https://www.boe.es/gazeta/dias/1808/04/22/pdfs/GMD-C-1808-38.pdf#page=43","Abrir facsímil")</f>
        <v>Abrir facsímil</v>
      </c>
      <c r="K3576" s="15" t="s">
        <v>23</v>
      </c>
    </row>
    <row r="3577" spans="1:11" ht="42" customHeight="1">
      <c r="A3577" s="4" t="s">
        <v>9146</v>
      </c>
      <c r="B3577" s="5" t="s">
        <v>9147</v>
      </c>
      <c r="C3577" s="5" t="s">
        <v>41</v>
      </c>
      <c r="D3577" s="5" t="s">
        <v>42</v>
      </c>
      <c r="E3577" s="5" t="s">
        <v>35</v>
      </c>
      <c r="F3577" s="9" t="s">
        <v>36</v>
      </c>
      <c r="G3577" s="9" t="s">
        <v>135</v>
      </c>
      <c r="H3577" s="5" t="s">
        <v>21</v>
      </c>
      <c r="I3577" s="5" t="s">
        <v>9148</v>
      </c>
      <c r="J3577" s="12" t="str">
        <f>HYPERLINK("https://www.boe.es/gazeta/dias/1808/04/22/pdfs/GMD-C-1808-38.pdf#page=26","Abrir facsímil")</f>
        <v>Abrir facsímil</v>
      </c>
      <c r="K3577" s="15" t="s">
        <v>23</v>
      </c>
    </row>
    <row r="3578" spans="1:11" ht="42" customHeight="1">
      <c r="A3578" s="4" t="s">
        <v>9149</v>
      </c>
      <c r="B3578" s="5" t="s">
        <v>9150</v>
      </c>
      <c r="C3578" s="5" t="s">
        <v>41</v>
      </c>
      <c r="D3578" s="5" t="s">
        <v>42</v>
      </c>
      <c r="E3578" s="5" t="s">
        <v>539</v>
      </c>
      <c r="F3578" s="9" t="s">
        <v>908</v>
      </c>
      <c r="G3578" s="9">
        <v>222</v>
      </c>
      <c r="H3578" s="5" t="s">
        <v>21</v>
      </c>
      <c r="I3578" s="5" t="s">
        <v>9151</v>
      </c>
      <c r="J3578" s="12" t="str">
        <f>HYPERLINK("https://www.boe.es/gazeta/dias/1808/09/02/pdfs/GMS-1808-28.pdf#page=6","Abrir facsímil")</f>
        <v>Abrir facsímil</v>
      </c>
      <c r="K3578" s="15" t="s">
        <v>23</v>
      </c>
    </row>
    <row r="3579" spans="1:11" ht="42" customHeight="1">
      <c r="A3579" s="4" t="s">
        <v>9149</v>
      </c>
      <c r="B3579" s="5" t="s">
        <v>9150</v>
      </c>
      <c r="C3579" s="5" t="s">
        <v>33</v>
      </c>
      <c r="D3579" s="5" t="s">
        <v>34</v>
      </c>
      <c r="E3579" s="5" t="s">
        <v>89</v>
      </c>
      <c r="F3579" s="9" t="s">
        <v>1247</v>
      </c>
      <c r="G3579" s="9">
        <v>1367</v>
      </c>
      <c r="H3579" s="5" t="s">
        <v>21</v>
      </c>
      <c r="I3579" s="5" t="s">
        <v>9152</v>
      </c>
      <c r="J3579" s="12" t="str">
        <f>HYPERLINK("https://www.boe.es/gazeta/dias/1808/10/25/pdfs/GMD-C-1808-137.pdf#page=3","Abrir facsímil")</f>
        <v>Abrir facsímil</v>
      </c>
      <c r="K3579" s="15" t="s">
        <v>23</v>
      </c>
    </row>
    <row r="3580" spans="1:11" ht="42" customHeight="1">
      <c r="A3580" s="4" t="s">
        <v>9149</v>
      </c>
      <c r="B3580" s="5" t="s">
        <v>9150</v>
      </c>
      <c r="C3580" s="5" t="s">
        <v>94</v>
      </c>
      <c r="D3580" s="5" t="s">
        <v>95</v>
      </c>
      <c r="E3580" s="5" t="s">
        <v>461</v>
      </c>
      <c r="F3580" s="9" t="s">
        <v>733</v>
      </c>
      <c r="G3580" s="9">
        <v>1446</v>
      </c>
      <c r="H3580" s="5" t="s">
        <v>21</v>
      </c>
      <c r="I3580" s="5" t="s">
        <v>9153</v>
      </c>
      <c r="J3580" s="12" t="str">
        <f>HYPERLINK("https://www.boe.es/gazeta/dias/1808/11/08/pdfs/GMD-1808-142.pdf#page=8","Abrir facsímil")</f>
        <v>Abrir facsímil</v>
      </c>
      <c r="K3580" s="15" t="s">
        <v>23</v>
      </c>
    </row>
    <row r="3581" spans="1:11" ht="42" customHeight="1">
      <c r="A3581" s="4" t="s">
        <v>9149</v>
      </c>
      <c r="B3581" s="5" t="s">
        <v>9150</v>
      </c>
      <c r="C3581" s="5" t="s">
        <v>94</v>
      </c>
      <c r="D3581" s="5" t="s">
        <v>95</v>
      </c>
      <c r="E3581" s="5" t="s">
        <v>73</v>
      </c>
      <c r="F3581" s="9" t="s">
        <v>581</v>
      </c>
      <c r="G3581" s="9">
        <v>1465</v>
      </c>
      <c r="H3581" s="5" t="s">
        <v>21</v>
      </c>
      <c r="I3581" s="5" t="s">
        <v>9154</v>
      </c>
      <c r="J3581" s="12" t="str">
        <f>HYPERLINK("https://www.boe.es/gazeta/dias/1808/11/11/pdfs/GMD-1808-143.pdf#page=7","Abrir facsímil")</f>
        <v>Abrir facsímil</v>
      </c>
      <c r="K3581" s="15" t="s">
        <v>23</v>
      </c>
    </row>
    <row r="3582" spans="1:11" ht="42" customHeight="1">
      <c r="A3582" s="4" t="s">
        <v>9155</v>
      </c>
      <c r="B3582" s="5" t="s">
        <v>9156</v>
      </c>
      <c r="C3582" s="5" t="s">
        <v>33</v>
      </c>
      <c r="D3582" s="5" t="s">
        <v>34</v>
      </c>
      <c r="E3582" s="5" t="s">
        <v>35</v>
      </c>
      <c r="F3582" s="9" t="s">
        <v>36</v>
      </c>
      <c r="G3582" s="9" t="s">
        <v>313</v>
      </c>
      <c r="H3582" s="5" t="s">
        <v>21</v>
      </c>
      <c r="I3582" s="5" t="s">
        <v>9157</v>
      </c>
      <c r="J3582" s="12" t="str">
        <f>HYPERLINK("https://www.boe.es/gazeta/dias/1808/04/22/pdfs/GMD-C-1808-38.pdf#page=29","Abrir facsímil")</f>
        <v>Abrir facsímil</v>
      </c>
      <c r="K3582" s="15" t="s">
        <v>23</v>
      </c>
    </row>
    <row r="3583" spans="1:11" ht="42" customHeight="1">
      <c r="A3583" s="4" t="s">
        <v>9155</v>
      </c>
      <c r="B3583" s="5" t="s">
        <v>9156</v>
      </c>
      <c r="C3583" s="5" t="s">
        <v>17</v>
      </c>
      <c r="D3583" s="5" t="s">
        <v>18</v>
      </c>
      <c r="E3583" s="5" t="s">
        <v>139</v>
      </c>
      <c r="F3583" s="9" t="s">
        <v>140</v>
      </c>
      <c r="G3583" s="9">
        <v>1203</v>
      </c>
      <c r="H3583" s="5" t="s">
        <v>21</v>
      </c>
      <c r="I3583" s="5" t="s">
        <v>9158</v>
      </c>
      <c r="J3583" s="12" t="str">
        <f>HYPERLINK("https://www.boe.es/gazeta/dias/1808/09/23/pdfs/GMD-1808-127.pdf#page=11","Abrir facsímil")</f>
        <v>Abrir facsímil</v>
      </c>
      <c r="K3583" s="15" t="s">
        <v>23</v>
      </c>
    </row>
    <row r="3584" spans="1:11" ht="42" customHeight="1">
      <c r="A3584" s="4" t="s">
        <v>9155</v>
      </c>
      <c r="B3584" s="5" t="s">
        <v>9156</v>
      </c>
      <c r="C3584" s="5" t="s">
        <v>33</v>
      </c>
      <c r="D3584" s="5" t="s">
        <v>34</v>
      </c>
      <c r="E3584" s="5" t="s">
        <v>65</v>
      </c>
      <c r="F3584" s="9" t="s">
        <v>691</v>
      </c>
      <c r="G3584" s="9">
        <v>1327</v>
      </c>
      <c r="H3584" s="5" t="s">
        <v>21</v>
      </c>
      <c r="I3584" s="5" t="s">
        <v>9159</v>
      </c>
      <c r="J3584" s="12" t="str">
        <f>HYPERLINK("https://www.boe.es/gazeta/dias/1808/10/18/pdfs/GMD-C-1808-135.pdf#page=11","Abrir facsímil")</f>
        <v>Abrir facsímil</v>
      </c>
      <c r="K3584" s="15" t="s">
        <v>23</v>
      </c>
    </row>
    <row r="3585" spans="1:11" ht="42" customHeight="1">
      <c r="A3585" s="4" t="s">
        <v>9160</v>
      </c>
      <c r="B3585" s="5" t="s">
        <v>9161</v>
      </c>
      <c r="C3585" s="5" t="s">
        <v>33</v>
      </c>
      <c r="D3585" s="5" t="s">
        <v>34</v>
      </c>
      <c r="E3585" s="5" t="s">
        <v>558</v>
      </c>
      <c r="F3585" s="9" t="s">
        <v>758</v>
      </c>
      <c r="G3585" s="9" t="s">
        <v>106</v>
      </c>
      <c r="H3585" s="5" t="s">
        <v>21</v>
      </c>
      <c r="I3585" s="5" t="s">
        <v>9162</v>
      </c>
      <c r="J3585" s="12" t="str">
        <f>HYPERLINK("https://www.boe.es/gazeta/dias/1808/11/25/pdfs/GMD-E-1808-147.pdf#page=3","Abrir facsímil")</f>
        <v>Abrir facsímil</v>
      </c>
      <c r="K3585" s="15" t="s">
        <v>23</v>
      </c>
    </row>
    <row r="3586" spans="1:11" ht="42" customHeight="1">
      <c r="A3586" s="4" t="s">
        <v>9163</v>
      </c>
      <c r="B3586" s="5" t="s">
        <v>9164</v>
      </c>
      <c r="C3586" s="5" t="s">
        <v>41</v>
      </c>
      <c r="D3586" s="5" t="s">
        <v>42</v>
      </c>
      <c r="E3586" s="5" t="s">
        <v>558</v>
      </c>
      <c r="F3586" s="9" t="s">
        <v>758</v>
      </c>
      <c r="G3586" s="9" t="s">
        <v>75</v>
      </c>
      <c r="H3586" s="5" t="s">
        <v>21</v>
      </c>
      <c r="I3586" s="5" t="s">
        <v>9165</v>
      </c>
      <c r="J3586" s="12" t="str">
        <f>HYPERLINK("https://www.boe.es/gazeta/dias/1808/11/25/pdfs/GMD-E-1808-147.pdf#page=4","Abrir facsímil")</f>
        <v>Abrir facsímil</v>
      </c>
      <c r="K3586" s="15" t="s">
        <v>23</v>
      </c>
    </row>
    <row r="3587" spans="1:11" ht="42" customHeight="1">
      <c r="A3587" s="4" t="s">
        <v>9166</v>
      </c>
      <c r="B3587" s="5" t="s">
        <v>9167</v>
      </c>
      <c r="C3587" s="5" t="s">
        <v>33</v>
      </c>
      <c r="D3587" s="5" t="s">
        <v>34</v>
      </c>
      <c r="E3587" s="5" t="s">
        <v>35</v>
      </c>
      <c r="F3587" s="9" t="s">
        <v>36</v>
      </c>
      <c r="G3587" s="9" t="s">
        <v>414</v>
      </c>
      <c r="H3587" s="5" t="s">
        <v>21</v>
      </c>
      <c r="I3587" s="5" t="s">
        <v>9168</v>
      </c>
      <c r="J3587" s="12" t="str">
        <f>HYPERLINK("https://www.boe.es/gazeta/dias/1808/04/22/pdfs/GMD-C-1808-38.pdf#page=20","Abrir facsímil")</f>
        <v>Abrir facsímil</v>
      </c>
      <c r="K3587" s="15" t="s">
        <v>23</v>
      </c>
    </row>
    <row r="3588" spans="1:11" ht="42" customHeight="1">
      <c r="A3588" s="4" t="s">
        <v>9169</v>
      </c>
      <c r="B3588" s="5" t="s">
        <v>9170</v>
      </c>
      <c r="C3588" s="5" t="s">
        <v>17</v>
      </c>
      <c r="D3588" s="5" t="s">
        <v>18</v>
      </c>
      <c r="E3588" s="5" t="s">
        <v>804</v>
      </c>
      <c r="F3588" s="9" t="s">
        <v>805</v>
      </c>
      <c r="G3588" s="9">
        <v>971</v>
      </c>
      <c r="H3588" s="5" t="s">
        <v>21</v>
      </c>
      <c r="I3588" s="5" t="s">
        <v>9171</v>
      </c>
      <c r="J3588" s="12" t="str">
        <f>HYPERLINK("https://www.boe.es/gazeta/dias/1808/08/05/pdfs/GMD-1808-108.pdf#page=1","Abrir facsímil")</f>
        <v>Abrir facsímil</v>
      </c>
      <c r="K3588" s="15" t="s">
        <v>23</v>
      </c>
    </row>
    <row r="3589" spans="1:11" ht="42" customHeight="1">
      <c r="A3589" s="4" t="s">
        <v>9172</v>
      </c>
      <c r="B3589" s="5" t="s">
        <v>9173</v>
      </c>
      <c r="C3589" s="5" t="s">
        <v>41</v>
      </c>
      <c r="D3589" s="5" t="s">
        <v>42</v>
      </c>
      <c r="E3589" s="5" t="s">
        <v>508</v>
      </c>
      <c r="F3589" s="9" t="s">
        <v>509</v>
      </c>
      <c r="G3589" s="9">
        <v>1017</v>
      </c>
      <c r="H3589" s="5" t="s">
        <v>21</v>
      </c>
      <c r="I3589" s="5" t="s">
        <v>9174</v>
      </c>
      <c r="J3589" s="12" t="str">
        <f>HYPERLINK("https://www.boe.es/gazeta/dias/1808/08/16/pdfs/GMD-1808-113.pdf#page=9","Abrir facsímil")</f>
        <v>Abrir facsímil</v>
      </c>
      <c r="K3589" s="15" t="s">
        <v>23</v>
      </c>
    </row>
    <row r="3590" spans="1:11" ht="42" customHeight="1">
      <c r="A3590" s="4" t="s">
        <v>9172</v>
      </c>
      <c r="B3590" s="5" t="s">
        <v>9173</v>
      </c>
      <c r="C3590" s="5" t="s">
        <v>41</v>
      </c>
      <c r="D3590" s="5" t="s">
        <v>42</v>
      </c>
      <c r="E3590" s="5" t="s">
        <v>508</v>
      </c>
      <c r="F3590" s="9" t="s">
        <v>1561</v>
      </c>
      <c r="G3590" s="9">
        <v>1032</v>
      </c>
      <c r="H3590" s="5" t="s">
        <v>21</v>
      </c>
      <c r="I3590" s="5" t="s">
        <v>9175</v>
      </c>
      <c r="J3590" s="12" t="str">
        <f>HYPERLINK("https://www.boe.es/gazeta/dias/1808/08/16/pdfs/GMD-C-1808-113.pdf#page=12","Abrir facsímil")</f>
        <v>Abrir facsímil</v>
      </c>
      <c r="K3590" s="15" t="s">
        <v>23</v>
      </c>
    </row>
    <row r="3591" spans="1:11" ht="42" customHeight="1">
      <c r="A3591" s="4" t="s">
        <v>9172</v>
      </c>
      <c r="B3591" s="5" t="s">
        <v>9173</v>
      </c>
      <c r="C3591" s="5" t="s">
        <v>33</v>
      </c>
      <c r="D3591" s="5" t="s">
        <v>34</v>
      </c>
      <c r="E3591" s="5" t="s">
        <v>89</v>
      </c>
      <c r="F3591" s="9" t="s">
        <v>1247</v>
      </c>
      <c r="G3591" s="9">
        <v>1365</v>
      </c>
      <c r="H3591" s="5" t="s">
        <v>21</v>
      </c>
      <c r="I3591" s="5" t="s">
        <v>9176</v>
      </c>
      <c r="J3591" s="12" t="str">
        <f>HYPERLINK("https://www.boe.es/gazeta/dias/1808/10/25/pdfs/GMD-C-1808-137.pdf#page=1","Abrir facsímil")</f>
        <v>Abrir facsímil</v>
      </c>
      <c r="K3591" s="15" t="s">
        <v>23</v>
      </c>
    </row>
    <row r="3592" spans="1:11" ht="42" customHeight="1">
      <c r="A3592" s="4" t="s">
        <v>9177</v>
      </c>
      <c r="B3592" s="5" t="s">
        <v>9178</v>
      </c>
      <c r="C3592" s="5" t="s">
        <v>33</v>
      </c>
      <c r="D3592" s="5" t="s">
        <v>34</v>
      </c>
      <c r="E3592" s="5" t="s">
        <v>89</v>
      </c>
      <c r="F3592" s="9" t="s">
        <v>563</v>
      </c>
      <c r="G3592" s="9" t="s">
        <v>106</v>
      </c>
      <c r="H3592" s="5" t="s">
        <v>21</v>
      </c>
      <c r="I3592" s="5" t="s">
        <v>9179</v>
      </c>
      <c r="J3592" s="12" t="str">
        <f>HYPERLINK("https://www.boe.es/gazeta/dias/1808/10/25/pdfs/GMD-D-1808-137.pdf#page=3","Abrir facsímil")</f>
        <v>Abrir facsímil</v>
      </c>
      <c r="K3592" s="15" t="s">
        <v>23</v>
      </c>
    </row>
    <row r="3593" spans="1:11" ht="42" customHeight="1">
      <c r="A3593" s="4" t="s">
        <v>9180</v>
      </c>
      <c r="B3593" s="5" t="s">
        <v>9181</v>
      </c>
      <c r="C3593" s="5" t="s">
        <v>17</v>
      </c>
      <c r="D3593" s="5" t="s">
        <v>18</v>
      </c>
      <c r="E3593" s="5" t="s">
        <v>125</v>
      </c>
      <c r="F3593" s="9" t="s">
        <v>397</v>
      </c>
      <c r="G3593" s="9">
        <v>1269</v>
      </c>
      <c r="H3593" s="5" t="s">
        <v>21</v>
      </c>
      <c r="I3593" s="5" t="s">
        <v>9182</v>
      </c>
      <c r="J3593" s="12" t="str">
        <f>HYPERLINK("https://www.boe.es/gazeta/dias/1808/10/07/pdfs/GMD-1808-132.pdf#page=9","Abrir facsímil")</f>
        <v>Abrir facsímil</v>
      </c>
      <c r="K3593" s="15" t="s">
        <v>23</v>
      </c>
    </row>
    <row r="3594" spans="1:11" ht="42" customHeight="1">
      <c r="A3594" s="4" t="s">
        <v>9183</v>
      </c>
      <c r="B3594" s="5" t="s">
        <v>9184</v>
      </c>
      <c r="C3594" s="5" t="s">
        <v>33</v>
      </c>
      <c r="D3594" s="5" t="s">
        <v>34</v>
      </c>
      <c r="E3594" s="5" t="s">
        <v>264</v>
      </c>
      <c r="F3594" s="9" t="s">
        <v>318</v>
      </c>
      <c r="G3594" s="9" t="s">
        <v>199</v>
      </c>
      <c r="H3594" s="5" t="s">
        <v>21</v>
      </c>
      <c r="I3594" s="5" t="s">
        <v>9185</v>
      </c>
      <c r="J3594" s="12" t="str">
        <f>HYPERLINK("https://www.boe.es/gazeta/dias/1808/11/29/pdfs/GMD-C-1808-148.pdf#page=2","Abrir facsímil")</f>
        <v>Abrir facsímil</v>
      </c>
      <c r="K3594" s="15" t="s">
        <v>23</v>
      </c>
    </row>
    <row r="3595" spans="1:11" ht="42" customHeight="1">
      <c r="A3595" s="4" t="s">
        <v>9186</v>
      </c>
      <c r="B3595" s="5" t="s">
        <v>9187</v>
      </c>
      <c r="C3595" s="5" t="s">
        <v>41</v>
      </c>
      <c r="D3595" s="5" t="s">
        <v>42</v>
      </c>
      <c r="E3595" s="5" t="s">
        <v>427</v>
      </c>
      <c r="F3595" s="9" t="s">
        <v>9188</v>
      </c>
      <c r="G3595" s="9">
        <v>1533</v>
      </c>
      <c r="H3595" s="5" t="s">
        <v>21</v>
      </c>
      <c r="I3595" s="5" t="s">
        <v>9189</v>
      </c>
      <c r="J3595" s="12" t="str">
        <f>HYPERLINK("https://www.boe.es/gazeta/dias/1808/11/22/pdfs/GMD-C-1808-146.pdf#page=7","Abrir facsímil")</f>
        <v>Abrir facsímil</v>
      </c>
      <c r="K3595" s="15" t="s">
        <v>23</v>
      </c>
    </row>
    <row r="3596" spans="1:11" ht="42" customHeight="1">
      <c r="A3596" s="4" t="s">
        <v>9190</v>
      </c>
      <c r="B3596" s="5" t="s">
        <v>9191</v>
      </c>
      <c r="C3596" s="5" t="s">
        <v>94</v>
      </c>
      <c r="D3596" s="5" t="s">
        <v>95</v>
      </c>
      <c r="E3596" s="5" t="s">
        <v>153</v>
      </c>
      <c r="F3596" s="9" t="s">
        <v>1185</v>
      </c>
      <c r="G3596" s="9">
        <v>1144</v>
      </c>
      <c r="H3596" s="5" t="s">
        <v>21</v>
      </c>
      <c r="I3596" s="5" t="s">
        <v>9192</v>
      </c>
      <c r="J3596" s="12" t="str">
        <f>HYPERLINK("https://www.boe.es/gazeta/dias/1808/09/09/pdfs/GMD-1808-121.pdf#page=2","Abrir facsímil")</f>
        <v>Abrir facsímil</v>
      </c>
      <c r="K3596" s="15" t="s">
        <v>23</v>
      </c>
    </row>
    <row r="3597" spans="1:11" ht="42" customHeight="1">
      <c r="A3597" s="4" t="s">
        <v>9193</v>
      </c>
      <c r="B3597" s="5" t="s">
        <v>9194</v>
      </c>
      <c r="C3597" s="5" t="s">
        <v>389</v>
      </c>
      <c r="D3597" s="5" t="s">
        <v>390</v>
      </c>
      <c r="E3597" s="5" t="s">
        <v>115</v>
      </c>
      <c r="F3597" s="9" t="s">
        <v>116</v>
      </c>
      <c r="G3597" s="9" t="s">
        <v>199</v>
      </c>
      <c r="H3597" s="5" t="s">
        <v>21</v>
      </c>
      <c r="I3597" s="5" t="s">
        <v>9195</v>
      </c>
      <c r="J3597" s="12" t="str">
        <f>HYPERLINK("https://www.boe.es/gazeta/dias/1808/09/16/pdfs/GMD-C-1808-125.pdf#page=2","Abrir facsímil")</f>
        <v>Abrir facsímil</v>
      </c>
      <c r="K3597" s="15" t="s">
        <v>23</v>
      </c>
    </row>
    <row r="3598" spans="1:11" ht="42" customHeight="1">
      <c r="A3598" s="4" t="s">
        <v>9196</v>
      </c>
      <c r="B3598" s="5" t="s">
        <v>9197</v>
      </c>
      <c r="C3598" s="5" t="s">
        <v>17</v>
      </c>
      <c r="D3598" s="5" t="s">
        <v>18</v>
      </c>
      <c r="E3598" s="5" t="s">
        <v>719</v>
      </c>
      <c r="F3598" s="9" t="s">
        <v>720</v>
      </c>
      <c r="G3598" s="9">
        <v>1609</v>
      </c>
      <c r="H3598" s="5" t="s">
        <v>21</v>
      </c>
      <c r="I3598" s="5" t="s">
        <v>9198</v>
      </c>
      <c r="J3598" s="12" t="str">
        <f>HYPERLINK("https://www.boe.es/gazeta/dias/1808/12/16/pdfs/GMD-1808-156.pdf#page=1","Abrir facsímil")</f>
        <v>Abrir facsímil</v>
      </c>
      <c r="K3598" s="15" t="s">
        <v>23</v>
      </c>
    </row>
    <row r="3599" spans="1:11" ht="42" customHeight="1">
      <c r="A3599" s="4" t="s">
        <v>9199</v>
      </c>
      <c r="B3599" s="5" t="s">
        <v>9200</v>
      </c>
      <c r="C3599" s="5" t="s">
        <v>41</v>
      </c>
      <c r="D3599" s="5" t="s">
        <v>42</v>
      </c>
      <c r="E3599" s="5" t="s">
        <v>2159</v>
      </c>
      <c r="F3599" s="9" t="s">
        <v>2160</v>
      </c>
      <c r="G3599" s="9">
        <v>185</v>
      </c>
      <c r="H3599" s="5" t="s">
        <v>21</v>
      </c>
      <c r="I3599" s="5" t="s">
        <v>9201</v>
      </c>
      <c r="J3599" s="12" t="str">
        <f>HYPERLINK("https://www.boe.es/gazeta/dias/1808/02/19/pdfs/GMD-1808-15.pdf#page=15","Abrir facsímil")</f>
        <v>Abrir facsímil</v>
      </c>
      <c r="K3599" s="15" t="s">
        <v>23</v>
      </c>
    </row>
    <row r="3600" spans="1:11" ht="42" customHeight="1">
      <c r="A3600" s="4" t="s">
        <v>9199</v>
      </c>
      <c r="B3600" s="5" t="s">
        <v>9200</v>
      </c>
      <c r="C3600" s="5" t="s">
        <v>94</v>
      </c>
      <c r="D3600" s="5" t="s">
        <v>95</v>
      </c>
      <c r="E3600" s="5" t="s">
        <v>548</v>
      </c>
      <c r="F3600" s="9" t="s">
        <v>549</v>
      </c>
      <c r="G3600" s="9">
        <v>278</v>
      </c>
      <c r="H3600" s="5" t="s">
        <v>21</v>
      </c>
      <c r="I3600" s="5" t="s">
        <v>9202</v>
      </c>
      <c r="J3600" s="12" t="str">
        <f>HYPERLINK("https://www.boe.es/gazeta/dias/1808/03/18/pdfs/GMD-1808-23.pdf#page=8","Abrir facsímil")</f>
        <v>Abrir facsímil</v>
      </c>
      <c r="K3600" s="15" t="s">
        <v>23</v>
      </c>
    </row>
    <row r="3601" spans="1:11" ht="42" customHeight="1">
      <c r="A3601" s="4" t="s">
        <v>9199</v>
      </c>
      <c r="B3601" s="5" t="s">
        <v>9200</v>
      </c>
      <c r="C3601" s="5" t="s">
        <v>94</v>
      </c>
      <c r="D3601" s="5" t="s">
        <v>95</v>
      </c>
      <c r="E3601" s="5" t="s">
        <v>684</v>
      </c>
      <c r="F3601" s="9" t="s">
        <v>685</v>
      </c>
      <c r="G3601" s="9">
        <v>382</v>
      </c>
      <c r="H3601" s="5" t="s">
        <v>21</v>
      </c>
      <c r="I3601" s="5" t="s">
        <v>9203</v>
      </c>
      <c r="J3601" s="12" t="str">
        <f>HYPERLINK("https://www.boe.es/gazeta/dias/1808/04/15/pdfs/GMD-1808-35.pdf#page=8","Abrir facsímil")</f>
        <v>Abrir facsímil</v>
      </c>
      <c r="K3601" s="15" t="s">
        <v>23</v>
      </c>
    </row>
    <row r="3602" spans="1:11" ht="42" customHeight="1">
      <c r="A3602" s="4" t="s">
        <v>9199</v>
      </c>
      <c r="B3602" s="5" t="s">
        <v>9200</v>
      </c>
      <c r="C3602" s="5" t="s">
        <v>41</v>
      </c>
      <c r="D3602" s="5" t="s">
        <v>42</v>
      </c>
      <c r="E3602" s="5" t="s">
        <v>456</v>
      </c>
      <c r="F3602" s="9" t="s">
        <v>748</v>
      </c>
      <c r="G3602" s="9" t="s">
        <v>75</v>
      </c>
      <c r="H3602" s="5" t="s">
        <v>21</v>
      </c>
      <c r="I3602" s="5" t="s">
        <v>9204</v>
      </c>
      <c r="J3602" s="12" t="str">
        <f>HYPERLINK("https://www.boe.es/gazeta/dias/1808/10/14/pdfs/GMD-C-1808-134.pdf#page=4","Abrir facsímil")</f>
        <v>Abrir facsímil</v>
      </c>
      <c r="K3602" s="15" t="s">
        <v>23</v>
      </c>
    </row>
    <row r="3603" spans="1:11" ht="42" customHeight="1">
      <c r="A3603" s="4" t="s">
        <v>9205</v>
      </c>
      <c r="B3603" s="5" t="s">
        <v>9206</v>
      </c>
      <c r="C3603" s="5" t="s">
        <v>17</v>
      </c>
      <c r="D3603" s="5" t="s">
        <v>18</v>
      </c>
      <c r="E3603" s="5" t="s">
        <v>61</v>
      </c>
      <c r="F3603" s="9" t="s">
        <v>62</v>
      </c>
      <c r="G3603" s="9">
        <v>1286</v>
      </c>
      <c r="H3603" s="5" t="s">
        <v>21</v>
      </c>
      <c r="I3603" s="5" t="s">
        <v>9207</v>
      </c>
      <c r="J3603" s="12" t="str">
        <f>HYPERLINK("https://www.boe.es/gazeta/dias/1808/10/11/pdfs/GMD-1808-133.pdf#page=14","Abrir facsímil")</f>
        <v>Abrir facsímil</v>
      </c>
      <c r="K3603" s="15" t="s">
        <v>23</v>
      </c>
    </row>
    <row r="3604" spans="1:11" ht="42" customHeight="1">
      <c r="A3604" s="4" t="s">
        <v>9208</v>
      </c>
      <c r="B3604" s="5" t="s">
        <v>9209</v>
      </c>
      <c r="C3604" s="5" t="s">
        <v>33</v>
      </c>
      <c r="D3604" s="5" t="s">
        <v>34</v>
      </c>
      <c r="E3604" s="5" t="s">
        <v>19</v>
      </c>
      <c r="F3604" s="9" t="s">
        <v>949</v>
      </c>
      <c r="G3604" s="9" t="s">
        <v>106</v>
      </c>
      <c r="H3604" s="5" t="s">
        <v>21</v>
      </c>
      <c r="I3604" s="5" t="s">
        <v>9210</v>
      </c>
      <c r="J3604" s="12" t="str">
        <f>HYPERLINK("https://www.boe.es/gazeta/dias/1808/09/30/pdfs/GMD-C-1808-130.pdf#page=3","Abrir facsímil")</f>
        <v>Abrir facsímil</v>
      </c>
      <c r="K3604" s="15" t="s">
        <v>23</v>
      </c>
    </row>
    <row r="3605" spans="1:11" ht="42" customHeight="1">
      <c r="A3605" s="4" t="s">
        <v>9211</v>
      </c>
      <c r="B3605" s="5" t="s">
        <v>9212</v>
      </c>
      <c r="C3605" s="5" t="s">
        <v>33</v>
      </c>
      <c r="D3605" s="5" t="s">
        <v>34</v>
      </c>
      <c r="E3605" s="5" t="s">
        <v>334</v>
      </c>
      <c r="F3605" s="9" t="s">
        <v>335</v>
      </c>
      <c r="G3605" s="9">
        <v>1251</v>
      </c>
      <c r="H3605" s="5" t="s">
        <v>21</v>
      </c>
      <c r="I3605" s="5" t="s">
        <v>9213</v>
      </c>
      <c r="J3605" s="12" t="str">
        <f>HYPERLINK("https://www.boe.es/gazeta/dias/1808/10/04/pdfs/GMD-C-1808-131.pdf#page=3","Abrir facsímil")</f>
        <v>Abrir facsímil</v>
      </c>
      <c r="K3605" s="15" t="s">
        <v>23</v>
      </c>
    </row>
    <row r="3606" spans="1:11" ht="42" customHeight="1">
      <c r="A3606" s="4" t="s">
        <v>9214</v>
      </c>
      <c r="B3606" s="5" t="s">
        <v>9215</v>
      </c>
      <c r="C3606" s="5" t="s">
        <v>33</v>
      </c>
      <c r="D3606" s="5" t="s">
        <v>34</v>
      </c>
      <c r="E3606" s="5" t="s">
        <v>35</v>
      </c>
      <c r="F3606" s="9" t="s">
        <v>36</v>
      </c>
      <c r="G3606" s="9" t="s">
        <v>1075</v>
      </c>
      <c r="H3606" s="5" t="s">
        <v>21</v>
      </c>
      <c r="I3606" s="5" t="s">
        <v>9216</v>
      </c>
      <c r="J3606" s="12" t="str">
        <f>HYPERLINK("https://www.boe.es/gazeta/dias/1808/04/22/pdfs/GMD-C-1808-38.pdf#page=32","Abrir facsímil")</f>
        <v>Abrir facsímil</v>
      </c>
      <c r="K3606" s="15" t="s">
        <v>23</v>
      </c>
    </row>
    <row r="3607" spans="1:11" ht="42" customHeight="1">
      <c r="A3607" s="4" t="s">
        <v>9217</v>
      </c>
      <c r="B3607" s="5" t="s">
        <v>9218</v>
      </c>
      <c r="C3607" s="5" t="s">
        <v>17</v>
      </c>
      <c r="D3607" s="5" t="s">
        <v>18</v>
      </c>
      <c r="E3607" s="5" t="s">
        <v>334</v>
      </c>
      <c r="F3607" s="9" t="s">
        <v>1814</v>
      </c>
      <c r="G3607" s="9">
        <v>1245</v>
      </c>
      <c r="H3607" s="5" t="s">
        <v>21</v>
      </c>
      <c r="I3607" s="5" t="s">
        <v>9219</v>
      </c>
      <c r="J3607" s="12" t="str">
        <f>HYPERLINK("https://www.boe.es/gazeta/dias/1808/10/04/pdfs/GMD-1808-131.pdf#page=13","Abrir facsímil")</f>
        <v>Abrir facsímil</v>
      </c>
      <c r="K3607" s="15" t="s">
        <v>23</v>
      </c>
    </row>
    <row r="3608" spans="1:11" ht="42" customHeight="1">
      <c r="A3608" s="4" t="s">
        <v>9220</v>
      </c>
      <c r="B3608" s="5" t="s">
        <v>9221</v>
      </c>
      <c r="C3608" s="5" t="s">
        <v>642</v>
      </c>
      <c r="D3608" s="5" t="s">
        <v>643</v>
      </c>
      <c r="E3608" s="5" t="s">
        <v>644</v>
      </c>
      <c r="F3608" s="9" t="s">
        <v>645</v>
      </c>
      <c r="G3608" s="9">
        <v>320</v>
      </c>
      <c r="H3608" s="5" t="s">
        <v>21</v>
      </c>
      <c r="I3608" s="5" t="s">
        <v>9222</v>
      </c>
      <c r="J3608" s="12" t="str">
        <f>HYPERLINK("https://www.boe.es/gazeta/dias/1808/03/31/pdfs/GMD-1808-28E.pdf#page=4","Abrir facsímil")</f>
        <v>Abrir facsímil</v>
      </c>
      <c r="K3608" s="15" t="s">
        <v>23</v>
      </c>
    </row>
    <row r="3609" spans="1:11" ht="42" customHeight="1">
      <c r="A3609" s="4" t="s">
        <v>9220</v>
      </c>
      <c r="B3609" s="5" t="s">
        <v>9221</v>
      </c>
      <c r="C3609" s="5" t="s">
        <v>642</v>
      </c>
      <c r="D3609" s="5" t="s">
        <v>643</v>
      </c>
      <c r="E3609" s="5" t="s">
        <v>644</v>
      </c>
      <c r="F3609" s="9" t="s">
        <v>645</v>
      </c>
      <c r="G3609" s="9">
        <v>321</v>
      </c>
      <c r="H3609" s="5" t="s">
        <v>21</v>
      </c>
      <c r="I3609" s="5" t="s">
        <v>9223</v>
      </c>
      <c r="J3609" s="12" t="str">
        <f>HYPERLINK("https://www.boe.es/gazeta/dias/1808/03/31/pdfs/GMD-1808-28E.pdf#page=5","Abrir facsímil")</f>
        <v>Abrir facsímil</v>
      </c>
      <c r="K3609" s="15" t="s">
        <v>23</v>
      </c>
    </row>
    <row r="3610" spans="1:11" ht="42" customHeight="1">
      <c r="A3610" s="4" t="s">
        <v>9224</v>
      </c>
      <c r="B3610" s="5" t="s">
        <v>9225</v>
      </c>
      <c r="C3610" s="5" t="s">
        <v>33</v>
      </c>
      <c r="D3610" s="5" t="s">
        <v>34</v>
      </c>
      <c r="E3610" s="5" t="s">
        <v>35</v>
      </c>
      <c r="F3610" s="9" t="s">
        <v>36</v>
      </c>
      <c r="G3610" s="9" t="s">
        <v>75</v>
      </c>
      <c r="H3610" s="5" t="s">
        <v>21</v>
      </c>
      <c r="I3610" s="5" t="s">
        <v>9226</v>
      </c>
      <c r="J3610" s="12" t="str">
        <f>HYPERLINK("https://www.boe.es/gazeta/dias/1808/04/22/pdfs/GMD-C-1808-38.pdf#page=4","Abrir facsímil")</f>
        <v>Abrir facsímil</v>
      </c>
      <c r="K3610" s="15" t="s">
        <v>23</v>
      </c>
    </row>
    <row r="3611" spans="1:11" ht="42" customHeight="1">
      <c r="A3611" s="4" t="s">
        <v>9227</v>
      </c>
      <c r="B3611" s="5" t="s">
        <v>9228</v>
      </c>
      <c r="C3611" s="5" t="s">
        <v>17</v>
      </c>
      <c r="D3611" s="5" t="s">
        <v>18</v>
      </c>
      <c r="E3611" s="5" t="s">
        <v>61</v>
      </c>
      <c r="F3611" s="9" t="s">
        <v>62</v>
      </c>
      <c r="G3611" s="9">
        <v>1285</v>
      </c>
      <c r="H3611" s="5" t="s">
        <v>21</v>
      </c>
      <c r="I3611" s="5" t="s">
        <v>9229</v>
      </c>
      <c r="J3611" s="12" t="str">
        <f>HYPERLINK("https://www.boe.es/gazeta/dias/1808/10/11/pdfs/GMD-1808-133.pdf#page=13","Abrir facsímil")</f>
        <v>Abrir facsímil</v>
      </c>
      <c r="K3611" s="15" t="s">
        <v>23</v>
      </c>
    </row>
    <row r="3612" spans="1:11" ht="42" customHeight="1">
      <c r="A3612" s="4" t="s">
        <v>9230</v>
      </c>
      <c r="B3612" s="5" t="s">
        <v>9231</v>
      </c>
      <c r="C3612" s="5" t="s">
        <v>41</v>
      </c>
      <c r="D3612" s="5" t="s">
        <v>42</v>
      </c>
      <c r="E3612" s="5" t="s">
        <v>418</v>
      </c>
      <c r="F3612" s="9" t="s">
        <v>419</v>
      </c>
      <c r="G3612" s="9">
        <v>1140</v>
      </c>
      <c r="H3612" s="5" t="s">
        <v>21</v>
      </c>
      <c r="I3612" s="5" t="s">
        <v>9232</v>
      </c>
      <c r="J3612" s="12" t="str">
        <f>HYPERLINK("https://www.boe.es/gazeta/dias/1808/09/06/pdfs/GMD-C-1808-120.pdf#page=14","Abrir facsímil")</f>
        <v>Abrir facsímil</v>
      </c>
      <c r="K3612" s="15" t="s">
        <v>23</v>
      </c>
    </row>
    <row r="3613" spans="1:11" ht="42" customHeight="1">
      <c r="A3613" s="4" t="s">
        <v>9230</v>
      </c>
      <c r="B3613" s="5" t="s">
        <v>9231</v>
      </c>
      <c r="C3613" s="5" t="s">
        <v>33</v>
      </c>
      <c r="D3613" s="5" t="s">
        <v>34</v>
      </c>
      <c r="E3613" s="5" t="s">
        <v>115</v>
      </c>
      <c r="F3613" s="9" t="s">
        <v>116</v>
      </c>
      <c r="G3613" s="9" t="s">
        <v>117</v>
      </c>
      <c r="H3613" s="5" t="s">
        <v>21</v>
      </c>
      <c r="I3613" s="5" t="s">
        <v>9233</v>
      </c>
      <c r="J3613" s="12" t="str">
        <f>HYPERLINK("https://www.boe.es/gazeta/dias/1808/09/16/pdfs/GMD-C-1808-125.pdf#page=1","Abrir facsímil")</f>
        <v>Abrir facsímil</v>
      </c>
      <c r="K3613" s="15" t="s">
        <v>23</v>
      </c>
    </row>
    <row r="3614" spans="1:11" ht="42" customHeight="1">
      <c r="A3614" s="4" t="s">
        <v>9234</v>
      </c>
      <c r="B3614" s="5" t="s">
        <v>9235</v>
      </c>
      <c r="C3614" s="5" t="s">
        <v>33</v>
      </c>
      <c r="D3614" s="5" t="s">
        <v>34</v>
      </c>
      <c r="E3614" s="5" t="s">
        <v>427</v>
      </c>
      <c r="F3614" s="9" t="s">
        <v>428</v>
      </c>
      <c r="G3614" s="9" t="s">
        <v>117</v>
      </c>
      <c r="H3614" s="5" t="s">
        <v>21</v>
      </c>
      <c r="I3614" s="5" t="s">
        <v>9236</v>
      </c>
      <c r="J3614" s="12" t="str">
        <f>HYPERLINK("https://www.boe.es/gazeta/dias/1808/11/22/pdfs/GMD-D-1808-146.pdf#page=1","Abrir facsímil")</f>
        <v>Abrir facsímil</v>
      </c>
      <c r="K3614" s="15" t="s">
        <v>23</v>
      </c>
    </row>
    <row r="3615" spans="1:11" ht="42" customHeight="1">
      <c r="A3615" s="4" t="s">
        <v>9237</v>
      </c>
      <c r="B3615" s="5" t="s">
        <v>9238</v>
      </c>
      <c r="C3615" s="5" t="s">
        <v>94</v>
      </c>
      <c r="D3615" s="5" t="s">
        <v>95</v>
      </c>
      <c r="E3615" s="5" t="s">
        <v>1085</v>
      </c>
      <c r="F3615" s="9" t="s">
        <v>1086</v>
      </c>
      <c r="G3615" s="9">
        <v>106</v>
      </c>
      <c r="H3615" s="5" t="s">
        <v>21</v>
      </c>
      <c r="I3615" s="5" t="s">
        <v>9239</v>
      </c>
      <c r="J3615" s="12" t="str">
        <f>HYPERLINK("https://www.boe.es/gazeta/dias/1808/01/29/pdfs/GMD-1808-9.pdf#page=10","Abrir facsímil")</f>
        <v>Abrir facsímil</v>
      </c>
      <c r="K3615" s="15" t="s">
        <v>23</v>
      </c>
    </row>
    <row r="3616" spans="1:11" ht="42" customHeight="1">
      <c r="A3616" s="4" t="s">
        <v>9237</v>
      </c>
      <c r="B3616" s="5" t="s">
        <v>9238</v>
      </c>
      <c r="C3616" s="5" t="s">
        <v>41</v>
      </c>
      <c r="D3616" s="5" t="s">
        <v>42</v>
      </c>
      <c r="E3616" s="5" t="s">
        <v>877</v>
      </c>
      <c r="F3616" s="9" t="s">
        <v>878</v>
      </c>
      <c r="G3616" s="9">
        <v>119</v>
      </c>
      <c r="H3616" s="5" t="s">
        <v>21</v>
      </c>
      <c r="I3616" s="5" t="s">
        <v>9240</v>
      </c>
      <c r="J3616" s="12" t="str">
        <f>HYPERLINK("https://www.boe.es/gazeta/dias/1808/02/02/pdfs/GMD-1808-10.pdf#page=11","Abrir facsímil")</f>
        <v>Abrir facsímil</v>
      </c>
      <c r="K3616" s="15" t="s">
        <v>23</v>
      </c>
    </row>
    <row r="3617" spans="1:11" ht="42" customHeight="1">
      <c r="A3617" s="4" t="s">
        <v>9237</v>
      </c>
      <c r="B3617" s="5" t="s">
        <v>9238</v>
      </c>
      <c r="C3617" s="5" t="s">
        <v>94</v>
      </c>
      <c r="D3617" s="5" t="s">
        <v>95</v>
      </c>
      <c r="E3617" s="5" t="s">
        <v>1385</v>
      </c>
      <c r="F3617" s="9" t="s">
        <v>1386</v>
      </c>
      <c r="G3617" s="9">
        <v>232</v>
      </c>
      <c r="H3617" s="5" t="s">
        <v>21</v>
      </c>
      <c r="I3617" s="5" t="s">
        <v>9241</v>
      </c>
      <c r="J3617" s="12" t="str">
        <f>HYPERLINK("https://www.boe.es/gazeta/dias/1808/03/04/pdfs/GMD-1808-19.pdf#page=10","Abrir facsímil")</f>
        <v>Abrir facsímil</v>
      </c>
      <c r="K3617" s="15" t="s">
        <v>23</v>
      </c>
    </row>
    <row r="3618" spans="1:11" ht="42" customHeight="1">
      <c r="A3618" s="4" t="s">
        <v>9237</v>
      </c>
      <c r="B3618" s="5" t="s">
        <v>9238</v>
      </c>
      <c r="C3618" s="5" t="s">
        <v>94</v>
      </c>
      <c r="D3618" s="5" t="s">
        <v>95</v>
      </c>
      <c r="E3618" s="5" t="s">
        <v>478</v>
      </c>
      <c r="F3618" s="9" t="s">
        <v>479</v>
      </c>
      <c r="G3618" s="9">
        <v>245</v>
      </c>
      <c r="H3618" s="5" t="s">
        <v>21</v>
      </c>
      <c r="I3618" s="5" t="s">
        <v>9242</v>
      </c>
      <c r="J3618" s="12" t="str">
        <f>HYPERLINK("https://www.boe.es/gazeta/dias/1808/03/08/pdfs/GMD-1808-20.pdf#page=11","Abrir facsímil")</f>
        <v>Abrir facsímil</v>
      </c>
      <c r="K3618" s="15" t="s">
        <v>23</v>
      </c>
    </row>
    <row r="3619" spans="1:11" ht="42" customHeight="1">
      <c r="A3619" s="4" t="s">
        <v>9243</v>
      </c>
      <c r="B3619" s="5" t="s">
        <v>9244</v>
      </c>
      <c r="C3619" s="5" t="s">
        <v>33</v>
      </c>
      <c r="D3619" s="5" t="s">
        <v>34</v>
      </c>
      <c r="E3619" s="5" t="s">
        <v>35</v>
      </c>
      <c r="F3619" s="9" t="s">
        <v>36</v>
      </c>
      <c r="G3619" s="9" t="s">
        <v>814</v>
      </c>
      <c r="H3619" s="5" t="s">
        <v>21</v>
      </c>
      <c r="I3619" s="5" t="s">
        <v>9245</v>
      </c>
      <c r="J3619" s="12" t="str">
        <f>HYPERLINK("https://www.boe.es/gazeta/dias/1808/04/22/pdfs/GMD-C-1808-38.pdf#page=25","Abrir facsímil")</f>
        <v>Abrir facsímil</v>
      </c>
      <c r="K3619" s="15" t="s">
        <v>23</v>
      </c>
    </row>
    <row r="3620" spans="1:11" ht="42" customHeight="1">
      <c r="A3620" s="4" t="s">
        <v>9246</v>
      </c>
      <c r="B3620" s="5" t="s">
        <v>9247</v>
      </c>
      <c r="C3620" s="5" t="s">
        <v>94</v>
      </c>
      <c r="D3620" s="5" t="s">
        <v>95</v>
      </c>
      <c r="E3620" s="5" t="s">
        <v>180</v>
      </c>
      <c r="F3620" s="9" t="s">
        <v>768</v>
      </c>
      <c r="G3620" s="9" t="s">
        <v>199</v>
      </c>
      <c r="H3620" s="5" t="s">
        <v>21</v>
      </c>
      <c r="I3620" s="5" t="s">
        <v>9248</v>
      </c>
      <c r="J3620" s="12" t="str">
        <f>HYPERLINK("https://www.boe.es/gazeta/dias/1808/11/15/pdfs/GMD-D-1808-144.pdf#page=2","Abrir facsímil")</f>
        <v>Abrir facsímil</v>
      </c>
      <c r="K3620" s="15" t="s">
        <v>23</v>
      </c>
    </row>
    <row r="3621" spans="1:11" ht="42" customHeight="1">
      <c r="A3621" s="4" t="s">
        <v>9246</v>
      </c>
      <c r="B3621" s="5" t="s">
        <v>9247</v>
      </c>
      <c r="C3621" s="5" t="s">
        <v>33</v>
      </c>
      <c r="D3621" s="5" t="s">
        <v>34</v>
      </c>
      <c r="E3621" s="5" t="s">
        <v>427</v>
      </c>
      <c r="F3621" s="9" t="s">
        <v>428</v>
      </c>
      <c r="G3621" s="9" t="s">
        <v>117</v>
      </c>
      <c r="H3621" s="5" t="s">
        <v>21</v>
      </c>
      <c r="I3621" s="5" t="s">
        <v>9249</v>
      </c>
      <c r="J3621" s="12" t="str">
        <f>HYPERLINK("https://www.boe.es/gazeta/dias/1808/11/22/pdfs/GMD-D-1808-146.pdf#page=1","Abrir facsímil")</f>
        <v>Abrir facsímil</v>
      </c>
      <c r="K3621" s="15" t="s">
        <v>23</v>
      </c>
    </row>
    <row r="3622" spans="1:11" ht="42" customHeight="1">
      <c r="A3622" s="4" t="s">
        <v>9250</v>
      </c>
      <c r="B3622" s="5" t="s">
        <v>9251</v>
      </c>
      <c r="C3622" s="5" t="s">
        <v>41</v>
      </c>
      <c r="D3622" s="5" t="s">
        <v>42</v>
      </c>
      <c r="E3622" s="5" t="s">
        <v>473</v>
      </c>
      <c r="F3622" s="9" t="s">
        <v>474</v>
      </c>
      <c r="G3622" s="9">
        <v>709</v>
      </c>
      <c r="H3622" s="5" t="s">
        <v>21</v>
      </c>
      <c r="I3622" s="5" t="s">
        <v>9252</v>
      </c>
      <c r="J3622" s="12" t="str">
        <f>HYPERLINK("https://www.boe.es/gazeta/dias/1808/07/02/pdfs/GMD-1808-74.pdf#page=7","Abrir facsímil")</f>
        <v>Abrir facsímil</v>
      </c>
      <c r="K3622" s="15" t="s">
        <v>23</v>
      </c>
    </row>
    <row r="3623" spans="1:11" ht="42" customHeight="1">
      <c r="A3623" s="4" t="s">
        <v>9253</v>
      </c>
      <c r="B3623" s="5" t="s">
        <v>9254</v>
      </c>
      <c r="C3623" s="5" t="s">
        <v>33</v>
      </c>
      <c r="D3623" s="5" t="s">
        <v>34</v>
      </c>
      <c r="E3623" s="5" t="s">
        <v>28</v>
      </c>
      <c r="F3623" s="9" t="s">
        <v>446</v>
      </c>
      <c r="G3623" s="9" t="s">
        <v>199</v>
      </c>
      <c r="H3623" s="5" t="s">
        <v>21</v>
      </c>
      <c r="I3623" s="5" t="s">
        <v>9255</v>
      </c>
      <c r="J3623" s="12" t="str">
        <f>HYPERLINK("https://www.boe.es/gazeta/dias/1808/11/04/pdfs/GMD-D-1808-141.pdf#page=2","Abrir facsímil")</f>
        <v>Abrir facsímil</v>
      </c>
      <c r="K3623" s="15" t="s">
        <v>23</v>
      </c>
    </row>
    <row r="3624" spans="1:11" ht="42" customHeight="1">
      <c r="A3624" s="4" t="s">
        <v>9256</v>
      </c>
      <c r="B3624" s="5" t="s">
        <v>9257</v>
      </c>
      <c r="C3624" s="5" t="s">
        <v>389</v>
      </c>
      <c r="D3624" s="5" t="s">
        <v>390</v>
      </c>
      <c r="E3624" s="5" t="s">
        <v>616</v>
      </c>
      <c r="F3624" s="9" t="s">
        <v>617</v>
      </c>
      <c r="G3624" s="9">
        <v>1041</v>
      </c>
      <c r="H3624" s="5" t="s">
        <v>21</v>
      </c>
      <c r="I3624" s="5" t="s">
        <v>9258</v>
      </c>
      <c r="J3624" s="12" t="str">
        <f>HYPERLINK("https://www.boe.es/gazeta/dias/1808/08/19/pdfs/GMD-1808-115.pdf#page=7","Abrir facsímil")</f>
        <v>Abrir facsímil</v>
      </c>
      <c r="K3624" s="15" t="s">
        <v>23</v>
      </c>
    </row>
    <row r="3625" spans="1:11" ht="42" customHeight="1">
      <c r="A3625" s="4" t="s">
        <v>9259</v>
      </c>
      <c r="B3625" s="5" t="s">
        <v>9260</v>
      </c>
      <c r="C3625" s="5" t="s">
        <v>17</v>
      </c>
      <c r="D3625" s="5" t="s">
        <v>18</v>
      </c>
      <c r="E3625" s="5" t="s">
        <v>166</v>
      </c>
      <c r="F3625" s="9" t="s">
        <v>356</v>
      </c>
      <c r="G3625" s="9">
        <v>1509</v>
      </c>
      <c r="H3625" s="5" t="s">
        <v>21</v>
      </c>
      <c r="I3625" s="5" t="s">
        <v>9261</v>
      </c>
      <c r="J3625" s="12" t="str">
        <f>HYPERLINK("https://www.boe.es/gazeta/dias/1808/11/18/pdfs/GMD-1808-145.pdf#page=7","Abrir facsímil")</f>
        <v>Abrir facsímil</v>
      </c>
      <c r="K3625" s="15" t="s">
        <v>23</v>
      </c>
    </row>
    <row r="3626" spans="1:11" ht="42" customHeight="1">
      <c r="A3626" s="4" t="s">
        <v>9262</v>
      </c>
      <c r="B3626" s="5" t="s">
        <v>9263</v>
      </c>
      <c r="C3626" s="5" t="s">
        <v>33</v>
      </c>
      <c r="D3626" s="5" t="s">
        <v>34</v>
      </c>
      <c r="E3626" s="5" t="s">
        <v>28</v>
      </c>
      <c r="F3626" s="9" t="s">
        <v>446</v>
      </c>
      <c r="G3626" s="9" t="s">
        <v>117</v>
      </c>
      <c r="H3626" s="5" t="s">
        <v>21</v>
      </c>
      <c r="I3626" s="5" t="s">
        <v>9264</v>
      </c>
      <c r="J3626" s="12" t="str">
        <f>HYPERLINK("https://www.boe.es/gazeta/dias/1808/11/04/pdfs/GMD-D-1808-141.pdf#page=1","Abrir facsímil")</f>
        <v>Abrir facsímil</v>
      </c>
      <c r="K3626" s="15" t="s">
        <v>23</v>
      </c>
    </row>
    <row r="3627" spans="1:11" ht="42" customHeight="1">
      <c r="A3627" s="4" t="s">
        <v>9265</v>
      </c>
      <c r="B3627" s="5" t="s">
        <v>9266</v>
      </c>
      <c r="C3627" s="5" t="s">
        <v>33</v>
      </c>
      <c r="D3627" s="5" t="s">
        <v>34</v>
      </c>
      <c r="E3627" s="5" t="s">
        <v>391</v>
      </c>
      <c r="F3627" s="9" t="s">
        <v>588</v>
      </c>
      <c r="G3627" s="9" t="s">
        <v>199</v>
      </c>
      <c r="H3627" s="5" t="s">
        <v>21</v>
      </c>
      <c r="I3627" s="5" t="s">
        <v>9267</v>
      </c>
      <c r="J3627" s="12" t="str">
        <f>HYPERLINK("https://www.boe.es/gazeta/dias/1808/09/27/pdfs/GMD-C-1808-128.pdf#page=2","Abrir facsímil")</f>
        <v>Abrir facsímil</v>
      </c>
      <c r="K3627" s="15" t="s">
        <v>23</v>
      </c>
    </row>
    <row r="3628" spans="1:11" ht="42" customHeight="1">
      <c r="A3628" s="4" t="s">
        <v>9268</v>
      </c>
      <c r="B3628" s="5" t="s">
        <v>9269</v>
      </c>
      <c r="C3628" s="5" t="s">
        <v>33</v>
      </c>
      <c r="D3628" s="5" t="s">
        <v>34</v>
      </c>
      <c r="E3628" s="5" t="s">
        <v>35</v>
      </c>
      <c r="F3628" s="9" t="s">
        <v>36</v>
      </c>
      <c r="G3628" s="9" t="s">
        <v>144</v>
      </c>
      <c r="H3628" s="5" t="s">
        <v>21</v>
      </c>
      <c r="I3628" s="5" t="s">
        <v>9270</v>
      </c>
      <c r="J3628" s="12" t="str">
        <f>HYPERLINK("https://www.boe.es/gazeta/dias/1808/04/22/pdfs/GMD-C-1808-38.pdf#page=40","Abrir facsímil")</f>
        <v>Abrir facsímil</v>
      </c>
      <c r="K3628" s="15" t="s">
        <v>23</v>
      </c>
    </row>
    <row r="3629" spans="1:11" ht="42" customHeight="1">
      <c r="A3629" s="4" t="s">
        <v>9268</v>
      </c>
      <c r="B3629" s="5" t="s">
        <v>9269</v>
      </c>
      <c r="C3629" s="5" t="s">
        <v>33</v>
      </c>
      <c r="D3629" s="5" t="s">
        <v>34</v>
      </c>
      <c r="E3629" s="5" t="s">
        <v>115</v>
      </c>
      <c r="F3629" s="9" t="s">
        <v>116</v>
      </c>
      <c r="G3629" s="9" t="s">
        <v>199</v>
      </c>
      <c r="H3629" s="5" t="s">
        <v>21</v>
      </c>
      <c r="I3629" s="5" t="s">
        <v>9271</v>
      </c>
      <c r="J3629" s="12" t="str">
        <f>HYPERLINK("https://www.boe.es/gazeta/dias/1808/09/16/pdfs/GMD-C-1808-125.pdf#page=2","Abrir facsímil")</f>
        <v>Abrir facsímil</v>
      </c>
      <c r="K3629" s="15" t="s">
        <v>23</v>
      </c>
    </row>
    <row r="3630" spans="1:11" ht="42" customHeight="1">
      <c r="A3630" s="4" t="s">
        <v>9268</v>
      </c>
      <c r="B3630" s="5" t="s">
        <v>9269</v>
      </c>
      <c r="C3630" s="5" t="s">
        <v>33</v>
      </c>
      <c r="D3630" s="5" t="s">
        <v>34</v>
      </c>
      <c r="E3630" s="5" t="s">
        <v>68</v>
      </c>
      <c r="F3630" s="9" t="s">
        <v>309</v>
      </c>
      <c r="G3630" s="9" t="s">
        <v>106</v>
      </c>
      <c r="H3630" s="5" t="s">
        <v>21</v>
      </c>
      <c r="I3630" s="5" t="s">
        <v>9272</v>
      </c>
      <c r="J3630" s="12" t="str">
        <f>HYPERLINK("https://www.boe.es/gazeta/dias/1808/10/21/pdfs/GMD-D-1808-136.pdf#page=3","Abrir facsímil")</f>
        <v>Abrir facsímil</v>
      </c>
      <c r="K3630" s="15" t="s">
        <v>23</v>
      </c>
    </row>
    <row r="3631" spans="1:11" ht="42" customHeight="1">
      <c r="A3631" s="4" t="s">
        <v>9268</v>
      </c>
      <c r="B3631" s="5" t="s">
        <v>9269</v>
      </c>
      <c r="C3631" s="5" t="s">
        <v>17</v>
      </c>
      <c r="D3631" s="5" t="s">
        <v>18</v>
      </c>
      <c r="E3631" s="5" t="s">
        <v>461</v>
      </c>
      <c r="F3631" s="9" t="s">
        <v>733</v>
      </c>
      <c r="G3631" s="9">
        <v>1448</v>
      </c>
      <c r="H3631" s="5" t="s">
        <v>21</v>
      </c>
      <c r="I3631" s="5" t="s">
        <v>9273</v>
      </c>
      <c r="J3631" s="12" t="str">
        <f>HYPERLINK("https://www.boe.es/gazeta/dias/1808/11/08/pdfs/GMD-1808-142.pdf#page=10","Abrir facsímil")</f>
        <v>Abrir facsímil</v>
      </c>
      <c r="K3631" s="15" t="s">
        <v>23</v>
      </c>
    </row>
    <row r="3632" spans="1:11" ht="42" customHeight="1">
      <c r="A3632" s="4" t="s">
        <v>9274</v>
      </c>
      <c r="B3632" s="5" t="s">
        <v>9275</v>
      </c>
      <c r="C3632" s="5" t="s">
        <v>17</v>
      </c>
      <c r="D3632" s="5" t="s">
        <v>18</v>
      </c>
      <c r="E3632" s="5" t="s">
        <v>139</v>
      </c>
      <c r="F3632" s="9" t="s">
        <v>140</v>
      </c>
      <c r="G3632" s="9">
        <v>1203</v>
      </c>
      <c r="H3632" s="5" t="s">
        <v>21</v>
      </c>
      <c r="I3632" s="5" t="s">
        <v>9276</v>
      </c>
      <c r="J3632" s="12" t="str">
        <f>HYPERLINK("https://www.boe.es/gazeta/dias/1808/09/23/pdfs/GMD-1808-127.pdf#page=11","Abrir facsímil")</f>
        <v>Abrir facsímil</v>
      </c>
      <c r="K3632" s="15" t="s">
        <v>23</v>
      </c>
    </row>
    <row r="3633" spans="1:11" ht="42" customHeight="1">
      <c r="A3633" s="4" t="s">
        <v>9277</v>
      </c>
      <c r="B3633" s="5" t="s">
        <v>9278</v>
      </c>
      <c r="C3633" s="5" t="s">
        <v>33</v>
      </c>
      <c r="D3633" s="5" t="s">
        <v>34</v>
      </c>
      <c r="E3633" s="5" t="s">
        <v>363</v>
      </c>
      <c r="F3633" s="9" t="s">
        <v>364</v>
      </c>
      <c r="G3633" s="9" t="s">
        <v>199</v>
      </c>
      <c r="H3633" s="5" t="s">
        <v>21</v>
      </c>
      <c r="I3633" s="5" t="s">
        <v>9279</v>
      </c>
      <c r="J3633" s="12" t="str">
        <f>HYPERLINK("https://www.boe.es/gazeta/dias/1808/09/20/pdfs/GMD-C-1808-126.pdf#page=2","Abrir facsímil")</f>
        <v>Abrir facsímil</v>
      </c>
      <c r="K3633" s="15" t="s">
        <v>23</v>
      </c>
    </row>
    <row r="3634" spans="1:11" ht="42" customHeight="1">
      <c r="A3634" s="4" t="s">
        <v>9280</v>
      </c>
      <c r="B3634" s="5" t="s">
        <v>9281</v>
      </c>
      <c r="C3634" s="5" t="s">
        <v>33</v>
      </c>
      <c r="D3634" s="5" t="s">
        <v>34</v>
      </c>
      <c r="E3634" s="5" t="s">
        <v>89</v>
      </c>
      <c r="F3634" s="9" t="s">
        <v>563</v>
      </c>
      <c r="G3634" s="9" t="s">
        <v>117</v>
      </c>
      <c r="H3634" s="5" t="s">
        <v>21</v>
      </c>
      <c r="I3634" s="5" t="s">
        <v>9282</v>
      </c>
      <c r="J3634" s="12" t="str">
        <f>HYPERLINK("https://www.boe.es/gazeta/dias/1808/10/25/pdfs/GMD-D-1808-137.pdf#page=1","Abrir facsímil")</f>
        <v>Abrir facsímil</v>
      </c>
      <c r="K3634" s="15" t="s">
        <v>23</v>
      </c>
    </row>
    <row r="3635" spans="1:11" ht="42" customHeight="1">
      <c r="A3635" s="4" t="s">
        <v>9283</v>
      </c>
      <c r="B3635" s="5" t="s">
        <v>9284</v>
      </c>
      <c r="C3635" s="5" t="s">
        <v>33</v>
      </c>
      <c r="D3635" s="5" t="s">
        <v>34</v>
      </c>
      <c r="E3635" s="5" t="s">
        <v>19</v>
      </c>
      <c r="F3635" s="9" t="s">
        <v>949</v>
      </c>
      <c r="G3635" s="9" t="s">
        <v>75</v>
      </c>
      <c r="H3635" s="5" t="s">
        <v>21</v>
      </c>
      <c r="I3635" s="5" t="s">
        <v>9285</v>
      </c>
      <c r="J3635" s="12" t="str">
        <f>HYPERLINK("https://www.boe.es/gazeta/dias/1808/09/30/pdfs/GMD-C-1808-130.pdf#page=4","Abrir facsímil")</f>
        <v>Abrir facsímil</v>
      </c>
      <c r="K3635" s="15" t="s">
        <v>23</v>
      </c>
    </row>
    <row r="3636" spans="1:11" ht="42" customHeight="1">
      <c r="A3636" s="4" t="s">
        <v>9286</v>
      </c>
      <c r="B3636" s="5" t="s">
        <v>9287</v>
      </c>
      <c r="C3636" s="5" t="s">
        <v>33</v>
      </c>
      <c r="D3636" s="5" t="s">
        <v>34</v>
      </c>
      <c r="E3636" s="5" t="s">
        <v>19</v>
      </c>
      <c r="F3636" s="9" t="s">
        <v>949</v>
      </c>
      <c r="G3636" s="9" t="s">
        <v>117</v>
      </c>
      <c r="H3636" s="5" t="s">
        <v>21</v>
      </c>
      <c r="I3636" s="5" t="s">
        <v>9288</v>
      </c>
      <c r="J3636" s="12" t="str">
        <f>HYPERLINK("https://www.boe.es/gazeta/dias/1808/09/30/pdfs/GMD-C-1808-130.pdf#page=1","Abrir facsímil")</f>
        <v>Abrir facsímil</v>
      </c>
      <c r="K3636" s="15" t="s">
        <v>23</v>
      </c>
    </row>
    <row r="3637" spans="1:11" ht="42" customHeight="1">
      <c r="A3637" s="4" t="s">
        <v>9286</v>
      </c>
      <c r="B3637" s="5" t="s">
        <v>9287</v>
      </c>
      <c r="C3637" s="5" t="s">
        <v>26</v>
      </c>
      <c r="D3637" s="5" t="s">
        <v>27</v>
      </c>
      <c r="E3637" s="5" t="s">
        <v>166</v>
      </c>
      <c r="F3637" s="9" t="s">
        <v>400</v>
      </c>
      <c r="G3637" s="9" t="s">
        <v>117</v>
      </c>
      <c r="H3637" s="5" t="s">
        <v>21</v>
      </c>
      <c r="I3637" s="5" t="s">
        <v>9289</v>
      </c>
      <c r="J3637" s="12" t="str">
        <f>HYPERLINK("https://www.boe.es/gazeta/dias/1808/11/18/pdfs/D00069-00072.pdf#page=1","Abrir facsímil")</f>
        <v>Abrir facsímil</v>
      </c>
      <c r="K3637" s="15" t="s">
        <v>23</v>
      </c>
    </row>
    <row r="3638" spans="1:11" ht="42" customHeight="1">
      <c r="A3638" s="4" t="s">
        <v>9290</v>
      </c>
      <c r="B3638" s="5" t="s">
        <v>9291</v>
      </c>
      <c r="C3638" s="5" t="s">
        <v>33</v>
      </c>
      <c r="D3638" s="5" t="s">
        <v>34</v>
      </c>
      <c r="E3638" s="5" t="s">
        <v>35</v>
      </c>
      <c r="F3638" s="9" t="s">
        <v>36</v>
      </c>
      <c r="G3638" s="9" t="s">
        <v>837</v>
      </c>
      <c r="H3638" s="5" t="s">
        <v>21</v>
      </c>
      <c r="I3638" s="5" t="s">
        <v>9292</v>
      </c>
      <c r="J3638" s="12" t="str">
        <f>HYPERLINK("https://www.boe.es/gazeta/dias/1808/04/22/pdfs/GMD-C-1808-38.pdf#page=10","Abrir facsímil")</f>
        <v>Abrir facsímil</v>
      </c>
      <c r="K3638" s="15" t="s">
        <v>23</v>
      </c>
    </row>
    <row r="3639" spans="1:11" ht="42" customHeight="1">
      <c r="A3639" s="4" t="s">
        <v>9290</v>
      </c>
      <c r="B3639" s="5" t="s">
        <v>9291</v>
      </c>
      <c r="C3639" s="5" t="s">
        <v>33</v>
      </c>
      <c r="D3639" s="5" t="s">
        <v>34</v>
      </c>
      <c r="E3639" s="5" t="s">
        <v>73</v>
      </c>
      <c r="F3639" s="9" t="s">
        <v>74</v>
      </c>
      <c r="G3639" s="9" t="s">
        <v>117</v>
      </c>
      <c r="H3639" s="5" t="s">
        <v>21</v>
      </c>
      <c r="I3639" s="5" t="s">
        <v>9293</v>
      </c>
      <c r="J3639" s="12" t="str">
        <f>HYPERLINK("https://www.boe.es/gazeta/dias/1808/11/11/pdfs/GMD-D-1808-143.pdf#page=1","Abrir facsímil")</f>
        <v>Abrir facsímil</v>
      </c>
      <c r="K3639" s="15" t="s">
        <v>23</v>
      </c>
    </row>
    <row r="3640" spans="1:11" ht="42" customHeight="1">
      <c r="A3640" s="4" t="s">
        <v>9294</v>
      </c>
      <c r="B3640" s="5" t="s">
        <v>9295</v>
      </c>
      <c r="C3640" s="5" t="s">
        <v>94</v>
      </c>
      <c r="D3640" s="5" t="s">
        <v>95</v>
      </c>
      <c r="E3640" s="5" t="s">
        <v>1472</v>
      </c>
      <c r="F3640" s="9" t="s">
        <v>1473</v>
      </c>
      <c r="G3640" s="9">
        <v>93</v>
      </c>
      <c r="H3640" s="5" t="s">
        <v>21</v>
      </c>
      <c r="I3640" s="5" t="s">
        <v>9296</v>
      </c>
      <c r="J3640" s="12" t="str">
        <f>HYPERLINK("https://www.boe.es/gazeta/dias/1808/01/26/pdfs/GMD-1808-8.pdf#page=9","Abrir facsímil")</f>
        <v>Abrir facsímil</v>
      </c>
      <c r="K3640" s="15" t="s">
        <v>23</v>
      </c>
    </row>
    <row r="3641" spans="1:11" ht="42" customHeight="1">
      <c r="A3641" s="4" t="s">
        <v>9297</v>
      </c>
      <c r="B3641" s="5" t="s">
        <v>9298</v>
      </c>
      <c r="C3641" s="5" t="s">
        <v>389</v>
      </c>
      <c r="D3641" s="5" t="s">
        <v>390</v>
      </c>
      <c r="E3641" s="5" t="s">
        <v>1896</v>
      </c>
      <c r="F3641" s="9" t="s">
        <v>1897</v>
      </c>
      <c r="G3641" s="9">
        <v>781</v>
      </c>
      <c r="H3641" s="5" t="s">
        <v>21</v>
      </c>
      <c r="I3641" s="5" t="s">
        <v>9299</v>
      </c>
      <c r="J3641" s="12" t="str">
        <f>HYPERLINK("https://www.boe.es/gazeta/dias/1808/07/11/pdfs/GMD-1808-83.pdf#page=7","Abrir facsímil")</f>
        <v>Abrir facsímil</v>
      </c>
      <c r="K3641" s="15" t="s">
        <v>23</v>
      </c>
    </row>
    <row r="3642" spans="1:11" ht="42" customHeight="1">
      <c r="A3642" s="4" t="s">
        <v>9300</v>
      </c>
      <c r="B3642" s="5" t="s">
        <v>9301</v>
      </c>
      <c r="C3642" s="5" t="s">
        <v>41</v>
      </c>
      <c r="D3642" s="5" t="s">
        <v>42</v>
      </c>
      <c r="E3642" s="5" t="s">
        <v>166</v>
      </c>
      <c r="F3642" s="9" t="s">
        <v>400</v>
      </c>
      <c r="G3642" s="9" t="s">
        <v>106</v>
      </c>
      <c r="H3642" s="5" t="s">
        <v>21</v>
      </c>
      <c r="I3642" s="5" t="s">
        <v>9302</v>
      </c>
      <c r="J3642" s="12" t="str">
        <f>HYPERLINK("https://www.boe.es/gazeta/dias/1808/11/18/pdfs/D00069-00072.pdf#page=3","Abrir facsímil")</f>
        <v>Abrir facsímil</v>
      </c>
      <c r="K3642" s="15" t="s">
        <v>23</v>
      </c>
    </row>
    <row r="3643" spans="1:11" ht="42" customHeight="1">
      <c r="A3643" s="4" t="s">
        <v>9303</v>
      </c>
      <c r="B3643" s="5" t="s">
        <v>9303</v>
      </c>
      <c r="C3643" s="5" t="s">
        <v>17</v>
      </c>
      <c r="D3643" s="5" t="s">
        <v>18</v>
      </c>
      <c r="E3643" s="5" t="s">
        <v>6282</v>
      </c>
      <c r="F3643" s="9" t="s">
        <v>6283</v>
      </c>
      <c r="G3643" s="9">
        <v>651</v>
      </c>
      <c r="H3643" s="5" t="s">
        <v>21</v>
      </c>
      <c r="I3643" s="5" t="s">
        <v>9304</v>
      </c>
      <c r="J3643" s="12" t="str">
        <f>HYPERLINK("https://www.boe.es/gazeta/dias/1808/06/25/pdfs/GMD-1808-67.pdf#page=5","Abrir facsímil")</f>
        <v>Abrir facsímil</v>
      </c>
      <c r="K3643" s="15" t="s">
        <v>23</v>
      </c>
    </row>
    <row r="3644" spans="1:11" ht="42" customHeight="1">
      <c r="A3644" s="4" t="s">
        <v>9305</v>
      </c>
      <c r="B3644" s="5" t="s">
        <v>9306</v>
      </c>
      <c r="C3644" s="5" t="s">
        <v>33</v>
      </c>
      <c r="D3644" s="5" t="s">
        <v>34</v>
      </c>
      <c r="E3644" s="5" t="s">
        <v>35</v>
      </c>
      <c r="F3644" s="9" t="s">
        <v>36</v>
      </c>
      <c r="G3644" s="9" t="s">
        <v>37</v>
      </c>
      <c r="H3644" s="5" t="s">
        <v>21</v>
      </c>
      <c r="I3644" s="5" t="s">
        <v>9307</v>
      </c>
      <c r="J3644" s="12" t="str">
        <f>HYPERLINK("https://www.boe.es/gazeta/dias/1808/04/22/pdfs/GMD-C-1808-38.pdf#page=33","Abrir facsímil")</f>
        <v>Abrir facsímil</v>
      </c>
      <c r="K3644" s="15" t="s">
        <v>23</v>
      </c>
    </row>
    <row r="3645" spans="1:11" ht="42" customHeight="1">
      <c r="A3645" s="4" t="s">
        <v>9308</v>
      </c>
      <c r="B3645" s="5" t="s">
        <v>9309</v>
      </c>
      <c r="C3645" s="5" t="s">
        <v>33</v>
      </c>
      <c r="D3645" s="5" t="s">
        <v>34</v>
      </c>
      <c r="E3645" s="5" t="s">
        <v>139</v>
      </c>
      <c r="F3645" s="9" t="s">
        <v>1089</v>
      </c>
      <c r="G3645" s="9" t="s">
        <v>117</v>
      </c>
      <c r="H3645" s="5" t="s">
        <v>21</v>
      </c>
      <c r="I3645" s="5" t="s">
        <v>9310</v>
      </c>
      <c r="J3645" s="12" t="str">
        <f>HYPERLINK("https://www.boe.es/gazeta/dias/1808/09/23/pdfs/GMD-C-1808-127.pdf#page=1","Abrir facsímil")</f>
        <v>Abrir facsímil</v>
      </c>
      <c r="K3645" s="15" t="s">
        <v>23</v>
      </c>
    </row>
    <row r="3646" spans="1:11" ht="42" customHeight="1">
      <c r="A3646" s="4" t="s">
        <v>9311</v>
      </c>
      <c r="B3646" s="5" t="s">
        <v>9312</v>
      </c>
      <c r="C3646" s="5" t="s">
        <v>94</v>
      </c>
      <c r="D3646" s="5" t="s">
        <v>95</v>
      </c>
      <c r="E3646" s="5" t="s">
        <v>68</v>
      </c>
      <c r="F3646" s="9" t="s">
        <v>849</v>
      </c>
      <c r="G3646" s="9">
        <v>1345</v>
      </c>
      <c r="H3646" s="5" t="s">
        <v>21</v>
      </c>
      <c r="I3646" s="5" t="s">
        <v>9313</v>
      </c>
      <c r="J3646" s="12" t="str">
        <f>HYPERLINK("https://www.boe.es/gazeta/dias/1808/10/21/pdfs/GMD-C-1808-136.pdf#page=5","Abrir facsímil")</f>
        <v>Abrir facsímil</v>
      </c>
      <c r="K3646" s="15" t="s">
        <v>23</v>
      </c>
    </row>
    <row r="3647" spans="1:11" ht="42" customHeight="1">
      <c r="A3647" s="4" t="s">
        <v>9314</v>
      </c>
      <c r="B3647" s="5" t="s">
        <v>9315</v>
      </c>
      <c r="C3647" s="5" t="s">
        <v>94</v>
      </c>
      <c r="D3647" s="5" t="s">
        <v>95</v>
      </c>
      <c r="E3647" s="5" t="s">
        <v>68</v>
      </c>
      <c r="F3647" s="9" t="s">
        <v>849</v>
      </c>
      <c r="G3647" s="9">
        <v>1349</v>
      </c>
      <c r="H3647" s="5" t="s">
        <v>21</v>
      </c>
      <c r="I3647" s="5" t="s">
        <v>9316</v>
      </c>
      <c r="J3647" s="12" t="str">
        <f>HYPERLINK("https://www.boe.es/gazeta/dias/1808/10/21/pdfs/GMD-C-1808-136.pdf#page=9","Abrir facsímil")</f>
        <v>Abrir facsímil</v>
      </c>
      <c r="K3647" s="15" t="s">
        <v>23</v>
      </c>
    </row>
    <row r="3648" spans="1:11" ht="42" customHeight="1">
      <c r="A3648" s="4" t="s">
        <v>9317</v>
      </c>
      <c r="B3648" s="5" t="s">
        <v>9318</v>
      </c>
      <c r="C3648" s="5" t="s">
        <v>17</v>
      </c>
      <c r="D3648" s="5" t="s">
        <v>18</v>
      </c>
      <c r="E3648" s="5" t="s">
        <v>719</v>
      </c>
      <c r="F3648" s="9" t="s">
        <v>720</v>
      </c>
      <c r="G3648" s="9">
        <v>1609</v>
      </c>
      <c r="H3648" s="5" t="s">
        <v>21</v>
      </c>
      <c r="I3648" s="5" t="s">
        <v>9319</v>
      </c>
      <c r="J3648" s="12" t="str">
        <f>HYPERLINK("https://www.boe.es/gazeta/dias/1808/12/16/pdfs/GMD-1808-156.pdf#page=1","Abrir facsímil")</f>
        <v>Abrir facsímil</v>
      </c>
      <c r="K3648" s="15" t="s">
        <v>23</v>
      </c>
    </row>
    <row r="3649" spans="1:11" ht="42" customHeight="1">
      <c r="A3649" s="4" t="s">
        <v>9317</v>
      </c>
      <c r="B3649" s="5" t="s">
        <v>9318</v>
      </c>
      <c r="C3649" s="5" t="s">
        <v>41</v>
      </c>
      <c r="D3649" s="5" t="s">
        <v>42</v>
      </c>
      <c r="E3649" s="5" t="s">
        <v>719</v>
      </c>
      <c r="F3649" s="9" t="s">
        <v>720</v>
      </c>
      <c r="G3649" s="9">
        <v>1611</v>
      </c>
      <c r="H3649" s="5" t="s">
        <v>21</v>
      </c>
      <c r="I3649" s="5" t="s">
        <v>9320</v>
      </c>
      <c r="J3649" s="12" t="str">
        <f>HYPERLINK("https://www.boe.es/gazeta/dias/1808/12/16/pdfs/GMD-1808-156.pdf#page=3","Abrir facsímil")</f>
        <v>Abrir facsímil</v>
      </c>
      <c r="K3649" s="15" t="s">
        <v>23</v>
      </c>
    </row>
    <row r="3650" spans="1:11" ht="42" customHeight="1">
      <c r="A3650" s="4" t="s">
        <v>9321</v>
      </c>
      <c r="B3650" s="5" t="s">
        <v>9322</v>
      </c>
      <c r="C3650" s="5" t="s">
        <v>94</v>
      </c>
      <c r="D3650" s="5" t="s">
        <v>95</v>
      </c>
      <c r="E3650" s="5" t="s">
        <v>203</v>
      </c>
      <c r="F3650" s="9" t="s">
        <v>204</v>
      </c>
      <c r="G3650" s="9">
        <v>141</v>
      </c>
      <c r="H3650" s="5" t="s">
        <v>21</v>
      </c>
      <c r="I3650" s="5" t="s">
        <v>9323</v>
      </c>
      <c r="J3650" s="12" t="str">
        <f>HYPERLINK("https://www.boe.es/gazeta/dias/1808/02/09/pdfs/GMD-1808-12.pdf#page=9","Abrir facsímil")</f>
        <v>Abrir facsímil</v>
      </c>
      <c r="K3650" s="15" t="s">
        <v>23</v>
      </c>
    </row>
    <row r="3651" spans="1:11" ht="42" customHeight="1">
      <c r="A3651" s="4" t="s">
        <v>9324</v>
      </c>
      <c r="B3651" s="5" t="s">
        <v>9324</v>
      </c>
      <c r="C3651" s="5" t="s">
        <v>33</v>
      </c>
      <c r="D3651" s="5" t="s">
        <v>34</v>
      </c>
      <c r="E3651" s="5" t="s">
        <v>35</v>
      </c>
      <c r="F3651" s="9" t="s">
        <v>36</v>
      </c>
      <c r="G3651" s="9" t="s">
        <v>707</v>
      </c>
      <c r="H3651" s="5" t="s">
        <v>21</v>
      </c>
      <c r="I3651" s="5" t="s">
        <v>9325</v>
      </c>
      <c r="J3651" s="12" t="str">
        <f>HYPERLINK("https://www.boe.es/gazeta/dias/1808/04/22/pdfs/GMD-C-1808-38.pdf#page=42","Abrir facsímil")</f>
        <v>Abrir facsímil</v>
      </c>
      <c r="K3651" s="15" t="s">
        <v>23</v>
      </c>
    </row>
    <row r="3652" spans="1:11" ht="42" customHeight="1">
      <c r="A3652" s="4" t="s">
        <v>9326</v>
      </c>
      <c r="B3652" s="5" t="s">
        <v>9327</v>
      </c>
      <c r="C3652" s="5" t="s">
        <v>17</v>
      </c>
      <c r="D3652" s="5" t="s">
        <v>18</v>
      </c>
      <c r="E3652" s="5" t="s">
        <v>493</v>
      </c>
      <c r="F3652" s="9" t="s">
        <v>494</v>
      </c>
      <c r="G3652" s="9">
        <v>45</v>
      </c>
      <c r="H3652" s="5" t="s">
        <v>21</v>
      </c>
      <c r="I3652" s="5" t="s">
        <v>9328</v>
      </c>
      <c r="J3652" s="12" t="str">
        <f>HYPERLINK("https://www.boe.es/gazeta/dias/1808/01/12/pdfs/GMD-1808-4.pdf#page=9","Abrir facsímil")</f>
        <v>Abrir facsímil</v>
      </c>
      <c r="K3652" s="15" t="s">
        <v>23</v>
      </c>
    </row>
    <row r="3653" spans="1:11" ht="42" customHeight="1">
      <c r="A3653" s="4" t="s">
        <v>9329</v>
      </c>
      <c r="B3653" s="5" t="s">
        <v>9330</v>
      </c>
      <c r="C3653" s="5" t="s">
        <v>94</v>
      </c>
      <c r="D3653" s="5" t="s">
        <v>95</v>
      </c>
      <c r="E3653" s="5" t="s">
        <v>974</v>
      </c>
      <c r="F3653" s="9" t="s">
        <v>975</v>
      </c>
      <c r="G3653" s="9">
        <v>391</v>
      </c>
      <c r="H3653" s="5" t="s">
        <v>21</v>
      </c>
      <c r="I3653" s="5" t="s">
        <v>9331</v>
      </c>
      <c r="J3653" s="12" t="str">
        <f>HYPERLINK("https://www.boe.es/gazeta/dias/1808/04/19/pdfs/GMD-1808-37.pdf#page=7","Abrir facsímil")</f>
        <v>Abrir facsímil</v>
      </c>
      <c r="K3653" s="15" t="s">
        <v>23</v>
      </c>
    </row>
    <row r="3654" spans="1:11" ht="42" customHeight="1">
      <c r="A3654" s="4" t="s">
        <v>9332</v>
      </c>
      <c r="B3654" s="5" t="s">
        <v>9333</v>
      </c>
      <c r="C3654" s="5" t="s">
        <v>389</v>
      </c>
      <c r="D3654" s="5" t="s">
        <v>390</v>
      </c>
      <c r="E3654" s="5" t="s">
        <v>125</v>
      </c>
      <c r="F3654" s="9" t="s">
        <v>126</v>
      </c>
      <c r="G3654" s="9" t="s">
        <v>106</v>
      </c>
      <c r="H3654" s="5" t="s">
        <v>21</v>
      </c>
      <c r="I3654" s="5" t="s">
        <v>9334</v>
      </c>
      <c r="J3654" s="12" t="str">
        <f>HYPERLINK("https://www.boe.es/gazeta/dias/1808/10/07/pdfs/GMD-C-1808-132.pdf#page=3","Abrir facsímil")</f>
        <v>Abrir facsímil</v>
      </c>
      <c r="K3654" s="15" t="s">
        <v>23</v>
      </c>
    </row>
    <row r="3655" spans="1:11" ht="42" customHeight="1">
      <c r="A3655" s="4" t="s">
        <v>9335</v>
      </c>
      <c r="B3655" s="5" t="s">
        <v>9336</v>
      </c>
      <c r="C3655" s="5" t="s">
        <v>17</v>
      </c>
      <c r="D3655" s="5" t="s">
        <v>18</v>
      </c>
      <c r="E3655" s="5" t="s">
        <v>418</v>
      </c>
      <c r="F3655" s="9" t="s">
        <v>1218</v>
      </c>
      <c r="G3655" s="9">
        <v>1121</v>
      </c>
      <c r="H3655" s="5" t="s">
        <v>21</v>
      </c>
      <c r="I3655" s="5" t="s">
        <v>9337</v>
      </c>
      <c r="J3655" s="12" t="str">
        <f>HYPERLINK("https://www.boe.es/gazeta/dias/1808/09/06/pdfs/GMD-1808-120.pdf#page=3","Abrir facsímil")</f>
        <v>Abrir facsímil</v>
      </c>
      <c r="K3655" s="15" t="s">
        <v>23</v>
      </c>
    </row>
    <row r="3656" spans="1:11" ht="42" customHeight="1">
      <c r="A3656" s="4" t="s">
        <v>9338</v>
      </c>
      <c r="B3656" s="5" t="s">
        <v>9339</v>
      </c>
      <c r="C3656" s="5" t="s">
        <v>17</v>
      </c>
      <c r="D3656" s="5" t="s">
        <v>18</v>
      </c>
      <c r="E3656" s="5" t="s">
        <v>61</v>
      </c>
      <c r="F3656" s="9" t="s">
        <v>62</v>
      </c>
      <c r="G3656" s="9">
        <v>1286</v>
      </c>
      <c r="H3656" s="5" t="s">
        <v>21</v>
      </c>
      <c r="I3656" s="5" t="s">
        <v>9340</v>
      </c>
      <c r="J3656" s="12" t="str">
        <f>HYPERLINK("https://www.boe.es/gazeta/dias/1808/10/11/pdfs/GMD-1808-133.pdf#page=14","Abrir facsímil")</f>
        <v>Abrir facsímil</v>
      </c>
      <c r="K3656" s="15" t="s">
        <v>23</v>
      </c>
    </row>
    <row r="3657" spans="1:11" ht="42" customHeight="1">
      <c r="A3657" s="4" t="s">
        <v>9341</v>
      </c>
      <c r="B3657" s="5" t="s">
        <v>9342</v>
      </c>
      <c r="C3657" s="5" t="s">
        <v>33</v>
      </c>
      <c r="D3657" s="5" t="s">
        <v>34</v>
      </c>
      <c r="E3657" s="5" t="s">
        <v>35</v>
      </c>
      <c r="F3657" s="9" t="s">
        <v>36</v>
      </c>
      <c r="G3657" s="9" t="s">
        <v>1006</v>
      </c>
      <c r="H3657" s="5" t="s">
        <v>21</v>
      </c>
      <c r="I3657" s="5" t="s">
        <v>9343</v>
      </c>
      <c r="J3657" s="12" t="str">
        <f>HYPERLINK("https://www.boe.es/gazeta/dias/1808/04/22/pdfs/GMD-C-1808-38.pdf#page=46","Abrir facsímil")</f>
        <v>Abrir facsímil</v>
      </c>
      <c r="K3657" s="15" t="s">
        <v>23</v>
      </c>
    </row>
    <row r="3658" spans="1:11" ht="42" customHeight="1">
      <c r="A3658" s="4" t="s">
        <v>9344</v>
      </c>
      <c r="B3658" s="5" t="s">
        <v>9345</v>
      </c>
      <c r="C3658" s="5" t="s">
        <v>17</v>
      </c>
      <c r="D3658" s="5" t="s">
        <v>18</v>
      </c>
      <c r="E3658" s="5" t="s">
        <v>215</v>
      </c>
      <c r="F3658" s="9" t="s">
        <v>216</v>
      </c>
      <c r="G3658" s="9">
        <v>300</v>
      </c>
      <c r="H3658" s="5" t="s">
        <v>21</v>
      </c>
      <c r="I3658" s="5" t="s">
        <v>9346</v>
      </c>
      <c r="J3658" s="12" t="str">
        <f>HYPERLINK("https://www.boe.es/gazeta/dias/1808/03/25/pdfs/GMD-1808-25.pdf#page=10","Abrir facsímil")</f>
        <v>Abrir facsímil</v>
      </c>
      <c r="K3658" s="15" t="s">
        <v>23</v>
      </c>
    </row>
    <row r="3659" spans="1:11" ht="42" customHeight="1">
      <c r="A3659" s="4" t="s">
        <v>9347</v>
      </c>
      <c r="B3659" s="5" t="s">
        <v>9348</v>
      </c>
      <c r="C3659" s="5" t="s">
        <v>260</v>
      </c>
      <c r="D3659" s="5" t="s">
        <v>42</v>
      </c>
      <c r="E3659" s="5" t="s">
        <v>516</v>
      </c>
      <c r="F3659" s="9" t="s">
        <v>517</v>
      </c>
      <c r="G3659" s="9">
        <v>602</v>
      </c>
      <c r="H3659" s="5" t="s">
        <v>21</v>
      </c>
      <c r="I3659" s="5" t="s">
        <v>9349</v>
      </c>
      <c r="J3659" s="12" t="str">
        <f>HYPERLINK("https://www.boe.es/gazeta/dias/1808/06/19/pdfs/GMD-1808-61.pdf#page=8","Abrir facsímil")</f>
        <v>Abrir facsímil</v>
      </c>
      <c r="K3659" s="15" t="s">
        <v>23</v>
      </c>
    </row>
    <row r="3660" spans="1:11" ht="42" customHeight="1">
      <c r="A3660" s="4" t="s">
        <v>9350</v>
      </c>
      <c r="B3660" s="5" t="s">
        <v>9350</v>
      </c>
      <c r="C3660" s="5" t="s">
        <v>101</v>
      </c>
      <c r="D3660" s="5" t="s">
        <v>102</v>
      </c>
      <c r="E3660" s="5" t="s">
        <v>238</v>
      </c>
      <c r="F3660" s="9" t="s">
        <v>239</v>
      </c>
      <c r="G3660" s="9">
        <v>26</v>
      </c>
      <c r="H3660" s="5" t="s">
        <v>21</v>
      </c>
      <c r="I3660" s="5" t="s">
        <v>9351</v>
      </c>
      <c r="J3660" s="12" t="str">
        <f>HYPERLINK("https://www.boe.es/gazeta/dias/1808/01/08/pdfs/GMD-1808-3.pdf#page=2","Abrir facsímil")</f>
        <v>Abrir facsímil</v>
      </c>
      <c r="K3660" s="15" t="s">
        <v>23</v>
      </c>
    </row>
    <row r="3661" spans="1:11" ht="42" customHeight="1">
      <c r="A3661" s="4" t="s">
        <v>9352</v>
      </c>
      <c r="B3661" s="5" t="s">
        <v>9353</v>
      </c>
      <c r="C3661" s="5" t="s">
        <v>94</v>
      </c>
      <c r="D3661" s="5" t="s">
        <v>95</v>
      </c>
      <c r="E3661" s="5" t="s">
        <v>35</v>
      </c>
      <c r="F3661" s="9" t="s">
        <v>3452</v>
      </c>
      <c r="G3661" s="9">
        <v>402</v>
      </c>
      <c r="H3661" s="5" t="s">
        <v>21</v>
      </c>
      <c r="I3661" s="5" t="s">
        <v>9354</v>
      </c>
      <c r="J3661" s="12" t="str">
        <f>HYPERLINK("https://www.boe.es/gazeta/dias/1808/04/22/pdfs/GMD-1808-38.pdf#page=10","Abrir facsímil")</f>
        <v>Abrir facsímil</v>
      </c>
      <c r="K3661" s="15" t="s">
        <v>23</v>
      </c>
    </row>
    <row r="3662" spans="1:11" ht="42" customHeight="1">
      <c r="A3662" s="4" t="s">
        <v>9355</v>
      </c>
      <c r="B3662" s="5" t="s">
        <v>9356</v>
      </c>
      <c r="C3662" s="5" t="s">
        <v>41</v>
      </c>
      <c r="D3662" s="5" t="s">
        <v>42</v>
      </c>
      <c r="E3662" s="5" t="s">
        <v>125</v>
      </c>
      <c r="F3662" s="9" t="s">
        <v>126</v>
      </c>
      <c r="G3662" s="9" t="s">
        <v>199</v>
      </c>
      <c r="H3662" s="5" t="s">
        <v>21</v>
      </c>
      <c r="I3662" s="5" t="s">
        <v>9357</v>
      </c>
      <c r="J3662" s="12" t="str">
        <f>HYPERLINK("https://www.boe.es/gazeta/dias/1808/10/07/pdfs/GMD-C-1808-132.pdf#page=2","Abrir facsímil")</f>
        <v>Abrir facsímil</v>
      </c>
      <c r="K3662" s="15" t="s">
        <v>23</v>
      </c>
    </row>
    <row r="3663" spans="1:11" ht="42" customHeight="1">
      <c r="A3663" s="4" t="s">
        <v>9355</v>
      </c>
      <c r="B3663" s="5" t="s">
        <v>9356</v>
      </c>
      <c r="C3663" s="5" t="s">
        <v>17</v>
      </c>
      <c r="D3663" s="5" t="s">
        <v>18</v>
      </c>
      <c r="E3663" s="5" t="s">
        <v>130</v>
      </c>
      <c r="F3663" s="9" t="s">
        <v>131</v>
      </c>
      <c r="G3663" s="9">
        <v>1602</v>
      </c>
      <c r="H3663" s="5" t="s">
        <v>21</v>
      </c>
      <c r="I3663" s="5" t="s">
        <v>9358</v>
      </c>
      <c r="J3663" s="12" t="str">
        <f>HYPERLINK("https://www.boe.es/gazeta/dias/1808/12/15/pdfs/GMD-1808-155.pdf#page=6","Abrir facsímil")</f>
        <v>Abrir facsímil</v>
      </c>
      <c r="K3663" s="15" t="s">
        <v>23</v>
      </c>
    </row>
    <row r="3664" spans="1:11" ht="42" customHeight="1">
      <c r="A3664" s="4" t="s">
        <v>9359</v>
      </c>
      <c r="B3664" s="5" t="s">
        <v>9359</v>
      </c>
      <c r="C3664" s="5" t="s">
        <v>101</v>
      </c>
      <c r="D3664" s="5" t="s">
        <v>102</v>
      </c>
      <c r="E3664" s="5" t="s">
        <v>3160</v>
      </c>
      <c r="F3664" s="9" t="s">
        <v>3161</v>
      </c>
      <c r="G3664" s="9">
        <v>564</v>
      </c>
      <c r="H3664" s="5" t="s">
        <v>21</v>
      </c>
      <c r="I3664" s="5" t="s">
        <v>9360</v>
      </c>
      <c r="J3664" s="12" t="str">
        <f>HYPERLINK("https://www.boe.es/gazeta/dias/1808/06/14/pdfs/GMD-1808-57.pdf#page=2","Abrir facsímil")</f>
        <v>Abrir facsímil</v>
      </c>
      <c r="K3664" s="15" t="s">
        <v>23</v>
      </c>
    </row>
    <row r="3665" spans="1:11" ht="42" customHeight="1">
      <c r="A3665" s="4" t="s">
        <v>9361</v>
      </c>
      <c r="B3665" s="5" t="s">
        <v>9361</v>
      </c>
      <c r="C3665" s="5" t="s">
        <v>17</v>
      </c>
      <c r="D3665" s="5" t="s">
        <v>18</v>
      </c>
      <c r="E3665" s="5" t="s">
        <v>663</v>
      </c>
      <c r="F3665" s="9" t="s">
        <v>664</v>
      </c>
      <c r="G3665" s="9">
        <v>209</v>
      </c>
      <c r="H3665" s="5" t="s">
        <v>21</v>
      </c>
      <c r="I3665" s="5" t="s">
        <v>9362</v>
      </c>
      <c r="J3665" s="12" t="str">
        <f>HYPERLINK("https://www.boe.es/gazeta/dias/1808/02/26/pdfs/GMD-1808-17.pdf#page=11","Abrir facsímil")</f>
        <v>Abrir facsímil</v>
      </c>
      <c r="K3665" s="15" t="s">
        <v>23</v>
      </c>
    </row>
    <row r="3666" spans="1:11" ht="42" customHeight="1">
      <c r="A3666" s="4" t="s">
        <v>9363</v>
      </c>
      <c r="B3666" s="5" t="s">
        <v>9364</v>
      </c>
      <c r="C3666" s="5" t="s">
        <v>33</v>
      </c>
      <c r="D3666" s="5" t="s">
        <v>34</v>
      </c>
      <c r="E3666" s="5" t="s">
        <v>290</v>
      </c>
      <c r="F3666" s="9" t="s">
        <v>9365</v>
      </c>
      <c r="G3666" s="9">
        <v>1076</v>
      </c>
      <c r="H3666" s="5" t="s">
        <v>21</v>
      </c>
      <c r="I3666" s="5" t="s">
        <v>9366</v>
      </c>
      <c r="J3666" s="12" t="str">
        <f>HYPERLINK("https://www.boe.es/gazeta/dias/1808/08/23/pdfs/GMD-D-1808-116.pdf#page=2","Abrir facsímil")</f>
        <v>Abrir facsímil</v>
      </c>
      <c r="K3666" s="15" t="s">
        <v>23</v>
      </c>
    </row>
    <row r="3667" spans="1:11" ht="42" customHeight="1">
      <c r="A3667" s="4" t="s">
        <v>9367</v>
      </c>
      <c r="B3667" s="5" t="s">
        <v>9367</v>
      </c>
      <c r="C3667" s="5" t="s">
        <v>33</v>
      </c>
      <c r="D3667" s="5" t="s">
        <v>34</v>
      </c>
      <c r="E3667" s="5" t="s">
        <v>35</v>
      </c>
      <c r="F3667" s="9" t="s">
        <v>36</v>
      </c>
      <c r="G3667" s="9" t="s">
        <v>498</v>
      </c>
      <c r="H3667" s="5" t="s">
        <v>21</v>
      </c>
      <c r="I3667" s="5" t="s">
        <v>9368</v>
      </c>
      <c r="J3667" s="12" t="str">
        <f>HYPERLINK("https://www.boe.es/gazeta/dias/1808/04/22/pdfs/GMD-C-1808-38.pdf#page=22","Abrir facsímil")</f>
        <v>Abrir facsímil</v>
      </c>
      <c r="K3667" s="15" t="s">
        <v>23</v>
      </c>
    </row>
    <row r="3668" spans="1:11" ht="42" customHeight="1">
      <c r="A3668" s="4" t="s">
        <v>9369</v>
      </c>
      <c r="B3668" s="5" t="s">
        <v>9369</v>
      </c>
      <c r="C3668" s="5" t="s">
        <v>33</v>
      </c>
      <c r="D3668" s="5" t="s">
        <v>34</v>
      </c>
      <c r="E3668" s="5" t="s">
        <v>363</v>
      </c>
      <c r="F3668" s="9" t="s">
        <v>364</v>
      </c>
      <c r="G3668" s="9" t="s">
        <v>106</v>
      </c>
      <c r="H3668" s="5" t="s">
        <v>21</v>
      </c>
      <c r="I3668" s="5" t="s">
        <v>9370</v>
      </c>
      <c r="J3668" s="12" t="str">
        <f>HYPERLINK("https://www.boe.es/gazeta/dias/1808/09/20/pdfs/GMD-C-1808-126.pdf#page=3","Abrir facsímil")</f>
        <v>Abrir facsímil</v>
      </c>
      <c r="K3668" s="15" t="s">
        <v>23</v>
      </c>
    </row>
    <row r="3669" spans="1:11" ht="42" customHeight="1">
      <c r="A3669" s="4" t="s">
        <v>9371</v>
      </c>
      <c r="B3669" s="5" t="s">
        <v>9371</v>
      </c>
      <c r="C3669" s="5" t="s">
        <v>17</v>
      </c>
      <c r="D3669" s="5" t="s">
        <v>18</v>
      </c>
      <c r="E3669" s="5" t="s">
        <v>513</v>
      </c>
      <c r="F3669" s="9" t="s">
        <v>514</v>
      </c>
      <c r="G3669" s="9">
        <v>283</v>
      </c>
      <c r="H3669" s="5" t="s">
        <v>21</v>
      </c>
      <c r="I3669" s="5" t="s">
        <v>9372</v>
      </c>
      <c r="J3669" s="12" t="str">
        <f>HYPERLINK("https://www.boe.es/gazeta/dias/1808/03/22/pdfs/GMD-1808-24.pdf#page=5","Abrir facsímil")</f>
        <v>Abrir facsímil</v>
      </c>
      <c r="K3669" s="15" t="s">
        <v>23</v>
      </c>
    </row>
    <row r="3670" spans="1:11" ht="42" customHeight="1">
      <c r="A3670" s="4" t="s">
        <v>9371</v>
      </c>
      <c r="B3670" s="5" t="s">
        <v>9371</v>
      </c>
      <c r="C3670" s="5" t="s">
        <v>17</v>
      </c>
      <c r="D3670" s="5" t="s">
        <v>18</v>
      </c>
      <c r="E3670" s="5" t="s">
        <v>513</v>
      </c>
      <c r="F3670" s="9" t="s">
        <v>514</v>
      </c>
      <c r="G3670" s="9">
        <v>284</v>
      </c>
      <c r="H3670" s="5" t="s">
        <v>21</v>
      </c>
      <c r="I3670" s="5" t="s">
        <v>9373</v>
      </c>
      <c r="J3670" s="12" t="str">
        <f>HYPERLINK("https://www.boe.es/gazeta/dias/1808/03/22/pdfs/GMD-1808-24.pdf#page=6","Abrir facsímil")</f>
        <v>Abrir facsímil</v>
      </c>
      <c r="K3670" s="15" t="s">
        <v>23</v>
      </c>
    </row>
    <row r="3671" spans="1:11" ht="42" customHeight="1">
      <c r="A3671" s="4" t="s">
        <v>9374</v>
      </c>
      <c r="B3671" s="5" t="s">
        <v>9375</v>
      </c>
      <c r="C3671" s="5" t="s">
        <v>17</v>
      </c>
      <c r="D3671" s="5" t="s">
        <v>18</v>
      </c>
      <c r="E3671" s="5" t="s">
        <v>1385</v>
      </c>
      <c r="F3671" s="9" t="s">
        <v>1386</v>
      </c>
      <c r="G3671" s="9">
        <v>227</v>
      </c>
      <c r="H3671" s="5" t="s">
        <v>21</v>
      </c>
      <c r="I3671" s="5" t="s">
        <v>9376</v>
      </c>
      <c r="J3671" s="12" t="str">
        <f>HYPERLINK("https://www.boe.es/gazeta/dias/1808/03/04/pdfs/GMD-1808-19.pdf#page=5","Abrir facsímil")</f>
        <v>Abrir facsímil</v>
      </c>
      <c r="K3671" s="15" t="s">
        <v>23</v>
      </c>
    </row>
    <row r="3672" spans="1:11" ht="42" customHeight="1">
      <c r="A3672" s="4" t="s">
        <v>9377</v>
      </c>
      <c r="B3672" s="5" t="s">
        <v>9378</v>
      </c>
      <c r="C3672" s="5" t="s">
        <v>94</v>
      </c>
      <c r="D3672" s="5" t="s">
        <v>95</v>
      </c>
      <c r="E3672" s="5" t="s">
        <v>115</v>
      </c>
      <c r="F3672" s="9" t="s">
        <v>116</v>
      </c>
      <c r="G3672" s="9" t="s">
        <v>106</v>
      </c>
      <c r="H3672" s="5" t="s">
        <v>21</v>
      </c>
      <c r="I3672" s="5" t="s">
        <v>9379</v>
      </c>
      <c r="J3672" s="12" t="str">
        <f>HYPERLINK("https://www.boe.es/gazeta/dias/1808/09/16/pdfs/GMD-C-1808-125.pdf#page=3","Abrir facsímil")</f>
        <v>Abrir facsímil</v>
      </c>
      <c r="K3672" s="15" t="s">
        <v>23</v>
      </c>
    </row>
    <row r="3673" spans="1:11" ht="42" customHeight="1">
      <c r="A3673" s="4" t="s">
        <v>9380</v>
      </c>
      <c r="B3673" s="5" t="s">
        <v>9381</v>
      </c>
      <c r="C3673" s="5" t="s">
        <v>101</v>
      </c>
      <c r="D3673" s="5" t="s">
        <v>102</v>
      </c>
      <c r="E3673" s="5" t="s">
        <v>207</v>
      </c>
      <c r="F3673" s="9" t="s">
        <v>208</v>
      </c>
      <c r="G3673" s="9">
        <v>193</v>
      </c>
      <c r="H3673" s="5" t="s">
        <v>21</v>
      </c>
      <c r="I3673" s="5" t="s">
        <v>9382</v>
      </c>
      <c r="J3673" s="12" t="str">
        <f>HYPERLINK("https://www.boe.es/gazeta/dias/1808/02/23/pdfs/GMD-1808-16.pdf#page=7","Abrir facsímil")</f>
        <v>Abrir facsímil</v>
      </c>
      <c r="K3673" s="15" t="s">
        <v>23</v>
      </c>
    </row>
    <row r="3674" spans="1:11" ht="42" customHeight="1">
      <c r="A3674" s="4" t="s">
        <v>9383</v>
      </c>
      <c r="B3674" s="5" t="s">
        <v>9384</v>
      </c>
      <c r="C3674" s="5" t="s">
        <v>17</v>
      </c>
      <c r="D3674" s="5" t="s">
        <v>18</v>
      </c>
      <c r="E3674" s="5" t="s">
        <v>54</v>
      </c>
      <c r="F3674" s="9" t="s">
        <v>55</v>
      </c>
      <c r="G3674" s="9">
        <v>1083</v>
      </c>
      <c r="H3674" s="5" t="s">
        <v>21</v>
      </c>
      <c r="I3674" s="5" t="s">
        <v>9385</v>
      </c>
      <c r="J3674" s="12" t="str">
        <f>HYPERLINK("https://www.boe.es/gazeta/dias/1808/08/26/pdfs/GMD-1808-117.pdf#page=5","Abrir facsímil")</f>
        <v>Abrir facsímil</v>
      </c>
      <c r="K3674" s="15" t="s">
        <v>23</v>
      </c>
    </row>
    <row r="3675" spans="1:11" ht="42" customHeight="1">
      <c r="A3675" s="4" t="s">
        <v>9386</v>
      </c>
      <c r="B3675" s="5" t="s">
        <v>9387</v>
      </c>
      <c r="C3675" s="5" t="s">
        <v>33</v>
      </c>
      <c r="D3675" s="5" t="s">
        <v>34</v>
      </c>
      <c r="E3675" s="5" t="s">
        <v>35</v>
      </c>
      <c r="F3675" s="9" t="s">
        <v>36</v>
      </c>
      <c r="G3675" s="9" t="s">
        <v>867</v>
      </c>
      <c r="H3675" s="5" t="s">
        <v>21</v>
      </c>
      <c r="I3675" s="5" t="s">
        <v>9388</v>
      </c>
      <c r="J3675" s="12" t="str">
        <f>HYPERLINK("https://www.boe.es/gazeta/dias/1808/04/22/pdfs/GMD-C-1808-38.pdf#page=19","Abrir facsímil")</f>
        <v>Abrir facsímil</v>
      </c>
      <c r="K3675" s="15" t="s">
        <v>23</v>
      </c>
    </row>
    <row r="3676" spans="1:11" ht="42" customHeight="1">
      <c r="A3676" s="4" t="s">
        <v>9389</v>
      </c>
      <c r="B3676" s="5" t="s">
        <v>9390</v>
      </c>
      <c r="C3676" s="5" t="s">
        <v>17</v>
      </c>
      <c r="D3676" s="5" t="s">
        <v>18</v>
      </c>
      <c r="E3676" s="5" t="s">
        <v>3365</v>
      </c>
      <c r="F3676" s="9" t="s">
        <v>3366</v>
      </c>
      <c r="G3676" s="9">
        <v>125</v>
      </c>
      <c r="H3676" s="5" t="s">
        <v>21</v>
      </c>
      <c r="I3676" s="5" t="s">
        <v>9391</v>
      </c>
      <c r="J3676" s="12" t="str">
        <f>HYPERLINK("https://www.boe.es/gazeta/dias/1808/07/23/pdfs/GMS-1808-16.pdf#page=5","Abrir facsímil")</f>
        <v>Abrir facsímil</v>
      </c>
      <c r="K3676" s="15" t="s">
        <v>23</v>
      </c>
    </row>
    <row r="3677" spans="1:11" ht="42" customHeight="1">
      <c r="A3677" s="4" t="s">
        <v>9392</v>
      </c>
      <c r="B3677" s="5" t="s">
        <v>9393</v>
      </c>
      <c r="C3677" s="5" t="s">
        <v>41</v>
      </c>
      <c r="D3677" s="5" t="s">
        <v>42</v>
      </c>
      <c r="E3677" s="5" t="s">
        <v>89</v>
      </c>
      <c r="F3677" s="9" t="s">
        <v>90</v>
      </c>
      <c r="G3677" s="9">
        <v>1359</v>
      </c>
      <c r="H3677" s="5" t="s">
        <v>21</v>
      </c>
      <c r="I3677" s="5" t="s">
        <v>9394</v>
      </c>
      <c r="J3677" s="12" t="str">
        <f>HYPERLINK("https://www.boe.es/gazeta/dias/1808/10/25/pdfs/GMD-1808-137.pdf#page=7","Abrir facsímil")</f>
        <v>Abrir facsímil</v>
      </c>
      <c r="K3677" s="15" t="s">
        <v>23</v>
      </c>
    </row>
    <row r="3678" spans="1:11" ht="42" customHeight="1">
      <c r="A3678" s="4" t="s">
        <v>9392</v>
      </c>
      <c r="B3678" s="5" t="s">
        <v>9393</v>
      </c>
      <c r="C3678" s="5" t="s">
        <v>17</v>
      </c>
      <c r="D3678" s="5" t="s">
        <v>18</v>
      </c>
      <c r="E3678" s="5" t="s">
        <v>28</v>
      </c>
      <c r="F3678" s="9" t="s">
        <v>9084</v>
      </c>
      <c r="G3678" s="9">
        <v>366</v>
      </c>
      <c r="H3678" s="5" t="s">
        <v>21</v>
      </c>
      <c r="I3678" s="5" t="s">
        <v>9395</v>
      </c>
      <c r="J3678" s="12" t="str">
        <f>HYPERLINK("https://www.boe.es/gazeta/dias/1808/11/04/pdfs/GMS-1808-46.pdf#page=6","Abrir facsímil")</f>
        <v>Abrir facsímil</v>
      </c>
      <c r="K3678" s="15" t="s">
        <v>23</v>
      </c>
    </row>
    <row r="3679" spans="1:11" ht="42" customHeight="1">
      <c r="A3679" s="4" t="s">
        <v>9396</v>
      </c>
      <c r="B3679" s="5" t="s">
        <v>9397</v>
      </c>
      <c r="C3679" s="5" t="s">
        <v>33</v>
      </c>
      <c r="D3679" s="5" t="s">
        <v>34</v>
      </c>
      <c r="E3679" s="5" t="s">
        <v>73</v>
      </c>
      <c r="F3679" s="9" t="s">
        <v>1570</v>
      </c>
      <c r="G3679" s="9">
        <v>1482</v>
      </c>
      <c r="H3679" s="5" t="s">
        <v>21</v>
      </c>
      <c r="I3679" s="5" t="s">
        <v>9398</v>
      </c>
      <c r="J3679" s="12" t="str">
        <f>HYPERLINK("https://www.boe.es/gazeta/dias/1808/11/11/pdfs/GMD-C-1808-143.pdf#page=12","Abrir facsímil")</f>
        <v>Abrir facsímil</v>
      </c>
      <c r="K3679" s="15" t="s">
        <v>23</v>
      </c>
    </row>
    <row r="3680" spans="1:11" ht="42" customHeight="1">
      <c r="A3680" s="4" t="s">
        <v>9399</v>
      </c>
      <c r="B3680" s="5" t="s">
        <v>9400</v>
      </c>
      <c r="C3680" s="5" t="s">
        <v>17</v>
      </c>
      <c r="D3680" s="5" t="s">
        <v>18</v>
      </c>
      <c r="E3680" s="5" t="s">
        <v>290</v>
      </c>
      <c r="F3680" s="9" t="s">
        <v>3150</v>
      </c>
      <c r="G3680" s="9">
        <v>198</v>
      </c>
      <c r="H3680" s="5" t="s">
        <v>21</v>
      </c>
      <c r="I3680" s="5" t="s">
        <v>9401</v>
      </c>
      <c r="J3680" s="12" t="str">
        <f>HYPERLINK("https://www.boe.es/gazeta/dias/1808/08/23/pdfs/GMS-1808-25.pdf#page=6","Abrir facsímil")</f>
        <v>Abrir facsímil</v>
      </c>
      <c r="K3680" s="15" t="s">
        <v>23</v>
      </c>
    </row>
    <row r="3681" spans="1:11" ht="42" customHeight="1">
      <c r="A3681" s="4" t="s">
        <v>9402</v>
      </c>
      <c r="B3681" s="5" t="s">
        <v>9403</v>
      </c>
      <c r="C3681" s="5" t="s">
        <v>17</v>
      </c>
      <c r="D3681" s="5" t="s">
        <v>18</v>
      </c>
      <c r="E3681" s="5" t="s">
        <v>334</v>
      </c>
      <c r="F3681" s="9" t="s">
        <v>1814</v>
      </c>
      <c r="G3681" s="9">
        <v>1246</v>
      </c>
      <c r="H3681" s="5" t="s">
        <v>21</v>
      </c>
      <c r="I3681" s="5" t="s">
        <v>9404</v>
      </c>
      <c r="J3681" s="12" t="str">
        <f>HYPERLINK("https://www.boe.es/gazeta/dias/1808/10/04/pdfs/GMD-1808-131.pdf#page=14","Abrir facsímil")</f>
        <v>Abrir facsímil</v>
      </c>
      <c r="K3681" s="15" t="s">
        <v>23</v>
      </c>
    </row>
    <row r="3682" spans="1:11" ht="42" customHeight="1">
      <c r="A3682" s="4" t="s">
        <v>9405</v>
      </c>
      <c r="B3682" s="5" t="s">
        <v>9405</v>
      </c>
      <c r="C3682" s="5" t="s">
        <v>94</v>
      </c>
      <c r="D3682" s="5" t="s">
        <v>95</v>
      </c>
      <c r="E3682" s="5" t="s">
        <v>51</v>
      </c>
      <c r="F3682" s="9" t="s">
        <v>52</v>
      </c>
      <c r="G3682" s="9">
        <v>990</v>
      </c>
      <c r="H3682" s="5" t="s">
        <v>21</v>
      </c>
      <c r="I3682" s="5" t="s">
        <v>9406</v>
      </c>
      <c r="J3682" s="12" t="str">
        <f>HYPERLINK("https://www.boe.es/gazeta/dias/1808/08/09/pdfs/GMD-1808-111.pdf#page=6","Abrir facsímil")</f>
        <v>Abrir facsímil</v>
      </c>
      <c r="K3682" s="15" t="s">
        <v>23</v>
      </c>
    </row>
    <row r="3683" spans="1:11" ht="42" customHeight="1">
      <c r="A3683" s="4" t="s">
        <v>9407</v>
      </c>
      <c r="B3683" s="5" t="s">
        <v>9408</v>
      </c>
      <c r="C3683" s="5" t="s">
        <v>26</v>
      </c>
      <c r="D3683" s="5" t="s">
        <v>27</v>
      </c>
      <c r="E3683" s="5" t="s">
        <v>28</v>
      </c>
      <c r="F3683" s="9" t="s">
        <v>29</v>
      </c>
      <c r="G3683" s="9">
        <v>1428</v>
      </c>
      <c r="H3683" s="5" t="s">
        <v>21</v>
      </c>
      <c r="I3683" s="5" t="s">
        <v>9409</v>
      </c>
      <c r="J3683" s="12" t="str">
        <f>HYPERLINK("https://www.boe.es/gazeta/dias/1808/11/04/pdfs/GMD-1808-141.pdf#page=10","Abrir facsímil")</f>
        <v>Abrir facsímil</v>
      </c>
      <c r="K3683" s="15" t="s">
        <v>23</v>
      </c>
    </row>
    <row r="3684" spans="1:11" ht="42" customHeight="1">
      <c r="A3684" s="4" t="s">
        <v>9410</v>
      </c>
      <c r="B3684" s="5" t="s">
        <v>9411</v>
      </c>
      <c r="C3684" s="5" t="s">
        <v>94</v>
      </c>
      <c r="D3684" s="5" t="s">
        <v>95</v>
      </c>
      <c r="E3684" s="5" t="s">
        <v>663</v>
      </c>
      <c r="F3684" s="9" t="s">
        <v>664</v>
      </c>
      <c r="G3684" s="9">
        <v>208</v>
      </c>
      <c r="H3684" s="5" t="s">
        <v>21</v>
      </c>
      <c r="I3684" s="5" t="s">
        <v>9412</v>
      </c>
      <c r="J3684" s="12" t="str">
        <f>HYPERLINK("https://www.boe.es/gazeta/dias/1808/02/26/pdfs/GMD-1808-17.pdf#page=10","Abrir facsímil")</f>
        <v>Abrir facsímil</v>
      </c>
      <c r="K3684" s="15" t="s">
        <v>23</v>
      </c>
    </row>
    <row r="3685" spans="1:11" ht="42" customHeight="1">
      <c r="A3685" s="4" t="s">
        <v>9413</v>
      </c>
      <c r="B3685" s="5" t="s">
        <v>9414</v>
      </c>
      <c r="C3685" s="5" t="s">
        <v>17</v>
      </c>
      <c r="D3685" s="5" t="s">
        <v>18</v>
      </c>
      <c r="E3685" s="5" t="s">
        <v>130</v>
      </c>
      <c r="F3685" s="9" t="s">
        <v>131</v>
      </c>
      <c r="G3685" s="9">
        <v>1604</v>
      </c>
      <c r="H3685" s="5" t="s">
        <v>21</v>
      </c>
      <c r="I3685" s="5" t="s">
        <v>9415</v>
      </c>
      <c r="J3685" s="12" t="str">
        <f>HYPERLINK("https://www.boe.es/gazeta/dias/1808/12/15/pdfs/GMD-1808-155.pdf#page=8","Abrir facsímil")</f>
        <v>Abrir facsímil</v>
      </c>
      <c r="K3685" s="15" t="s">
        <v>23</v>
      </c>
    </row>
    <row r="3686" spans="1:11" ht="42" customHeight="1">
      <c r="A3686" s="4" t="s">
        <v>9416</v>
      </c>
      <c r="B3686" s="5" t="s">
        <v>9417</v>
      </c>
      <c r="C3686" s="5" t="s">
        <v>17</v>
      </c>
      <c r="D3686" s="5" t="s">
        <v>18</v>
      </c>
      <c r="E3686" s="5" t="s">
        <v>130</v>
      </c>
      <c r="F3686" s="9" t="s">
        <v>131</v>
      </c>
      <c r="G3686" s="9">
        <v>1604</v>
      </c>
      <c r="H3686" s="5" t="s">
        <v>21</v>
      </c>
      <c r="I3686" s="5" t="s">
        <v>9418</v>
      </c>
      <c r="J3686" s="12" t="str">
        <f>HYPERLINK("https://www.boe.es/gazeta/dias/1808/12/15/pdfs/GMD-1808-155.pdf#page=8","Abrir facsímil")</f>
        <v>Abrir facsímil</v>
      </c>
      <c r="K3686" s="15" t="s">
        <v>23</v>
      </c>
    </row>
    <row r="3687" spans="1:11" ht="42" customHeight="1">
      <c r="A3687" s="4" t="s">
        <v>9419</v>
      </c>
      <c r="B3687" s="5" t="s">
        <v>9420</v>
      </c>
      <c r="C3687" s="5" t="s">
        <v>17</v>
      </c>
      <c r="D3687" s="5" t="s">
        <v>18</v>
      </c>
      <c r="E3687" s="5" t="s">
        <v>130</v>
      </c>
      <c r="F3687" s="9" t="s">
        <v>131</v>
      </c>
      <c r="G3687" s="9">
        <v>1603</v>
      </c>
      <c r="H3687" s="5" t="s">
        <v>21</v>
      </c>
      <c r="I3687" s="5" t="s">
        <v>9421</v>
      </c>
      <c r="J3687" s="12" t="str">
        <f>HYPERLINK("https://www.boe.es/gazeta/dias/1808/12/15/pdfs/GMD-1808-155.pdf#page=7","Abrir facsímil")</f>
        <v>Abrir facsímil</v>
      </c>
      <c r="K3687" s="15" t="s">
        <v>23</v>
      </c>
    </row>
    <row r="3688" spans="1:11" ht="42" customHeight="1">
      <c r="A3688" s="4" t="s">
        <v>9422</v>
      </c>
      <c r="B3688" s="5" t="s">
        <v>9423</v>
      </c>
      <c r="C3688" s="5" t="s">
        <v>17</v>
      </c>
      <c r="D3688" s="5" t="s">
        <v>18</v>
      </c>
      <c r="E3688" s="5" t="s">
        <v>61</v>
      </c>
      <c r="F3688" s="9" t="s">
        <v>62</v>
      </c>
      <c r="G3688" s="9">
        <v>1284</v>
      </c>
      <c r="H3688" s="5" t="s">
        <v>21</v>
      </c>
      <c r="I3688" s="5" t="s">
        <v>9424</v>
      </c>
      <c r="J3688" s="12" t="str">
        <f>HYPERLINK("https://www.boe.es/gazeta/dias/1808/10/11/pdfs/GMD-1808-133.pdf#page=12","Abrir facsímil")</f>
        <v>Abrir facsímil</v>
      </c>
      <c r="K3688" s="15" t="s">
        <v>23</v>
      </c>
    </row>
    <row r="3689" spans="1:11" ht="42" customHeight="1">
      <c r="A3689" s="4" t="s">
        <v>9425</v>
      </c>
      <c r="B3689" s="5" t="s">
        <v>9426</v>
      </c>
      <c r="C3689" s="5" t="s">
        <v>17</v>
      </c>
      <c r="D3689" s="5" t="s">
        <v>18</v>
      </c>
      <c r="E3689" s="5" t="s">
        <v>61</v>
      </c>
      <c r="F3689" s="9" t="s">
        <v>62</v>
      </c>
      <c r="G3689" s="9">
        <v>1286</v>
      </c>
      <c r="H3689" s="5" t="s">
        <v>21</v>
      </c>
      <c r="I3689" s="5" t="s">
        <v>9427</v>
      </c>
      <c r="J3689" s="12" t="str">
        <f>HYPERLINK("https://www.boe.es/gazeta/dias/1808/10/11/pdfs/GMD-1808-133.pdf#page=14","Abrir facsímil")</f>
        <v>Abrir facsímil</v>
      </c>
      <c r="K3689" s="15" t="s">
        <v>23</v>
      </c>
    </row>
    <row r="3690" spans="1:11" ht="42" customHeight="1">
      <c r="A3690" s="4" t="s">
        <v>9428</v>
      </c>
      <c r="B3690" s="5" t="s">
        <v>9429</v>
      </c>
      <c r="C3690" s="5" t="s">
        <v>17</v>
      </c>
      <c r="D3690" s="5" t="s">
        <v>18</v>
      </c>
      <c r="E3690" s="5" t="s">
        <v>130</v>
      </c>
      <c r="F3690" s="9" t="s">
        <v>131</v>
      </c>
      <c r="G3690" s="9">
        <v>1604</v>
      </c>
      <c r="H3690" s="5" t="s">
        <v>21</v>
      </c>
      <c r="I3690" s="5" t="s">
        <v>9430</v>
      </c>
      <c r="J3690" s="12" t="str">
        <f>HYPERLINK("https://www.boe.es/gazeta/dias/1808/12/15/pdfs/GMD-1808-155.pdf#page=8","Abrir facsímil")</f>
        <v>Abrir facsímil</v>
      </c>
      <c r="K3690" s="15" t="s">
        <v>23</v>
      </c>
    </row>
    <row r="3691" spans="1:11" ht="42" customHeight="1">
      <c r="A3691" s="4" t="s">
        <v>9431</v>
      </c>
      <c r="B3691" s="5" t="s">
        <v>9432</v>
      </c>
      <c r="C3691" s="5" t="s">
        <v>33</v>
      </c>
      <c r="D3691" s="5" t="s">
        <v>34</v>
      </c>
      <c r="E3691" s="5" t="s">
        <v>35</v>
      </c>
      <c r="F3691" s="9" t="s">
        <v>36</v>
      </c>
      <c r="G3691" s="9" t="s">
        <v>1178</v>
      </c>
      <c r="H3691" s="5" t="s">
        <v>21</v>
      </c>
      <c r="I3691" s="5" t="s">
        <v>9433</v>
      </c>
      <c r="J3691" s="12" t="str">
        <f>HYPERLINK("https://www.boe.es/gazeta/dias/1808/04/22/pdfs/GMD-C-1808-38.pdf#page=9","Abrir facsímil")</f>
        <v>Abrir facsímil</v>
      </c>
      <c r="K3691" s="15" t="s">
        <v>23</v>
      </c>
    </row>
    <row r="3692" spans="1:11" ht="42" customHeight="1">
      <c r="A3692" s="4" t="s">
        <v>9431</v>
      </c>
      <c r="B3692" s="5" t="s">
        <v>9432</v>
      </c>
      <c r="C3692" s="5" t="s">
        <v>33</v>
      </c>
      <c r="D3692" s="5" t="s">
        <v>34</v>
      </c>
      <c r="E3692" s="5" t="s">
        <v>73</v>
      </c>
      <c r="F3692" s="9" t="s">
        <v>74</v>
      </c>
      <c r="G3692" s="9" t="s">
        <v>117</v>
      </c>
      <c r="H3692" s="5" t="s">
        <v>21</v>
      </c>
      <c r="I3692" s="5" t="s">
        <v>9434</v>
      </c>
      <c r="J3692" s="12" t="str">
        <f>HYPERLINK("https://www.boe.es/gazeta/dias/1808/11/11/pdfs/GMD-D-1808-143.pdf#page=1","Abrir facsímil")</f>
        <v>Abrir facsímil</v>
      </c>
      <c r="K3692" s="15" t="s">
        <v>23</v>
      </c>
    </row>
    <row r="3693" spans="1:11" ht="42" customHeight="1">
      <c r="A3693" s="4" t="s">
        <v>9435</v>
      </c>
      <c r="B3693" s="5" t="s">
        <v>9436</v>
      </c>
      <c r="C3693" s="5" t="s">
        <v>17</v>
      </c>
      <c r="D3693" s="5" t="s">
        <v>18</v>
      </c>
      <c r="E3693" s="5" t="s">
        <v>461</v>
      </c>
      <c r="F3693" s="9" t="s">
        <v>733</v>
      </c>
      <c r="G3693" s="9">
        <v>1448</v>
      </c>
      <c r="H3693" s="5" t="s">
        <v>21</v>
      </c>
      <c r="I3693" s="5" t="s">
        <v>9437</v>
      </c>
      <c r="J3693" s="12" t="str">
        <f>HYPERLINK("https://www.boe.es/gazeta/dias/1808/11/08/pdfs/GMD-1808-142.pdf#page=10","Abrir facsímil")</f>
        <v>Abrir facsímil</v>
      </c>
      <c r="K3693" s="15" t="s">
        <v>23</v>
      </c>
    </row>
    <row r="3694" spans="1:11" ht="42" customHeight="1">
      <c r="A3694" s="4" t="s">
        <v>9438</v>
      </c>
      <c r="B3694" s="5" t="s">
        <v>9439</v>
      </c>
      <c r="C3694" s="5" t="s">
        <v>33</v>
      </c>
      <c r="D3694" s="5" t="s">
        <v>34</v>
      </c>
      <c r="E3694" s="5" t="s">
        <v>35</v>
      </c>
      <c r="F3694" s="9" t="s">
        <v>36</v>
      </c>
      <c r="G3694" s="9" t="s">
        <v>1006</v>
      </c>
      <c r="H3694" s="5" t="s">
        <v>21</v>
      </c>
      <c r="I3694" s="5" t="s">
        <v>9440</v>
      </c>
      <c r="J3694" s="12" t="str">
        <f>HYPERLINK("https://www.boe.es/gazeta/dias/1808/04/22/pdfs/GMD-C-1808-38.pdf#page=46","Abrir facsímil")</f>
        <v>Abrir facsímil</v>
      </c>
      <c r="K3694" s="15" t="s">
        <v>23</v>
      </c>
    </row>
    <row r="3695" spans="1:11" ht="42" customHeight="1">
      <c r="A3695" s="4" t="s">
        <v>9441</v>
      </c>
      <c r="B3695" s="5" t="s">
        <v>9441</v>
      </c>
      <c r="C3695" s="5" t="s">
        <v>94</v>
      </c>
      <c r="D3695" s="5" t="s">
        <v>95</v>
      </c>
      <c r="E3695" s="5" t="s">
        <v>225</v>
      </c>
      <c r="F3695" s="9" t="s">
        <v>226</v>
      </c>
      <c r="G3695" s="9">
        <v>607</v>
      </c>
      <c r="H3695" s="5" t="s">
        <v>21</v>
      </c>
      <c r="I3695" s="5" t="s">
        <v>9442</v>
      </c>
      <c r="J3695" s="12" t="str">
        <f>HYPERLINK("https://www.boe.es/gazeta/dias/1808/06/20/pdfs/GMD-1808-62.pdf#page=5","Abrir facsímil")</f>
        <v>Abrir facsímil</v>
      </c>
      <c r="K3695" s="15" t="s">
        <v>23</v>
      </c>
    </row>
    <row r="3696" spans="1:11" ht="42" customHeight="1">
      <c r="A3696" s="4" t="s">
        <v>9443</v>
      </c>
      <c r="B3696" s="5" t="s">
        <v>9443</v>
      </c>
      <c r="C3696" s="5" t="s">
        <v>33</v>
      </c>
      <c r="D3696" s="5" t="s">
        <v>34</v>
      </c>
      <c r="E3696" s="5" t="s">
        <v>334</v>
      </c>
      <c r="F3696" s="9" t="s">
        <v>335</v>
      </c>
      <c r="G3696" s="9">
        <v>1251</v>
      </c>
      <c r="H3696" s="5" t="s">
        <v>21</v>
      </c>
      <c r="I3696" s="5" t="s">
        <v>9444</v>
      </c>
      <c r="J3696" s="12" t="str">
        <f>HYPERLINK("https://www.boe.es/gazeta/dias/1808/10/04/pdfs/GMD-C-1808-131.pdf#page=3","Abrir facsímil")</f>
        <v>Abrir facsímil</v>
      </c>
      <c r="K3696" s="15" t="s">
        <v>23</v>
      </c>
    </row>
    <row r="3697" spans="1:11" ht="42" customHeight="1">
      <c r="A3697" s="4" t="s">
        <v>9445</v>
      </c>
      <c r="B3697" s="5" t="s">
        <v>9445</v>
      </c>
      <c r="C3697" s="5" t="s">
        <v>94</v>
      </c>
      <c r="D3697" s="5" t="s">
        <v>95</v>
      </c>
      <c r="E3697" s="5" t="s">
        <v>153</v>
      </c>
      <c r="F3697" s="9" t="s">
        <v>1185</v>
      </c>
      <c r="G3697" s="9">
        <v>1145</v>
      </c>
      <c r="H3697" s="5" t="s">
        <v>21</v>
      </c>
      <c r="I3697" s="5" t="s">
        <v>9446</v>
      </c>
      <c r="J3697" s="12" t="str">
        <f>HYPERLINK("https://www.boe.es/gazeta/dias/1808/09/09/pdfs/GMD-1808-121.pdf#page=3","Abrir facsímil")</f>
        <v>Abrir facsímil</v>
      </c>
      <c r="K3697" s="15" t="s">
        <v>23</v>
      </c>
    </row>
    <row r="3698" spans="1:11" ht="42" customHeight="1">
      <c r="A3698" s="4" t="s">
        <v>9447</v>
      </c>
      <c r="B3698" s="5" t="s">
        <v>9447</v>
      </c>
      <c r="C3698" s="5" t="s">
        <v>94</v>
      </c>
      <c r="D3698" s="5" t="s">
        <v>95</v>
      </c>
      <c r="E3698" s="5" t="s">
        <v>2555</v>
      </c>
      <c r="F3698" s="9" t="s">
        <v>2556</v>
      </c>
      <c r="G3698" s="9">
        <v>130</v>
      </c>
      <c r="H3698" s="5" t="s">
        <v>21</v>
      </c>
      <c r="I3698" s="5" t="s">
        <v>9448</v>
      </c>
      <c r="J3698" s="12" t="str">
        <f>HYPERLINK("https://www.boe.es/gazeta/dias/1808/02/05/pdfs/GMD-1808-11.pdf#page=10","Abrir facsímil")</f>
        <v>Abrir facsímil</v>
      </c>
      <c r="K3698" s="15" t="s">
        <v>23</v>
      </c>
    </row>
    <row r="3699" spans="1:11" ht="42" customHeight="1">
      <c r="A3699" s="4" t="s">
        <v>9449</v>
      </c>
      <c r="B3699" s="5" t="s">
        <v>9449</v>
      </c>
      <c r="C3699" s="5" t="s">
        <v>33</v>
      </c>
      <c r="D3699" s="5" t="s">
        <v>34</v>
      </c>
      <c r="E3699" s="5" t="s">
        <v>68</v>
      </c>
      <c r="F3699" s="9" t="s">
        <v>309</v>
      </c>
      <c r="G3699" s="9" t="s">
        <v>75</v>
      </c>
      <c r="H3699" s="5" t="s">
        <v>21</v>
      </c>
      <c r="I3699" s="5" t="s">
        <v>9450</v>
      </c>
      <c r="J3699" s="12" t="str">
        <f>HYPERLINK("https://www.boe.es/gazeta/dias/1808/10/21/pdfs/GMD-D-1808-136.pdf#page=4","Abrir facsímil")</f>
        <v>Abrir facsímil</v>
      </c>
      <c r="K3699" s="15" t="s">
        <v>23</v>
      </c>
    </row>
    <row r="3700" spans="1:11" ht="42" customHeight="1">
      <c r="A3700" s="4" t="s">
        <v>9451</v>
      </c>
      <c r="B3700" s="5" t="s">
        <v>9451</v>
      </c>
      <c r="C3700" s="5" t="s">
        <v>33</v>
      </c>
      <c r="D3700" s="5" t="s">
        <v>34</v>
      </c>
      <c r="E3700" s="5" t="s">
        <v>35</v>
      </c>
      <c r="F3700" s="9" t="s">
        <v>36</v>
      </c>
      <c r="G3700" s="9" t="s">
        <v>814</v>
      </c>
      <c r="H3700" s="5" t="s">
        <v>21</v>
      </c>
      <c r="I3700" s="5" t="s">
        <v>9452</v>
      </c>
      <c r="J3700" s="12" t="str">
        <f>HYPERLINK("https://www.boe.es/gazeta/dias/1808/04/22/pdfs/GMD-C-1808-38.pdf#page=25","Abrir facsímil")</f>
        <v>Abrir facsímil</v>
      </c>
      <c r="K3700" s="15" t="s">
        <v>23</v>
      </c>
    </row>
    <row r="3701" spans="1:11" ht="42" customHeight="1">
      <c r="A3701" s="4" t="s">
        <v>9453</v>
      </c>
      <c r="B3701" s="5" t="s">
        <v>9453</v>
      </c>
      <c r="C3701" s="5" t="s">
        <v>33</v>
      </c>
      <c r="D3701" s="5" t="s">
        <v>34</v>
      </c>
      <c r="E3701" s="5" t="s">
        <v>35</v>
      </c>
      <c r="F3701" s="9" t="s">
        <v>36</v>
      </c>
      <c r="G3701" s="9" t="s">
        <v>273</v>
      </c>
      <c r="H3701" s="5" t="s">
        <v>21</v>
      </c>
      <c r="I3701" s="5" t="s">
        <v>9454</v>
      </c>
      <c r="J3701" s="12" t="str">
        <f>HYPERLINK("https://www.boe.es/gazeta/dias/1808/04/22/pdfs/GMD-C-1808-38.pdf#page=12","Abrir facsímil")</f>
        <v>Abrir facsímil</v>
      </c>
      <c r="K3701" s="15" t="s">
        <v>23</v>
      </c>
    </row>
    <row r="3702" spans="1:11" ht="42" customHeight="1">
      <c r="A3702" s="4" t="s">
        <v>9455</v>
      </c>
      <c r="B3702" s="5" t="s">
        <v>9455</v>
      </c>
      <c r="C3702" s="5" t="s">
        <v>94</v>
      </c>
      <c r="D3702" s="5" t="s">
        <v>95</v>
      </c>
      <c r="E3702" s="5" t="s">
        <v>539</v>
      </c>
      <c r="F3702" s="9" t="s">
        <v>540</v>
      </c>
      <c r="G3702" s="9">
        <v>1114</v>
      </c>
      <c r="H3702" s="5" t="s">
        <v>21</v>
      </c>
      <c r="I3702" s="5" t="s">
        <v>9456</v>
      </c>
      <c r="J3702" s="12" t="str">
        <f>HYPERLINK("https://www.boe.es/gazeta/dias/1808/09/02/pdfs/GMD-1808-119.pdf#page=8","Abrir facsímil")</f>
        <v>Abrir facsímil</v>
      </c>
      <c r="K3702" s="15" t="s">
        <v>23</v>
      </c>
    </row>
    <row r="3703" spans="1:11" ht="42" customHeight="1">
      <c r="A3703" s="4" t="s">
        <v>9457</v>
      </c>
      <c r="B3703" s="5" t="s">
        <v>9457</v>
      </c>
      <c r="C3703" s="5" t="s">
        <v>33</v>
      </c>
      <c r="D3703" s="5" t="s">
        <v>34</v>
      </c>
      <c r="E3703" s="5" t="s">
        <v>35</v>
      </c>
      <c r="F3703" s="9" t="s">
        <v>36</v>
      </c>
      <c r="G3703" s="9" t="s">
        <v>43</v>
      </c>
      <c r="H3703" s="5" t="s">
        <v>21</v>
      </c>
      <c r="I3703" s="5" t="s">
        <v>9458</v>
      </c>
      <c r="J3703" s="12" t="str">
        <f>HYPERLINK("https://www.boe.es/gazeta/dias/1808/04/22/pdfs/GMD-C-1808-38.pdf#page=30","Abrir facsímil")</f>
        <v>Abrir facsímil</v>
      </c>
      <c r="K3703" s="15" t="s">
        <v>23</v>
      </c>
    </row>
    <row r="3704" spans="1:11" ht="42" customHeight="1">
      <c r="A3704" s="4" t="s">
        <v>9459</v>
      </c>
      <c r="B3704" s="5" t="s">
        <v>9459</v>
      </c>
      <c r="C3704" s="5" t="s">
        <v>260</v>
      </c>
      <c r="D3704" s="5" t="s">
        <v>42</v>
      </c>
      <c r="E3704" s="5" t="s">
        <v>1385</v>
      </c>
      <c r="F3704" s="9" t="s">
        <v>1386</v>
      </c>
      <c r="G3704" s="9">
        <v>233</v>
      </c>
      <c r="H3704" s="5" t="s">
        <v>21</v>
      </c>
      <c r="I3704" s="5" t="s">
        <v>9460</v>
      </c>
      <c r="J3704" s="12" t="str">
        <f>HYPERLINK("https://www.boe.es/gazeta/dias/1808/03/04/pdfs/GMD-1808-19.pdf#page=11","Abrir facsímil")</f>
        <v>Abrir facsímil</v>
      </c>
      <c r="K3704" s="15" t="s">
        <v>23</v>
      </c>
    </row>
    <row r="3705" spans="1:11" ht="42" customHeight="1">
      <c r="A3705" s="4" t="s">
        <v>9461</v>
      </c>
      <c r="B3705" s="5" t="s">
        <v>9461</v>
      </c>
      <c r="C3705" s="5" t="s">
        <v>389</v>
      </c>
      <c r="D3705" s="5" t="s">
        <v>390</v>
      </c>
      <c r="E3705" s="5" t="s">
        <v>1821</v>
      </c>
      <c r="F3705" s="9" t="s">
        <v>1874</v>
      </c>
      <c r="G3705" s="9">
        <v>625</v>
      </c>
      <c r="H3705" s="5" t="s">
        <v>21</v>
      </c>
      <c r="I3705" s="5" t="s">
        <v>9462</v>
      </c>
      <c r="J3705" s="12" t="str">
        <f>HYPERLINK("https://www.boe.es/gazeta/dias/1808/06/22/pdfs/GMD-1808-64.pdf#page=3","Abrir facsímil")</f>
        <v>Abrir facsímil</v>
      </c>
      <c r="K3705" s="15" t="s">
        <v>23</v>
      </c>
    </row>
    <row r="3706" spans="1:11" ht="42" customHeight="1">
      <c r="A3706" s="4" t="s">
        <v>9463</v>
      </c>
      <c r="B3706" s="5" t="s">
        <v>9464</v>
      </c>
      <c r="C3706" s="5" t="s">
        <v>94</v>
      </c>
      <c r="D3706" s="5" t="s">
        <v>95</v>
      </c>
      <c r="E3706" s="5" t="s">
        <v>478</v>
      </c>
      <c r="F3706" s="9" t="s">
        <v>479</v>
      </c>
      <c r="G3706" s="9">
        <v>237</v>
      </c>
      <c r="H3706" s="5" t="s">
        <v>21</v>
      </c>
      <c r="I3706" s="5" t="s">
        <v>9465</v>
      </c>
      <c r="J3706" s="12" t="str">
        <f>HYPERLINK("https://www.boe.es/gazeta/dias/1808/03/08/pdfs/GMD-1808-20.pdf#page=3","Abrir facsímil")</f>
        <v>Abrir facsímil</v>
      </c>
      <c r="K3706" s="15" t="s">
        <v>23</v>
      </c>
    </row>
    <row r="3707" spans="1:11" ht="42" customHeight="1">
      <c r="A3707" s="4" t="s">
        <v>9466</v>
      </c>
      <c r="B3707" s="5" t="s">
        <v>9467</v>
      </c>
      <c r="C3707" s="5" t="s">
        <v>33</v>
      </c>
      <c r="D3707" s="5" t="s">
        <v>34</v>
      </c>
      <c r="E3707" s="5" t="s">
        <v>35</v>
      </c>
      <c r="F3707" s="9" t="s">
        <v>36</v>
      </c>
      <c r="G3707" s="9" t="s">
        <v>106</v>
      </c>
      <c r="H3707" s="5" t="s">
        <v>21</v>
      </c>
      <c r="I3707" s="5" t="s">
        <v>9468</v>
      </c>
      <c r="J3707" s="12" t="str">
        <f>HYPERLINK("https://www.boe.es/gazeta/dias/1808/04/22/pdfs/GMD-C-1808-38.pdf#page=3","Abrir facsímil")</f>
        <v>Abrir facsímil</v>
      </c>
      <c r="K3707" s="15" t="s">
        <v>23</v>
      </c>
    </row>
    <row r="3708" spans="1:11" ht="42" customHeight="1">
      <c r="A3708" s="4" t="s">
        <v>9469</v>
      </c>
      <c r="B3708" s="5" t="s">
        <v>9469</v>
      </c>
      <c r="C3708" s="5" t="s">
        <v>101</v>
      </c>
      <c r="D3708" s="5" t="s">
        <v>102</v>
      </c>
      <c r="E3708" s="5" t="s">
        <v>3439</v>
      </c>
      <c r="F3708" s="9" t="s">
        <v>3440</v>
      </c>
      <c r="G3708" s="9">
        <v>939</v>
      </c>
      <c r="H3708" s="5" t="s">
        <v>21</v>
      </c>
      <c r="I3708" s="5" t="s">
        <v>9470</v>
      </c>
      <c r="J3708" s="12" t="str">
        <f>HYPERLINK("https://www.boe.es/gazeta/dias/1808/07/31/pdfs/GMD-1808-103.pdf#page=5","Abrir facsímil")</f>
        <v>Abrir facsímil</v>
      </c>
      <c r="K3708" s="15" t="s">
        <v>23</v>
      </c>
    </row>
    <row r="3709" spans="1:11" ht="42" customHeight="1">
      <c r="A3709" s="4" t="s">
        <v>9471</v>
      </c>
      <c r="B3709" s="5" t="s">
        <v>9472</v>
      </c>
      <c r="C3709" s="5" t="s">
        <v>94</v>
      </c>
      <c r="D3709" s="5" t="s">
        <v>95</v>
      </c>
      <c r="E3709" s="5" t="s">
        <v>19</v>
      </c>
      <c r="F3709" s="9" t="s">
        <v>949</v>
      </c>
      <c r="G3709" s="9" t="s">
        <v>117</v>
      </c>
      <c r="H3709" s="5" t="s">
        <v>21</v>
      </c>
      <c r="I3709" s="5" t="s">
        <v>9473</v>
      </c>
      <c r="J3709" s="12" t="str">
        <f>HYPERLINK("https://www.boe.es/gazeta/dias/1808/09/30/pdfs/GMD-C-1808-130.pdf#page=1","Abrir facsímil")</f>
        <v>Abrir facsímil</v>
      </c>
      <c r="K3709" s="15" t="s">
        <v>23</v>
      </c>
    </row>
    <row r="3710" spans="1:11" ht="42" customHeight="1">
      <c r="A3710" s="4" t="s">
        <v>9471</v>
      </c>
      <c r="B3710" s="5" t="s">
        <v>9472</v>
      </c>
      <c r="C3710" s="5" t="s">
        <v>33</v>
      </c>
      <c r="D3710" s="5" t="s">
        <v>34</v>
      </c>
      <c r="E3710" s="5" t="s">
        <v>89</v>
      </c>
      <c r="F3710" s="9" t="s">
        <v>563</v>
      </c>
      <c r="G3710" s="9" t="s">
        <v>75</v>
      </c>
      <c r="H3710" s="5" t="s">
        <v>21</v>
      </c>
      <c r="I3710" s="5" t="s">
        <v>9474</v>
      </c>
      <c r="J3710" s="12" t="str">
        <f>HYPERLINK("https://www.boe.es/gazeta/dias/1808/10/25/pdfs/GMD-D-1808-137.pdf#page=4","Abrir facsímil")</f>
        <v>Abrir facsímil</v>
      </c>
      <c r="K3710" s="15" t="s">
        <v>23</v>
      </c>
    </row>
    <row r="3711" spans="1:11" ht="42" customHeight="1">
      <c r="A3711" s="4" t="s">
        <v>9475</v>
      </c>
      <c r="B3711" s="5" t="s">
        <v>9476</v>
      </c>
      <c r="C3711" s="5" t="s">
        <v>17</v>
      </c>
      <c r="D3711" s="5" t="s">
        <v>18</v>
      </c>
      <c r="E3711" s="5" t="s">
        <v>558</v>
      </c>
      <c r="F3711" s="9" t="s">
        <v>559</v>
      </c>
      <c r="G3711" s="9">
        <v>1545</v>
      </c>
      <c r="H3711" s="5" t="s">
        <v>21</v>
      </c>
      <c r="I3711" s="5" t="s">
        <v>9477</v>
      </c>
      <c r="J3711" s="12" t="str">
        <f>HYPERLINK("https://www.boe.es/gazeta/dias/1808/11/25/pdfs/GMD-1808-147.pdf#page=11","Abrir facsímil")</f>
        <v>Abrir facsímil</v>
      </c>
      <c r="K3711" s="15" t="s">
        <v>23</v>
      </c>
    </row>
    <row r="3712" spans="1:11" ht="42" customHeight="1">
      <c r="A3712" s="4" t="s">
        <v>9478</v>
      </c>
      <c r="B3712" s="5" t="s">
        <v>9479</v>
      </c>
      <c r="C3712" s="5" t="s">
        <v>33</v>
      </c>
      <c r="D3712" s="5" t="s">
        <v>34</v>
      </c>
      <c r="E3712" s="5" t="s">
        <v>461</v>
      </c>
      <c r="F3712" s="9" t="s">
        <v>462</v>
      </c>
      <c r="G3712" s="9" t="s">
        <v>199</v>
      </c>
      <c r="H3712" s="5" t="s">
        <v>21</v>
      </c>
      <c r="I3712" s="5" t="s">
        <v>9480</v>
      </c>
      <c r="J3712" s="12" t="str">
        <f>HYPERLINK("https://www.boe.es/gazeta/dias/1808/11/08/pdfs/GMD-D-1808-142.pdf#page=2","Abrir facsímil")</f>
        <v>Abrir facsímil</v>
      </c>
      <c r="K3712" s="15" t="s">
        <v>23</v>
      </c>
    </row>
    <row r="3713" spans="1:11" ht="42" customHeight="1">
      <c r="A3713" s="4" t="s">
        <v>9481</v>
      </c>
      <c r="B3713" s="5" t="s">
        <v>9482</v>
      </c>
      <c r="C3713" s="5" t="s">
        <v>41</v>
      </c>
      <c r="D3713" s="5" t="s">
        <v>42</v>
      </c>
      <c r="E3713" s="5" t="s">
        <v>35</v>
      </c>
      <c r="F3713" s="9" t="s">
        <v>36</v>
      </c>
      <c r="G3713" s="9" t="s">
        <v>135</v>
      </c>
      <c r="H3713" s="5" t="s">
        <v>21</v>
      </c>
      <c r="I3713" s="5" t="s">
        <v>9483</v>
      </c>
      <c r="J3713" s="12" t="str">
        <f>HYPERLINK("https://www.boe.es/gazeta/dias/1808/04/22/pdfs/GMD-C-1808-38.pdf#page=26","Abrir facsímil")</f>
        <v>Abrir facsímil</v>
      </c>
      <c r="K3713" s="15" t="s">
        <v>23</v>
      </c>
    </row>
    <row r="3714" spans="1:11" ht="42" customHeight="1">
      <c r="A3714" s="4" t="s">
        <v>9484</v>
      </c>
      <c r="B3714" s="5" t="s">
        <v>9485</v>
      </c>
      <c r="C3714" s="5" t="s">
        <v>41</v>
      </c>
      <c r="D3714" s="5" t="s">
        <v>42</v>
      </c>
      <c r="E3714" s="5" t="s">
        <v>35</v>
      </c>
      <c r="F3714" s="9" t="s">
        <v>36</v>
      </c>
      <c r="G3714" s="9" t="s">
        <v>2643</v>
      </c>
      <c r="H3714" s="5" t="s">
        <v>21</v>
      </c>
      <c r="I3714" s="5" t="s">
        <v>9486</v>
      </c>
      <c r="J3714" s="12" t="str">
        <f>HYPERLINK("https://www.boe.es/gazeta/dias/1808/04/22/pdfs/GMD-C-1808-38.pdf#page=17","Abrir facsímil")</f>
        <v>Abrir facsímil</v>
      </c>
      <c r="K3714" s="15" t="s">
        <v>23</v>
      </c>
    </row>
    <row r="3715" spans="1:11" ht="42" customHeight="1">
      <c r="A3715" s="4" t="s">
        <v>9487</v>
      </c>
      <c r="B3715" s="5" t="s">
        <v>9488</v>
      </c>
      <c r="C3715" s="5" t="s">
        <v>33</v>
      </c>
      <c r="D3715" s="5" t="s">
        <v>34</v>
      </c>
      <c r="E3715" s="5" t="s">
        <v>35</v>
      </c>
      <c r="F3715" s="9" t="s">
        <v>36</v>
      </c>
      <c r="G3715" s="9" t="s">
        <v>443</v>
      </c>
      <c r="H3715" s="5" t="s">
        <v>21</v>
      </c>
      <c r="I3715" s="5" t="s">
        <v>9489</v>
      </c>
      <c r="J3715" s="12" t="str">
        <f>HYPERLINK("https://www.boe.es/gazeta/dias/1808/04/22/pdfs/GMD-C-1808-38.pdf#page=16","Abrir facsímil")</f>
        <v>Abrir facsímil</v>
      </c>
      <c r="K3715" s="15" t="s">
        <v>23</v>
      </c>
    </row>
    <row r="3716" spans="1:11" ht="42" customHeight="1">
      <c r="A3716" s="4" t="s">
        <v>9490</v>
      </c>
      <c r="B3716" s="5" t="s">
        <v>9491</v>
      </c>
      <c r="C3716" s="5" t="s">
        <v>33</v>
      </c>
      <c r="D3716" s="5" t="s">
        <v>34</v>
      </c>
      <c r="E3716" s="5" t="s">
        <v>391</v>
      </c>
      <c r="F3716" s="9" t="s">
        <v>588</v>
      </c>
      <c r="G3716" s="9" t="s">
        <v>75</v>
      </c>
      <c r="H3716" s="5" t="s">
        <v>21</v>
      </c>
      <c r="I3716" s="5" t="s">
        <v>9492</v>
      </c>
      <c r="J3716" s="12" t="str">
        <f>HYPERLINK("https://www.boe.es/gazeta/dias/1808/09/27/pdfs/GMD-C-1808-128.pdf#page=4","Abrir facsímil")</f>
        <v>Abrir facsímil</v>
      </c>
      <c r="K3716" s="15" t="s">
        <v>23</v>
      </c>
    </row>
    <row r="3717" spans="1:11" ht="42" customHeight="1">
      <c r="A3717" s="4" t="s">
        <v>9493</v>
      </c>
      <c r="B3717" s="5" t="s">
        <v>9494</v>
      </c>
      <c r="C3717" s="5" t="s">
        <v>17</v>
      </c>
      <c r="D3717" s="5" t="s">
        <v>18</v>
      </c>
      <c r="E3717" s="5" t="s">
        <v>110</v>
      </c>
      <c r="F3717" s="9" t="s">
        <v>111</v>
      </c>
      <c r="G3717" s="9">
        <v>1383</v>
      </c>
      <c r="H3717" s="5" t="s">
        <v>21</v>
      </c>
      <c r="I3717" s="5" t="s">
        <v>9495</v>
      </c>
      <c r="J3717" s="12" t="str">
        <f>HYPERLINK("https://www.boe.es/gazeta/dias/1808/10/28/pdfs/GMD-1808-138.pdf#page=9","Abrir facsímil")</f>
        <v>Abrir facsímil</v>
      </c>
      <c r="K3717" s="15" t="s">
        <v>23</v>
      </c>
    </row>
    <row r="3718" spans="1:11" ht="42" customHeight="1">
      <c r="A3718" s="4" t="s">
        <v>9496</v>
      </c>
      <c r="B3718" s="5" t="s">
        <v>9497</v>
      </c>
      <c r="C3718" s="5" t="s">
        <v>33</v>
      </c>
      <c r="D3718" s="5" t="s">
        <v>34</v>
      </c>
      <c r="E3718" s="5" t="s">
        <v>73</v>
      </c>
      <c r="F3718" s="9" t="s">
        <v>74</v>
      </c>
      <c r="G3718" s="9" t="s">
        <v>199</v>
      </c>
      <c r="H3718" s="5" t="s">
        <v>21</v>
      </c>
      <c r="I3718" s="5" t="s">
        <v>9498</v>
      </c>
      <c r="J3718" s="12" t="str">
        <f>HYPERLINK("https://www.boe.es/gazeta/dias/1808/11/11/pdfs/GMD-D-1808-143.pdf#page=2","Abrir facsímil")</f>
        <v>Abrir facsímil</v>
      </c>
      <c r="K3718" s="15" t="s">
        <v>23</v>
      </c>
    </row>
    <row r="3719" spans="1:11" ht="42" customHeight="1">
      <c r="A3719" s="4" t="s">
        <v>9499</v>
      </c>
      <c r="B3719" s="5" t="s">
        <v>9500</v>
      </c>
      <c r="C3719" s="5" t="s">
        <v>41</v>
      </c>
      <c r="D3719" s="5" t="s">
        <v>42</v>
      </c>
      <c r="E3719" s="5" t="s">
        <v>264</v>
      </c>
      <c r="F3719" s="9" t="s">
        <v>318</v>
      </c>
      <c r="G3719" s="9" t="s">
        <v>75</v>
      </c>
      <c r="H3719" s="5" t="s">
        <v>21</v>
      </c>
      <c r="I3719" s="5" t="s">
        <v>9501</v>
      </c>
      <c r="J3719" s="12" t="str">
        <f>HYPERLINK("https://www.boe.es/gazeta/dias/1808/11/29/pdfs/GMD-C-1808-148.pdf#page=4","Abrir facsímil")</f>
        <v>Abrir facsímil</v>
      </c>
      <c r="K3719" s="15" t="s">
        <v>23</v>
      </c>
    </row>
    <row r="3720" spans="1:11" ht="42" customHeight="1">
      <c r="A3720" s="4" t="s">
        <v>9502</v>
      </c>
      <c r="B3720" s="5" t="s">
        <v>9503</v>
      </c>
      <c r="C3720" s="5" t="s">
        <v>94</v>
      </c>
      <c r="D3720" s="5" t="s">
        <v>95</v>
      </c>
      <c r="E3720" s="5" t="s">
        <v>974</v>
      </c>
      <c r="F3720" s="9" t="s">
        <v>975</v>
      </c>
      <c r="G3720" s="9">
        <v>391</v>
      </c>
      <c r="H3720" s="5" t="s">
        <v>21</v>
      </c>
      <c r="I3720" s="5" t="s">
        <v>9504</v>
      </c>
      <c r="J3720" s="12" t="str">
        <f>HYPERLINK("https://www.boe.es/gazeta/dias/1808/04/19/pdfs/GMD-1808-37.pdf#page=7","Abrir facsímil")</f>
        <v>Abrir facsímil</v>
      </c>
      <c r="K3720" s="15" t="s">
        <v>23</v>
      </c>
    </row>
    <row r="3721" spans="1:11" ht="42" customHeight="1">
      <c r="A3721" s="4" t="s">
        <v>9505</v>
      </c>
      <c r="B3721" s="5" t="s">
        <v>9506</v>
      </c>
      <c r="C3721" s="5" t="s">
        <v>41</v>
      </c>
      <c r="D3721" s="5" t="s">
        <v>42</v>
      </c>
      <c r="E3721" s="5" t="s">
        <v>207</v>
      </c>
      <c r="F3721" s="9" t="s">
        <v>208</v>
      </c>
      <c r="G3721" s="9">
        <v>198</v>
      </c>
      <c r="H3721" s="5" t="s">
        <v>21</v>
      </c>
      <c r="I3721" s="5" t="s">
        <v>9507</v>
      </c>
      <c r="J3721" s="12" t="str">
        <f>HYPERLINK("https://www.boe.es/gazeta/dias/1808/02/23/pdfs/GMD-1808-16.pdf#page=12","Abrir facsímil")</f>
        <v>Abrir facsímil</v>
      </c>
      <c r="K3721" s="15" t="s">
        <v>23</v>
      </c>
    </row>
    <row r="3722" spans="1:11" ht="42" customHeight="1">
      <c r="A3722" s="4" t="s">
        <v>9508</v>
      </c>
      <c r="B3722" s="5" t="s">
        <v>9509</v>
      </c>
      <c r="C3722" s="5" t="s">
        <v>33</v>
      </c>
      <c r="D3722" s="5" t="s">
        <v>34</v>
      </c>
      <c r="E3722" s="5" t="s">
        <v>363</v>
      </c>
      <c r="F3722" s="9" t="s">
        <v>364</v>
      </c>
      <c r="G3722" s="9" t="s">
        <v>199</v>
      </c>
      <c r="H3722" s="5" t="s">
        <v>21</v>
      </c>
      <c r="I3722" s="5" t="s">
        <v>9510</v>
      </c>
      <c r="J3722" s="12" t="str">
        <f>HYPERLINK("https://www.boe.es/gazeta/dias/1808/09/20/pdfs/GMD-C-1808-126.pdf#page=2","Abrir facsímil")</f>
        <v>Abrir facsímil</v>
      </c>
      <c r="K3722" s="15" t="s">
        <v>23</v>
      </c>
    </row>
    <row r="3723" spans="1:11" ht="42" customHeight="1">
      <c r="A3723" s="4" t="s">
        <v>9511</v>
      </c>
      <c r="B3723" s="5" t="s">
        <v>9512</v>
      </c>
      <c r="C3723" s="5" t="s">
        <v>33</v>
      </c>
      <c r="D3723" s="5" t="s">
        <v>34</v>
      </c>
      <c r="E3723" s="5" t="s">
        <v>35</v>
      </c>
      <c r="F3723" s="9" t="s">
        <v>36</v>
      </c>
      <c r="G3723" s="9" t="s">
        <v>162</v>
      </c>
      <c r="H3723" s="5" t="s">
        <v>21</v>
      </c>
      <c r="I3723" s="5" t="s">
        <v>9513</v>
      </c>
      <c r="J3723" s="12" t="str">
        <f>HYPERLINK("https://www.boe.es/gazeta/dias/1808/04/22/pdfs/GMD-C-1808-38.pdf#page=31","Abrir facsímil")</f>
        <v>Abrir facsímil</v>
      </c>
      <c r="K3723" s="15" t="s">
        <v>23</v>
      </c>
    </row>
    <row r="3724" spans="1:11" ht="42" customHeight="1">
      <c r="A3724" s="4" t="s">
        <v>9514</v>
      </c>
      <c r="B3724" s="5" t="s">
        <v>9515</v>
      </c>
      <c r="C3724" s="5" t="s">
        <v>33</v>
      </c>
      <c r="D3724" s="5" t="s">
        <v>34</v>
      </c>
      <c r="E3724" s="5" t="s">
        <v>558</v>
      </c>
      <c r="F3724" s="9" t="s">
        <v>758</v>
      </c>
      <c r="G3724" s="9" t="s">
        <v>199</v>
      </c>
      <c r="H3724" s="5" t="s">
        <v>21</v>
      </c>
      <c r="I3724" s="5" t="s">
        <v>9516</v>
      </c>
      <c r="J3724" s="12" t="str">
        <f>HYPERLINK("https://www.boe.es/gazeta/dias/1808/11/25/pdfs/GMD-E-1808-147.pdf#page=2","Abrir facsímil")</f>
        <v>Abrir facsímil</v>
      </c>
      <c r="K3724" s="15" t="s">
        <v>23</v>
      </c>
    </row>
    <row r="3725" spans="1:11" ht="42" customHeight="1">
      <c r="A3725" s="4" t="s">
        <v>9517</v>
      </c>
      <c r="B3725" s="5" t="s">
        <v>9518</v>
      </c>
      <c r="C3725" s="5" t="s">
        <v>33</v>
      </c>
      <c r="D3725" s="5" t="s">
        <v>34</v>
      </c>
      <c r="E3725" s="5" t="s">
        <v>461</v>
      </c>
      <c r="F3725" s="9" t="s">
        <v>462</v>
      </c>
      <c r="G3725" s="9" t="s">
        <v>106</v>
      </c>
      <c r="H3725" s="5" t="s">
        <v>21</v>
      </c>
      <c r="I3725" s="5" t="s">
        <v>9519</v>
      </c>
      <c r="J3725" s="12" t="str">
        <f>HYPERLINK("https://www.boe.es/gazeta/dias/1808/11/08/pdfs/GMD-D-1808-142.pdf#page=3","Abrir facsímil")</f>
        <v>Abrir facsímil</v>
      </c>
      <c r="K3725" s="15" t="s">
        <v>23</v>
      </c>
    </row>
    <row r="3726" spans="1:11" ht="42" customHeight="1">
      <c r="A3726" s="4" t="s">
        <v>9517</v>
      </c>
      <c r="B3726" s="5" t="s">
        <v>9518</v>
      </c>
      <c r="C3726" s="5" t="s">
        <v>33</v>
      </c>
      <c r="D3726" s="5" t="s">
        <v>34</v>
      </c>
      <c r="E3726" s="5" t="s">
        <v>264</v>
      </c>
      <c r="F3726" s="9" t="s">
        <v>318</v>
      </c>
      <c r="G3726" s="9" t="s">
        <v>106</v>
      </c>
      <c r="H3726" s="5" t="s">
        <v>21</v>
      </c>
      <c r="I3726" s="5" t="s">
        <v>9520</v>
      </c>
      <c r="J3726" s="12" t="str">
        <f>HYPERLINK("https://www.boe.es/gazeta/dias/1808/11/29/pdfs/GMD-C-1808-148.pdf#page=3","Abrir facsímil")</f>
        <v>Abrir facsímil</v>
      </c>
      <c r="K3726" s="15" t="s">
        <v>23</v>
      </c>
    </row>
    <row r="3727" spans="1:11" ht="42" customHeight="1">
      <c r="A3727" s="4" t="s">
        <v>9521</v>
      </c>
      <c r="B3727" s="5" t="s">
        <v>9522</v>
      </c>
      <c r="C3727" s="5" t="s">
        <v>17</v>
      </c>
      <c r="D3727" s="5" t="s">
        <v>18</v>
      </c>
      <c r="E3727" s="5" t="s">
        <v>61</v>
      </c>
      <c r="F3727" s="9" t="s">
        <v>62</v>
      </c>
      <c r="G3727" s="9">
        <v>1286</v>
      </c>
      <c r="H3727" s="5" t="s">
        <v>21</v>
      </c>
      <c r="I3727" s="5" t="s">
        <v>9523</v>
      </c>
      <c r="J3727" s="12" t="str">
        <f>HYPERLINK("https://www.boe.es/gazeta/dias/1808/10/11/pdfs/GMD-1808-133.pdf#page=14","Abrir facsímil")</f>
        <v>Abrir facsímil</v>
      </c>
      <c r="K3727" s="15" t="s">
        <v>23</v>
      </c>
    </row>
    <row r="3728" spans="1:11" ht="42" customHeight="1">
      <c r="A3728" s="4" t="s">
        <v>9524</v>
      </c>
      <c r="B3728" s="5" t="s">
        <v>9524</v>
      </c>
      <c r="C3728" s="5" t="s">
        <v>94</v>
      </c>
      <c r="D3728" s="5" t="s">
        <v>95</v>
      </c>
      <c r="E3728" s="5" t="s">
        <v>180</v>
      </c>
      <c r="F3728" s="9" t="s">
        <v>7347</v>
      </c>
      <c r="G3728" s="9">
        <v>389</v>
      </c>
      <c r="H3728" s="5" t="s">
        <v>21</v>
      </c>
      <c r="I3728" s="5" t="s">
        <v>9525</v>
      </c>
      <c r="J3728" s="12" t="str">
        <f>HYPERLINK("https://www.boe.es/gazeta/dias/1808/11/15/pdfs/GMS-1808-49.pdf#page=5","Abrir facsímil")</f>
        <v>Abrir facsímil</v>
      </c>
      <c r="K3728" s="15" t="s">
        <v>23</v>
      </c>
    </row>
    <row r="3729" spans="1:11" ht="42" customHeight="1">
      <c r="A3729" s="4" t="s">
        <v>9526</v>
      </c>
      <c r="B3729" s="5" t="s">
        <v>9526</v>
      </c>
      <c r="C3729" s="5" t="s">
        <v>17</v>
      </c>
      <c r="D3729" s="5" t="s">
        <v>18</v>
      </c>
      <c r="E3729" s="5" t="s">
        <v>539</v>
      </c>
      <c r="F3729" s="9" t="s">
        <v>908</v>
      </c>
      <c r="G3729" s="9">
        <v>218</v>
      </c>
      <c r="H3729" s="5" t="s">
        <v>21</v>
      </c>
      <c r="I3729" s="5" t="s">
        <v>9527</v>
      </c>
      <c r="J3729" s="12" t="str">
        <f>HYPERLINK("https://www.boe.es/gazeta/dias/1808/09/02/pdfs/GMS-1808-28.pdf#page=2","Abrir facsímil")</f>
        <v>Abrir facsímil</v>
      </c>
      <c r="K3729" s="15" t="s">
        <v>23</v>
      </c>
    </row>
    <row r="3730" spans="1:11" ht="42" customHeight="1">
      <c r="A3730" s="4" t="s">
        <v>9528</v>
      </c>
      <c r="B3730" s="5" t="s">
        <v>9528</v>
      </c>
      <c r="C3730" s="5" t="s">
        <v>389</v>
      </c>
      <c r="D3730" s="5" t="s">
        <v>390</v>
      </c>
      <c r="E3730" s="5" t="s">
        <v>8064</v>
      </c>
      <c r="F3730" s="9" t="s">
        <v>8065</v>
      </c>
      <c r="G3730" s="9">
        <v>753</v>
      </c>
      <c r="H3730" s="5" t="s">
        <v>21</v>
      </c>
      <c r="I3730" s="5" t="s">
        <v>9529</v>
      </c>
      <c r="J3730" s="12" t="str">
        <f>HYPERLINK("https://www.boe.es/gazeta/dias/1808/07/08/pdfs/GMD-1808-80.pdf#page=3","Abrir facsímil")</f>
        <v>Abrir facsímil</v>
      </c>
      <c r="K3730" s="15" t="s">
        <v>23</v>
      </c>
    </row>
    <row r="3731" spans="1:11" ht="42" customHeight="1">
      <c r="A3731" s="4" t="s">
        <v>9530</v>
      </c>
      <c r="B3731" s="5" t="s">
        <v>9530</v>
      </c>
      <c r="C3731" s="5" t="s">
        <v>17</v>
      </c>
      <c r="D3731" s="5" t="s">
        <v>18</v>
      </c>
      <c r="E3731" s="5" t="s">
        <v>1466</v>
      </c>
      <c r="F3731" s="9" t="s">
        <v>1467</v>
      </c>
      <c r="G3731" s="9">
        <v>60</v>
      </c>
      <c r="H3731" s="5" t="s">
        <v>21</v>
      </c>
      <c r="I3731" s="5" t="s">
        <v>9531</v>
      </c>
      <c r="J3731" s="12" t="str">
        <f>HYPERLINK("https://www.boe.es/gazeta/dias/1808/01/15/pdfs/GMD-1808-5.pdf#page=12","Abrir facsímil")</f>
        <v>Abrir facsímil</v>
      </c>
      <c r="K3731" s="15" t="s">
        <v>23</v>
      </c>
    </row>
    <row r="3732" spans="1:11" ht="42" customHeight="1">
      <c r="A3732" s="4" t="s">
        <v>9532</v>
      </c>
      <c r="B3732" s="5" t="s">
        <v>9533</v>
      </c>
      <c r="C3732" s="5" t="s">
        <v>41</v>
      </c>
      <c r="D3732" s="5" t="s">
        <v>42</v>
      </c>
      <c r="E3732" s="5" t="s">
        <v>663</v>
      </c>
      <c r="F3732" s="9" t="s">
        <v>664</v>
      </c>
      <c r="G3732" s="9">
        <v>203</v>
      </c>
      <c r="H3732" s="5" t="s">
        <v>21</v>
      </c>
      <c r="I3732" s="5" t="s">
        <v>9534</v>
      </c>
      <c r="J3732" s="12" t="str">
        <f>HYPERLINK("https://www.boe.es/gazeta/dias/1808/02/26/pdfs/GMD-1808-17.pdf#page=5","Abrir facsímil")</f>
        <v>Abrir facsímil</v>
      </c>
      <c r="K3732" s="15" t="s">
        <v>23</v>
      </c>
    </row>
    <row r="3733" spans="1:11" ht="42" customHeight="1">
      <c r="A3733" s="4" t="s">
        <v>9535</v>
      </c>
      <c r="B3733" s="5" t="s">
        <v>9535</v>
      </c>
      <c r="C3733" s="5" t="s">
        <v>101</v>
      </c>
      <c r="D3733" s="5" t="s">
        <v>102</v>
      </c>
      <c r="E3733" s="5" t="s">
        <v>228</v>
      </c>
      <c r="F3733" s="9" t="s">
        <v>229</v>
      </c>
      <c r="G3733" s="9">
        <v>833</v>
      </c>
      <c r="H3733" s="5" t="s">
        <v>21</v>
      </c>
      <c r="I3733" s="5" t="s">
        <v>9536</v>
      </c>
      <c r="J3733" s="12" t="str">
        <f>HYPERLINK("https://www.boe.es/gazeta/dias/1808/07/18/pdfs/GMD-1808-90.pdf#page=3","Abrir facsímil")</f>
        <v>Abrir facsímil</v>
      </c>
      <c r="K3733" s="15" t="s">
        <v>23</v>
      </c>
    </row>
    <row r="3734" spans="1:11" ht="42" customHeight="1">
      <c r="A3734" s="4" t="s">
        <v>9537</v>
      </c>
      <c r="B3734" s="5" t="s">
        <v>9537</v>
      </c>
      <c r="C3734" s="5" t="s">
        <v>101</v>
      </c>
      <c r="D3734" s="5" t="s">
        <v>102</v>
      </c>
      <c r="E3734" s="5" t="s">
        <v>1671</v>
      </c>
      <c r="F3734" s="9" t="s">
        <v>1672</v>
      </c>
      <c r="G3734" s="9">
        <v>477</v>
      </c>
      <c r="H3734" s="5" t="s">
        <v>21</v>
      </c>
      <c r="I3734" s="5" t="s">
        <v>9538</v>
      </c>
      <c r="J3734" s="12" t="str">
        <f>HYPERLINK("https://www.boe.es/gazeta/dias/1808/05/20/pdfs/GMD-1808-48.pdf#page=5","Abrir facsímil")</f>
        <v>Abrir facsímil</v>
      </c>
      <c r="K3734" s="15" t="s">
        <v>23</v>
      </c>
    </row>
    <row r="3735" spans="1:11" ht="42" customHeight="1">
      <c r="A3735" s="4" t="s">
        <v>9539</v>
      </c>
      <c r="B3735" s="5" t="s">
        <v>9539</v>
      </c>
      <c r="C3735" s="5" t="s">
        <v>94</v>
      </c>
      <c r="D3735" s="5" t="s">
        <v>95</v>
      </c>
      <c r="E3735" s="5" t="s">
        <v>870</v>
      </c>
      <c r="F3735" s="9" t="s">
        <v>871</v>
      </c>
      <c r="G3735" s="9">
        <v>581</v>
      </c>
      <c r="H3735" s="5" t="s">
        <v>21</v>
      </c>
      <c r="I3735" s="5" t="s">
        <v>9540</v>
      </c>
      <c r="J3735" s="12" t="str">
        <f>HYPERLINK("https://www.boe.es/gazeta/dias/1808/06/17/pdfs/GMD-1808-59.pdf#page=3","Abrir facsímil")</f>
        <v>Abrir facsímil</v>
      </c>
      <c r="K3735" s="15" t="s">
        <v>23</v>
      </c>
    </row>
    <row r="3736" spans="1:11" ht="42" customHeight="1">
      <c r="A3736" s="4" t="s">
        <v>9539</v>
      </c>
      <c r="B3736" s="5" t="s">
        <v>9539</v>
      </c>
      <c r="C3736" s="5" t="s">
        <v>17</v>
      </c>
      <c r="D3736" s="5" t="s">
        <v>18</v>
      </c>
      <c r="E3736" s="5" t="s">
        <v>139</v>
      </c>
      <c r="F3736" s="9" t="s">
        <v>3587</v>
      </c>
      <c r="G3736" s="9">
        <v>266</v>
      </c>
      <c r="H3736" s="5" t="s">
        <v>21</v>
      </c>
      <c r="I3736" s="5" t="s">
        <v>9541</v>
      </c>
      <c r="J3736" s="12" t="str">
        <f>HYPERLINK("https://www.boe.es/gazeta/dias/1808/09/23/pdfs/GMS-1808-34.pdf#page=2","Abrir facsímil")</f>
        <v>Abrir facsímil</v>
      </c>
      <c r="K3736" s="15" t="s">
        <v>23</v>
      </c>
    </row>
    <row r="3737" spans="1:11" ht="42" customHeight="1">
      <c r="A3737" s="4" t="s">
        <v>9542</v>
      </c>
      <c r="B3737" s="5" t="s">
        <v>9542</v>
      </c>
      <c r="C3737" s="5" t="s">
        <v>94</v>
      </c>
      <c r="D3737" s="5" t="s">
        <v>95</v>
      </c>
      <c r="E3737" s="5" t="s">
        <v>456</v>
      </c>
      <c r="F3737" s="9" t="s">
        <v>457</v>
      </c>
      <c r="G3737" s="9">
        <v>1289</v>
      </c>
      <c r="H3737" s="5" t="s">
        <v>21</v>
      </c>
      <c r="I3737" s="5" t="s">
        <v>9543</v>
      </c>
      <c r="J3737" s="12" t="str">
        <f>HYPERLINK("https://www.boe.es/gazeta/dias/1808/10/14/pdfs/GMD-1808-134.pdf#page=1","Abrir facsímil")</f>
        <v>Abrir facsímil</v>
      </c>
      <c r="K3737" s="15" t="s">
        <v>23</v>
      </c>
    </row>
    <row r="3738" spans="1:11" ht="42" customHeight="1">
      <c r="A3738" s="4" t="s">
        <v>9544</v>
      </c>
      <c r="B3738" s="5" t="s">
        <v>9544</v>
      </c>
      <c r="C3738" s="5" t="s">
        <v>17</v>
      </c>
      <c r="D3738" s="5" t="s">
        <v>18</v>
      </c>
      <c r="E3738" s="5" t="s">
        <v>153</v>
      </c>
      <c r="F3738" s="9" t="s">
        <v>1185</v>
      </c>
      <c r="G3738" s="9">
        <v>1144</v>
      </c>
      <c r="H3738" s="5" t="s">
        <v>21</v>
      </c>
      <c r="I3738" s="5" t="s">
        <v>9545</v>
      </c>
      <c r="J3738" s="12" t="str">
        <f>HYPERLINK("https://www.boe.es/gazeta/dias/1808/09/09/pdfs/GMD-1808-121.pdf#page=2","Abrir facsímil")</f>
        <v>Abrir facsímil</v>
      </c>
      <c r="K3738" s="15" t="s">
        <v>23</v>
      </c>
    </row>
    <row r="3739" spans="1:11" ht="42" customHeight="1">
      <c r="A3739" s="4" t="s">
        <v>9546</v>
      </c>
      <c r="B3739" s="5" t="s">
        <v>9546</v>
      </c>
      <c r="C3739" s="5" t="s">
        <v>17</v>
      </c>
      <c r="D3739" s="5" t="s">
        <v>18</v>
      </c>
      <c r="E3739" s="5" t="s">
        <v>35</v>
      </c>
      <c r="F3739" s="9" t="s">
        <v>3452</v>
      </c>
      <c r="G3739" s="9">
        <v>400</v>
      </c>
      <c r="H3739" s="5" t="s">
        <v>21</v>
      </c>
      <c r="I3739" s="5" t="s">
        <v>9547</v>
      </c>
      <c r="J3739" s="12" t="str">
        <f>HYPERLINK("https://www.boe.es/gazeta/dias/1808/04/22/pdfs/GMD-1808-38.pdf#page=8","Abrir facsímil")</f>
        <v>Abrir facsímil</v>
      </c>
      <c r="K3739" s="15" t="s">
        <v>23</v>
      </c>
    </row>
    <row r="3740" spans="1:11" ht="42" customHeight="1">
      <c r="A3740" s="4" t="s">
        <v>9548</v>
      </c>
      <c r="B3740" s="5" t="s">
        <v>9549</v>
      </c>
      <c r="C3740" s="5" t="s">
        <v>101</v>
      </c>
      <c r="D3740" s="5" t="s">
        <v>102</v>
      </c>
      <c r="E3740" s="5" t="s">
        <v>2171</v>
      </c>
      <c r="F3740" s="9" t="s">
        <v>2172</v>
      </c>
      <c r="G3740" s="9">
        <v>771</v>
      </c>
      <c r="H3740" s="5" t="s">
        <v>21</v>
      </c>
      <c r="I3740" s="5" t="s">
        <v>9550</v>
      </c>
      <c r="J3740" s="12" t="str">
        <f>HYPERLINK("https://www.boe.es/gazeta/dias/1808/07/10/pdfs/GMD-1808-82.pdf#page=5","Abrir facsímil")</f>
        <v>Abrir facsímil</v>
      </c>
      <c r="K3740" s="15" t="s">
        <v>23</v>
      </c>
    </row>
    <row r="3741" spans="1:11" ht="42" customHeight="1">
      <c r="A3741" s="4" t="s">
        <v>9551</v>
      </c>
      <c r="B3741" s="5" t="s">
        <v>9552</v>
      </c>
      <c r="C3741" s="5" t="s">
        <v>94</v>
      </c>
      <c r="D3741" s="5" t="s">
        <v>95</v>
      </c>
      <c r="E3741" s="5" t="s">
        <v>207</v>
      </c>
      <c r="F3741" s="9" t="s">
        <v>208</v>
      </c>
      <c r="G3741" s="9">
        <v>193</v>
      </c>
      <c r="H3741" s="5" t="s">
        <v>21</v>
      </c>
      <c r="I3741" s="5" t="s">
        <v>9553</v>
      </c>
      <c r="J3741" s="12" t="str">
        <f>HYPERLINK("https://www.boe.es/gazeta/dias/1808/02/23/pdfs/GMD-1808-16.pdf#page=7","Abrir facsímil")</f>
        <v>Abrir facsímil</v>
      </c>
      <c r="K3741" s="15" t="s">
        <v>23</v>
      </c>
    </row>
    <row r="3742" spans="1:11" ht="42" customHeight="1">
      <c r="A3742" s="4" t="s">
        <v>9554</v>
      </c>
      <c r="B3742" s="5" t="s">
        <v>9555</v>
      </c>
      <c r="C3742" s="5" t="s">
        <v>17</v>
      </c>
      <c r="D3742" s="5" t="s">
        <v>18</v>
      </c>
      <c r="E3742" s="5" t="s">
        <v>1385</v>
      </c>
      <c r="F3742" s="9" t="s">
        <v>1386</v>
      </c>
      <c r="G3742" s="9">
        <v>227</v>
      </c>
      <c r="H3742" s="5" t="s">
        <v>21</v>
      </c>
      <c r="I3742" s="5" t="s">
        <v>9556</v>
      </c>
      <c r="J3742" s="12" t="str">
        <f>HYPERLINK("https://www.boe.es/gazeta/dias/1808/03/04/pdfs/GMD-1808-19.pdf#page=5","Abrir facsímil")</f>
        <v>Abrir facsímil</v>
      </c>
      <c r="K3742" s="15" t="s">
        <v>23</v>
      </c>
    </row>
    <row r="3743" spans="1:11" ht="42" customHeight="1">
      <c r="A3743" s="4" t="s">
        <v>9551</v>
      </c>
      <c r="B3743" s="5" t="s">
        <v>9552</v>
      </c>
      <c r="C3743" s="5" t="s">
        <v>17</v>
      </c>
      <c r="D3743" s="5" t="s">
        <v>18</v>
      </c>
      <c r="E3743" s="5" t="s">
        <v>513</v>
      </c>
      <c r="F3743" s="9" t="s">
        <v>514</v>
      </c>
      <c r="G3743" s="9">
        <v>283</v>
      </c>
      <c r="H3743" s="5" t="s">
        <v>21</v>
      </c>
      <c r="I3743" s="5" t="s">
        <v>9557</v>
      </c>
      <c r="J3743" s="12" t="str">
        <f>HYPERLINK("https://www.boe.es/gazeta/dias/1808/03/22/pdfs/GMD-1808-24.pdf#page=5","Abrir facsímil")</f>
        <v>Abrir facsímil</v>
      </c>
      <c r="K3743" s="15" t="s">
        <v>23</v>
      </c>
    </row>
    <row r="3744" spans="1:11" ht="42" customHeight="1">
      <c r="A3744" s="4" t="s">
        <v>9551</v>
      </c>
      <c r="B3744" s="5" t="s">
        <v>9552</v>
      </c>
      <c r="C3744" s="5" t="s">
        <v>17</v>
      </c>
      <c r="D3744" s="5" t="s">
        <v>18</v>
      </c>
      <c r="E3744" s="5" t="s">
        <v>513</v>
      </c>
      <c r="F3744" s="9" t="s">
        <v>514</v>
      </c>
      <c r="G3744" s="9">
        <v>284</v>
      </c>
      <c r="H3744" s="5" t="s">
        <v>21</v>
      </c>
      <c r="I3744" s="5" t="s">
        <v>9558</v>
      </c>
      <c r="J3744" s="12" t="str">
        <f>HYPERLINK("https://www.boe.es/gazeta/dias/1808/03/22/pdfs/GMD-1808-24.pdf#page=6","Abrir facsímil")</f>
        <v>Abrir facsímil</v>
      </c>
      <c r="K3744" s="15" t="s">
        <v>23</v>
      </c>
    </row>
    <row r="3745" spans="1:11" ht="42" customHeight="1">
      <c r="A3745" s="4" t="s">
        <v>9559</v>
      </c>
      <c r="B3745" s="5" t="s">
        <v>9560</v>
      </c>
      <c r="C3745" s="5" t="s">
        <v>94</v>
      </c>
      <c r="D3745" s="5" t="s">
        <v>95</v>
      </c>
      <c r="E3745" s="5" t="s">
        <v>1286</v>
      </c>
      <c r="F3745" s="9" t="s">
        <v>1287</v>
      </c>
      <c r="G3745" s="9">
        <v>1626</v>
      </c>
      <c r="H3745" s="5" t="s">
        <v>21</v>
      </c>
      <c r="I3745" s="5" t="s">
        <v>9561</v>
      </c>
      <c r="J3745" s="12" t="str">
        <f>HYPERLINK("https://www.boe.es/gazeta/dias/1808/12/17/pdfs/GMD-1808-157.pdf#page=6","Abrir facsímil")</f>
        <v>Abrir facsímil</v>
      </c>
      <c r="K3745" s="15" t="s">
        <v>23</v>
      </c>
    </row>
    <row r="3746" spans="1:11" ht="42" customHeight="1">
      <c r="A3746" s="4" t="s">
        <v>9562</v>
      </c>
      <c r="B3746" s="5" t="s">
        <v>9563</v>
      </c>
      <c r="C3746" s="5" t="s">
        <v>33</v>
      </c>
      <c r="D3746" s="5" t="s">
        <v>34</v>
      </c>
      <c r="E3746" s="5" t="s">
        <v>391</v>
      </c>
      <c r="F3746" s="9" t="s">
        <v>588</v>
      </c>
      <c r="G3746" s="9" t="s">
        <v>117</v>
      </c>
      <c r="H3746" s="5" t="s">
        <v>21</v>
      </c>
      <c r="I3746" s="5" t="s">
        <v>9564</v>
      </c>
      <c r="J3746" s="12" t="str">
        <f>HYPERLINK("https://www.boe.es/gazeta/dias/1808/09/27/pdfs/GMD-C-1808-128.pdf#page=1","Abrir facsímil")</f>
        <v>Abrir facsímil</v>
      </c>
      <c r="K3746" s="15" t="s">
        <v>23</v>
      </c>
    </row>
    <row r="3747" spans="1:11" ht="42" customHeight="1">
      <c r="A3747" s="4" t="s">
        <v>9565</v>
      </c>
      <c r="B3747" s="5" t="s">
        <v>9565</v>
      </c>
      <c r="C3747" s="5" t="s">
        <v>41</v>
      </c>
      <c r="D3747" s="5" t="s">
        <v>42</v>
      </c>
      <c r="E3747" s="5" t="s">
        <v>35</v>
      </c>
      <c r="F3747" s="9" t="s">
        <v>36</v>
      </c>
      <c r="G3747" s="9" t="s">
        <v>795</v>
      </c>
      <c r="H3747" s="5" t="s">
        <v>21</v>
      </c>
      <c r="I3747" s="5" t="s">
        <v>9566</v>
      </c>
      <c r="J3747" s="12" t="str">
        <f>HYPERLINK("https://www.boe.es/gazeta/dias/1808/04/22/pdfs/GMD-C-1808-38.pdf#page=21","Abrir facsímil")</f>
        <v>Abrir facsímil</v>
      </c>
      <c r="K3747" s="15" t="s">
        <v>23</v>
      </c>
    </row>
    <row r="3748" spans="1:11" ht="42" customHeight="1">
      <c r="A3748" s="4" t="s">
        <v>9567</v>
      </c>
      <c r="B3748" s="5" t="s">
        <v>9567</v>
      </c>
      <c r="C3748" s="5" t="s">
        <v>389</v>
      </c>
      <c r="D3748" s="5" t="s">
        <v>390</v>
      </c>
      <c r="E3748" s="5" t="s">
        <v>4382</v>
      </c>
      <c r="F3748" s="9" t="s">
        <v>4383</v>
      </c>
      <c r="G3748" s="9">
        <v>843</v>
      </c>
      <c r="H3748" s="5" t="s">
        <v>21</v>
      </c>
      <c r="I3748" s="5" t="s">
        <v>9568</v>
      </c>
      <c r="J3748" s="12" t="str">
        <f>HYPERLINK("https://www.boe.es/gazeta/dias/1808/07/19/pdfs/GMD-1808-91.pdf#page=5","Abrir facsímil")</f>
        <v>Abrir facsímil</v>
      </c>
      <c r="K3748" s="15" t="s">
        <v>23</v>
      </c>
    </row>
    <row r="3749" spans="1:11" ht="42" customHeight="1">
      <c r="A3749" s="4" t="s">
        <v>9569</v>
      </c>
      <c r="B3749" s="5" t="s">
        <v>9570</v>
      </c>
      <c r="C3749" s="5" t="s">
        <v>94</v>
      </c>
      <c r="D3749" s="5" t="s">
        <v>95</v>
      </c>
      <c r="E3749" s="5" t="s">
        <v>238</v>
      </c>
      <c r="F3749" s="9" t="s">
        <v>239</v>
      </c>
      <c r="G3749" s="9">
        <v>35</v>
      </c>
      <c r="H3749" s="5" t="s">
        <v>21</v>
      </c>
      <c r="I3749" s="5" t="s">
        <v>9571</v>
      </c>
      <c r="J3749" s="12" t="str">
        <f>HYPERLINK("https://www.boe.es/gazeta/dias/1808/01/08/pdfs/GMD-1808-3.pdf#page=11","Abrir facsímil")</f>
        <v>Abrir facsímil</v>
      </c>
      <c r="K3749" s="15" t="s">
        <v>23</v>
      </c>
    </row>
    <row r="3750" spans="1:11" ht="42" customHeight="1">
      <c r="A3750" s="4" t="s">
        <v>9572</v>
      </c>
      <c r="B3750" s="5" t="s">
        <v>9572</v>
      </c>
      <c r="C3750" s="5" t="s">
        <v>94</v>
      </c>
      <c r="D3750" s="5" t="s">
        <v>95</v>
      </c>
      <c r="E3750" s="5" t="s">
        <v>185</v>
      </c>
      <c r="F3750" s="9" t="s">
        <v>6822</v>
      </c>
      <c r="G3750" s="9">
        <v>211</v>
      </c>
      <c r="H3750" s="5" t="s">
        <v>21</v>
      </c>
      <c r="I3750" s="5" t="s">
        <v>9573</v>
      </c>
      <c r="J3750" s="12" t="str">
        <f>HYPERLINK("https://www.boe.es/gazeta/dias/1808/08/30/pdfs/GMS-1808-27.pdf#page=3","Abrir facsímil")</f>
        <v>Abrir facsímil</v>
      </c>
      <c r="K3750" s="15" t="s">
        <v>23</v>
      </c>
    </row>
    <row r="3751" spans="1:11" ht="42" customHeight="1">
      <c r="A3751" s="4" t="s">
        <v>9574</v>
      </c>
      <c r="B3751" s="5" t="s">
        <v>9575</v>
      </c>
      <c r="C3751" s="5" t="s">
        <v>33</v>
      </c>
      <c r="D3751" s="5" t="s">
        <v>34</v>
      </c>
      <c r="E3751" s="5" t="s">
        <v>89</v>
      </c>
      <c r="F3751" s="9" t="s">
        <v>1247</v>
      </c>
      <c r="G3751" s="9">
        <v>1365</v>
      </c>
      <c r="H3751" s="5" t="s">
        <v>21</v>
      </c>
      <c r="I3751" s="5" t="s">
        <v>9576</v>
      </c>
      <c r="J3751" s="12" t="str">
        <f>HYPERLINK("https://www.boe.es/gazeta/dias/1808/10/25/pdfs/GMD-C-1808-137.pdf#page=1","Abrir facsímil")</f>
        <v>Abrir facsímil</v>
      </c>
      <c r="K3751" s="15" t="s">
        <v>23</v>
      </c>
    </row>
    <row r="3752" spans="1:11" ht="42" customHeight="1">
      <c r="A3752" s="4" t="s">
        <v>9577</v>
      </c>
      <c r="B3752" s="5" t="s">
        <v>9577</v>
      </c>
      <c r="C3752" s="5" t="s">
        <v>17</v>
      </c>
      <c r="D3752" s="5" t="s">
        <v>18</v>
      </c>
      <c r="E3752" s="5" t="s">
        <v>714</v>
      </c>
      <c r="F3752" s="9" t="s">
        <v>2736</v>
      </c>
      <c r="G3752" s="9">
        <v>817</v>
      </c>
      <c r="H3752" s="5" t="s">
        <v>21</v>
      </c>
      <c r="I3752" s="5" t="s">
        <v>9578</v>
      </c>
      <c r="J3752" s="12" t="str">
        <f>HYPERLINK("https://www.boe.es/gazeta/dias/1808/07/16/pdfs/GMD-1808-88.pdf#page=3","Abrir facsímil")</f>
        <v>Abrir facsímil</v>
      </c>
      <c r="K3752" s="15" t="s">
        <v>23</v>
      </c>
    </row>
    <row r="3753" spans="1:11" ht="42" customHeight="1">
      <c r="A3753" s="4" t="s">
        <v>9579</v>
      </c>
      <c r="B3753" s="5" t="s">
        <v>9580</v>
      </c>
      <c r="C3753" s="5" t="s">
        <v>33</v>
      </c>
      <c r="D3753" s="5" t="s">
        <v>34</v>
      </c>
      <c r="E3753" s="5" t="s">
        <v>264</v>
      </c>
      <c r="F3753" s="9" t="s">
        <v>318</v>
      </c>
      <c r="G3753" s="9" t="s">
        <v>106</v>
      </c>
      <c r="H3753" s="5" t="s">
        <v>21</v>
      </c>
      <c r="I3753" s="5" t="s">
        <v>9581</v>
      </c>
      <c r="J3753" s="12" t="str">
        <f>HYPERLINK("https://www.boe.es/gazeta/dias/1808/11/29/pdfs/GMD-C-1808-148.pdf#page=3","Abrir facsímil")</f>
        <v>Abrir facsímil</v>
      </c>
      <c r="K3753" s="15" t="s">
        <v>23</v>
      </c>
    </row>
    <row r="3754" spans="1:11" ht="42" customHeight="1">
      <c r="A3754" s="4" t="s">
        <v>9582</v>
      </c>
      <c r="B3754" s="5" t="s">
        <v>9583</v>
      </c>
      <c r="C3754" s="5" t="s">
        <v>101</v>
      </c>
      <c r="D3754" s="5" t="s">
        <v>102</v>
      </c>
      <c r="E3754" s="5" t="s">
        <v>2204</v>
      </c>
      <c r="F3754" s="9" t="s">
        <v>2285</v>
      </c>
      <c r="G3754" s="9">
        <v>681</v>
      </c>
      <c r="H3754" s="5" t="s">
        <v>21</v>
      </c>
      <c r="I3754" s="5" t="s">
        <v>9584</v>
      </c>
      <c r="J3754" s="12" t="str">
        <f>HYPERLINK("https://www.boe.es/gazeta/dias/1808/06/29/pdfs/GMD-1808-71.pdf#page=3","Abrir facsímil")</f>
        <v>Abrir facsímil</v>
      </c>
      <c r="K3754" s="15" t="s">
        <v>23</v>
      </c>
    </row>
    <row r="3755" spans="1:11" ht="42" customHeight="1">
      <c r="A3755" s="4" t="s">
        <v>9585</v>
      </c>
      <c r="B3755" s="5" t="s">
        <v>9586</v>
      </c>
      <c r="C3755" s="5" t="s">
        <v>41</v>
      </c>
      <c r="D3755" s="5" t="s">
        <v>42</v>
      </c>
      <c r="E3755" s="5" t="s">
        <v>35</v>
      </c>
      <c r="F3755" s="9" t="s">
        <v>36</v>
      </c>
      <c r="G3755" s="9" t="s">
        <v>1178</v>
      </c>
      <c r="H3755" s="5" t="s">
        <v>21</v>
      </c>
      <c r="I3755" s="5" t="s">
        <v>9587</v>
      </c>
      <c r="J3755" s="12" t="str">
        <f>HYPERLINK("https://www.boe.es/gazeta/dias/1808/04/22/pdfs/GMD-C-1808-38.pdf#page=9","Abrir facsímil")</f>
        <v>Abrir facsímil</v>
      </c>
      <c r="K3755" s="15" t="s">
        <v>23</v>
      </c>
    </row>
    <row r="3756" spans="1:11" ht="42" customHeight="1">
      <c r="A3756" s="4" t="s">
        <v>9588</v>
      </c>
      <c r="B3756" s="5" t="s">
        <v>9588</v>
      </c>
      <c r="C3756" s="5" t="s">
        <v>94</v>
      </c>
      <c r="D3756" s="5" t="s">
        <v>95</v>
      </c>
      <c r="E3756" s="5" t="s">
        <v>2159</v>
      </c>
      <c r="F3756" s="9" t="s">
        <v>2160</v>
      </c>
      <c r="G3756" s="9">
        <v>179</v>
      </c>
      <c r="H3756" s="5" t="s">
        <v>21</v>
      </c>
      <c r="I3756" s="5" t="s">
        <v>9589</v>
      </c>
      <c r="J3756" s="12" t="str">
        <f>HYPERLINK("https://www.boe.es/gazeta/dias/1808/02/19/pdfs/GMD-1808-15.pdf#page=9","Abrir facsímil")</f>
        <v>Abrir facsímil</v>
      </c>
      <c r="K3756" s="15" t="s">
        <v>23</v>
      </c>
    </row>
    <row r="3757" spans="1:11" ht="42" customHeight="1">
      <c r="A3757" s="4" t="s">
        <v>9588</v>
      </c>
      <c r="B3757" s="5" t="s">
        <v>9588</v>
      </c>
      <c r="C3757" s="5" t="s">
        <v>101</v>
      </c>
      <c r="D3757" s="5" t="s">
        <v>102</v>
      </c>
      <c r="E3757" s="5" t="s">
        <v>478</v>
      </c>
      <c r="F3757" s="9" t="s">
        <v>479</v>
      </c>
      <c r="G3757" s="9">
        <v>236</v>
      </c>
      <c r="H3757" s="5" t="s">
        <v>21</v>
      </c>
      <c r="I3757" s="5" t="s">
        <v>9590</v>
      </c>
      <c r="J3757" s="12" t="str">
        <f>HYPERLINK("https://www.boe.es/gazeta/dias/1808/03/08/pdfs/GMD-1808-20.pdf#page=2","Abrir facsímil")</f>
        <v>Abrir facsímil</v>
      </c>
      <c r="K3757" s="15" t="s">
        <v>23</v>
      </c>
    </row>
    <row r="3758" spans="1:11" ht="42" customHeight="1">
      <c r="A3758" s="4" t="s">
        <v>9591</v>
      </c>
      <c r="B3758" s="5" t="s">
        <v>9592</v>
      </c>
      <c r="C3758" s="5" t="s">
        <v>94</v>
      </c>
      <c r="D3758" s="5" t="s">
        <v>95</v>
      </c>
      <c r="E3758" s="5" t="s">
        <v>73</v>
      </c>
      <c r="F3758" s="9" t="s">
        <v>581</v>
      </c>
      <c r="G3758" s="9">
        <v>1469</v>
      </c>
      <c r="H3758" s="5" t="s">
        <v>21</v>
      </c>
      <c r="I3758" s="5" t="s">
        <v>9593</v>
      </c>
      <c r="J3758" s="12" t="str">
        <f>HYPERLINK("https://www.boe.es/gazeta/dias/1808/11/11/pdfs/GMD-1808-143.pdf#page=11","Abrir facsímil")</f>
        <v>Abrir facsímil</v>
      </c>
      <c r="K3758" s="15" t="s">
        <v>23</v>
      </c>
    </row>
    <row r="3759" spans="1:11" ht="42" customHeight="1">
      <c r="A3759" s="4" t="s">
        <v>9594</v>
      </c>
      <c r="B3759" s="5" t="s">
        <v>9594</v>
      </c>
      <c r="C3759" s="5" t="s">
        <v>41</v>
      </c>
      <c r="D3759" s="5" t="s">
        <v>42</v>
      </c>
      <c r="E3759" s="5" t="s">
        <v>1472</v>
      </c>
      <c r="F3759" s="9" t="s">
        <v>1473</v>
      </c>
      <c r="G3759" s="9">
        <v>94</v>
      </c>
      <c r="H3759" s="5" t="s">
        <v>21</v>
      </c>
      <c r="I3759" s="5" t="s">
        <v>9595</v>
      </c>
      <c r="J3759" s="12" t="str">
        <f>HYPERLINK("https://www.boe.es/gazeta/dias/1808/01/26/pdfs/GMD-1808-8.pdf#page=10","Abrir facsímil")</f>
        <v>Abrir facsímil</v>
      </c>
      <c r="K3759" s="15" t="s">
        <v>23</v>
      </c>
    </row>
    <row r="3760" spans="1:11" ht="42" customHeight="1">
      <c r="A3760" s="4" t="s">
        <v>9596</v>
      </c>
      <c r="B3760" s="5" t="s">
        <v>9596</v>
      </c>
      <c r="C3760" s="5" t="s">
        <v>41</v>
      </c>
      <c r="D3760" s="5" t="s">
        <v>42</v>
      </c>
      <c r="E3760" s="5" t="s">
        <v>991</v>
      </c>
      <c r="F3760" s="9" t="s">
        <v>992</v>
      </c>
      <c r="G3760" s="9">
        <v>220</v>
      </c>
      <c r="H3760" s="5" t="s">
        <v>21</v>
      </c>
      <c r="I3760" s="5" t="s">
        <v>9597</v>
      </c>
      <c r="J3760" s="12" t="str">
        <f>HYPERLINK("https://www.boe.es/gazeta/dias/1808/03/01/pdfs/GMD-1808-18.pdf#page=10","Abrir facsímil")</f>
        <v>Abrir facsímil</v>
      </c>
      <c r="K3760" s="15" t="s">
        <v>23</v>
      </c>
    </row>
    <row r="3761" spans="1:11" ht="42" customHeight="1">
      <c r="A3761" s="4" t="s">
        <v>9598</v>
      </c>
      <c r="B3761" s="5" t="s">
        <v>9598</v>
      </c>
      <c r="C3761" s="5" t="s">
        <v>41</v>
      </c>
      <c r="D3761" s="5" t="s">
        <v>42</v>
      </c>
      <c r="E3761" s="5" t="s">
        <v>242</v>
      </c>
      <c r="F3761" s="9" t="s">
        <v>243</v>
      </c>
      <c r="G3761" s="9">
        <v>11</v>
      </c>
      <c r="H3761" s="5" t="s">
        <v>21</v>
      </c>
      <c r="I3761" s="5" t="s">
        <v>9599</v>
      </c>
      <c r="J3761" s="12" t="str">
        <f>HYPERLINK("https://www.boe.es/gazeta/dias/1808/01/01/pdfs/GMD-1808-1.pdf#page=11","Abrir facsímil")</f>
        <v>Abrir facsímil</v>
      </c>
      <c r="K3761" s="15" t="s">
        <v>23</v>
      </c>
    </row>
    <row r="3762" spans="1:11" ht="42" customHeight="1">
      <c r="A3762" s="4" t="s">
        <v>9598</v>
      </c>
      <c r="B3762" s="5" t="s">
        <v>9598</v>
      </c>
      <c r="C3762" s="5" t="s">
        <v>17</v>
      </c>
      <c r="D3762" s="5" t="s">
        <v>18</v>
      </c>
      <c r="E3762" s="5" t="s">
        <v>548</v>
      </c>
      <c r="F3762" s="9" t="s">
        <v>549</v>
      </c>
      <c r="G3762" s="9">
        <v>278</v>
      </c>
      <c r="H3762" s="5" t="s">
        <v>21</v>
      </c>
      <c r="I3762" s="5" t="s">
        <v>9600</v>
      </c>
      <c r="J3762" s="12" t="str">
        <f>HYPERLINK("https://www.boe.es/gazeta/dias/1808/03/18/pdfs/GMD-1808-23.pdf#page=8","Abrir facsímil")</f>
        <v>Abrir facsímil</v>
      </c>
      <c r="K3762" s="15" t="s">
        <v>23</v>
      </c>
    </row>
    <row r="3763" spans="1:11" ht="42" customHeight="1">
      <c r="A3763" s="4" t="s">
        <v>9601</v>
      </c>
      <c r="B3763" s="5" t="s">
        <v>9601</v>
      </c>
      <c r="C3763" s="5" t="s">
        <v>33</v>
      </c>
      <c r="D3763" s="5" t="s">
        <v>34</v>
      </c>
      <c r="E3763" s="5" t="s">
        <v>35</v>
      </c>
      <c r="F3763" s="9" t="s">
        <v>36</v>
      </c>
      <c r="G3763" s="9" t="s">
        <v>313</v>
      </c>
      <c r="H3763" s="5" t="s">
        <v>21</v>
      </c>
      <c r="I3763" s="5" t="s">
        <v>9602</v>
      </c>
      <c r="J3763" s="12" t="str">
        <f>HYPERLINK("https://www.boe.es/gazeta/dias/1808/04/22/pdfs/GMD-C-1808-38.pdf#page=29","Abrir facsímil")</f>
        <v>Abrir facsímil</v>
      </c>
      <c r="K3763" s="15" t="s">
        <v>23</v>
      </c>
    </row>
    <row r="3764" spans="1:11" ht="42" customHeight="1">
      <c r="A3764" s="4" t="s">
        <v>9603</v>
      </c>
      <c r="B3764" s="5" t="s">
        <v>9604</v>
      </c>
      <c r="C3764" s="5" t="s">
        <v>17</v>
      </c>
      <c r="D3764" s="5" t="s">
        <v>18</v>
      </c>
      <c r="E3764" s="5" t="s">
        <v>68</v>
      </c>
      <c r="F3764" s="9" t="s">
        <v>69</v>
      </c>
      <c r="G3764" s="9">
        <v>1336</v>
      </c>
      <c r="H3764" s="5" t="s">
        <v>21</v>
      </c>
      <c r="I3764" s="5" t="s">
        <v>9605</v>
      </c>
      <c r="J3764" s="12" t="str">
        <f>HYPERLINK("https://www.boe.es/gazeta/dias/1808/10/21/pdfs/GMD-1808-136.pdf#page=8","Abrir facsímil")</f>
        <v>Abrir facsímil</v>
      </c>
      <c r="K3764" s="15" t="s">
        <v>23</v>
      </c>
    </row>
    <row r="3765" spans="1:11" ht="42" customHeight="1">
      <c r="A3765" s="4" t="s">
        <v>9606</v>
      </c>
      <c r="B3765" s="5" t="s">
        <v>9607</v>
      </c>
      <c r="C3765" s="5" t="s">
        <v>33</v>
      </c>
      <c r="D3765" s="5" t="s">
        <v>34</v>
      </c>
      <c r="E3765" s="5" t="s">
        <v>68</v>
      </c>
      <c r="F3765" s="9" t="s">
        <v>849</v>
      </c>
      <c r="G3765" s="9">
        <v>1348</v>
      </c>
      <c r="H3765" s="5" t="s">
        <v>21</v>
      </c>
      <c r="I3765" s="5" t="s">
        <v>9608</v>
      </c>
      <c r="J3765" s="12" t="str">
        <f>HYPERLINK("https://www.boe.es/gazeta/dias/1808/10/21/pdfs/GMD-C-1808-136.pdf#page=8","Abrir facsímil")</f>
        <v>Abrir facsímil</v>
      </c>
      <c r="K3765" s="15" t="s">
        <v>23</v>
      </c>
    </row>
    <row r="3766" spans="1:11" ht="42" customHeight="1">
      <c r="A3766" s="4" t="s">
        <v>9609</v>
      </c>
      <c r="B3766" s="5" t="s">
        <v>9610</v>
      </c>
      <c r="C3766" s="5" t="s">
        <v>94</v>
      </c>
      <c r="D3766" s="5" t="s">
        <v>95</v>
      </c>
      <c r="E3766" s="5" t="s">
        <v>68</v>
      </c>
      <c r="F3766" s="9" t="s">
        <v>849</v>
      </c>
      <c r="G3766" s="9">
        <v>1344</v>
      </c>
      <c r="H3766" s="5" t="s">
        <v>21</v>
      </c>
      <c r="I3766" s="5" t="s">
        <v>9611</v>
      </c>
      <c r="J3766" s="12" t="str">
        <f>HYPERLINK("https://www.boe.es/gazeta/dias/1808/10/21/pdfs/GMD-C-1808-136.pdf#page=4","Abrir facsímil")</f>
        <v>Abrir facsímil</v>
      </c>
      <c r="K3766" s="15" t="s">
        <v>23</v>
      </c>
    </row>
    <row r="3767" spans="1:11" ht="42" customHeight="1">
      <c r="A3767" s="4" t="s">
        <v>9612</v>
      </c>
      <c r="B3767" s="5" t="s">
        <v>9613</v>
      </c>
      <c r="C3767" s="5" t="s">
        <v>17</v>
      </c>
      <c r="D3767" s="5" t="s">
        <v>18</v>
      </c>
      <c r="E3767" s="5" t="s">
        <v>130</v>
      </c>
      <c r="F3767" s="9" t="s">
        <v>131</v>
      </c>
      <c r="G3767" s="9">
        <v>1604</v>
      </c>
      <c r="H3767" s="5" t="s">
        <v>21</v>
      </c>
      <c r="I3767" s="5" t="s">
        <v>9614</v>
      </c>
      <c r="J3767" s="12" t="str">
        <f>HYPERLINK("https://www.boe.es/gazeta/dias/1808/12/15/pdfs/GMD-1808-155.pdf#page=8","Abrir facsímil")</f>
        <v>Abrir facsímil</v>
      </c>
      <c r="K3767" s="15" t="s">
        <v>23</v>
      </c>
    </row>
    <row r="3768" spans="1:11" ht="42" customHeight="1">
      <c r="A3768" s="4" t="s">
        <v>9615</v>
      </c>
      <c r="B3768" s="5" t="s">
        <v>9616</v>
      </c>
      <c r="C3768" s="5" t="s">
        <v>41</v>
      </c>
      <c r="D3768" s="5" t="s">
        <v>42</v>
      </c>
      <c r="E3768" s="5" t="s">
        <v>35</v>
      </c>
      <c r="F3768" s="9" t="s">
        <v>36</v>
      </c>
      <c r="G3768" s="9" t="s">
        <v>837</v>
      </c>
      <c r="H3768" s="5" t="s">
        <v>21</v>
      </c>
      <c r="I3768" s="5" t="s">
        <v>9617</v>
      </c>
      <c r="J3768" s="12" t="str">
        <f>HYPERLINK("https://www.boe.es/gazeta/dias/1808/04/22/pdfs/GMD-C-1808-38.pdf#page=10","Abrir facsímil")</f>
        <v>Abrir facsímil</v>
      </c>
      <c r="K3768" s="15" t="s">
        <v>23</v>
      </c>
    </row>
    <row r="3769" spans="1:11" ht="42" customHeight="1">
      <c r="A3769" s="4" t="s">
        <v>9618</v>
      </c>
      <c r="B3769" s="5" t="s">
        <v>9619</v>
      </c>
      <c r="C3769" s="5" t="s">
        <v>94</v>
      </c>
      <c r="D3769" s="5" t="s">
        <v>95</v>
      </c>
      <c r="E3769" s="5" t="s">
        <v>35</v>
      </c>
      <c r="F3769" s="9" t="s">
        <v>36</v>
      </c>
      <c r="G3769" s="9" t="s">
        <v>867</v>
      </c>
      <c r="H3769" s="5" t="s">
        <v>21</v>
      </c>
      <c r="I3769" s="5" t="s">
        <v>9620</v>
      </c>
      <c r="J3769" s="12" t="str">
        <f>HYPERLINK("https://www.boe.es/gazeta/dias/1808/04/22/pdfs/GMD-C-1808-38.pdf#page=19","Abrir facsímil")</f>
        <v>Abrir facsímil</v>
      </c>
      <c r="K3769" s="15" t="s">
        <v>23</v>
      </c>
    </row>
    <row r="3770" spans="1:11" ht="42" customHeight="1">
      <c r="A3770" s="4" t="s">
        <v>9621</v>
      </c>
      <c r="B3770" s="5" t="s">
        <v>9622</v>
      </c>
      <c r="C3770" s="5" t="s">
        <v>17</v>
      </c>
      <c r="D3770" s="5" t="s">
        <v>18</v>
      </c>
      <c r="E3770" s="5" t="s">
        <v>558</v>
      </c>
      <c r="F3770" s="9" t="s">
        <v>559</v>
      </c>
      <c r="G3770" s="9">
        <v>1544</v>
      </c>
      <c r="H3770" s="5" t="s">
        <v>21</v>
      </c>
      <c r="I3770" s="5" t="s">
        <v>9623</v>
      </c>
      <c r="J3770" s="12" t="str">
        <f>HYPERLINK("https://www.boe.es/gazeta/dias/1808/11/25/pdfs/GMD-1808-147.pdf#page=10","Abrir facsímil")</f>
        <v>Abrir facsímil</v>
      </c>
      <c r="K3770" s="15" t="s">
        <v>23</v>
      </c>
    </row>
    <row r="3771" spans="1:11" ht="42" customHeight="1">
      <c r="A3771" s="4" t="s">
        <v>9624</v>
      </c>
      <c r="B3771" s="5" t="s">
        <v>9625</v>
      </c>
      <c r="C3771" s="5" t="s">
        <v>33</v>
      </c>
      <c r="D3771" s="5" t="s">
        <v>34</v>
      </c>
      <c r="E3771" s="5" t="s">
        <v>180</v>
      </c>
      <c r="F3771" s="9" t="s">
        <v>768</v>
      </c>
      <c r="G3771" s="9" t="s">
        <v>199</v>
      </c>
      <c r="H3771" s="5" t="s">
        <v>21</v>
      </c>
      <c r="I3771" s="5" t="s">
        <v>9626</v>
      </c>
      <c r="J3771" s="12" t="str">
        <f>HYPERLINK("https://www.boe.es/gazeta/dias/1808/11/15/pdfs/GMD-D-1808-144.pdf#page=2","Abrir facsímil")</f>
        <v>Abrir facsímil</v>
      </c>
      <c r="K3771" s="15" t="s">
        <v>23</v>
      </c>
    </row>
    <row r="3772" spans="1:11" ht="42" customHeight="1">
      <c r="A3772" s="4" t="s">
        <v>9627</v>
      </c>
      <c r="B3772" s="5" t="s">
        <v>9628</v>
      </c>
      <c r="C3772" s="5" t="s">
        <v>33</v>
      </c>
      <c r="D3772" s="5" t="s">
        <v>34</v>
      </c>
      <c r="E3772" s="5" t="s">
        <v>19</v>
      </c>
      <c r="F3772" s="9" t="s">
        <v>949</v>
      </c>
      <c r="G3772" s="9" t="s">
        <v>106</v>
      </c>
      <c r="H3772" s="5" t="s">
        <v>21</v>
      </c>
      <c r="I3772" s="5" t="s">
        <v>9629</v>
      </c>
      <c r="J3772" s="12" t="str">
        <f>HYPERLINK("https://www.boe.es/gazeta/dias/1808/09/30/pdfs/GMD-C-1808-130.pdf#page=3","Abrir facsímil")</f>
        <v>Abrir facsímil</v>
      </c>
      <c r="K3772" s="15" t="s">
        <v>23</v>
      </c>
    </row>
    <row r="3773" spans="1:11" ht="42" customHeight="1">
      <c r="A3773" s="4" t="s">
        <v>9630</v>
      </c>
      <c r="B3773" s="5" t="s">
        <v>9631</v>
      </c>
      <c r="C3773" s="5" t="s">
        <v>33</v>
      </c>
      <c r="D3773" s="5" t="s">
        <v>34</v>
      </c>
      <c r="E3773" s="5" t="s">
        <v>197</v>
      </c>
      <c r="F3773" s="9" t="s">
        <v>198</v>
      </c>
      <c r="G3773" s="9" t="s">
        <v>199</v>
      </c>
      <c r="H3773" s="5" t="s">
        <v>21</v>
      </c>
      <c r="I3773" s="5" t="s">
        <v>9632</v>
      </c>
      <c r="J3773" s="12" t="str">
        <f>HYPERLINK("https://www.boe.es/gazeta/dias/1808/11/01/pdfs/GMD-D-1808-140.pdf#page=2","Abrir facsímil")</f>
        <v>Abrir facsímil</v>
      </c>
      <c r="K3773" s="15" t="s">
        <v>23</v>
      </c>
    </row>
    <row r="3774" spans="1:11" ht="42" customHeight="1">
      <c r="A3774" s="4" t="s">
        <v>9633</v>
      </c>
      <c r="B3774" s="5" t="s">
        <v>9634</v>
      </c>
      <c r="C3774" s="5" t="s">
        <v>389</v>
      </c>
      <c r="D3774" s="5" t="s">
        <v>390</v>
      </c>
      <c r="E3774" s="5" t="s">
        <v>153</v>
      </c>
      <c r="F3774" s="9" t="s">
        <v>154</v>
      </c>
      <c r="G3774" s="9" t="s">
        <v>117</v>
      </c>
      <c r="H3774" s="5" t="s">
        <v>21</v>
      </c>
      <c r="I3774" s="5" t="s">
        <v>9635</v>
      </c>
      <c r="J3774" s="12" t="str">
        <f>HYPERLINK("https://www.boe.es/gazeta/dias/1808/09/09/pdfs/GMD-C-1808-121.pdf#page=1","Abrir facsímil")</f>
        <v>Abrir facsímil</v>
      </c>
      <c r="K3774" s="15" t="s">
        <v>23</v>
      </c>
    </row>
    <row r="3775" spans="1:11" ht="42" customHeight="1">
      <c r="A3775" s="4" t="s">
        <v>9636</v>
      </c>
      <c r="B3775" s="5" t="s">
        <v>9637</v>
      </c>
      <c r="C3775" s="5" t="s">
        <v>33</v>
      </c>
      <c r="D3775" s="5" t="s">
        <v>34</v>
      </c>
      <c r="E3775" s="5" t="s">
        <v>461</v>
      </c>
      <c r="F3775" s="9" t="s">
        <v>462</v>
      </c>
      <c r="G3775" s="9" t="s">
        <v>106</v>
      </c>
      <c r="H3775" s="5" t="s">
        <v>21</v>
      </c>
      <c r="I3775" s="5" t="s">
        <v>9638</v>
      </c>
      <c r="J3775" s="12" t="str">
        <f>HYPERLINK("https://www.boe.es/gazeta/dias/1808/11/08/pdfs/GMD-D-1808-142.pdf#page=3","Abrir facsímil")</f>
        <v>Abrir facsímil</v>
      </c>
      <c r="K3775" s="15" t="s">
        <v>23</v>
      </c>
    </row>
    <row r="3776" spans="1:11" ht="42" customHeight="1">
      <c r="A3776" s="4" t="s">
        <v>9639</v>
      </c>
      <c r="B3776" s="5" t="s">
        <v>9640</v>
      </c>
      <c r="C3776" s="5" t="s">
        <v>33</v>
      </c>
      <c r="D3776" s="5" t="s">
        <v>34</v>
      </c>
      <c r="E3776" s="5" t="s">
        <v>68</v>
      </c>
      <c r="F3776" s="9" t="s">
        <v>309</v>
      </c>
      <c r="G3776" s="9" t="s">
        <v>117</v>
      </c>
      <c r="H3776" s="5" t="s">
        <v>21</v>
      </c>
      <c r="I3776" s="5" t="s">
        <v>9641</v>
      </c>
      <c r="J3776" s="12" t="str">
        <f>HYPERLINK("https://www.boe.es/gazeta/dias/1808/10/21/pdfs/GMD-D-1808-136.pdf#page=1","Abrir facsímil")</f>
        <v>Abrir facsímil</v>
      </c>
      <c r="K3776" s="15" t="s">
        <v>23</v>
      </c>
    </row>
    <row r="3777" spans="1:11" ht="42" customHeight="1">
      <c r="A3777" s="4" t="s">
        <v>9642</v>
      </c>
      <c r="B3777" s="5" t="s">
        <v>9643</v>
      </c>
      <c r="C3777" s="5" t="s">
        <v>260</v>
      </c>
      <c r="D3777" s="5" t="s">
        <v>42</v>
      </c>
      <c r="E3777" s="5" t="s">
        <v>222</v>
      </c>
      <c r="F3777" s="9" t="s">
        <v>223</v>
      </c>
      <c r="G3777" s="9">
        <v>355</v>
      </c>
      <c r="H3777" s="5" t="s">
        <v>21</v>
      </c>
      <c r="I3777" s="5" t="s">
        <v>9644</v>
      </c>
      <c r="J3777" s="12" t="str">
        <f>HYPERLINK("https://www.boe.es/gazeta/dias/1808/04/08/pdfs/GMD-1808-32.pdf#page=9","Abrir facsímil")</f>
        <v>Abrir facsímil</v>
      </c>
      <c r="K3777" s="15" t="s">
        <v>23</v>
      </c>
    </row>
    <row r="3778" spans="1:11" ht="42" customHeight="1">
      <c r="A3778" s="4" t="s">
        <v>9645</v>
      </c>
      <c r="B3778" s="5" t="s">
        <v>9646</v>
      </c>
      <c r="C3778" s="5" t="s">
        <v>33</v>
      </c>
      <c r="D3778" s="5" t="s">
        <v>34</v>
      </c>
      <c r="E3778" s="5" t="s">
        <v>115</v>
      </c>
      <c r="F3778" s="9" t="s">
        <v>116</v>
      </c>
      <c r="G3778" s="9" t="s">
        <v>106</v>
      </c>
      <c r="H3778" s="5" t="s">
        <v>21</v>
      </c>
      <c r="I3778" s="5" t="s">
        <v>9647</v>
      </c>
      <c r="J3778" s="12" t="str">
        <f>HYPERLINK("https://www.boe.es/gazeta/dias/1808/09/16/pdfs/GMD-C-1808-125.pdf#page=3","Abrir facsímil")</f>
        <v>Abrir facsímil</v>
      </c>
      <c r="K3778" s="15" t="s">
        <v>23</v>
      </c>
    </row>
    <row r="3779" spans="1:11" ht="42" customHeight="1">
      <c r="A3779" s="4" t="s">
        <v>9645</v>
      </c>
      <c r="B3779" s="5" t="s">
        <v>9646</v>
      </c>
      <c r="C3779" s="5" t="s">
        <v>33</v>
      </c>
      <c r="D3779" s="5" t="s">
        <v>34</v>
      </c>
      <c r="E3779" s="5" t="s">
        <v>125</v>
      </c>
      <c r="F3779" s="9" t="s">
        <v>126</v>
      </c>
      <c r="G3779" s="9" t="s">
        <v>117</v>
      </c>
      <c r="H3779" s="5" t="s">
        <v>21</v>
      </c>
      <c r="I3779" s="5" t="s">
        <v>9648</v>
      </c>
      <c r="J3779" s="12" t="str">
        <f>HYPERLINK("https://www.boe.es/gazeta/dias/1808/10/07/pdfs/GMD-C-1808-132.pdf#page=1","Abrir facsímil")</f>
        <v>Abrir facsímil</v>
      </c>
      <c r="K3779" s="15" t="s">
        <v>23</v>
      </c>
    </row>
    <row r="3780" spans="1:11" ht="42" customHeight="1">
      <c r="A3780" s="4" t="s">
        <v>9649</v>
      </c>
      <c r="B3780" s="5" t="s">
        <v>9650</v>
      </c>
      <c r="C3780" s="5" t="s">
        <v>41</v>
      </c>
      <c r="D3780" s="5" t="s">
        <v>42</v>
      </c>
      <c r="E3780" s="5" t="s">
        <v>35</v>
      </c>
      <c r="F3780" s="9" t="s">
        <v>36</v>
      </c>
      <c r="G3780" s="9" t="s">
        <v>43</v>
      </c>
      <c r="H3780" s="5" t="s">
        <v>21</v>
      </c>
      <c r="I3780" s="5" t="s">
        <v>9651</v>
      </c>
      <c r="J3780" s="12" t="str">
        <f>HYPERLINK("https://www.boe.es/gazeta/dias/1808/04/22/pdfs/GMD-C-1808-38.pdf#page=30","Abrir facsímil")</f>
        <v>Abrir facsímil</v>
      </c>
      <c r="K3780" s="15" t="s">
        <v>23</v>
      </c>
    </row>
    <row r="3781" spans="1:11" ht="42" customHeight="1">
      <c r="A3781" s="4" t="s">
        <v>9649</v>
      </c>
      <c r="B3781" s="5" t="s">
        <v>9650</v>
      </c>
      <c r="C3781" s="5" t="s">
        <v>33</v>
      </c>
      <c r="D3781" s="5" t="s">
        <v>34</v>
      </c>
      <c r="E3781" s="5" t="s">
        <v>35</v>
      </c>
      <c r="F3781" s="9" t="s">
        <v>36</v>
      </c>
      <c r="G3781" s="9" t="s">
        <v>279</v>
      </c>
      <c r="H3781" s="5" t="s">
        <v>21</v>
      </c>
      <c r="I3781" s="5" t="s">
        <v>9652</v>
      </c>
      <c r="J3781" s="12" t="str">
        <f>HYPERLINK("https://www.boe.es/gazeta/dias/1808/04/22/pdfs/GMD-C-1808-38.pdf#page=44","Abrir facsímil")</f>
        <v>Abrir facsímil</v>
      </c>
      <c r="K3781" s="15" t="s">
        <v>23</v>
      </c>
    </row>
    <row r="3782" spans="1:11" ht="42" customHeight="1">
      <c r="A3782" s="4" t="s">
        <v>9653</v>
      </c>
      <c r="B3782" s="5" t="s">
        <v>9654</v>
      </c>
      <c r="C3782" s="5" t="s">
        <v>33</v>
      </c>
      <c r="D3782" s="5" t="s">
        <v>34</v>
      </c>
      <c r="E3782" s="5" t="s">
        <v>35</v>
      </c>
      <c r="F3782" s="9" t="s">
        <v>36</v>
      </c>
      <c r="G3782" s="9" t="s">
        <v>199</v>
      </c>
      <c r="H3782" s="5" t="s">
        <v>21</v>
      </c>
      <c r="I3782" s="5" t="s">
        <v>9655</v>
      </c>
      <c r="J3782" s="12" t="str">
        <f>HYPERLINK("https://www.boe.es/gazeta/dias/1808/04/22/pdfs/GMD-C-1808-38.pdf#page=2","Abrir facsímil")</f>
        <v>Abrir facsímil</v>
      </c>
      <c r="K3782" s="15" t="s">
        <v>23</v>
      </c>
    </row>
    <row r="3783" spans="1:11" ht="42" customHeight="1">
      <c r="A3783" s="4" t="s">
        <v>9656</v>
      </c>
      <c r="B3783" s="5" t="s">
        <v>9657</v>
      </c>
      <c r="C3783" s="5" t="s">
        <v>17</v>
      </c>
      <c r="D3783" s="5" t="s">
        <v>18</v>
      </c>
      <c r="E3783" s="5" t="s">
        <v>558</v>
      </c>
      <c r="F3783" s="9" t="s">
        <v>559</v>
      </c>
      <c r="G3783" s="9">
        <v>1543</v>
      </c>
      <c r="H3783" s="5" t="s">
        <v>21</v>
      </c>
      <c r="I3783" s="5" t="s">
        <v>9658</v>
      </c>
      <c r="J3783" s="12" t="str">
        <f>HYPERLINK("https://www.boe.es/gazeta/dias/1808/11/25/pdfs/GMD-1808-147.pdf#page=9","Abrir facsímil")</f>
        <v>Abrir facsímil</v>
      </c>
      <c r="K3783" s="15" t="s">
        <v>23</v>
      </c>
    </row>
    <row r="3784" spans="1:11" ht="42" customHeight="1">
      <c r="A3784" s="4" t="s">
        <v>9659</v>
      </c>
      <c r="B3784" s="5" t="s">
        <v>9660</v>
      </c>
      <c r="C3784" s="5" t="s">
        <v>33</v>
      </c>
      <c r="D3784" s="5" t="s">
        <v>34</v>
      </c>
      <c r="E3784" s="5" t="s">
        <v>35</v>
      </c>
      <c r="F3784" s="9" t="s">
        <v>36</v>
      </c>
      <c r="G3784" s="9" t="s">
        <v>1128</v>
      </c>
      <c r="H3784" s="5" t="s">
        <v>21</v>
      </c>
      <c r="I3784" s="5" t="s">
        <v>9661</v>
      </c>
      <c r="J3784" s="12" t="str">
        <f>HYPERLINK("https://www.boe.es/gazeta/dias/1808/04/22/pdfs/GMD-C-1808-38.pdf#page=11","Abrir facsímil")</f>
        <v>Abrir facsímil</v>
      </c>
      <c r="K3784" s="15" t="s">
        <v>23</v>
      </c>
    </row>
    <row r="3785" spans="1:11" ht="42" customHeight="1">
      <c r="A3785" s="4" t="s">
        <v>9662</v>
      </c>
      <c r="B3785" s="5" t="s">
        <v>9663</v>
      </c>
      <c r="C3785" s="5" t="s">
        <v>17</v>
      </c>
      <c r="D3785" s="5" t="s">
        <v>18</v>
      </c>
      <c r="E3785" s="5" t="s">
        <v>19</v>
      </c>
      <c r="F3785" s="9" t="s">
        <v>59</v>
      </c>
      <c r="G3785" s="9">
        <v>1228</v>
      </c>
      <c r="H3785" s="5" t="s">
        <v>21</v>
      </c>
      <c r="I3785" s="5" t="s">
        <v>9664</v>
      </c>
      <c r="J3785" s="12" t="str">
        <f>HYPERLINK("https://www.boe.es/gazeta/dias/1808/09/30/pdfs/GMD-1808-130.pdf#page=8","Abrir facsímil")</f>
        <v>Abrir facsímil</v>
      </c>
      <c r="K3785" s="15" t="s">
        <v>23</v>
      </c>
    </row>
    <row r="3786" spans="1:11" ht="42" customHeight="1">
      <c r="A3786" s="4" t="s">
        <v>9665</v>
      </c>
      <c r="B3786" s="5" t="s">
        <v>9666</v>
      </c>
      <c r="C3786" s="5" t="s">
        <v>41</v>
      </c>
      <c r="D3786" s="5" t="s">
        <v>42</v>
      </c>
      <c r="E3786" s="5" t="s">
        <v>877</v>
      </c>
      <c r="F3786" s="9" t="s">
        <v>878</v>
      </c>
      <c r="G3786" s="9">
        <v>118</v>
      </c>
      <c r="H3786" s="5" t="s">
        <v>21</v>
      </c>
      <c r="I3786" s="5" t="s">
        <v>9667</v>
      </c>
      <c r="J3786" s="12" t="str">
        <f>HYPERLINK("https://www.boe.es/gazeta/dias/1808/02/02/pdfs/GMD-1808-10.pdf#page=10","Abrir facsímil")</f>
        <v>Abrir facsímil</v>
      </c>
      <c r="K3786" s="15" t="s">
        <v>23</v>
      </c>
    </row>
    <row r="3787" spans="1:11" ht="42" customHeight="1">
      <c r="A3787" s="4" t="s">
        <v>9668</v>
      </c>
      <c r="B3787" s="5" t="s">
        <v>9669</v>
      </c>
      <c r="C3787" s="5" t="s">
        <v>389</v>
      </c>
      <c r="D3787" s="5" t="s">
        <v>390</v>
      </c>
      <c r="E3787" s="5" t="s">
        <v>269</v>
      </c>
      <c r="F3787" s="9" t="s">
        <v>270</v>
      </c>
      <c r="G3787" s="9">
        <v>71</v>
      </c>
      <c r="H3787" s="5" t="s">
        <v>21</v>
      </c>
      <c r="I3787" s="5" t="s">
        <v>9670</v>
      </c>
      <c r="J3787" s="12" t="str">
        <f>HYPERLINK("https://www.boe.es/gazeta/dias/1808/01/19/pdfs/GMD-1808-6.pdf#page=11","Abrir facsímil")</f>
        <v>Abrir facsímil</v>
      </c>
      <c r="K3787" s="15" t="s">
        <v>23</v>
      </c>
    </row>
    <row r="3788" spans="1:11" ht="42" customHeight="1">
      <c r="A3788" s="4" t="s">
        <v>9671</v>
      </c>
      <c r="B3788" s="5" t="s">
        <v>9672</v>
      </c>
      <c r="C3788" s="5" t="s">
        <v>17</v>
      </c>
      <c r="D3788" s="5" t="s">
        <v>18</v>
      </c>
      <c r="E3788" s="5" t="s">
        <v>192</v>
      </c>
      <c r="F3788" s="9" t="s">
        <v>9673</v>
      </c>
      <c r="G3788" s="9">
        <v>92</v>
      </c>
      <c r="H3788" s="5" t="s">
        <v>21</v>
      </c>
      <c r="I3788" s="5" t="s">
        <v>9674</v>
      </c>
      <c r="J3788" s="12" t="str">
        <f>HYPERLINK("https://www.boe.es/gazeta/dias/1808/07/09/pdfs/GMS-1808-12.pdf#page=4","Abrir facsímil")</f>
        <v>Abrir facsímil</v>
      </c>
      <c r="K3788" s="15" t="s">
        <v>23</v>
      </c>
    </row>
    <row r="3789" spans="1:11" ht="42" customHeight="1">
      <c r="A3789" s="4" t="s">
        <v>9675</v>
      </c>
      <c r="B3789" s="5" t="s">
        <v>9676</v>
      </c>
      <c r="C3789" s="5" t="s">
        <v>33</v>
      </c>
      <c r="D3789" s="5" t="s">
        <v>34</v>
      </c>
      <c r="E3789" s="5" t="s">
        <v>35</v>
      </c>
      <c r="F3789" s="9" t="s">
        <v>36</v>
      </c>
      <c r="G3789" s="9" t="s">
        <v>1006</v>
      </c>
      <c r="H3789" s="5" t="s">
        <v>21</v>
      </c>
      <c r="I3789" s="5" t="s">
        <v>9677</v>
      </c>
      <c r="J3789" s="12" t="str">
        <f>HYPERLINK("https://www.boe.es/gazeta/dias/1808/04/22/pdfs/GMD-C-1808-38.pdf#page=46","Abrir facsímil")</f>
        <v>Abrir facsímil</v>
      </c>
      <c r="K3789" s="15" t="s">
        <v>23</v>
      </c>
    </row>
    <row r="3790" spans="1:11" ht="42" customHeight="1">
      <c r="A3790" s="4" t="s">
        <v>9678</v>
      </c>
      <c r="B3790" s="5" t="s">
        <v>9679</v>
      </c>
      <c r="C3790" s="5" t="s">
        <v>41</v>
      </c>
      <c r="D3790" s="5" t="s">
        <v>42</v>
      </c>
      <c r="E3790" s="5" t="s">
        <v>35</v>
      </c>
      <c r="F3790" s="9" t="s">
        <v>36</v>
      </c>
      <c r="G3790" s="9" t="s">
        <v>867</v>
      </c>
      <c r="H3790" s="5" t="s">
        <v>21</v>
      </c>
      <c r="I3790" s="5" t="s">
        <v>9680</v>
      </c>
      <c r="J3790" s="12" t="str">
        <f>HYPERLINK("https://www.boe.es/gazeta/dias/1808/04/22/pdfs/GMD-C-1808-38.pdf#page=19","Abrir facsímil")</f>
        <v>Abrir facsímil</v>
      </c>
      <c r="K3790" s="15" t="s">
        <v>23</v>
      </c>
    </row>
    <row r="3791" spans="1:11" ht="42" customHeight="1">
      <c r="A3791" s="4" t="s">
        <v>9681</v>
      </c>
      <c r="B3791" s="5" t="s">
        <v>9682</v>
      </c>
      <c r="C3791" s="5" t="s">
        <v>41</v>
      </c>
      <c r="D3791" s="5" t="s">
        <v>42</v>
      </c>
      <c r="E3791" s="5" t="s">
        <v>1148</v>
      </c>
      <c r="F3791" s="9" t="s">
        <v>1149</v>
      </c>
      <c r="G3791" s="9">
        <v>508</v>
      </c>
      <c r="H3791" s="5" t="s">
        <v>21</v>
      </c>
      <c r="I3791" s="5" t="s">
        <v>9683</v>
      </c>
      <c r="J3791" s="12" t="str">
        <f>HYPERLINK("https://www.boe.es/gazeta/dias/1808/05/27/pdfs/GMD-1808-50.pdf#page=12","Abrir facsímil")</f>
        <v>Abrir facsímil</v>
      </c>
      <c r="K3791" s="15" t="s">
        <v>23</v>
      </c>
    </row>
    <row r="3792" spans="1:11" ht="42" customHeight="1">
      <c r="A3792" s="4" t="s">
        <v>9684</v>
      </c>
      <c r="B3792" s="5" t="s">
        <v>9685</v>
      </c>
      <c r="C3792" s="5" t="s">
        <v>17</v>
      </c>
      <c r="D3792" s="5" t="s">
        <v>18</v>
      </c>
      <c r="E3792" s="5" t="s">
        <v>61</v>
      </c>
      <c r="F3792" s="9" t="s">
        <v>62</v>
      </c>
      <c r="G3792" s="9">
        <v>1286</v>
      </c>
      <c r="H3792" s="5" t="s">
        <v>21</v>
      </c>
      <c r="I3792" s="5" t="s">
        <v>9686</v>
      </c>
      <c r="J3792" s="12" t="str">
        <f>HYPERLINK("https://www.boe.es/gazeta/dias/1808/10/11/pdfs/GMD-1808-133.pdf#page=14","Abrir facsímil")</f>
        <v>Abrir facsímil</v>
      </c>
      <c r="K3792" s="15" t="s">
        <v>23</v>
      </c>
    </row>
    <row r="3793" spans="1:11" ht="42" customHeight="1">
      <c r="A3793" s="4" t="s">
        <v>9687</v>
      </c>
      <c r="B3793" s="5" t="s">
        <v>9688</v>
      </c>
      <c r="C3793" s="5" t="s">
        <v>17</v>
      </c>
      <c r="D3793" s="5" t="s">
        <v>18</v>
      </c>
      <c r="E3793" s="5" t="s">
        <v>3951</v>
      </c>
      <c r="F3793" s="9" t="s">
        <v>3952</v>
      </c>
      <c r="G3793" s="9">
        <v>1649</v>
      </c>
      <c r="H3793" s="5" t="s">
        <v>21</v>
      </c>
      <c r="I3793" s="5" t="s">
        <v>9689</v>
      </c>
      <c r="J3793" s="12" t="str">
        <f>HYPERLINK("https://www.boe.es/gazeta/dias/1808/12/20/pdfs/GMD-1808-160.pdf#page=7","Abrir facsímil")</f>
        <v>Abrir facsímil</v>
      </c>
      <c r="K3793" s="15" t="s">
        <v>23</v>
      </c>
    </row>
    <row r="3794" spans="1:11" ht="42" customHeight="1">
      <c r="A3794" s="4" t="s">
        <v>9690</v>
      </c>
      <c r="B3794" s="5" t="s">
        <v>9691</v>
      </c>
      <c r="C3794" s="5" t="s">
        <v>41</v>
      </c>
      <c r="D3794" s="5" t="s">
        <v>42</v>
      </c>
      <c r="E3794" s="5" t="s">
        <v>180</v>
      </c>
      <c r="F3794" s="9" t="s">
        <v>768</v>
      </c>
      <c r="G3794" s="9" t="s">
        <v>75</v>
      </c>
      <c r="H3794" s="5" t="s">
        <v>21</v>
      </c>
      <c r="I3794" s="5" t="s">
        <v>9692</v>
      </c>
      <c r="J3794" s="12" t="str">
        <f>HYPERLINK("https://www.boe.es/gazeta/dias/1808/11/15/pdfs/GMD-D-1808-144.pdf#page=4","Abrir facsímil")</f>
        <v>Abrir facsímil</v>
      </c>
      <c r="K3794" s="15" t="s">
        <v>23</v>
      </c>
    </row>
    <row r="3795" spans="1:11" ht="42" customHeight="1">
      <c r="A3795" s="4" t="s">
        <v>9693</v>
      </c>
      <c r="B3795" s="5" t="s">
        <v>9693</v>
      </c>
      <c r="C3795" s="5" t="s">
        <v>41</v>
      </c>
      <c r="D3795" s="5" t="s">
        <v>42</v>
      </c>
      <c r="E3795" s="5" t="s">
        <v>539</v>
      </c>
      <c r="F3795" s="9" t="s">
        <v>540</v>
      </c>
      <c r="G3795" s="9">
        <v>1108</v>
      </c>
      <c r="H3795" s="5" t="s">
        <v>21</v>
      </c>
      <c r="I3795" s="5" t="s">
        <v>9694</v>
      </c>
      <c r="J3795" s="12" t="str">
        <f>HYPERLINK("https://www.boe.es/gazeta/dias/1808/09/02/pdfs/GMD-1808-119.pdf#page=2","Abrir facsímil")</f>
        <v>Abrir facsímil</v>
      </c>
      <c r="K3795" s="15" t="s">
        <v>23</v>
      </c>
    </row>
    <row r="3796" spans="1:11" ht="42" customHeight="1">
      <c r="A3796" s="4" t="s">
        <v>9695</v>
      </c>
      <c r="B3796" s="5" t="s">
        <v>9695</v>
      </c>
      <c r="C3796" s="5" t="s">
        <v>17</v>
      </c>
      <c r="D3796" s="5" t="s">
        <v>18</v>
      </c>
      <c r="E3796" s="5" t="s">
        <v>558</v>
      </c>
      <c r="F3796" s="9" t="s">
        <v>559</v>
      </c>
      <c r="G3796" s="9">
        <v>1538</v>
      </c>
      <c r="H3796" s="5" t="s">
        <v>21</v>
      </c>
      <c r="I3796" s="5" t="s">
        <v>9696</v>
      </c>
      <c r="J3796" s="12" t="str">
        <f>HYPERLINK("https://www.boe.es/gazeta/dias/1808/11/25/pdfs/GMD-1808-147.pdf#page=4","Abrir facsímil")</f>
        <v>Abrir facsímil</v>
      </c>
      <c r="K3796" s="15" t="s">
        <v>23</v>
      </c>
    </row>
    <row r="3797" spans="1:11" ht="42" customHeight="1">
      <c r="A3797" s="4" t="s">
        <v>9695</v>
      </c>
      <c r="B3797" s="5" t="s">
        <v>9695</v>
      </c>
      <c r="C3797" s="5" t="s">
        <v>17</v>
      </c>
      <c r="D3797" s="5" t="s">
        <v>18</v>
      </c>
      <c r="E3797" s="5" t="s">
        <v>1371</v>
      </c>
      <c r="F3797" s="9" t="s">
        <v>1372</v>
      </c>
      <c r="G3797" s="9">
        <v>1668</v>
      </c>
      <c r="H3797" s="5" t="s">
        <v>21</v>
      </c>
      <c r="I3797" s="5" t="s">
        <v>9697</v>
      </c>
      <c r="J3797" s="12" t="str">
        <f>HYPERLINK("https://www.boe.es/gazeta/dias/1808/12/24/pdfs/GMD-1808-164.pdf#page=2","Abrir facsímil")</f>
        <v>Abrir facsímil</v>
      </c>
      <c r="K3797" s="15" t="s">
        <v>23</v>
      </c>
    </row>
    <row r="3798" spans="1:11" ht="42" customHeight="1">
      <c r="A3798" s="4" t="s">
        <v>9698</v>
      </c>
      <c r="B3798" s="5" t="s">
        <v>9698</v>
      </c>
      <c r="C3798" s="5" t="s">
        <v>94</v>
      </c>
      <c r="D3798" s="5" t="s">
        <v>95</v>
      </c>
      <c r="E3798" s="5" t="s">
        <v>616</v>
      </c>
      <c r="F3798" s="9" t="s">
        <v>8009</v>
      </c>
      <c r="G3798" s="9">
        <v>186</v>
      </c>
      <c r="H3798" s="5" t="s">
        <v>21</v>
      </c>
      <c r="I3798" s="5" t="s">
        <v>9699</v>
      </c>
      <c r="J3798" s="12" t="str">
        <f>HYPERLINK("https://www.boe.es/gazeta/dias/1808/08/19/pdfs/GMS-1808-24.pdf#page=2","Abrir facsímil")</f>
        <v>Abrir facsímil</v>
      </c>
      <c r="K3798" s="15" t="s">
        <v>23</v>
      </c>
    </row>
    <row r="3799" spans="1:11" ht="42" customHeight="1">
      <c r="A3799" s="4" t="s">
        <v>9700</v>
      </c>
      <c r="B3799" s="5" t="s">
        <v>9701</v>
      </c>
      <c r="C3799" s="5" t="s">
        <v>260</v>
      </c>
      <c r="D3799" s="5" t="s">
        <v>42</v>
      </c>
      <c r="E3799" s="5" t="s">
        <v>469</v>
      </c>
      <c r="F3799" s="9" t="s">
        <v>470</v>
      </c>
      <c r="G3799" s="9">
        <v>152</v>
      </c>
      <c r="H3799" s="5" t="s">
        <v>21</v>
      </c>
      <c r="I3799" s="5" t="s">
        <v>9702</v>
      </c>
      <c r="J3799" s="12" t="str">
        <f>HYPERLINK("https://www.boe.es/gazeta/dias/1808/02/12/pdfs/GMD-1808-13.pdf#page=8","Abrir facsímil")</f>
        <v>Abrir facsímil</v>
      </c>
      <c r="K3799" s="15" t="s">
        <v>23</v>
      </c>
    </row>
    <row r="3800" spans="1:11" ht="42" customHeight="1">
      <c r="A3800" s="4" t="s">
        <v>9703</v>
      </c>
      <c r="B3800" s="5" t="s">
        <v>9704</v>
      </c>
      <c r="C3800" s="5" t="s">
        <v>260</v>
      </c>
      <c r="D3800" s="5" t="s">
        <v>42</v>
      </c>
      <c r="E3800" s="5" t="s">
        <v>96</v>
      </c>
      <c r="F3800" s="9" t="s">
        <v>97</v>
      </c>
      <c r="G3800" s="9">
        <v>265</v>
      </c>
      <c r="H3800" s="5" t="s">
        <v>21</v>
      </c>
      <c r="I3800" s="5" t="s">
        <v>9705</v>
      </c>
      <c r="J3800" s="12" t="str">
        <f>HYPERLINK("https://www.boe.es/gazeta/dias/1808/03/15/pdfs/GMD-1808-22.pdf#page=7","Abrir facsímil")</f>
        <v>Abrir facsímil</v>
      </c>
      <c r="K3800" s="15" t="s">
        <v>23</v>
      </c>
    </row>
    <row r="3801" spans="1:11" ht="42" customHeight="1">
      <c r="A3801" s="4" t="s">
        <v>9706</v>
      </c>
      <c r="B3801" s="5" t="s">
        <v>9707</v>
      </c>
      <c r="C3801" s="5" t="s">
        <v>260</v>
      </c>
      <c r="D3801" s="5" t="s">
        <v>42</v>
      </c>
      <c r="E3801" s="5" t="s">
        <v>469</v>
      </c>
      <c r="F3801" s="9" t="s">
        <v>470</v>
      </c>
      <c r="G3801" s="9">
        <v>153</v>
      </c>
      <c r="H3801" s="5" t="s">
        <v>21</v>
      </c>
      <c r="I3801" s="5" t="s">
        <v>9708</v>
      </c>
      <c r="J3801" s="12" t="str">
        <f>HYPERLINK("https://www.boe.es/gazeta/dias/1808/02/12/pdfs/GMD-1808-13.pdf#page=9","Abrir facsímil")</f>
        <v>Abrir facsímil</v>
      </c>
      <c r="K3801" s="15" t="s">
        <v>23</v>
      </c>
    </row>
    <row r="3802" spans="1:11" ht="42" customHeight="1">
      <c r="A3802" s="4" t="s">
        <v>9709</v>
      </c>
      <c r="B3802" s="5" t="s">
        <v>9709</v>
      </c>
      <c r="C3802" s="5" t="s">
        <v>41</v>
      </c>
      <c r="D3802" s="5" t="s">
        <v>42</v>
      </c>
      <c r="E3802" s="5" t="s">
        <v>73</v>
      </c>
      <c r="F3802" s="9" t="s">
        <v>74</v>
      </c>
      <c r="G3802" s="9" t="s">
        <v>117</v>
      </c>
      <c r="H3802" s="5" t="s">
        <v>21</v>
      </c>
      <c r="I3802" s="5" t="s">
        <v>9710</v>
      </c>
      <c r="J3802" s="12" t="str">
        <f>HYPERLINK("https://www.boe.es/gazeta/dias/1808/11/11/pdfs/GMD-D-1808-143.pdf#page=1","Abrir facsímil")</f>
        <v>Abrir facsímil</v>
      </c>
      <c r="K3802" s="15" t="s">
        <v>23</v>
      </c>
    </row>
    <row r="3803" spans="1:11" ht="42" customHeight="1">
      <c r="A3803" s="4" t="s">
        <v>9711</v>
      </c>
      <c r="B3803" s="5" t="s">
        <v>9711</v>
      </c>
      <c r="C3803" s="5" t="s">
        <v>94</v>
      </c>
      <c r="D3803" s="5" t="s">
        <v>95</v>
      </c>
      <c r="E3803" s="5" t="s">
        <v>363</v>
      </c>
      <c r="F3803" s="9" t="s">
        <v>364</v>
      </c>
      <c r="G3803" s="9" t="s">
        <v>106</v>
      </c>
      <c r="H3803" s="5" t="s">
        <v>21</v>
      </c>
      <c r="I3803" s="5" t="s">
        <v>9712</v>
      </c>
      <c r="J3803" s="12" t="str">
        <f>HYPERLINK("https://www.boe.es/gazeta/dias/1808/09/20/pdfs/GMD-C-1808-126.pdf#page=3","Abrir facsímil")</f>
        <v>Abrir facsímil</v>
      </c>
      <c r="K3803" s="15" t="s">
        <v>23</v>
      </c>
    </row>
    <row r="3804" spans="1:11" ht="42" customHeight="1">
      <c r="A3804" s="4" t="s">
        <v>9713</v>
      </c>
      <c r="B3804" s="5" t="s">
        <v>9714</v>
      </c>
      <c r="C3804" s="5" t="s">
        <v>41</v>
      </c>
      <c r="D3804" s="5" t="s">
        <v>42</v>
      </c>
      <c r="E3804" s="5" t="s">
        <v>35</v>
      </c>
      <c r="F3804" s="9" t="s">
        <v>36</v>
      </c>
      <c r="G3804" s="9" t="s">
        <v>148</v>
      </c>
      <c r="H3804" s="5" t="s">
        <v>21</v>
      </c>
      <c r="I3804" s="5" t="s">
        <v>9715</v>
      </c>
      <c r="J3804" s="12" t="str">
        <f>HYPERLINK("https://www.boe.es/gazeta/dias/1808/04/22/pdfs/GMD-C-1808-38.pdf#page=38","Abrir facsímil")</f>
        <v>Abrir facsímil</v>
      </c>
      <c r="K3804" s="15" t="s">
        <v>23</v>
      </c>
    </row>
    <row r="3805" spans="1:11" ht="42" customHeight="1">
      <c r="A3805" s="4" t="s">
        <v>9716</v>
      </c>
      <c r="B3805" s="5" t="s">
        <v>9716</v>
      </c>
      <c r="C3805" s="5" t="s">
        <v>41</v>
      </c>
      <c r="D3805" s="5" t="s">
        <v>42</v>
      </c>
      <c r="E3805" s="5" t="s">
        <v>35</v>
      </c>
      <c r="F3805" s="9" t="s">
        <v>36</v>
      </c>
      <c r="G3805" s="9" t="s">
        <v>414</v>
      </c>
      <c r="H3805" s="5" t="s">
        <v>21</v>
      </c>
      <c r="I3805" s="5" t="s">
        <v>9717</v>
      </c>
      <c r="J3805" s="12" t="str">
        <f>HYPERLINK("https://www.boe.es/gazeta/dias/1808/04/22/pdfs/GMD-C-1808-38.pdf#page=20","Abrir facsímil")</f>
        <v>Abrir facsímil</v>
      </c>
      <c r="K3805" s="15" t="s">
        <v>23</v>
      </c>
    </row>
    <row r="3806" spans="1:11" ht="42" customHeight="1">
      <c r="A3806" s="4" t="s">
        <v>9716</v>
      </c>
      <c r="B3806" s="5" t="s">
        <v>9716</v>
      </c>
      <c r="C3806" s="5" t="s">
        <v>33</v>
      </c>
      <c r="D3806" s="5" t="s">
        <v>34</v>
      </c>
      <c r="E3806" s="5" t="s">
        <v>35</v>
      </c>
      <c r="F3806" s="9" t="s">
        <v>36</v>
      </c>
      <c r="G3806" s="9" t="s">
        <v>324</v>
      </c>
      <c r="H3806" s="5" t="s">
        <v>21</v>
      </c>
      <c r="I3806" s="5" t="s">
        <v>9718</v>
      </c>
      <c r="J3806" s="12" t="str">
        <f>HYPERLINK("https://www.boe.es/gazeta/dias/1808/04/22/pdfs/GMD-C-1808-38.pdf#page=24","Abrir facsímil")</f>
        <v>Abrir facsímil</v>
      </c>
      <c r="K3806" s="15" t="s">
        <v>23</v>
      </c>
    </row>
    <row r="3807" spans="1:11" ht="42" customHeight="1">
      <c r="A3807" s="4" t="s">
        <v>9719</v>
      </c>
      <c r="B3807" s="5" t="s">
        <v>9719</v>
      </c>
      <c r="C3807" s="5" t="s">
        <v>33</v>
      </c>
      <c r="D3807" s="5" t="s">
        <v>34</v>
      </c>
      <c r="E3807" s="5" t="s">
        <v>427</v>
      </c>
      <c r="F3807" s="9" t="s">
        <v>428</v>
      </c>
      <c r="G3807" s="9" t="s">
        <v>75</v>
      </c>
      <c r="H3807" s="5" t="s">
        <v>21</v>
      </c>
      <c r="I3807" s="5" t="s">
        <v>9720</v>
      </c>
      <c r="J3807" s="12" t="str">
        <f>HYPERLINK("https://www.boe.es/gazeta/dias/1808/11/22/pdfs/GMD-D-1808-146.pdf#page=4","Abrir facsímil")</f>
        <v>Abrir facsímil</v>
      </c>
      <c r="K3807" s="15" t="s">
        <v>23</v>
      </c>
    </row>
    <row r="3808" spans="1:11" ht="42" customHeight="1">
      <c r="A3808" s="4" t="s">
        <v>9721</v>
      </c>
      <c r="B3808" s="5" t="s">
        <v>9721</v>
      </c>
      <c r="C3808" s="5" t="s">
        <v>94</v>
      </c>
      <c r="D3808" s="5" t="s">
        <v>95</v>
      </c>
      <c r="E3808" s="5" t="s">
        <v>974</v>
      </c>
      <c r="F3808" s="9" t="s">
        <v>975</v>
      </c>
      <c r="G3808" s="9">
        <v>391</v>
      </c>
      <c r="H3808" s="5" t="s">
        <v>21</v>
      </c>
      <c r="I3808" s="5" t="s">
        <v>9722</v>
      </c>
      <c r="J3808" s="12" t="str">
        <f>HYPERLINK("https://www.boe.es/gazeta/dias/1808/04/19/pdfs/GMD-1808-37.pdf#page=7","Abrir facsímil")</f>
        <v>Abrir facsímil</v>
      </c>
      <c r="K3808" s="15" t="s">
        <v>23</v>
      </c>
    </row>
    <row r="3809" spans="1:11" ht="42" customHeight="1">
      <c r="A3809" s="4" t="s">
        <v>9723</v>
      </c>
      <c r="B3809" s="5" t="s">
        <v>9723</v>
      </c>
      <c r="C3809" s="5" t="s">
        <v>17</v>
      </c>
      <c r="D3809" s="5" t="s">
        <v>18</v>
      </c>
      <c r="E3809" s="5" t="s">
        <v>391</v>
      </c>
      <c r="F3809" s="9" t="s">
        <v>454</v>
      </c>
      <c r="G3809" s="9">
        <v>274</v>
      </c>
      <c r="H3809" s="5" t="s">
        <v>21</v>
      </c>
      <c r="I3809" s="5" t="s">
        <v>9724</v>
      </c>
      <c r="J3809" s="12" t="str">
        <f>HYPERLINK("https://www.boe.es/gazeta/dias/1808/09/27/pdfs/GMS-1808-35.pdf#page=2","Abrir facsímil")</f>
        <v>Abrir facsímil</v>
      </c>
      <c r="K3809" s="15" t="s">
        <v>23</v>
      </c>
    </row>
    <row r="3810" spans="1:11" ht="42" customHeight="1">
      <c r="A3810" s="4" t="s">
        <v>9725</v>
      </c>
      <c r="B3810" s="5" t="s">
        <v>9725</v>
      </c>
      <c r="C3810" s="5" t="s">
        <v>17</v>
      </c>
      <c r="D3810" s="5" t="s">
        <v>18</v>
      </c>
      <c r="E3810" s="5" t="s">
        <v>110</v>
      </c>
      <c r="F3810" s="9" t="s">
        <v>111</v>
      </c>
      <c r="G3810" s="9">
        <v>1384</v>
      </c>
      <c r="H3810" s="5" t="s">
        <v>21</v>
      </c>
      <c r="I3810" s="5" t="s">
        <v>9726</v>
      </c>
      <c r="J3810" s="12" t="str">
        <f>HYPERLINK("https://www.boe.es/gazeta/dias/1808/10/28/pdfs/GMD-1808-138.pdf#page=10","Abrir facsímil")</f>
        <v>Abrir facsímil</v>
      </c>
      <c r="K3810" s="15" t="s">
        <v>23</v>
      </c>
    </row>
    <row r="3811" spans="1:11" ht="42" customHeight="1">
      <c r="A3811" s="4" t="s">
        <v>9727</v>
      </c>
      <c r="B3811" s="5" t="s">
        <v>9727</v>
      </c>
      <c r="C3811" s="5" t="s">
        <v>41</v>
      </c>
      <c r="D3811" s="5" t="s">
        <v>42</v>
      </c>
      <c r="E3811" s="5" t="s">
        <v>115</v>
      </c>
      <c r="F3811" s="9" t="s">
        <v>116</v>
      </c>
      <c r="G3811" s="9" t="s">
        <v>106</v>
      </c>
      <c r="H3811" s="5" t="s">
        <v>21</v>
      </c>
      <c r="I3811" s="5" t="s">
        <v>9728</v>
      </c>
      <c r="J3811" s="12" t="str">
        <f>HYPERLINK("https://www.boe.es/gazeta/dias/1808/09/16/pdfs/GMD-C-1808-125.pdf#page=3","Abrir facsímil")</f>
        <v>Abrir facsímil</v>
      </c>
      <c r="K3811" s="15" t="s">
        <v>23</v>
      </c>
    </row>
    <row r="3812" spans="1:11" ht="42" customHeight="1">
      <c r="A3812" s="4" t="s">
        <v>9729</v>
      </c>
      <c r="B3812" s="5" t="s">
        <v>9729</v>
      </c>
      <c r="C3812" s="5" t="s">
        <v>33</v>
      </c>
      <c r="D3812" s="5" t="s">
        <v>34</v>
      </c>
      <c r="E3812" s="5" t="s">
        <v>68</v>
      </c>
      <c r="F3812" s="9" t="s">
        <v>309</v>
      </c>
      <c r="G3812" s="9" t="s">
        <v>106</v>
      </c>
      <c r="H3812" s="5" t="s">
        <v>21</v>
      </c>
      <c r="I3812" s="5" t="s">
        <v>9730</v>
      </c>
      <c r="J3812" s="12" t="str">
        <f>HYPERLINK("https://www.boe.es/gazeta/dias/1808/10/21/pdfs/GMD-D-1808-136.pdf#page=3","Abrir facsímil")</f>
        <v>Abrir facsímil</v>
      </c>
      <c r="K3812" s="15" t="s">
        <v>23</v>
      </c>
    </row>
    <row r="3813" spans="1:11" ht="42" customHeight="1">
      <c r="A3813" s="4" t="s">
        <v>9731</v>
      </c>
      <c r="B3813" s="5" t="s">
        <v>9731</v>
      </c>
      <c r="C3813" s="5" t="s">
        <v>17</v>
      </c>
      <c r="D3813" s="5" t="s">
        <v>18</v>
      </c>
      <c r="E3813" s="5" t="s">
        <v>166</v>
      </c>
      <c r="F3813" s="9" t="s">
        <v>356</v>
      </c>
      <c r="G3813" s="9">
        <v>1508</v>
      </c>
      <c r="H3813" s="5" t="s">
        <v>21</v>
      </c>
      <c r="I3813" s="5" t="s">
        <v>9732</v>
      </c>
      <c r="J3813" s="12" t="str">
        <f>HYPERLINK("https://www.boe.es/gazeta/dias/1808/11/18/pdfs/GMD-1808-145.pdf#page=6","Abrir facsímil")</f>
        <v>Abrir facsímil</v>
      </c>
      <c r="K3813" s="15" t="s">
        <v>23</v>
      </c>
    </row>
    <row r="3814" spans="1:11" ht="42" customHeight="1">
      <c r="A3814" s="4" t="s">
        <v>9733</v>
      </c>
      <c r="B3814" s="5" t="s">
        <v>9733</v>
      </c>
      <c r="C3814" s="5" t="s">
        <v>33</v>
      </c>
      <c r="D3814" s="5" t="s">
        <v>34</v>
      </c>
      <c r="E3814" s="5" t="s">
        <v>35</v>
      </c>
      <c r="F3814" s="9" t="s">
        <v>36</v>
      </c>
      <c r="G3814" s="9" t="s">
        <v>1075</v>
      </c>
      <c r="H3814" s="5" t="s">
        <v>21</v>
      </c>
      <c r="I3814" s="5" t="s">
        <v>9734</v>
      </c>
      <c r="J3814" s="12" t="str">
        <f>HYPERLINK("https://www.boe.es/gazeta/dias/1808/04/22/pdfs/GMD-C-1808-38.pdf#page=32","Abrir facsímil")</f>
        <v>Abrir facsímil</v>
      </c>
      <c r="K3814" s="15" t="s">
        <v>23</v>
      </c>
    </row>
    <row r="3815" spans="1:11" ht="42" customHeight="1">
      <c r="A3815" s="4" t="s">
        <v>9735</v>
      </c>
      <c r="B3815" s="5" t="s">
        <v>9735</v>
      </c>
      <c r="C3815" s="5" t="s">
        <v>41</v>
      </c>
      <c r="D3815" s="5" t="s">
        <v>42</v>
      </c>
      <c r="E3815" s="5" t="s">
        <v>35</v>
      </c>
      <c r="F3815" s="9" t="s">
        <v>36</v>
      </c>
      <c r="G3815" s="9" t="s">
        <v>47</v>
      </c>
      <c r="H3815" s="5" t="s">
        <v>21</v>
      </c>
      <c r="I3815" s="5" t="s">
        <v>9736</v>
      </c>
      <c r="J3815" s="12" t="str">
        <f>HYPERLINK("https://www.boe.es/gazeta/dias/1808/04/22/pdfs/GMD-C-1808-38.pdf#page=13","Abrir facsímil")</f>
        <v>Abrir facsímil</v>
      </c>
      <c r="K3815" s="15" t="s">
        <v>23</v>
      </c>
    </row>
    <row r="3816" spans="1:11" ht="42" customHeight="1">
      <c r="A3816" s="4" t="s">
        <v>9737</v>
      </c>
      <c r="B3816" s="5" t="s">
        <v>9737</v>
      </c>
      <c r="C3816" s="5" t="s">
        <v>33</v>
      </c>
      <c r="D3816" s="5" t="s">
        <v>34</v>
      </c>
      <c r="E3816" s="5" t="s">
        <v>558</v>
      </c>
      <c r="F3816" s="9" t="s">
        <v>758</v>
      </c>
      <c r="G3816" s="9" t="s">
        <v>75</v>
      </c>
      <c r="H3816" s="5" t="s">
        <v>21</v>
      </c>
      <c r="I3816" s="5" t="s">
        <v>9738</v>
      </c>
      <c r="J3816" s="12" t="str">
        <f>HYPERLINK("https://www.boe.es/gazeta/dias/1808/11/25/pdfs/GMD-E-1808-147.pdf#page=4","Abrir facsímil")</f>
        <v>Abrir facsímil</v>
      </c>
      <c r="K3816" s="15" t="s">
        <v>23</v>
      </c>
    </row>
    <row r="3817" spans="1:11" ht="42" customHeight="1">
      <c r="A3817" s="4" t="s">
        <v>9739</v>
      </c>
      <c r="B3817" s="5" t="s">
        <v>9740</v>
      </c>
      <c r="C3817" s="5" t="s">
        <v>94</v>
      </c>
      <c r="D3817" s="5" t="s">
        <v>95</v>
      </c>
      <c r="E3817" s="5" t="s">
        <v>210</v>
      </c>
      <c r="F3817" s="9" t="s">
        <v>211</v>
      </c>
      <c r="G3817" s="9">
        <v>253</v>
      </c>
      <c r="H3817" s="5" t="s">
        <v>21</v>
      </c>
      <c r="I3817" s="5" t="s">
        <v>9741</v>
      </c>
      <c r="J3817" s="12" t="str">
        <f>HYPERLINK("https://www.boe.es/gazeta/dias/1808/03/11/pdfs/GMD-1808-21.pdf#page=7","Abrir facsímil")</f>
        <v>Abrir facsímil</v>
      </c>
      <c r="K3817" s="15" t="s">
        <v>23</v>
      </c>
    </row>
    <row r="3818" spans="1:11" ht="42" customHeight="1">
      <c r="A3818" s="4" t="s">
        <v>9742</v>
      </c>
      <c r="B3818" s="5" t="s">
        <v>9743</v>
      </c>
      <c r="C3818" s="5" t="s">
        <v>101</v>
      </c>
      <c r="D3818" s="5" t="s">
        <v>102</v>
      </c>
      <c r="E3818" s="5" t="s">
        <v>473</v>
      </c>
      <c r="F3818" s="9" t="s">
        <v>474</v>
      </c>
      <c r="G3818" s="9">
        <v>703</v>
      </c>
      <c r="H3818" s="5" t="s">
        <v>21</v>
      </c>
      <c r="I3818" s="5" t="s">
        <v>9744</v>
      </c>
      <c r="J3818" s="12" t="str">
        <f>HYPERLINK("https://www.boe.es/gazeta/dias/1808/07/02/pdfs/GMD-1808-74.pdf#page=1","Abrir facsímil")</f>
        <v>Abrir facsímil</v>
      </c>
      <c r="K3818" s="15" t="s">
        <v>23</v>
      </c>
    </row>
    <row r="3819" spans="1:11" ht="42" customHeight="1">
      <c r="A3819" s="4" t="s">
        <v>9745</v>
      </c>
      <c r="B3819" s="5" t="s">
        <v>9745</v>
      </c>
      <c r="C3819" s="5" t="s">
        <v>94</v>
      </c>
      <c r="D3819" s="5" t="s">
        <v>95</v>
      </c>
      <c r="E3819" s="5" t="s">
        <v>493</v>
      </c>
      <c r="F3819" s="9" t="s">
        <v>494</v>
      </c>
      <c r="G3819" s="9">
        <v>41</v>
      </c>
      <c r="H3819" s="5" t="s">
        <v>21</v>
      </c>
      <c r="I3819" s="5" t="s">
        <v>9746</v>
      </c>
      <c r="J3819" s="12" t="str">
        <f>HYPERLINK("https://www.boe.es/gazeta/dias/1808/01/12/pdfs/GMD-1808-4.pdf#page=5","Abrir facsímil")</f>
        <v>Abrir facsímil</v>
      </c>
      <c r="K3819" s="15" t="s">
        <v>23</v>
      </c>
    </row>
    <row r="3820" spans="1:11" ht="42" customHeight="1">
      <c r="A3820" s="4" t="s">
        <v>9747</v>
      </c>
      <c r="B3820" s="5" t="s">
        <v>9748</v>
      </c>
      <c r="C3820" s="5" t="s">
        <v>17</v>
      </c>
      <c r="D3820" s="5" t="s">
        <v>18</v>
      </c>
      <c r="E3820" s="5" t="s">
        <v>1385</v>
      </c>
      <c r="F3820" s="9" t="s">
        <v>1386</v>
      </c>
      <c r="G3820" s="9">
        <v>227</v>
      </c>
      <c r="H3820" s="5" t="s">
        <v>21</v>
      </c>
      <c r="I3820" s="5" t="s">
        <v>9749</v>
      </c>
      <c r="J3820" s="12" t="str">
        <f>HYPERLINK("https://www.boe.es/gazeta/dias/1808/03/04/pdfs/GMD-1808-19.pdf#page=5","Abrir facsímil")</f>
        <v>Abrir facsímil</v>
      </c>
      <c r="K3820" s="15" t="s">
        <v>23</v>
      </c>
    </row>
    <row r="3821" spans="1:11" ht="42" customHeight="1">
      <c r="A3821" s="4" t="s">
        <v>9750</v>
      </c>
      <c r="B3821" s="5" t="s">
        <v>9750</v>
      </c>
      <c r="C3821" s="5" t="s">
        <v>94</v>
      </c>
      <c r="D3821" s="5" t="s">
        <v>95</v>
      </c>
      <c r="E3821" s="5" t="s">
        <v>663</v>
      </c>
      <c r="F3821" s="9" t="s">
        <v>664</v>
      </c>
      <c r="G3821" s="9">
        <v>200</v>
      </c>
      <c r="H3821" s="5" t="s">
        <v>21</v>
      </c>
      <c r="I3821" s="5" t="s">
        <v>9751</v>
      </c>
      <c r="J3821" s="12" t="str">
        <f>HYPERLINK("https://www.boe.es/gazeta/dias/1808/02/26/pdfs/GMD-1808-17.pdf#page=2","Abrir facsímil")</f>
        <v>Abrir facsímil</v>
      </c>
      <c r="K3821" s="15" t="s">
        <v>23</v>
      </c>
    </row>
    <row r="3822" spans="1:11" ht="42" customHeight="1">
      <c r="A3822" s="4" t="s">
        <v>9752</v>
      </c>
      <c r="B3822" s="5" t="s">
        <v>9753</v>
      </c>
      <c r="C3822" s="5" t="s">
        <v>33</v>
      </c>
      <c r="D3822" s="5" t="s">
        <v>34</v>
      </c>
      <c r="E3822" s="5" t="s">
        <v>115</v>
      </c>
      <c r="F3822" s="9" t="s">
        <v>116</v>
      </c>
      <c r="G3822" s="9" t="s">
        <v>117</v>
      </c>
      <c r="H3822" s="5" t="s">
        <v>21</v>
      </c>
      <c r="I3822" s="5" t="s">
        <v>9754</v>
      </c>
      <c r="J3822" s="12" t="str">
        <f>HYPERLINK("https://www.boe.es/gazeta/dias/1808/09/16/pdfs/GMD-C-1808-125.pdf#page=1","Abrir facsímil")</f>
        <v>Abrir facsímil</v>
      </c>
      <c r="K3822" s="15" t="s">
        <v>23</v>
      </c>
    </row>
    <row r="3823" spans="1:11" ht="42" customHeight="1">
      <c r="A3823" s="4" t="s">
        <v>9755</v>
      </c>
      <c r="B3823" s="5" t="s">
        <v>9755</v>
      </c>
      <c r="C3823" s="5" t="s">
        <v>94</v>
      </c>
      <c r="D3823" s="5" t="s">
        <v>95</v>
      </c>
      <c r="E3823" s="5" t="s">
        <v>539</v>
      </c>
      <c r="F3823" s="9" t="s">
        <v>540</v>
      </c>
      <c r="G3823" s="9">
        <v>1112</v>
      </c>
      <c r="H3823" s="5" t="s">
        <v>21</v>
      </c>
      <c r="I3823" s="5" t="s">
        <v>9756</v>
      </c>
      <c r="J3823" s="12" t="str">
        <f>HYPERLINK("https://www.boe.es/gazeta/dias/1808/09/02/pdfs/GMD-1808-119.pdf#page=6","Abrir facsímil")</f>
        <v>Abrir facsímil</v>
      </c>
      <c r="K3823" s="15" t="s">
        <v>23</v>
      </c>
    </row>
    <row r="3824" spans="1:11" ht="42" customHeight="1">
      <c r="A3824" s="4" t="s">
        <v>9757</v>
      </c>
      <c r="B3824" s="5" t="s">
        <v>9757</v>
      </c>
      <c r="C3824" s="5" t="s">
        <v>41</v>
      </c>
      <c r="D3824" s="5" t="s">
        <v>42</v>
      </c>
      <c r="E3824" s="5" t="s">
        <v>974</v>
      </c>
      <c r="F3824" s="9" t="s">
        <v>975</v>
      </c>
      <c r="G3824" s="9">
        <v>392</v>
      </c>
      <c r="H3824" s="5" t="s">
        <v>21</v>
      </c>
      <c r="I3824" s="5" t="s">
        <v>9758</v>
      </c>
      <c r="J3824" s="12" t="str">
        <f>HYPERLINK("https://www.boe.es/gazeta/dias/1808/04/19/pdfs/GMD-1808-37.pdf#page=8","Abrir facsímil")</f>
        <v>Abrir facsímil</v>
      </c>
      <c r="K3824" s="15" t="s">
        <v>23</v>
      </c>
    </row>
    <row r="3825" spans="1:11" ht="42" customHeight="1">
      <c r="A3825" s="4" t="s">
        <v>9759</v>
      </c>
      <c r="B3825" s="5" t="s">
        <v>9760</v>
      </c>
      <c r="C3825" s="5" t="s">
        <v>17</v>
      </c>
      <c r="D3825" s="5" t="s">
        <v>18</v>
      </c>
      <c r="E3825" s="5" t="s">
        <v>427</v>
      </c>
      <c r="F3825" s="9" t="s">
        <v>1802</v>
      </c>
      <c r="G3825" s="9">
        <v>1520</v>
      </c>
      <c r="H3825" s="5" t="s">
        <v>21</v>
      </c>
      <c r="I3825" s="5" t="s">
        <v>9761</v>
      </c>
      <c r="J3825" s="12" t="str">
        <f>HYPERLINK("https://www.boe.es/gazeta/dias/1808/11/22/pdfs/GMD-1808-146.pdf#page=6","Abrir facsímil")</f>
        <v>Abrir facsímil</v>
      </c>
      <c r="K3825" s="15" t="s">
        <v>23</v>
      </c>
    </row>
    <row r="3826" spans="1:11" ht="42" customHeight="1">
      <c r="A3826" s="4" t="s">
        <v>9762</v>
      </c>
      <c r="B3826" s="5" t="s">
        <v>9763</v>
      </c>
      <c r="C3826" s="5" t="s">
        <v>94</v>
      </c>
      <c r="D3826" s="5" t="s">
        <v>95</v>
      </c>
      <c r="E3826" s="5" t="s">
        <v>185</v>
      </c>
      <c r="F3826" s="9" t="s">
        <v>6822</v>
      </c>
      <c r="G3826" s="9">
        <v>216</v>
      </c>
      <c r="H3826" s="5" t="s">
        <v>21</v>
      </c>
      <c r="I3826" s="5" t="s">
        <v>9764</v>
      </c>
      <c r="J3826" s="12" t="str">
        <f>HYPERLINK("https://www.boe.es/gazeta/dias/1808/08/30/pdfs/GMS-1808-27.pdf#page=8","Abrir facsímil")</f>
        <v>Abrir facsímil</v>
      </c>
      <c r="K3826" s="15" t="s">
        <v>23</v>
      </c>
    </row>
    <row r="3827" spans="1:11" ht="42" customHeight="1">
      <c r="A3827" s="4" t="s">
        <v>9762</v>
      </c>
      <c r="B3827" s="5" t="s">
        <v>9763</v>
      </c>
      <c r="C3827" s="5" t="s">
        <v>94</v>
      </c>
      <c r="D3827" s="5" t="s">
        <v>95</v>
      </c>
      <c r="E3827" s="5" t="s">
        <v>125</v>
      </c>
      <c r="F3827" s="9" t="s">
        <v>397</v>
      </c>
      <c r="G3827" s="9">
        <v>1265</v>
      </c>
      <c r="H3827" s="5" t="s">
        <v>21</v>
      </c>
      <c r="I3827" s="5" t="s">
        <v>9765</v>
      </c>
      <c r="J3827" s="12" t="str">
        <f>HYPERLINK("https://www.boe.es/gazeta/dias/1808/10/07/pdfs/GMD-1808-132.pdf#page=5","Abrir facsímil")</f>
        <v>Abrir facsímil</v>
      </c>
      <c r="K3827" s="15" t="s">
        <v>23</v>
      </c>
    </row>
    <row r="3828" spans="1:11" ht="42" customHeight="1">
      <c r="A3828" s="4" t="s">
        <v>9766</v>
      </c>
      <c r="B3828" s="5" t="s">
        <v>9767</v>
      </c>
      <c r="C3828" s="5" t="s">
        <v>41</v>
      </c>
      <c r="D3828" s="5" t="s">
        <v>42</v>
      </c>
      <c r="E3828" s="5" t="s">
        <v>89</v>
      </c>
      <c r="F3828" s="9" t="s">
        <v>1247</v>
      </c>
      <c r="G3828" s="9">
        <v>1374</v>
      </c>
      <c r="H3828" s="5" t="s">
        <v>21</v>
      </c>
      <c r="I3828" s="5" t="s">
        <v>9768</v>
      </c>
      <c r="J3828" s="12" t="str">
        <f>HYPERLINK("https://www.boe.es/gazeta/dias/1808/10/25/pdfs/GMD-C-1808-137.pdf#page=10","Abrir facsímil")</f>
        <v>Abrir facsímil</v>
      </c>
      <c r="K3828" s="15" t="s">
        <v>23</v>
      </c>
    </row>
    <row r="3829" spans="1:11" ht="42" customHeight="1">
      <c r="A3829" s="4" t="s">
        <v>9769</v>
      </c>
      <c r="B3829" s="5" t="s">
        <v>9770</v>
      </c>
      <c r="C3829" s="5" t="s">
        <v>17</v>
      </c>
      <c r="D3829" s="5" t="s">
        <v>18</v>
      </c>
      <c r="E3829" s="5" t="s">
        <v>522</v>
      </c>
      <c r="F3829" s="9" t="s">
        <v>523</v>
      </c>
      <c r="G3829" s="9">
        <v>983</v>
      </c>
      <c r="H3829" s="5" t="s">
        <v>21</v>
      </c>
      <c r="I3829" s="5" t="s">
        <v>9771</v>
      </c>
      <c r="J3829" s="12" t="str">
        <f>HYPERLINK("https://www.boe.es/gazeta/dias/1808/08/07/pdfs/GMD-1808-110.pdf#page=5","Abrir facsímil")</f>
        <v>Abrir facsímil</v>
      </c>
      <c r="K3829" s="15" t="s">
        <v>23</v>
      </c>
    </row>
    <row r="3830" spans="1:11" ht="42" customHeight="1">
      <c r="A3830" s="4" t="s">
        <v>9772</v>
      </c>
      <c r="B3830" s="5" t="s">
        <v>9773</v>
      </c>
      <c r="C3830" s="5" t="s">
        <v>33</v>
      </c>
      <c r="D3830" s="5" t="s">
        <v>34</v>
      </c>
      <c r="E3830" s="5" t="s">
        <v>35</v>
      </c>
      <c r="F3830" s="9" t="s">
        <v>36</v>
      </c>
      <c r="G3830" s="9" t="s">
        <v>1178</v>
      </c>
      <c r="H3830" s="5" t="s">
        <v>21</v>
      </c>
      <c r="I3830" s="5" t="s">
        <v>9774</v>
      </c>
      <c r="J3830" s="12" t="str">
        <f>HYPERLINK("https://www.boe.es/gazeta/dias/1808/04/22/pdfs/GMD-C-1808-38.pdf#page=9","Abrir facsímil")</f>
        <v>Abrir facsímil</v>
      </c>
      <c r="K3830" s="15" t="s">
        <v>23</v>
      </c>
    </row>
    <row r="3831" spans="1:11" ht="42" customHeight="1">
      <c r="A3831" s="4" t="s">
        <v>9775</v>
      </c>
      <c r="B3831" s="5" t="s">
        <v>9776</v>
      </c>
      <c r="C3831" s="5" t="s">
        <v>94</v>
      </c>
      <c r="D3831" s="5" t="s">
        <v>95</v>
      </c>
      <c r="E3831" s="5" t="s">
        <v>431</v>
      </c>
      <c r="F3831" s="9" t="s">
        <v>432</v>
      </c>
      <c r="G3831" s="9">
        <v>490</v>
      </c>
      <c r="H3831" s="5" t="s">
        <v>21</v>
      </c>
      <c r="I3831" s="5" t="s">
        <v>9777</v>
      </c>
      <c r="J3831" s="12" t="str">
        <f>HYPERLINK("https://www.boe.es/gazeta/dias/1808/12/27/pdfs/GMS-1808-61.pdf#page=6","Abrir facsímil")</f>
        <v>Abrir facsímil</v>
      </c>
      <c r="K3831" s="15" t="s">
        <v>23</v>
      </c>
    </row>
    <row r="3832" spans="1:11" ht="42" customHeight="1">
      <c r="A3832" s="4" t="s">
        <v>9778</v>
      </c>
      <c r="B3832" s="5" t="s">
        <v>9779</v>
      </c>
      <c r="C3832" s="5" t="s">
        <v>94</v>
      </c>
      <c r="D3832" s="5" t="s">
        <v>95</v>
      </c>
      <c r="E3832" s="5" t="s">
        <v>203</v>
      </c>
      <c r="F3832" s="9" t="s">
        <v>204</v>
      </c>
      <c r="G3832" s="9">
        <v>141</v>
      </c>
      <c r="H3832" s="5" t="s">
        <v>21</v>
      </c>
      <c r="I3832" s="5" t="s">
        <v>9780</v>
      </c>
      <c r="J3832" s="12" t="str">
        <f>HYPERLINK("https://www.boe.es/gazeta/dias/1808/02/09/pdfs/GMD-1808-12.pdf#page=9","Abrir facsímil")</f>
        <v>Abrir facsímil</v>
      </c>
      <c r="K3832" s="15" t="s">
        <v>23</v>
      </c>
    </row>
    <row r="3833" spans="1:11" ht="42" customHeight="1">
      <c r="A3833" s="4" t="s">
        <v>9781</v>
      </c>
      <c r="B3833" s="5" t="s">
        <v>9781</v>
      </c>
      <c r="C3833" s="5" t="s">
        <v>260</v>
      </c>
      <c r="D3833" s="5" t="s">
        <v>42</v>
      </c>
      <c r="E3833" s="5" t="s">
        <v>1210</v>
      </c>
      <c r="F3833" s="9" t="s">
        <v>1211</v>
      </c>
      <c r="G3833" s="9">
        <v>453</v>
      </c>
      <c r="H3833" s="5" t="s">
        <v>21</v>
      </c>
      <c r="I3833" s="5" t="s">
        <v>9782</v>
      </c>
      <c r="J3833" s="12" t="str">
        <f>HYPERLINK("https://www.boe.es/gazeta/dias/1808/05/13/pdfs/GMD-1808-46.pdf#page=5","Abrir facsímil")</f>
        <v>Abrir facsímil</v>
      </c>
      <c r="K3833" s="15" t="s">
        <v>23</v>
      </c>
    </row>
    <row r="3834" spans="1:11" ht="42" customHeight="1">
      <c r="A3834" s="4" t="s">
        <v>9783</v>
      </c>
      <c r="B3834" s="5" t="s">
        <v>9784</v>
      </c>
      <c r="C3834" s="5" t="s">
        <v>17</v>
      </c>
      <c r="D3834" s="5" t="s">
        <v>18</v>
      </c>
      <c r="E3834" s="5" t="s">
        <v>61</v>
      </c>
      <c r="F3834" s="9" t="s">
        <v>62</v>
      </c>
      <c r="G3834" s="9">
        <v>1286</v>
      </c>
      <c r="H3834" s="5" t="s">
        <v>21</v>
      </c>
      <c r="I3834" s="5" t="s">
        <v>9785</v>
      </c>
      <c r="J3834" s="12" t="str">
        <f>HYPERLINK("https://www.boe.es/gazeta/dias/1808/10/11/pdfs/GMD-1808-133.pdf#page=14","Abrir facsímil")</f>
        <v>Abrir facsímil</v>
      </c>
      <c r="K3834" s="15" t="s">
        <v>23</v>
      </c>
    </row>
    <row r="3835" spans="1:11" ht="42" customHeight="1">
      <c r="A3835" s="4" t="s">
        <v>9786</v>
      </c>
      <c r="B3835" s="5" t="s">
        <v>9787</v>
      </c>
      <c r="C3835" s="5" t="s">
        <v>33</v>
      </c>
      <c r="D3835" s="5" t="s">
        <v>34</v>
      </c>
      <c r="E3835" s="5" t="s">
        <v>68</v>
      </c>
      <c r="F3835" s="9" t="s">
        <v>309</v>
      </c>
      <c r="G3835" s="9" t="s">
        <v>106</v>
      </c>
      <c r="H3835" s="5" t="s">
        <v>21</v>
      </c>
      <c r="I3835" s="5" t="s">
        <v>9788</v>
      </c>
      <c r="J3835" s="12" t="str">
        <f>HYPERLINK("https://www.boe.es/gazeta/dias/1808/10/21/pdfs/GMD-D-1808-136.pdf#page=3","Abrir facsímil")</f>
        <v>Abrir facsímil</v>
      </c>
      <c r="K3835" s="15" t="s">
        <v>23</v>
      </c>
    </row>
    <row r="3836" spans="1:11" ht="42" customHeight="1">
      <c r="A3836" s="4" t="s">
        <v>9789</v>
      </c>
      <c r="B3836" s="5" t="s">
        <v>9789</v>
      </c>
      <c r="C3836" s="5" t="s">
        <v>17</v>
      </c>
      <c r="D3836" s="5" t="s">
        <v>18</v>
      </c>
      <c r="E3836" s="5" t="s">
        <v>203</v>
      </c>
      <c r="F3836" s="9" t="s">
        <v>204</v>
      </c>
      <c r="G3836" s="9">
        <v>144</v>
      </c>
      <c r="H3836" s="5" t="s">
        <v>21</v>
      </c>
      <c r="I3836" s="5" t="s">
        <v>9790</v>
      </c>
      <c r="J3836" s="12" t="str">
        <f>HYPERLINK("https://www.boe.es/gazeta/dias/1808/02/09/pdfs/GMD-1808-12.pdf#page=12","Abrir facsímil")</f>
        <v>Abrir facsímil</v>
      </c>
      <c r="K3836" s="15" t="s">
        <v>23</v>
      </c>
    </row>
    <row r="3837" spans="1:11" ht="42" customHeight="1">
      <c r="A3837" s="4" t="s">
        <v>9791</v>
      </c>
      <c r="B3837" s="5" t="s">
        <v>9792</v>
      </c>
      <c r="C3837" s="5" t="s">
        <v>41</v>
      </c>
      <c r="D3837" s="5" t="s">
        <v>42</v>
      </c>
      <c r="E3837" s="5" t="s">
        <v>218</v>
      </c>
      <c r="F3837" s="9" t="s">
        <v>219</v>
      </c>
      <c r="G3837" s="9">
        <v>332</v>
      </c>
      <c r="H3837" s="5" t="s">
        <v>21</v>
      </c>
      <c r="I3837" s="5" t="s">
        <v>9793</v>
      </c>
      <c r="J3837" s="12" t="str">
        <f>HYPERLINK("https://www.boe.es/gazeta/dias/1808/04/01/pdfs/GMD-1808-29.pdf#page=8","Abrir facsímil")</f>
        <v>Abrir facsímil</v>
      </c>
      <c r="K3837" s="15" t="s">
        <v>23</v>
      </c>
    </row>
    <row r="3838" spans="1:11" ht="42" customHeight="1">
      <c r="A3838" s="4" t="s">
        <v>9791</v>
      </c>
      <c r="B3838" s="5" t="s">
        <v>9792</v>
      </c>
      <c r="C3838" s="5" t="s">
        <v>17</v>
      </c>
      <c r="D3838" s="5" t="s">
        <v>18</v>
      </c>
      <c r="E3838" s="5" t="s">
        <v>1791</v>
      </c>
      <c r="F3838" s="9" t="s">
        <v>2814</v>
      </c>
      <c r="G3838" s="9">
        <v>930</v>
      </c>
      <c r="H3838" s="5" t="s">
        <v>21</v>
      </c>
      <c r="I3838" s="5" t="s">
        <v>9794</v>
      </c>
      <c r="J3838" s="12" t="str">
        <f>HYPERLINK("https://www.boe.es/gazeta/dias/1808/07/30/pdfs/GMD-1808-102.pdf#page=4","Abrir facsímil")</f>
        <v>Abrir facsímil</v>
      </c>
      <c r="K3838" s="15" t="s">
        <v>23</v>
      </c>
    </row>
    <row r="3839" spans="1:11" ht="42" customHeight="1">
      <c r="A3839" s="4" t="s">
        <v>9791</v>
      </c>
      <c r="B3839" s="5" t="s">
        <v>9792</v>
      </c>
      <c r="C3839" s="5" t="s">
        <v>17</v>
      </c>
      <c r="D3839" s="5" t="s">
        <v>18</v>
      </c>
      <c r="E3839" s="5" t="s">
        <v>427</v>
      </c>
      <c r="F3839" s="9" t="s">
        <v>1802</v>
      </c>
      <c r="G3839" s="9">
        <v>1525</v>
      </c>
      <c r="H3839" s="5" t="s">
        <v>21</v>
      </c>
      <c r="I3839" s="5" t="s">
        <v>9795</v>
      </c>
      <c r="J3839" s="12" t="str">
        <f>HYPERLINK("https://www.boe.es/gazeta/dias/1808/11/22/pdfs/GMD-1808-146.pdf#page=11","Abrir facsímil")</f>
        <v>Abrir facsímil</v>
      </c>
      <c r="K3839" s="15" t="s">
        <v>23</v>
      </c>
    </row>
    <row r="3840" spans="1:11" ht="42" customHeight="1">
      <c r="A3840" s="4" t="s">
        <v>9796</v>
      </c>
      <c r="B3840" s="5" t="s">
        <v>9797</v>
      </c>
      <c r="C3840" s="5" t="s">
        <v>389</v>
      </c>
      <c r="D3840" s="5" t="s">
        <v>390</v>
      </c>
      <c r="E3840" s="5" t="s">
        <v>391</v>
      </c>
      <c r="F3840" s="9" t="s">
        <v>588</v>
      </c>
      <c r="G3840" s="9" t="s">
        <v>106</v>
      </c>
      <c r="H3840" s="5" t="s">
        <v>21</v>
      </c>
      <c r="I3840" s="5" t="s">
        <v>9798</v>
      </c>
      <c r="J3840" s="12" t="str">
        <f>HYPERLINK("https://www.boe.es/gazeta/dias/1808/09/27/pdfs/GMD-C-1808-128.pdf#page=3","Abrir facsímil")</f>
        <v>Abrir facsímil</v>
      </c>
      <c r="K3840" s="15" t="s">
        <v>23</v>
      </c>
    </row>
    <row r="3841" spans="1:11" ht="42" customHeight="1">
      <c r="A3841" s="4" t="s">
        <v>9799</v>
      </c>
      <c r="B3841" s="5" t="s">
        <v>9799</v>
      </c>
      <c r="C3841" s="5" t="s">
        <v>389</v>
      </c>
      <c r="D3841" s="5" t="s">
        <v>390</v>
      </c>
      <c r="E3841" s="5" t="s">
        <v>2856</v>
      </c>
      <c r="F3841" s="9" t="s">
        <v>6466</v>
      </c>
      <c r="G3841" s="9">
        <v>963</v>
      </c>
      <c r="H3841" s="5" t="s">
        <v>21</v>
      </c>
      <c r="I3841" s="5" t="s">
        <v>9800</v>
      </c>
      <c r="J3841" s="12" t="str">
        <f>HYPERLINK("https://www.boe.es/gazeta/dias/1808/08/03/pdfs/GMD-1808-106.pdf#page=5","Abrir facsímil")</f>
        <v>Abrir facsímil</v>
      </c>
      <c r="K3841" s="15" t="s">
        <v>23</v>
      </c>
    </row>
    <row r="3842" spans="1:11" ht="42" customHeight="1">
      <c r="A3842" s="4" t="s">
        <v>9799</v>
      </c>
      <c r="B3842" s="5" t="s">
        <v>9799</v>
      </c>
      <c r="C3842" s="5" t="s">
        <v>17</v>
      </c>
      <c r="D3842" s="5" t="s">
        <v>18</v>
      </c>
      <c r="E3842" s="5" t="s">
        <v>2856</v>
      </c>
      <c r="F3842" s="9" t="s">
        <v>6466</v>
      </c>
      <c r="G3842" s="9">
        <v>964</v>
      </c>
      <c r="H3842" s="5" t="s">
        <v>21</v>
      </c>
      <c r="I3842" s="5" t="s">
        <v>9801</v>
      </c>
      <c r="J3842" s="12" t="str">
        <f>HYPERLINK("https://www.boe.es/gazeta/dias/1808/08/03/pdfs/GMD-1808-106.pdf#page=6","Abrir facsímil")</f>
        <v>Abrir facsímil</v>
      </c>
      <c r="K3842" s="15" t="s">
        <v>23</v>
      </c>
    </row>
    <row r="3843" spans="1:11" ht="42" customHeight="1">
      <c r="A3843" s="4" t="s">
        <v>9799</v>
      </c>
      <c r="B3843" s="5" t="s">
        <v>9799</v>
      </c>
      <c r="C3843" s="5" t="s">
        <v>17</v>
      </c>
      <c r="D3843" s="5" t="s">
        <v>18</v>
      </c>
      <c r="E3843" s="5" t="s">
        <v>2856</v>
      </c>
      <c r="F3843" s="9" t="s">
        <v>6466</v>
      </c>
      <c r="G3843" s="9">
        <v>965</v>
      </c>
      <c r="H3843" s="5" t="s">
        <v>21</v>
      </c>
      <c r="I3843" s="5" t="s">
        <v>9802</v>
      </c>
      <c r="J3843" s="12" t="str">
        <f>HYPERLINK("https://www.boe.es/gazeta/dias/1808/08/03/pdfs/GMD-1808-106.pdf#page=7","Abrir facsímil")</f>
        <v>Abrir facsímil</v>
      </c>
      <c r="K3843" s="15" t="s">
        <v>23</v>
      </c>
    </row>
    <row r="3844" spans="1:11" ht="42" customHeight="1">
      <c r="A3844" s="4" t="s">
        <v>9803</v>
      </c>
      <c r="B3844" s="5" t="s">
        <v>9803</v>
      </c>
      <c r="C3844" s="5" t="s">
        <v>94</v>
      </c>
      <c r="D3844" s="5" t="s">
        <v>95</v>
      </c>
      <c r="E3844" s="5" t="s">
        <v>2856</v>
      </c>
      <c r="F3844" s="9" t="s">
        <v>6466</v>
      </c>
      <c r="G3844" s="9">
        <v>965</v>
      </c>
      <c r="H3844" s="5" t="s">
        <v>21</v>
      </c>
      <c r="I3844" s="5" t="s">
        <v>9804</v>
      </c>
      <c r="J3844" s="12" t="str">
        <f>HYPERLINK("https://www.boe.es/gazeta/dias/1808/08/03/pdfs/GMD-1808-106.pdf#page=7","Abrir facsímil")</f>
        <v>Abrir facsímil</v>
      </c>
      <c r="K3844" s="15" t="s">
        <v>23</v>
      </c>
    </row>
    <row r="3845" spans="1:11" ht="42" customHeight="1">
      <c r="A3845" s="4" t="s">
        <v>9805</v>
      </c>
      <c r="B3845" s="5" t="s">
        <v>9806</v>
      </c>
      <c r="C3845" s="5" t="s">
        <v>17</v>
      </c>
      <c r="D3845" s="5" t="s">
        <v>18</v>
      </c>
      <c r="E3845" s="5" t="s">
        <v>61</v>
      </c>
      <c r="F3845" s="9" t="s">
        <v>62</v>
      </c>
      <c r="G3845" s="9">
        <v>1285</v>
      </c>
      <c r="H3845" s="5" t="s">
        <v>21</v>
      </c>
      <c r="I3845" s="5" t="s">
        <v>9807</v>
      </c>
      <c r="J3845" s="12" t="str">
        <f>HYPERLINK("https://www.boe.es/gazeta/dias/1808/10/11/pdfs/GMD-1808-133.pdf#page=13","Abrir facsímil")</f>
        <v>Abrir facsímil</v>
      </c>
      <c r="K3845" s="15" t="s">
        <v>23</v>
      </c>
    </row>
    <row r="3846" spans="1:11" ht="42" customHeight="1">
      <c r="A3846" s="4" t="s">
        <v>9808</v>
      </c>
      <c r="B3846" s="5" t="s">
        <v>9808</v>
      </c>
      <c r="C3846" s="5" t="s">
        <v>17</v>
      </c>
      <c r="D3846" s="5" t="s">
        <v>18</v>
      </c>
      <c r="E3846" s="5" t="s">
        <v>684</v>
      </c>
      <c r="F3846" s="9" t="s">
        <v>685</v>
      </c>
      <c r="G3846" s="9">
        <v>381</v>
      </c>
      <c r="H3846" s="5" t="s">
        <v>21</v>
      </c>
      <c r="I3846" s="5" t="s">
        <v>9809</v>
      </c>
      <c r="J3846" s="12" t="str">
        <f>HYPERLINK("https://www.boe.es/gazeta/dias/1808/04/15/pdfs/GMD-1808-35.pdf#page=7","Abrir facsímil")</f>
        <v>Abrir facsímil</v>
      </c>
      <c r="K3846" s="15" t="s">
        <v>23</v>
      </c>
    </row>
    <row r="3847" spans="1:11" ht="42" customHeight="1">
      <c r="A3847" s="4" t="s">
        <v>9810</v>
      </c>
      <c r="B3847" s="5" t="s">
        <v>9810</v>
      </c>
      <c r="C3847" s="5" t="s">
        <v>17</v>
      </c>
      <c r="D3847" s="5" t="s">
        <v>18</v>
      </c>
      <c r="E3847" s="5" t="s">
        <v>714</v>
      </c>
      <c r="F3847" s="9" t="s">
        <v>715</v>
      </c>
      <c r="G3847" s="9">
        <v>106</v>
      </c>
      <c r="H3847" s="5" t="s">
        <v>21</v>
      </c>
      <c r="I3847" s="5" t="s">
        <v>9811</v>
      </c>
      <c r="J3847" s="12" t="str">
        <f>HYPERLINK("https://www.boe.es/gazeta/dias/1808/07/16/pdfs/GMS-1808-14.pdf#page=2","Abrir facsímil")</f>
        <v>Abrir facsímil</v>
      </c>
      <c r="K3847" s="15" t="s">
        <v>23</v>
      </c>
    </row>
    <row r="3848" spans="1:11" ht="42" customHeight="1">
      <c r="A3848" s="4" t="s">
        <v>9812</v>
      </c>
      <c r="B3848" s="5" t="s">
        <v>9813</v>
      </c>
      <c r="C3848" s="5" t="s">
        <v>17</v>
      </c>
      <c r="D3848" s="5" t="s">
        <v>18</v>
      </c>
      <c r="E3848" s="5" t="s">
        <v>185</v>
      </c>
      <c r="F3848" s="9" t="s">
        <v>186</v>
      </c>
      <c r="G3848" s="9">
        <v>1101</v>
      </c>
      <c r="H3848" s="5" t="s">
        <v>21</v>
      </c>
      <c r="I3848" s="5" t="s">
        <v>9814</v>
      </c>
      <c r="J3848" s="12" t="str">
        <f>HYPERLINK("https://www.boe.es/gazeta/dias/1808/08/30/pdfs/GMD-1808-118.pdf#page=7","Abrir facsímil")</f>
        <v>Abrir facsímil</v>
      </c>
      <c r="K3848" s="15" t="s">
        <v>23</v>
      </c>
    </row>
    <row r="3849" spans="1:11" ht="42" customHeight="1">
      <c r="A3849" s="4" t="s">
        <v>9812</v>
      </c>
      <c r="B3849" s="5" t="s">
        <v>9813</v>
      </c>
      <c r="C3849" s="5" t="s">
        <v>17</v>
      </c>
      <c r="D3849" s="5" t="s">
        <v>18</v>
      </c>
      <c r="E3849" s="5" t="s">
        <v>539</v>
      </c>
      <c r="F3849" s="9" t="s">
        <v>540</v>
      </c>
      <c r="G3849" s="9">
        <v>1111</v>
      </c>
      <c r="H3849" s="5" t="s">
        <v>21</v>
      </c>
      <c r="I3849" s="5" t="s">
        <v>9815</v>
      </c>
      <c r="J3849" s="12" t="str">
        <f>HYPERLINK("https://www.boe.es/gazeta/dias/1808/09/02/pdfs/GMD-1808-119.pdf#page=5","Abrir facsímil")</f>
        <v>Abrir facsímil</v>
      </c>
      <c r="K3849" s="15" t="s">
        <v>23</v>
      </c>
    </row>
    <row r="3850" spans="1:11" ht="42" customHeight="1">
      <c r="A3850" s="4" t="s">
        <v>9816</v>
      </c>
      <c r="B3850" s="5" t="s">
        <v>9817</v>
      </c>
      <c r="C3850" s="5" t="s">
        <v>17</v>
      </c>
      <c r="D3850" s="5" t="s">
        <v>18</v>
      </c>
      <c r="E3850" s="5" t="s">
        <v>418</v>
      </c>
      <c r="F3850" s="9" t="s">
        <v>3832</v>
      </c>
      <c r="G3850" s="9">
        <v>228</v>
      </c>
      <c r="H3850" s="5" t="s">
        <v>21</v>
      </c>
      <c r="I3850" s="5" t="s">
        <v>9818</v>
      </c>
      <c r="J3850" s="12" t="str">
        <f>HYPERLINK("https://www.boe.es/gazeta/dias/1808/09/06/pdfs/GMS-1808-29.pdf#page=4","Abrir facsímil")</f>
        <v>Abrir facsímil</v>
      </c>
      <c r="K3850" s="15" t="s">
        <v>23</v>
      </c>
    </row>
    <row r="3851" spans="1:11" ht="42" customHeight="1">
      <c r="A3851" s="4" t="s">
        <v>9819</v>
      </c>
      <c r="B3851" s="5" t="s">
        <v>9820</v>
      </c>
      <c r="C3851" s="5" t="s">
        <v>94</v>
      </c>
      <c r="D3851" s="5" t="s">
        <v>95</v>
      </c>
      <c r="E3851" s="5" t="s">
        <v>166</v>
      </c>
      <c r="F3851" s="9" t="s">
        <v>400</v>
      </c>
      <c r="G3851" s="9" t="s">
        <v>117</v>
      </c>
      <c r="H3851" s="5" t="s">
        <v>21</v>
      </c>
      <c r="I3851" s="5" t="s">
        <v>9821</v>
      </c>
      <c r="J3851" s="12" t="str">
        <f>HYPERLINK("https://www.boe.es/gazeta/dias/1808/11/18/pdfs/D00069-00072.pdf#page=1","Abrir facsímil")</f>
        <v>Abrir facsímil</v>
      </c>
      <c r="K3851" s="15" t="s">
        <v>23</v>
      </c>
    </row>
    <row r="3852" spans="1:11" ht="42" customHeight="1">
      <c r="A3852" s="4" t="s">
        <v>9822</v>
      </c>
      <c r="B3852" s="5" t="s">
        <v>9823</v>
      </c>
      <c r="C3852" s="5" t="s">
        <v>33</v>
      </c>
      <c r="D3852" s="5" t="s">
        <v>34</v>
      </c>
      <c r="E3852" s="5" t="s">
        <v>391</v>
      </c>
      <c r="F3852" s="9" t="s">
        <v>588</v>
      </c>
      <c r="G3852" s="9" t="s">
        <v>106</v>
      </c>
      <c r="H3852" s="5" t="s">
        <v>21</v>
      </c>
      <c r="I3852" s="5" t="s">
        <v>9824</v>
      </c>
      <c r="J3852" s="12" t="str">
        <f>HYPERLINK("https://www.boe.es/gazeta/dias/1808/09/27/pdfs/GMD-C-1808-128.pdf#page=3","Abrir facsímil")</f>
        <v>Abrir facsímil</v>
      </c>
      <c r="K3852" s="15" t="s">
        <v>23</v>
      </c>
    </row>
    <row r="3853" spans="1:11" ht="42" customHeight="1">
      <c r="A3853" s="4" t="s">
        <v>9825</v>
      </c>
      <c r="B3853" s="5" t="s">
        <v>9826</v>
      </c>
      <c r="C3853" s="5" t="s">
        <v>94</v>
      </c>
      <c r="D3853" s="5" t="s">
        <v>95</v>
      </c>
      <c r="E3853" s="5" t="s">
        <v>974</v>
      </c>
      <c r="F3853" s="9" t="s">
        <v>975</v>
      </c>
      <c r="G3853" s="9">
        <v>391</v>
      </c>
      <c r="H3853" s="5" t="s">
        <v>21</v>
      </c>
      <c r="I3853" s="5" t="s">
        <v>9827</v>
      </c>
      <c r="J3853" s="12" t="str">
        <f>HYPERLINK("https://www.boe.es/gazeta/dias/1808/04/19/pdfs/GMD-1808-37.pdf#page=7","Abrir facsímil")</f>
        <v>Abrir facsímil</v>
      </c>
      <c r="K3853" s="15" t="s">
        <v>23</v>
      </c>
    </row>
    <row r="3854" spans="1:11" ht="42" customHeight="1">
      <c r="A3854" s="4" t="s">
        <v>9828</v>
      </c>
      <c r="B3854" s="5" t="s">
        <v>9828</v>
      </c>
      <c r="C3854" s="5" t="s">
        <v>94</v>
      </c>
      <c r="D3854" s="5" t="s">
        <v>95</v>
      </c>
      <c r="E3854" s="5" t="s">
        <v>1671</v>
      </c>
      <c r="F3854" s="9" t="s">
        <v>1672</v>
      </c>
      <c r="G3854" s="9">
        <v>480</v>
      </c>
      <c r="H3854" s="5" t="s">
        <v>21</v>
      </c>
      <c r="I3854" s="5" t="s">
        <v>9829</v>
      </c>
      <c r="J3854" s="12" t="str">
        <f>HYPERLINK("https://www.boe.es/gazeta/dias/1808/05/20/pdfs/GMD-1808-48.pdf#page=8","Abrir facsímil")</f>
        <v>Abrir facsímil</v>
      </c>
      <c r="K3854" s="15" t="s">
        <v>23</v>
      </c>
    </row>
    <row r="3855" spans="1:11" ht="42" customHeight="1">
      <c r="A3855" s="4" t="s">
        <v>9830</v>
      </c>
      <c r="B3855" s="5" t="s">
        <v>9831</v>
      </c>
      <c r="C3855" s="5" t="s">
        <v>94</v>
      </c>
      <c r="D3855" s="5" t="s">
        <v>95</v>
      </c>
      <c r="E3855" s="5" t="s">
        <v>513</v>
      </c>
      <c r="F3855" s="9" t="s">
        <v>514</v>
      </c>
      <c r="G3855" s="9">
        <v>284</v>
      </c>
      <c r="H3855" s="5" t="s">
        <v>21</v>
      </c>
      <c r="I3855" s="5" t="s">
        <v>9832</v>
      </c>
      <c r="J3855" s="12" t="str">
        <f>HYPERLINK("https://www.boe.es/gazeta/dias/1808/03/22/pdfs/GMD-1808-24.pdf#page=6","Abrir facsímil")</f>
        <v>Abrir facsímil</v>
      </c>
      <c r="K3855" s="15" t="s">
        <v>23</v>
      </c>
    </row>
    <row r="3856" spans="1:11" ht="42" customHeight="1">
      <c r="A3856" s="4" t="s">
        <v>9833</v>
      </c>
      <c r="B3856" s="5" t="s">
        <v>9833</v>
      </c>
      <c r="C3856" s="5" t="s">
        <v>94</v>
      </c>
      <c r="D3856" s="5" t="s">
        <v>95</v>
      </c>
      <c r="E3856" s="5" t="s">
        <v>1148</v>
      </c>
      <c r="F3856" s="9" t="s">
        <v>1149</v>
      </c>
      <c r="G3856" s="9">
        <v>505</v>
      </c>
      <c r="H3856" s="5" t="s">
        <v>21</v>
      </c>
      <c r="I3856" s="5" t="s">
        <v>9834</v>
      </c>
      <c r="J3856" s="12" t="str">
        <f>HYPERLINK("https://www.boe.es/gazeta/dias/1808/05/27/pdfs/GMD-1808-50.pdf#page=9","Abrir facsímil")</f>
        <v>Abrir facsímil</v>
      </c>
      <c r="K3856" s="15" t="s">
        <v>23</v>
      </c>
    </row>
    <row r="3857" spans="1:11" ht="42" customHeight="1">
      <c r="A3857" s="4" t="s">
        <v>9835</v>
      </c>
      <c r="B3857" s="5" t="s">
        <v>9835</v>
      </c>
      <c r="C3857" s="5" t="s">
        <v>389</v>
      </c>
      <c r="D3857" s="5" t="s">
        <v>390</v>
      </c>
      <c r="E3857" s="5" t="s">
        <v>6282</v>
      </c>
      <c r="F3857" s="9" t="s">
        <v>6283</v>
      </c>
      <c r="G3857" s="9">
        <v>654</v>
      </c>
      <c r="H3857" s="5" t="s">
        <v>21</v>
      </c>
      <c r="I3857" s="5" t="s">
        <v>9836</v>
      </c>
      <c r="J3857" s="12" t="str">
        <f>HYPERLINK("https://www.boe.es/gazeta/dias/1808/06/25/pdfs/GMD-1808-67.pdf#page=8","Abrir facsímil")</f>
        <v>Abrir facsímil</v>
      </c>
      <c r="K3857" s="15" t="s">
        <v>23</v>
      </c>
    </row>
    <row r="3858" spans="1:11" ht="42" customHeight="1">
      <c r="A3858" s="4" t="s">
        <v>9837</v>
      </c>
      <c r="B3858" s="5" t="s">
        <v>9838</v>
      </c>
      <c r="C3858" s="5" t="s">
        <v>33</v>
      </c>
      <c r="D3858" s="5" t="s">
        <v>34</v>
      </c>
      <c r="E3858" s="5" t="s">
        <v>334</v>
      </c>
      <c r="F3858" s="9" t="s">
        <v>335</v>
      </c>
      <c r="G3858" s="9">
        <v>1251</v>
      </c>
      <c r="H3858" s="5" t="s">
        <v>21</v>
      </c>
      <c r="I3858" s="5" t="s">
        <v>9839</v>
      </c>
      <c r="J3858" s="12" t="str">
        <f>HYPERLINK("https://www.boe.es/gazeta/dias/1808/10/04/pdfs/GMD-C-1808-131.pdf#page=3","Abrir facsímil")</f>
        <v>Abrir facsímil</v>
      </c>
      <c r="K3858" s="15" t="s">
        <v>23</v>
      </c>
    </row>
    <row r="3859" spans="1:11" ht="42" customHeight="1">
      <c r="A3859" s="4" t="s">
        <v>9840</v>
      </c>
      <c r="B3859" s="5" t="s">
        <v>9841</v>
      </c>
      <c r="C3859" s="5" t="s">
        <v>33</v>
      </c>
      <c r="D3859" s="5" t="s">
        <v>34</v>
      </c>
      <c r="E3859" s="5" t="s">
        <v>461</v>
      </c>
      <c r="F3859" s="9" t="s">
        <v>1404</v>
      </c>
      <c r="G3859" s="9">
        <v>1454</v>
      </c>
      <c r="H3859" s="5" t="s">
        <v>21</v>
      </c>
      <c r="I3859" s="5" t="s">
        <v>9842</v>
      </c>
      <c r="J3859" s="12" t="str">
        <f>HYPERLINK("https://www.boe.es/gazeta/dias/1808/11/08/pdfs/GMD-C-1808-142.pdf#page=4","Abrir facsímil")</f>
        <v>Abrir facsímil</v>
      </c>
      <c r="K3859" s="15" t="s">
        <v>23</v>
      </c>
    </row>
    <row r="3860" spans="1:11" ht="42" customHeight="1">
      <c r="A3860" s="4" t="s">
        <v>9843</v>
      </c>
      <c r="B3860" s="5" t="s">
        <v>9844</v>
      </c>
      <c r="C3860" s="5" t="s">
        <v>33</v>
      </c>
      <c r="D3860" s="5" t="s">
        <v>34</v>
      </c>
      <c r="E3860" s="5" t="s">
        <v>456</v>
      </c>
      <c r="F3860" s="9" t="s">
        <v>748</v>
      </c>
      <c r="G3860" s="9" t="s">
        <v>106</v>
      </c>
      <c r="H3860" s="5" t="s">
        <v>21</v>
      </c>
      <c r="I3860" s="5" t="s">
        <v>9845</v>
      </c>
      <c r="J3860" s="12" t="str">
        <f>HYPERLINK("https://www.boe.es/gazeta/dias/1808/10/14/pdfs/GMD-C-1808-134.pdf#page=3","Abrir facsímil")</f>
        <v>Abrir facsímil</v>
      </c>
      <c r="K3860" s="15" t="s">
        <v>23</v>
      </c>
    </row>
    <row r="3861" spans="1:11" ht="42" customHeight="1">
      <c r="A3861" s="4" t="s">
        <v>9846</v>
      </c>
      <c r="B3861" s="5" t="s">
        <v>9847</v>
      </c>
      <c r="C3861" s="5" t="s">
        <v>33</v>
      </c>
      <c r="D3861" s="5" t="s">
        <v>34</v>
      </c>
      <c r="E3861" s="5" t="s">
        <v>35</v>
      </c>
      <c r="F3861" s="9" t="s">
        <v>36</v>
      </c>
      <c r="G3861" s="9" t="s">
        <v>1128</v>
      </c>
      <c r="H3861" s="5" t="s">
        <v>21</v>
      </c>
      <c r="I3861" s="5" t="s">
        <v>9848</v>
      </c>
      <c r="J3861" s="12" t="str">
        <f>HYPERLINK("https://www.boe.es/gazeta/dias/1808/04/22/pdfs/GMD-C-1808-38.pdf#page=11","Abrir facsímil")</f>
        <v>Abrir facsímil</v>
      </c>
      <c r="K3861" s="15" t="s">
        <v>23</v>
      </c>
    </row>
    <row r="3862" spans="1:11" ht="42" customHeight="1">
      <c r="A3862" s="4" t="s">
        <v>9849</v>
      </c>
      <c r="B3862" s="5" t="s">
        <v>9850</v>
      </c>
      <c r="C3862" s="5" t="s">
        <v>17</v>
      </c>
      <c r="D3862" s="5" t="s">
        <v>18</v>
      </c>
      <c r="E3862" s="5" t="s">
        <v>663</v>
      </c>
      <c r="F3862" s="9" t="s">
        <v>664</v>
      </c>
      <c r="G3862" s="9">
        <v>208</v>
      </c>
      <c r="H3862" s="5" t="s">
        <v>21</v>
      </c>
      <c r="I3862" s="5" t="s">
        <v>9851</v>
      </c>
      <c r="J3862" s="12" t="str">
        <f>HYPERLINK("https://www.boe.es/gazeta/dias/1808/02/26/pdfs/GMD-1808-17.pdf#page=10","Abrir facsímil")</f>
        <v>Abrir facsímil</v>
      </c>
      <c r="K3862" s="15" t="s">
        <v>23</v>
      </c>
    </row>
    <row r="3863" spans="1:11" ht="42" customHeight="1">
      <c r="A3863" s="4" t="s">
        <v>9849</v>
      </c>
      <c r="B3863" s="5" t="s">
        <v>9850</v>
      </c>
      <c r="C3863" s="5" t="s">
        <v>94</v>
      </c>
      <c r="D3863" s="5" t="s">
        <v>95</v>
      </c>
      <c r="E3863" s="5" t="s">
        <v>180</v>
      </c>
      <c r="F3863" s="9" t="s">
        <v>2568</v>
      </c>
      <c r="G3863" s="9">
        <v>1497</v>
      </c>
      <c r="H3863" s="5" t="s">
        <v>21</v>
      </c>
      <c r="I3863" s="5" t="s">
        <v>9852</v>
      </c>
      <c r="J3863" s="12" t="str">
        <f>HYPERLINK("https://www.boe.es/gazeta/dias/1808/11/15/pdfs/GMD-1808-144.pdf#page=11","Abrir facsímil")</f>
        <v>Abrir facsímil</v>
      </c>
      <c r="K3863" s="15" t="s">
        <v>23</v>
      </c>
    </row>
    <row r="3864" spans="1:11" ht="42" customHeight="1">
      <c r="A3864" s="4" t="s">
        <v>9853</v>
      </c>
      <c r="B3864" s="5" t="s">
        <v>9854</v>
      </c>
      <c r="C3864" s="5" t="s">
        <v>33</v>
      </c>
      <c r="D3864" s="5" t="s">
        <v>34</v>
      </c>
      <c r="E3864" s="5" t="s">
        <v>35</v>
      </c>
      <c r="F3864" s="9" t="s">
        <v>36</v>
      </c>
      <c r="G3864" s="9" t="s">
        <v>284</v>
      </c>
      <c r="H3864" s="5" t="s">
        <v>21</v>
      </c>
      <c r="I3864" s="5" t="s">
        <v>9855</v>
      </c>
      <c r="J3864" s="12" t="str">
        <f>HYPERLINK("https://www.boe.es/gazeta/dias/1808/04/22/pdfs/GMD-C-1808-38.pdf#page=35","Abrir facsímil")</f>
        <v>Abrir facsímil</v>
      </c>
      <c r="K3864" s="15" t="s">
        <v>23</v>
      </c>
    </row>
    <row r="3865" spans="1:11" ht="42" customHeight="1">
      <c r="A3865" s="4" t="s">
        <v>9856</v>
      </c>
      <c r="B3865" s="5" t="s">
        <v>9857</v>
      </c>
      <c r="C3865" s="5" t="s">
        <v>33</v>
      </c>
      <c r="D3865" s="5" t="s">
        <v>34</v>
      </c>
      <c r="E3865" s="5" t="s">
        <v>456</v>
      </c>
      <c r="F3865" s="9" t="s">
        <v>748</v>
      </c>
      <c r="G3865" s="9" t="s">
        <v>106</v>
      </c>
      <c r="H3865" s="5" t="s">
        <v>21</v>
      </c>
      <c r="I3865" s="5" t="s">
        <v>9858</v>
      </c>
      <c r="J3865" s="12" t="str">
        <f>HYPERLINK("https://www.boe.es/gazeta/dias/1808/10/14/pdfs/GMD-C-1808-134.pdf#page=3","Abrir facsímil")</f>
        <v>Abrir facsímil</v>
      </c>
      <c r="K3865" s="15" t="s">
        <v>23</v>
      </c>
    </row>
    <row r="3866" spans="1:11" ht="42" customHeight="1">
      <c r="A3866" s="4" t="s">
        <v>9859</v>
      </c>
      <c r="B3866" s="5" t="s">
        <v>9860</v>
      </c>
      <c r="C3866" s="5" t="s">
        <v>26</v>
      </c>
      <c r="D3866" s="5" t="s">
        <v>27</v>
      </c>
      <c r="E3866" s="5" t="s">
        <v>558</v>
      </c>
      <c r="F3866" s="9" t="s">
        <v>559</v>
      </c>
      <c r="G3866" s="9">
        <v>1544</v>
      </c>
      <c r="H3866" s="5" t="s">
        <v>21</v>
      </c>
      <c r="I3866" s="5" t="s">
        <v>9861</v>
      </c>
      <c r="J3866" s="12" t="str">
        <f>HYPERLINK("https://www.boe.es/gazeta/dias/1808/11/25/pdfs/GMD-1808-147.pdf#page=10","Abrir facsímil")</f>
        <v>Abrir facsímil</v>
      </c>
      <c r="K3866" s="15" t="s">
        <v>23</v>
      </c>
    </row>
    <row r="3867" spans="1:11" ht="42" customHeight="1">
      <c r="A3867" s="4" t="s">
        <v>9862</v>
      </c>
      <c r="B3867" s="5" t="s">
        <v>9863</v>
      </c>
      <c r="C3867" s="5" t="s">
        <v>33</v>
      </c>
      <c r="D3867" s="5" t="s">
        <v>34</v>
      </c>
      <c r="E3867" s="5" t="s">
        <v>35</v>
      </c>
      <c r="F3867" s="9" t="s">
        <v>36</v>
      </c>
      <c r="G3867" s="9" t="s">
        <v>322</v>
      </c>
      <c r="H3867" s="5" t="s">
        <v>21</v>
      </c>
      <c r="I3867" s="5" t="s">
        <v>9864</v>
      </c>
      <c r="J3867" s="12" t="str">
        <f>HYPERLINK("https://www.boe.es/gazeta/dias/1808/04/22/pdfs/GMD-C-1808-38.pdf#page=15","Abrir facsímil")</f>
        <v>Abrir facsímil</v>
      </c>
      <c r="K3867" s="15" t="s">
        <v>23</v>
      </c>
    </row>
    <row r="3868" spans="1:11" ht="42" customHeight="1">
      <c r="A3868" s="4" t="s">
        <v>9865</v>
      </c>
      <c r="B3868" s="5" t="s">
        <v>9866</v>
      </c>
      <c r="C3868" s="5" t="s">
        <v>41</v>
      </c>
      <c r="D3868" s="5" t="s">
        <v>42</v>
      </c>
      <c r="E3868" s="5" t="s">
        <v>125</v>
      </c>
      <c r="F3868" s="9" t="s">
        <v>126</v>
      </c>
      <c r="G3868" s="9" t="s">
        <v>117</v>
      </c>
      <c r="H3868" s="5" t="s">
        <v>21</v>
      </c>
      <c r="I3868" s="5" t="s">
        <v>9867</v>
      </c>
      <c r="J3868" s="12" t="str">
        <f>HYPERLINK("https://www.boe.es/gazeta/dias/1808/10/07/pdfs/GMD-C-1808-132.pdf#page=1","Abrir facsímil")</f>
        <v>Abrir facsímil</v>
      </c>
      <c r="K3868" s="15" t="s">
        <v>23</v>
      </c>
    </row>
    <row r="3869" spans="1:11" ht="42" customHeight="1">
      <c r="A3869" s="4" t="s">
        <v>9868</v>
      </c>
      <c r="B3869" s="5" t="s">
        <v>9869</v>
      </c>
      <c r="C3869" s="5" t="s">
        <v>17</v>
      </c>
      <c r="D3869" s="5" t="s">
        <v>18</v>
      </c>
      <c r="E3869" s="5" t="s">
        <v>110</v>
      </c>
      <c r="F3869" s="9" t="s">
        <v>111</v>
      </c>
      <c r="G3869" s="9">
        <v>1384</v>
      </c>
      <c r="H3869" s="5" t="s">
        <v>21</v>
      </c>
      <c r="I3869" s="5" t="s">
        <v>9870</v>
      </c>
      <c r="J3869" s="12" t="str">
        <f>HYPERLINK("https://www.boe.es/gazeta/dias/1808/10/28/pdfs/GMD-1808-138.pdf#page=10","Abrir facsímil")</f>
        <v>Abrir facsímil</v>
      </c>
      <c r="K3869" s="15" t="s">
        <v>23</v>
      </c>
    </row>
    <row r="3870" spans="1:11" ht="42" customHeight="1">
      <c r="A3870" s="4" t="s">
        <v>9871</v>
      </c>
      <c r="B3870" s="5" t="s">
        <v>9872</v>
      </c>
      <c r="C3870" s="5" t="s">
        <v>94</v>
      </c>
      <c r="D3870" s="5" t="s">
        <v>95</v>
      </c>
      <c r="E3870" s="5" t="s">
        <v>210</v>
      </c>
      <c r="F3870" s="9" t="s">
        <v>211</v>
      </c>
      <c r="G3870" s="9">
        <v>254</v>
      </c>
      <c r="H3870" s="5" t="s">
        <v>21</v>
      </c>
      <c r="I3870" s="5" t="s">
        <v>9873</v>
      </c>
      <c r="J3870" s="12" t="str">
        <f>HYPERLINK("https://www.boe.es/gazeta/dias/1808/03/11/pdfs/GMD-1808-21.pdf#page=8","Abrir facsímil")</f>
        <v>Abrir facsímil</v>
      </c>
      <c r="K3870" s="15" t="s">
        <v>23</v>
      </c>
    </row>
    <row r="3871" spans="1:11" ht="42" customHeight="1">
      <c r="A3871" s="4" t="s">
        <v>9874</v>
      </c>
      <c r="B3871" s="5" t="s">
        <v>9875</v>
      </c>
      <c r="C3871" s="5" t="s">
        <v>17</v>
      </c>
      <c r="D3871" s="5" t="s">
        <v>18</v>
      </c>
      <c r="E3871" s="5" t="s">
        <v>125</v>
      </c>
      <c r="F3871" s="9" t="s">
        <v>397</v>
      </c>
      <c r="G3871" s="9">
        <v>1270</v>
      </c>
      <c r="H3871" s="5" t="s">
        <v>21</v>
      </c>
      <c r="I3871" s="5" t="s">
        <v>9876</v>
      </c>
      <c r="J3871" s="12" t="str">
        <f>HYPERLINK("https://www.boe.es/gazeta/dias/1808/10/07/pdfs/GMD-1808-132.pdf#page=10","Abrir facsímil")</f>
        <v>Abrir facsímil</v>
      </c>
      <c r="K3871" s="15" t="s">
        <v>23</v>
      </c>
    </row>
    <row r="3872" spans="1:11" ht="42" customHeight="1">
      <c r="A3872" s="4" t="s">
        <v>9877</v>
      </c>
      <c r="B3872" s="5" t="s">
        <v>9878</v>
      </c>
      <c r="C3872" s="5" t="s">
        <v>94</v>
      </c>
      <c r="D3872" s="5" t="s">
        <v>95</v>
      </c>
      <c r="E3872" s="5" t="s">
        <v>35</v>
      </c>
      <c r="F3872" s="9" t="s">
        <v>3452</v>
      </c>
      <c r="G3872" s="9">
        <v>402</v>
      </c>
      <c r="H3872" s="5" t="s">
        <v>21</v>
      </c>
      <c r="I3872" s="5" t="s">
        <v>9879</v>
      </c>
      <c r="J3872" s="12" t="str">
        <f>HYPERLINK("https://www.boe.es/gazeta/dias/1808/04/22/pdfs/GMD-1808-38.pdf#page=10","Abrir facsímil")</f>
        <v>Abrir facsímil</v>
      </c>
      <c r="K3872" s="15" t="s">
        <v>23</v>
      </c>
    </row>
    <row r="3873" spans="1:11" ht="42" customHeight="1">
      <c r="A3873" s="4" t="s">
        <v>9880</v>
      </c>
      <c r="B3873" s="5" t="s">
        <v>9880</v>
      </c>
      <c r="C3873" s="5" t="s">
        <v>17</v>
      </c>
      <c r="D3873" s="5" t="s">
        <v>18</v>
      </c>
      <c r="E3873" s="5" t="s">
        <v>1676</v>
      </c>
      <c r="F3873" s="9" t="s">
        <v>1677</v>
      </c>
      <c r="G3873" s="9">
        <v>555</v>
      </c>
      <c r="H3873" s="5" t="s">
        <v>21</v>
      </c>
      <c r="I3873" s="5" t="s">
        <v>9881</v>
      </c>
      <c r="J3873" s="12" t="str">
        <f>HYPERLINK("https://www.boe.es/gazeta/dias/1808/06/10/pdfs/GMD-1808-55.pdf#page=9","Abrir facsímil")</f>
        <v>Abrir facsímil</v>
      </c>
      <c r="K3873" s="15" t="s">
        <v>23</v>
      </c>
    </row>
    <row r="3874" spans="1:11" ht="42" customHeight="1">
      <c r="A3874" s="4" t="s">
        <v>9882</v>
      </c>
      <c r="B3874" s="5" t="s">
        <v>9882</v>
      </c>
      <c r="C3874" s="5" t="s">
        <v>17</v>
      </c>
      <c r="D3874" s="5" t="s">
        <v>18</v>
      </c>
      <c r="E3874" s="5" t="s">
        <v>1676</v>
      </c>
      <c r="F3874" s="9" t="s">
        <v>1677</v>
      </c>
      <c r="G3874" s="9">
        <v>555</v>
      </c>
      <c r="H3874" s="5" t="s">
        <v>21</v>
      </c>
      <c r="I3874" s="5" t="s">
        <v>9883</v>
      </c>
      <c r="J3874" s="12" t="str">
        <f>HYPERLINK("https://www.boe.es/gazeta/dias/1808/06/10/pdfs/GMD-1808-55.pdf#page=9","Abrir facsímil")</f>
        <v>Abrir facsímil</v>
      </c>
      <c r="K3874" s="15" t="s">
        <v>23</v>
      </c>
    </row>
    <row r="3875" spans="1:11" ht="42" customHeight="1">
      <c r="A3875" s="4" t="s">
        <v>9884</v>
      </c>
      <c r="B3875" s="5" t="s">
        <v>9884</v>
      </c>
      <c r="C3875" s="5" t="s">
        <v>94</v>
      </c>
      <c r="D3875" s="5" t="s">
        <v>95</v>
      </c>
      <c r="E3875" s="5" t="s">
        <v>68</v>
      </c>
      <c r="F3875" s="9" t="s">
        <v>849</v>
      </c>
      <c r="G3875" s="9">
        <v>1350</v>
      </c>
      <c r="H3875" s="5" t="s">
        <v>21</v>
      </c>
      <c r="I3875" s="5" t="s">
        <v>9885</v>
      </c>
      <c r="J3875" s="12" t="str">
        <f>HYPERLINK("https://www.boe.es/gazeta/dias/1808/10/21/pdfs/GMD-C-1808-136.pdf#page=10","Abrir facsímil")</f>
        <v>Abrir facsímil</v>
      </c>
      <c r="K3875" s="15" t="s">
        <v>23</v>
      </c>
    </row>
    <row r="3876" spans="1:11" ht="42" customHeight="1">
      <c r="A3876" s="4" t="s">
        <v>9886</v>
      </c>
      <c r="B3876" s="5" t="s">
        <v>9887</v>
      </c>
      <c r="C3876" s="5" t="s">
        <v>41</v>
      </c>
      <c r="D3876" s="5" t="s">
        <v>42</v>
      </c>
      <c r="E3876" s="5" t="s">
        <v>120</v>
      </c>
      <c r="F3876" s="9" t="s">
        <v>121</v>
      </c>
      <c r="G3876" s="9">
        <v>316</v>
      </c>
      <c r="H3876" s="5" t="s">
        <v>21</v>
      </c>
      <c r="I3876" s="5" t="s">
        <v>9888</v>
      </c>
      <c r="J3876" s="12" t="str">
        <f>HYPERLINK("https://www.boe.es/gazeta/dias/1808/03/29/pdfs/GMD-1808-27.pdf#page=12","Abrir facsímil")</f>
        <v>Abrir facsímil</v>
      </c>
      <c r="K3876" s="15" t="s">
        <v>23</v>
      </c>
    </row>
    <row r="3877" spans="1:11" ht="42" customHeight="1">
      <c r="A3877" s="4" t="s">
        <v>9889</v>
      </c>
      <c r="B3877" s="5" t="s">
        <v>9890</v>
      </c>
      <c r="C3877" s="5" t="s">
        <v>94</v>
      </c>
      <c r="D3877" s="5" t="s">
        <v>95</v>
      </c>
      <c r="E3877" s="5" t="s">
        <v>919</v>
      </c>
      <c r="F3877" s="9" t="s">
        <v>920</v>
      </c>
      <c r="G3877" s="9">
        <v>493</v>
      </c>
      <c r="H3877" s="5" t="s">
        <v>21</v>
      </c>
      <c r="I3877" s="5" t="s">
        <v>9891</v>
      </c>
      <c r="J3877" s="12" t="str">
        <f>HYPERLINK("https://www.boe.es/gazeta/dias/1808/05/24/pdfs/GMD-1808-49.pdf#page=9","Abrir facsímil")</f>
        <v>Abrir facsímil</v>
      </c>
      <c r="K3877" s="15" t="s">
        <v>23</v>
      </c>
    </row>
    <row r="3878" spans="1:11" ht="42" customHeight="1">
      <c r="A3878" s="4" t="s">
        <v>9892</v>
      </c>
      <c r="B3878" s="5" t="s">
        <v>9892</v>
      </c>
      <c r="C3878" s="5" t="s">
        <v>94</v>
      </c>
      <c r="D3878" s="5" t="s">
        <v>95</v>
      </c>
      <c r="E3878" s="5" t="s">
        <v>493</v>
      </c>
      <c r="F3878" s="9" t="s">
        <v>494</v>
      </c>
      <c r="G3878" s="9">
        <v>45</v>
      </c>
      <c r="H3878" s="5" t="s">
        <v>21</v>
      </c>
      <c r="I3878" s="5" t="s">
        <v>9893</v>
      </c>
      <c r="J3878" s="12" t="str">
        <f>HYPERLINK("https://www.boe.es/gazeta/dias/1808/01/12/pdfs/GMD-1808-4.pdf#page=9","Abrir facsímil")</f>
        <v>Abrir facsímil</v>
      </c>
      <c r="K3878" s="15" t="s">
        <v>23</v>
      </c>
    </row>
    <row r="3879" spans="1:11" ht="42" customHeight="1">
      <c r="A3879" s="4" t="s">
        <v>9892</v>
      </c>
      <c r="B3879" s="5" t="s">
        <v>9892</v>
      </c>
      <c r="C3879" s="5" t="s">
        <v>41</v>
      </c>
      <c r="D3879" s="5" t="s">
        <v>42</v>
      </c>
      <c r="E3879" s="5" t="s">
        <v>28</v>
      </c>
      <c r="F3879" s="9" t="s">
        <v>446</v>
      </c>
      <c r="G3879" s="9" t="s">
        <v>106</v>
      </c>
      <c r="H3879" s="5" t="s">
        <v>21</v>
      </c>
      <c r="I3879" s="5" t="s">
        <v>9894</v>
      </c>
      <c r="J3879" s="12" t="str">
        <f>HYPERLINK("https://www.boe.es/gazeta/dias/1808/11/04/pdfs/GMD-D-1808-141.pdf#page=3","Abrir facsímil")</f>
        <v>Abrir facsímil</v>
      </c>
      <c r="K3879" s="15" t="s">
        <v>23</v>
      </c>
    </row>
    <row r="3880" spans="1:11" ht="42" customHeight="1">
      <c r="A3880" s="4" t="s">
        <v>9895</v>
      </c>
      <c r="B3880" s="5" t="s">
        <v>9895</v>
      </c>
      <c r="C3880" s="5" t="s">
        <v>33</v>
      </c>
      <c r="D3880" s="5" t="s">
        <v>34</v>
      </c>
      <c r="E3880" s="5" t="s">
        <v>35</v>
      </c>
      <c r="F3880" s="9" t="s">
        <v>36</v>
      </c>
      <c r="G3880" s="9" t="s">
        <v>106</v>
      </c>
      <c r="H3880" s="5" t="s">
        <v>21</v>
      </c>
      <c r="I3880" s="5" t="s">
        <v>9896</v>
      </c>
      <c r="J3880" s="12" t="str">
        <f>HYPERLINK("https://www.boe.es/gazeta/dias/1808/04/22/pdfs/GMD-C-1808-38.pdf#page=3","Abrir facsímil")</f>
        <v>Abrir facsímil</v>
      </c>
      <c r="K3880" s="15" t="s">
        <v>23</v>
      </c>
    </row>
    <row r="3881" spans="1:11" ht="42" customHeight="1">
      <c r="A3881" s="4" t="s">
        <v>9895</v>
      </c>
      <c r="B3881" s="5" t="s">
        <v>9895</v>
      </c>
      <c r="C3881" s="5" t="s">
        <v>33</v>
      </c>
      <c r="D3881" s="5" t="s">
        <v>34</v>
      </c>
      <c r="E3881" s="5" t="s">
        <v>427</v>
      </c>
      <c r="F3881" s="9" t="s">
        <v>428</v>
      </c>
      <c r="G3881" s="9" t="s">
        <v>117</v>
      </c>
      <c r="H3881" s="5" t="s">
        <v>21</v>
      </c>
      <c r="I3881" s="5" t="s">
        <v>9897</v>
      </c>
      <c r="J3881" s="12" t="str">
        <f>HYPERLINK("https://www.boe.es/gazeta/dias/1808/11/22/pdfs/GMD-D-1808-146.pdf#page=1","Abrir facsímil")</f>
        <v>Abrir facsímil</v>
      </c>
      <c r="K3881" s="15" t="s">
        <v>23</v>
      </c>
    </row>
    <row r="3882" spans="1:11" ht="42" customHeight="1">
      <c r="A3882" s="4" t="s">
        <v>9898</v>
      </c>
      <c r="B3882" s="5" t="s">
        <v>9898</v>
      </c>
      <c r="C3882" s="5" t="s">
        <v>41</v>
      </c>
      <c r="D3882" s="5" t="s">
        <v>42</v>
      </c>
      <c r="E3882" s="5" t="s">
        <v>28</v>
      </c>
      <c r="F3882" s="9" t="s">
        <v>29</v>
      </c>
      <c r="G3882" s="9">
        <v>1429</v>
      </c>
      <c r="H3882" s="5" t="s">
        <v>21</v>
      </c>
      <c r="I3882" s="5" t="s">
        <v>9899</v>
      </c>
      <c r="J3882" s="12" t="str">
        <f>HYPERLINK("https://www.boe.es/gazeta/dias/1808/11/04/pdfs/GMD-1808-141.pdf#page=11","Abrir facsímil")</f>
        <v>Abrir facsímil</v>
      </c>
      <c r="K3882" s="15" t="s">
        <v>23</v>
      </c>
    </row>
    <row r="3883" spans="1:11" ht="42" customHeight="1">
      <c r="A3883" s="4" t="s">
        <v>9900</v>
      </c>
      <c r="B3883" s="5" t="s">
        <v>9901</v>
      </c>
      <c r="C3883" s="5" t="s">
        <v>17</v>
      </c>
      <c r="D3883" s="5" t="s">
        <v>18</v>
      </c>
      <c r="E3883" s="5" t="s">
        <v>61</v>
      </c>
      <c r="F3883" s="9" t="s">
        <v>62</v>
      </c>
      <c r="G3883" s="9">
        <v>1286</v>
      </c>
      <c r="H3883" s="5" t="s">
        <v>21</v>
      </c>
      <c r="I3883" s="5" t="s">
        <v>9902</v>
      </c>
      <c r="J3883" s="12" t="str">
        <f>HYPERLINK("https://www.boe.es/gazeta/dias/1808/10/11/pdfs/GMD-1808-133.pdf#page=14","Abrir facsímil")</f>
        <v>Abrir facsímil</v>
      </c>
      <c r="K3883" s="15" t="s">
        <v>23</v>
      </c>
    </row>
    <row r="3884" spans="1:11" ht="42" customHeight="1">
      <c r="A3884" s="4" t="s">
        <v>9903</v>
      </c>
      <c r="B3884" s="5" t="s">
        <v>9903</v>
      </c>
      <c r="C3884" s="5" t="s">
        <v>33</v>
      </c>
      <c r="D3884" s="5" t="s">
        <v>34</v>
      </c>
      <c r="E3884" s="5" t="s">
        <v>19</v>
      </c>
      <c r="F3884" s="9" t="s">
        <v>949</v>
      </c>
      <c r="G3884" s="9" t="s">
        <v>75</v>
      </c>
      <c r="H3884" s="5" t="s">
        <v>21</v>
      </c>
      <c r="I3884" s="5" t="s">
        <v>9904</v>
      </c>
      <c r="J3884" s="12" t="str">
        <f>HYPERLINK("https://www.boe.es/gazeta/dias/1808/09/30/pdfs/GMD-C-1808-130.pdf#page=4","Abrir facsímil")</f>
        <v>Abrir facsímil</v>
      </c>
      <c r="K3884" s="15" t="s">
        <v>23</v>
      </c>
    </row>
    <row r="3885" spans="1:11" ht="42" customHeight="1">
      <c r="A3885" s="4" t="s">
        <v>9905</v>
      </c>
      <c r="B3885" s="5" t="s">
        <v>9905</v>
      </c>
      <c r="C3885" s="5" t="s">
        <v>17</v>
      </c>
      <c r="D3885" s="5" t="s">
        <v>18</v>
      </c>
      <c r="E3885" s="5" t="s">
        <v>456</v>
      </c>
      <c r="F3885" s="9" t="s">
        <v>457</v>
      </c>
      <c r="G3885" s="9">
        <v>1299</v>
      </c>
      <c r="H3885" s="5" t="s">
        <v>21</v>
      </c>
      <c r="I3885" s="5" t="s">
        <v>9906</v>
      </c>
      <c r="J3885" s="12" t="str">
        <f>HYPERLINK("https://www.boe.es/gazeta/dias/1808/10/14/pdfs/GMD-1808-134.pdf#page=11","Abrir facsímil")</f>
        <v>Abrir facsímil</v>
      </c>
      <c r="K3885" s="15" t="s">
        <v>23</v>
      </c>
    </row>
    <row r="3886" spans="1:11" ht="42" customHeight="1">
      <c r="A3886" s="4" t="s">
        <v>9907</v>
      </c>
      <c r="B3886" s="5" t="s">
        <v>9907</v>
      </c>
      <c r="C3886" s="5" t="s">
        <v>17</v>
      </c>
      <c r="D3886" s="5" t="s">
        <v>18</v>
      </c>
      <c r="E3886" s="5" t="s">
        <v>558</v>
      </c>
      <c r="F3886" s="9" t="s">
        <v>559</v>
      </c>
      <c r="G3886" s="9">
        <v>1544</v>
      </c>
      <c r="H3886" s="5" t="s">
        <v>21</v>
      </c>
      <c r="I3886" s="5" t="s">
        <v>9908</v>
      </c>
      <c r="J3886" s="12" t="str">
        <f>HYPERLINK("https://www.boe.es/gazeta/dias/1808/11/25/pdfs/GMD-1808-147.pdf#page=10","Abrir facsímil")</f>
        <v>Abrir facsímil</v>
      </c>
      <c r="K3886" s="15" t="s">
        <v>23</v>
      </c>
    </row>
    <row r="3887" spans="1:11" ht="42" customHeight="1">
      <c r="A3887" s="4" t="s">
        <v>9909</v>
      </c>
      <c r="B3887" s="5" t="s">
        <v>9910</v>
      </c>
      <c r="C3887" s="5" t="s">
        <v>33</v>
      </c>
      <c r="D3887" s="5" t="s">
        <v>34</v>
      </c>
      <c r="E3887" s="5" t="s">
        <v>35</v>
      </c>
      <c r="F3887" s="9" t="s">
        <v>36</v>
      </c>
      <c r="G3887" s="9" t="s">
        <v>814</v>
      </c>
      <c r="H3887" s="5" t="s">
        <v>21</v>
      </c>
      <c r="I3887" s="5" t="s">
        <v>9911</v>
      </c>
      <c r="J3887" s="12" t="str">
        <f>HYPERLINK("https://www.boe.es/gazeta/dias/1808/04/22/pdfs/GMD-C-1808-38.pdf#page=25","Abrir facsímil")</f>
        <v>Abrir facsímil</v>
      </c>
      <c r="K3887" s="15" t="s">
        <v>23</v>
      </c>
    </row>
    <row r="3888" spans="1:11" ht="42" customHeight="1">
      <c r="A3888" s="4" t="s">
        <v>9912</v>
      </c>
      <c r="B3888" s="5" t="s">
        <v>9912</v>
      </c>
      <c r="C3888" s="5" t="s">
        <v>17</v>
      </c>
      <c r="D3888" s="5" t="s">
        <v>18</v>
      </c>
      <c r="E3888" s="5" t="s">
        <v>125</v>
      </c>
      <c r="F3888" s="9" t="s">
        <v>397</v>
      </c>
      <c r="G3888" s="9">
        <v>1269</v>
      </c>
      <c r="H3888" s="5" t="s">
        <v>21</v>
      </c>
      <c r="I3888" s="5" t="s">
        <v>9913</v>
      </c>
      <c r="J3888" s="12" t="str">
        <f>HYPERLINK("https://www.boe.es/gazeta/dias/1808/10/07/pdfs/GMD-1808-132.pdf#page=9","Abrir facsímil")</f>
        <v>Abrir facsímil</v>
      </c>
      <c r="K3888" s="15" t="s">
        <v>23</v>
      </c>
    </row>
    <row r="3889" spans="1:11" ht="42" customHeight="1">
      <c r="A3889" s="4" t="s">
        <v>9912</v>
      </c>
      <c r="B3889" s="5" t="s">
        <v>9912</v>
      </c>
      <c r="C3889" s="5" t="s">
        <v>41</v>
      </c>
      <c r="D3889" s="5" t="s">
        <v>42</v>
      </c>
      <c r="E3889" s="5" t="s">
        <v>166</v>
      </c>
      <c r="F3889" s="9" t="s">
        <v>400</v>
      </c>
      <c r="G3889" s="9" t="s">
        <v>199</v>
      </c>
      <c r="H3889" s="5" t="s">
        <v>21</v>
      </c>
      <c r="I3889" s="5" t="s">
        <v>9914</v>
      </c>
      <c r="J3889" s="12" t="str">
        <f>HYPERLINK("https://www.boe.es/gazeta/dias/1808/11/18/pdfs/D00069-00072.pdf#page=2","Abrir facsímil")</f>
        <v>Abrir facsímil</v>
      </c>
      <c r="K3889" s="15" t="s">
        <v>23</v>
      </c>
    </row>
    <row r="3890" spans="1:11" ht="42" customHeight="1">
      <c r="A3890" s="4" t="s">
        <v>9915</v>
      </c>
      <c r="B3890" s="5" t="s">
        <v>9915</v>
      </c>
      <c r="C3890" s="5" t="s">
        <v>17</v>
      </c>
      <c r="D3890" s="5" t="s">
        <v>18</v>
      </c>
      <c r="E3890" s="5" t="s">
        <v>61</v>
      </c>
      <c r="F3890" s="9" t="s">
        <v>62</v>
      </c>
      <c r="G3890" s="9">
        <v>1286</v>
      </c>
      <c r="H3890" s="5" t="s">
        <v>21</v>
      </c>
      <c r="I3890" s="5" t="s">
        <v>9916</v>
      </c>
      <c r="J3890" s="12" t="str">
        <f>HYPERLINK("https://www.boe.es/gazeta/dias/1808/10/11/pdfs/GMD-1808-133.pdf#page=14","Abrir facsímil")</f>
        <v>Abrir facsímil</v>
      </c>
      <c r="K3890" s="15" t="s">
        <v>23</v>
      </c>
    </row>
    <row r="3891" spans="1:11" ht="42" customHeight="1">
      <c r="A3891" s="4" t="s">
        <v>9917</v>
      </c>
      <c r="B3891" s="5" t="s">
        <v>9917</v>
      </c>
      <c r="C3891" s="5" t="s">
        <v>33</v>
      </c>
      <c r="D3891" s="5" t="s">
        <v>34</v>
      </c>
      <c r="E3891" s="5" t="s">
        <v>110</v>
      </c>
      <c r="F3891" s="9" t="s">
        <v>828</v>
      </c>
      <c r="G3891" s="9" t="s">
        <v>117</v>
      </c>
      <c r="H3891" s="5" t="s">
        <v>21</v>
      </c>
      <c r="I3891" s="5" t="s">
        <v>9918</v>
      </c>
      <c r="J3891" s="12" t="str">
        <f>HYPERLINK("https://www.boe.es/gazeta/dias/1808/10/28/pdfs/GMD-D-1808-138.pdf#page=1","Abrir facsímil")</f>
        <v>Abrir facsímil</v>
      </c>
      <c r="K3891" s="15" t="s">
        <v>23</v>
      </c>
    </row>
    <row r="3892" spans="1:11" ht="42" customHeight="1">
      <c r="A3892" s="4" t="s">
        <v>9919</v>
      </c>
      <c r="B3892" s="5" t="s">
        <v>9919</v>
      </c>
      <c r="C3892" s="5" t="s">
        <v>94</v>
      </c>
      <c r="D3892" s="5" t="s">
        <v>95</v>
      </c>
      <c r="E3892" s="5" t="s">
        <v>919</v>
      </c>
      <c r="F3892" s="9" t="s">
        <v>920</v>
      </c>
      <c r="G3892" s="9">
        <v>493</v>
      </c>
      <c r="H3892" s="5" t="s">
        <v>21</v>
      </c>
      <c r="I3892" s="5" t="s">
        <v>9920</v>
      </c>
      <c r="J3892" s="12" t="str">
        <f>HYPERLINK("https://www.boe.es/gazeta/dias/1808/05/24/pdfs/GMD-1808-49.pdf#page=9","Abrir facsímil")</f>
        <v>Abrir facsímil</v>
      </c>
      <c r="K3892" s="15" t="s">
        <v>23</v>
      </c>
    </row>
    <row r="3893" spans="1:11" ht="42" customHeight="1">
      <c r="A3893" s="4" t="s">
        <v>9921</v>
      </c>
      <c r="B3893" s="5" t="s">
        <v>9922</v>
      </c>
      <c r="C3893" s="5" t="s">
        <v>389</v>
      </c>
      <c r="D3893" s="5" t="s">
        <v>390</v>
      </c>
      <c r="E3893" s="5" t="s">
        <v>210</v>
      </c>
      <c r="F3893" s="9" t="s">
        <v>211</v>
      </c>
      <c r="G3893" s="9">
        <v>256</v>
      </c>
      <c r="H3893" s="5" t="s">
        <v>21</v>
      </c>
      <c r="I3893" s="5" t="s">
        <v>9923</v>
      </c>
      <c r="J3893" s="12" t="str">
        <f>HYPERLINK("https://www.boe.es/gazeta/dias/1808/03/11/pdfs/GMD-1808-21.pdf#page=10","Abrir facsímil")</f>
        <v>Abrir facsímil</v>
      </c>
      <c r="K3893" s="15" t="s">
        <v>23</v>
      </c>
    </row>
    <row r="3894" spans="1:11" ht="42" customHeight="1">
      <c r="A3894" s="4" t="s">
        <v>9924</v>
      </c>
      <c r="B3894" s="5" t="s">
        <v>9925</v>
      </c>
      <c r="C3894" s="5" t="s">
        <v>17</v>
      </c>
      <c r="D3894" s="5" t="s">
        <v>18</v>
      </c>
      <c r="E3894" s="5" t="s">
        <v>89</v>
      </c>
      <c r="F3894" s="9" t="s">
        <v>2031</v>
      </c>
      <c r="G3894" s="9">
        <v>342</v>
      </c>
      <c r="H3894" s="5" t="s">
        <v>21</v>
      </c>
      <c r="I3894" s="5" t="s">
        <v>9926</v>
      </c>
      <c r="J3894" s="12" t="str">
        <f>HYPERLINK("https://www.boe.es/gazeta/dias/1808/10/25/pdfs/GMS-1808-43.pdf#page=6","Abrir facsímil")</f>
        <v>Abrir facsímil</v>
      </c>
      <c r="K3894" s="15" t="s">
        <v>9927</v>
      </c>
    </row>
    <row r="3895" spans="1:11" ht="42" customHeight="1">
      <c r="A3895" s="4" t="s">
        <v>9928</v>
      </c>
      <c r="B3895" s="5" t="s">
        <v>9929</v>
      </c>
      <c r="C3895" s="5" t="s">
        <v>17</v>
      </c>
      <c r="D3895" s="5" t="s">
        <v>18</v>
      </c>
      <c r="E3895" s="5" t="s">
        <v>84</v>
      </c>
      <c r="F3895" s="9" t="s">
        <v>1381</v>
      </c>
      <c r="G3895" s="9">
        <v>248</v>
      </c>
      <c r="H3895" s="5" t="s">
        <v>21</v>
      </c>
      <c r="I3895" s="5" t="s">
        <v>9930</v>
      </c>
      <c r="J3895" s="12" t="str">
        <f>HYPERLINK("https://www.boe.es/gazeta/dias/1808/09/13/pdfs/GMS-1808-31.pdf#page=8","Abrir facsímil")</f>
        <v>Abrir facsímil</v>
      </c>
      <c r="K3895" s="15" t="s">
        <v>9927</v>
      </c>
    </row>
    <row r="3896" spans="1:11" ht="42" customHeight="1">
      <c r="A3896" s="4" t="s">
        <v>9931</v>
      </c>
      <c r="B3896" s="5" t="s">
        <v>9932</v>
      </c>
      <c r="C3896" s="5" t="s">
        <v>33</v>
      </c>
      <c r="D3896" s="5" t="s">
        <v>34</v>
      </c>
      <c r="E3896" s="5" t="s">
        <v>19</v>
      </c>
      <c r="F3896" s="9" t="s">
        <v>949</v>
      </c>
      <c r="G3896" s="9" t="s">
        <v>106</v>
      </c>
      <c r="H3896" s="5" t="s">
        <v>21</v>
      </c>
      <c r="I3896" s="5" t="s">
        <v>9933</v>
      </c>
      <c r="J3896" s="12" t="str">
        <f>HYPERLINK("https://www.boe.es/gazeta/dias/1808/09/30/pdfs/GMD-C-1808-130.pdf#page=3","Abrir facsímil")</f>
        <v>Abrir facsímil</v>
      </c>
      <c r="K3896" s="15" t="s">
        <v>9927</v>
      </c>
    </row>
    <row r="3897" spans="1:11" ht="42" customHeight="1">
      <c r="A3897" s="4" t="s">
        <v>9934</v>
      </c>
      <c r="B3897" s="5" t="s">
        <v>9934</v>
      </c>
      <c r="C3897" s="5" t="s">
        <v>94</v>
      </c>
      <c r="D3897" s="5" t="s">
        <v>95</v>
      </c>
      <c r="E3897" s="5" t="s">
        <v>269</v>
      </c>
      <c r="F3897" s="9" t="s">
        <v>270</v>
      </c>
      <c r="G3897" s="9">
        <v>69</v>
      </c>
      <c r="H3897" s="5" t="s">
        <v>21</v>
      </c>
      <c r="I3897" s="5" t="s">
        <v>9935</v>
      </c>
      <c r="J3897" s="12" t="str">
        <f>HYPERLINK("https://www.boe.es/gazeta/dias/1808/01/19/pdfs/GMD-1808-6.pdf#page=9","Abrir facsímil")</f>
        <v>Abrir facsímil</v>
      </c>
      <c r="K3897" s="15" t="s">
        <v>23</v>
      </c>
    </row>
    <row r="3898" spans="1:11" ht="42" customHeight="1">
      <c r="A3898" s="4" t="s">
        <v>9936</v>
      </c>
      <c r="B3898" s="5" t="s">
        <v>9936</v>
      </c>
      <c r="C3898" s="5" t="s">
        <v>41</v>
      </c>
      <c r="D3898" s="5" t="s">
        <v>42</v>
      </c>
      <c r="E3898" s="5" t="s">
        <v>242</v>
      </c>
      <c r="F3898" s="9" t="s">
        <v>243</v>
      </c>
      <c r="G3898" s="9">
        <v>12</v>
      </c>
      <c r="H3898" s="5" t="s">
        <v>21</v>
      </c>
      <c r="I3898" s="5" t="s">
        <v>9937</v>
      </c>
      <c r="J3898" s="12" t="str">
        <f>HYPERLINK("https://www.boe.es/gazeta/dias/1808/01/01/pdfs/GMD-1808-1.pdf#page=12","Abrir facsímil")</f>
        <v>Abrir facsímil</v>
      </c>
      <c r="K3898" s="15" t="s">
        <v>23</v>
      </c>
    </row>
    <row r="3899" spans="1:11" ht="42" customHeight="1">
      <c r="A3899" s="4" t="s">
        <v>9938</v>
      </c>
      <c r="B3899" s="5" t="s">
        <v>9938</v>
      </c>
      <c r="C3899" s="5" t="s">
        <v>33</v>
      </c>
      <c r="D3899" s="5" t="s">
        <v>34</v>
      </c>
      <c r="E3899" s="5" t="s">
        <v>35</v>
      </c>
      <c r="F3899" s="9" t="s">
        <v>36</v>
      </c>
      <c r="G3899" s="9" t="s">
        <v>80</v>
      </c>
      <c r="H3899" s="5" t="s">
        <v>21</v>
      </c>
      <c r="I3899" s="5" t="s">
        <v>9939</v>
      </c>
      <c r="J3899" s="12" t="str">
        <f>HYPERLINK("https://www.boe.es/gazeta/dias/1808/04/22/pdfs/GMD-C-1808-38.pdf#page=18","Abrir facsímil")</f>
        <v>Abrir facsímil</v>
      </c>
      <c r="K3899" s="15" t="s">
        <v>23</v>
      </c>
    </row>
    <row r="3900" spans="1:11" ht="42" customHeight="1">
      <c r="A3900" s="4" t="s">
        <v>9940</v>
      </c>
      <c r="B3900" s="5" t="s">
        <v>9940</v>
      </c>
      <c r="C3900" s="5" t="s">
        <v>33</v>
      </c>
      <c r="D3900" s="5" t="s">
        <v>34</v>
      </c>
      <c r="E3900" s="5" t="s">
        <v>35</v>
      </c>
      <c r="F3900" s="9" t="s">
        <v>36</v>
      </c>
      <c r="G3900" s="9" t="s">
        <v>4783</v>
      </c>
      <c r="H3900" s="5" t="s">
        <v>21</v>
      </c>
      <c r="I3900" s="5" t="s">
        <v>9941</v>
      </c>
      <c r="J3900" s="12" t="str">
        <f>HYPERLINK("https://www.boe.es/gazeta/dias/1808/04/22/pdfs/GMD-C-1808-38.pdf#page=36","Abrir facsímil")</f>
        <v>Abrir facsímil</v>
      </c>
      <c r="K3900" s="15" t="s">
        <v>23</v>
      </c>
    </row>
    <row r="3901" spans="1:11" ht="42" customHeight="1">
      <c r="A3901" s="4" t="s">
        <v>9942</v>
      </c>
      <c r="B3901" s="5" t="s">
        <v>9943</v>
      </c>
      <c r="C3901" s="5" t="s">
        <v>33</v>
      </c>
      <c r="D3901" s="5" t="s">
        <v>34</v>
      </c>
      <c r="E3901" s="5" t="s">
        <v>89</v>
      </c>
      <c r="F3901" s="9" t="s">
        <v>563</v>
      </c>
      <c r="G3901" s="9" t="s">
        <v>199</v>
      </c>
      <c r="H3901" s="5" t="s">
        <v>21</v>
      </c>
      <c r="I3901" s="5" t="s">
        <v>9944</v>
      </c>
      <c r="J3901" s="12" t="str">
        <f>HYPERLINK("https://www.boe.es/gazeta/dias/1808/10/25/pdfs/GMD-D-1808-137.pdf#page=2","Abrir facsímil")</f>
        <v>Abrir facsímil</v>
      </c>
      <c r="K3901" s="15" t="s">
        <v>23</v>
      </c>
    </row>
    <row r="3902" spans="1:11" ht="42" customHeight="1">
      <c r="A3902" s="4" t="s">
        <v>9945</v>
      </c>
      <c r="B3902" s="5" t="s">
        <v>9945</v>
      </c>
      <c r="C3902" s="5" t="s">
        <v>33</v>
      </c>
      <c r="D3902" s="5" t="s">
        <v>34</v>
      </c>
      <c r="E3902" s="5" t="s">
        <v>35</v>
      </c>
      <c r="F3902" s="9" t="s">
        <v>36</v>
      </c>
      <c r="G3902" s="9" t="s">
        <v>814</v>
      </c>
      <c r="H3902" s="5" t="s">
        <v>21</v>
      </c>
      <c r="I3902" s="5" t="s">
        <v>9946</v>
      </c>
      <c r="J3902" s="12" t="str">
        <f>HYPERLINK("https://www.boe.es/gazeta/dias/1808/04/22/pdfs/GMD-C-1808-38.pdf#page=25","Abrir facsímil")</f>
        <v>Abrir facsímil</v>
      </c>
      <c r="K3902" s="15" t="s">
        <v>23</v>
      </c>
    </row>
    <row r="3903" spans="1:11" ht="42" customHeight="1">
      <c r="A3903" s="4" t="s">
        <v>9947</v>
      </c>
      <c r="B3903" s="5" t="s">
        <v>9947</v>
      </c>
      <c r="C3903" s="5" t="s">
        <v>33</v>
      </c>
      <c r="D3903" s="5" t="s">
        <v>34</v>
      </c>
      <c r="E3903" s="5" t="s">
        <v>35</v>
      </c>
      <c r="F3903" s="9" t="s">
        <v>36</v>
      </c>
      <c r="G3903" s="9" t="s">
        <v>47</v>
      </c>
      <c r="H3903" s="5" t="s">
        <v>21</v>
      </c>
      <c r="I3903" s="5" t="s">
        <v>9948</v>
      </c>
      <c r="J3903" s="12" t="str">
        <f>HYPERLINK("https://www.boe.es/gazeta/dias/1808/04/22/pdfs/GMD-C-1808-38.pdf#page=13","Abrir facsímil")</f>
        <v>Abrir facsímil</v>
      </c>
      <c r="K3903" s="15" t="s">
        <v>23</v>
      </c>
    </row>
    <row r="3904" spans="1:11" ht="42" customHeight="1">
      <c r="A3904" s="4" t="s">
        <v>9949</v>
      </c>
      <c r="B3904" s="5" t="s">
        <v>9949</v>
      </c>
      <c r="C3904" s="5" t="s">
        <v>17</v>
      </c>
      <c r="D3904" s="5" t="s">
        <v>18</v>
      </c>
      <c r="E3904" s="5" t="s">
        <v>115</v>
      </c>
      <c r="F3904" s="9" t="s">
        <v>1650</v>
      </c>
      <c r="G3904" s="9">
        <v>1177</v>
      </c>
      <c r="H3904" s="5" t="s">
        <v>21</v>
      </c>
      <c r="I3904" s="5" t="s">
        <v>9950</v>
      </c>
      <c r="J3904" s="12" t="str">
        <f>HYPERLINK("https://www.boe.es/gazeta/dias/1808/09/16/pdfs/GMD-1808-125.pdf#page=9","Abrir facsímil")</f>
        <v>Abrir facsímil</v>
      </c>
      <c r="K3904" s="15" t="s">
        <v>23</v>
      </c>
    </row>
    <row r="3905" spans="1:11" ht="42" customHeight="1">
      <c r="A3905" s="4" t="s">
        <v>9951</v>
      </c>
      <c r="B3905" s="5" t="s">
        <v>9951</v>
      </c>
      <c r="C3905" s="5" t="s">
        <v>17</v>
      </c>
      <c r="D3905" s="5" t="s">
        <v>18</v>
      </c>
      <c r="E3905" s="5" t="s">
        <v>130</v>
      </c>
      <c r="F3905" s="9" t="s">
        <v>131</v>
      </c>
      <c r="G3905" s="9">
        <v>1603</v>
      </c>
      <c r="H3905" s="5" t="s">
        <v>21</v>
      </c>
      <c r="I3905" s="5" t="s">
        <v>9952</v>
      </c>
      <c r="J3905" s="12" t="str">
        <f>HYPERLINK("https://www.boe.es/gazeta/dias/1808/12/15/pdfs/GMD-1808-155.pdf#page=7","Abrir facsímil")</f>
        <v>Abrir facsímil</v>
      </c>
      <c r="K3905" s="15" t="s">
        <v>23</v>
      </c>
    </row>
    <row r="3906" spans="1:11" ht="42" customHeight="1">
      <c r="A3906" s="4" t="s">
        <v>9953</v>
      </c>
      <c r="B3906" s="5" t="s">
        <v>9954</v>
      </c>
      <c r="C3906" s="5" t="s">
        <v>17</v>
      </c>
      <c r="D3906" s="5" t="s">
        <v>18</v>
      </c>
      <c r="E3906" s="5" t="s">
        <v>19</v>
      </c>
      <c r="F3906" s="9" t="s">
        <v>59</v>
      </c>
      <c r="G3906" s="9">
        <v>1228</v>
      </c>
      <c r="H3906" s="5" t="s">
        <v>21</v>
      </c>
      <c r="I3906" s="5" t="s">
        <v>9955</v>
      </c>
      <c r="J3906" s="12" t="str">
        <f>HYPERLINK("https://www.boe.es/gazeta/dias/1808/09/30/pdfs/GMD-1808-130.pdf#page=8","Abrir facsímil")</f>
        <v>Abrir facsímil</v>
      </c>
      <c r="K3906" s="15" t="s">
        <v>23</v>
      </c>
    </row>
    <row r="3907" spans="1:11" ht="42" customHeight="1">
      <c r="A3907" s="4" t="s">
        <v>9956</v>
      </c>
      <c r="B3907" s="5" t="s">
        <v>9956</v>
      </c>
      <c r="C3907" s="5" t="s">
        <v>17</v>
      </c>
      <c r="D3907" s="5" t="s">
        <v>18</v>
      </c>
      <c r="E3907" s="5" t="s">
        <v>1676</v>
      </c>
      <c r="F3907" s="9" t="s">
        <v>1677</v>
      </c>
      <c r="G3907" s="9">
        <v>555</v>
      </c>
      <c r="H3907" s="5" t="s">
        <v>21</v>
      </c>
      <c r="I3907" s="5" t="s">
        <v>9957</v>
      </c>
      <c r="J3907" s="12" t="str">
        <f>HYPERLINK("https://www.boe.es/gazeta/dias/1808/06/10/pdfs/GMD-1808-55.pdf#page=9","Abrir facsímil")</f>
        <v>Abrir facsímil</v>
      </c>
      <c r="K3907" s="15" t="s">
        <v>23</v>
      </c>
    </row>
    <row r="3908" spans="1:11" ht="42" customHeight="1">
      <c r="A3908" s="4" t="s">
        <v>9958</v>
      </c>
      <c r="B3908" s="5" t="s">
        <v>9959</v>
      </c>
      <c r="C3908" s="5" t="s">
        <v>94</v>
      </c>
      <c r="D3908" s="5" t="s">
        <v>95</v>
      </c>
      <c r="E3908" s="5" t="s">
        <v>68</v>
      </c>
      <c r="F3908" s="9" t="s">
        <v>849</v>
      </c>
      <c r="G3908" s="9">
        <v>1349</v>
      </c>
      <c r="H3908" s="5" t="s">
        <v>21</v>
      </c>
      <c r="I3908" s="5" t="s">
        <v>9960</v>
      </c>
      <c r="J3908" s="12" t="str">
        <f>HYPERLINK("https://www.boe.es/gazeta/dias/1808/10/21/pdfs/GMD-C-1808-136.pdf#page=9","Abrir facsímil")</f>
        <v>Abrir facsímil</v>
      </c>
      <c r="K3908" s="15" t="s">
        <v>23</v>
      </c>
    </row>
    <row r="3909" spans="1:11" ht="42" customHeight="1">
      <c r="A3909" s="4" t="s">
        <v>9961</v>
      </c>
      <c r="B3909" s="5" t="s">
        <v>9962</v>
      </c>
      <c r="C3909" s="5" t="s">
        <v>94</v>
      </c>
      <c r="D3909" s="5" t="s">
        <v>95</v>
      </c>
      <c r="E3909" s="5" t="s">
        <v>1210</v>
      </c>
      <c r="F3909" s="9" t="s">
        <v>1211</v>
      </c>
      <c r="G3909" s="9">
        <v>458</v>
      </c>
      <c r="H3909" s="5" t="s">
        <v>21</v>
      </c>
      <c r="I3909" s="5" t="s">
        <v>9963</v>
      </c>
      <c r="J3909" s="12" t="str">
        <f>HYPERLINK("https://www.boe.es/gazeta/dias/1808/05/13/pdfs/GMD-1808-46.pdf#page=10","Abrir facsímil")</f>
        <v>Abrir facsímil</v>
      </c>
      <c r="K3909" s="15" t="s">
        <v>23</v>
      </c>
    </row>
    <row r="3910" spans="1:11" ht="42" customHeight="1">
      <c r="A3910" s="4" t="s">
        <v>9964</v>
      </c>
      <c r="B3910" s="5" t="s">
        <v>9964</v>
      </c>
      <c r="C3910" s="5" t="s">
        <v>41</v>
      </c>
      <c r="D3910" s="5" t="s">
        <v>42</v>
      </c>
      <c r="E3910" s="5" t="s">
        <v>684</v>
      </c>
      <c r="F3910" s="9" t="s">
        <v>685</v>
      </c>
      <c r="G3910" s="9">
        <v>382</v>
      </c>
      <c r="H3910" s="5" t="s">
        <v>21</v>
      </c>
      <c r="I3910" s="5" t="s">
        <v>9965</v>
      </c>
      <c r="J3910" s="12" t="str">
        <f>HYPERLINK("https://www.boe.es/gazeta/dias/1808/04/15/pdfs/GMD-1808-35.pdf#page=8","Abrir facsímil")</f>
        <v>Abrir facsímil</v>
      </c>
      <c r="K3910" s="15" t="s">
        <v>23</v>
      </c>
    </row>
    <row r="3911" spans="1:11" ht="42" customHeight="1">
      <c r="A3911" s="4" t="s">
        <v>9966</v>
      </c>
      <c r="B3911" s="5" t="s">
        <v>9966</v>
      </c>
      <c r="C3911" s="5" t="s">
        <v>33</v>
      </c>
      <c r="D3911" s="5" t="s">
        <v>34</v>
      </c>
      <c r="E3911" s="5" t="s">
        <v>35</v>
      </c>
      <c r="F3911" s="9" t="s">
        <v>36</v>
      </c>
      <c r="G3911" s="9" t="s">
        <v>1860</v>
      </c>
      <c r="H3911" s="5" t="s">
        <v>21</v>
      </c>
      <c r="I3911" s="5" t="s">
        <v>9967</v>
      </c>
      <c r="J3911" s="12" t="str">
        <f>HYPERLINK("https://www.boe.es/gazeta/dias/1808/04/22/pdfs/GMD-C-1808-38.pdf#page=37","Abrir facsímil")</f>
        <v>Abrir facsímil</v>
      </c>
      <c r="K3911" s="15" t="s">
        <v>23</v>
      </c>
    </row>
    <row r="3912" spans="1:11" ht="42" customHeight="1">
      <c r="A3912" s="4" t="s">
        <v>9968</v>
      </c>
      <c r="B3912" s="5" t="s">
        <v>9968</v>
      </c>
      <c r="C3912" s="5" t="s">
        <v>41</v>
      </c>
      <c r="D3912" s="5" t="s">
        <v>42</v>
      </c>
      <c r="E3912" s="5" t="s">
        <v>35</v>
      </c>
      <c r="F3912" s="9" t="s">
        <v>36</v>
      </c>
      <c r="G3912" s="9" t="s">
        <v>837</v>
      </c>
      <c r="H3912" s="5" t="s">
        <v>21</v>
      </c>
      <c r="I3912" s="5" t="s">
        <v>9969</v>
      </c>
      <c r="J3912" s="12" t="str">
        <f>HYPERLINK("https://www.boe.es/gazeta/dias/1808/04/22/pdfs/GMD-C-1808-38.pdf#page=10","Abrir facsímil")</f>
        <v>Abrir facsímil</v>
      </c>
      <c r="K3912" s="15" t="s">
        <v>23</v>
      </c>
    </row>
    <row r="3913" spans="1:11" ht="42" customHeight="1">
      <c r="A3913" s="4" t="s">
        <v>9970</v>
      </c>
      <c r="B3913" s="5" t="s">
        <v>9970</v>
      </c>
      <c r="C3913" s="5" t="s">
        <v>41</v>
      </c>
      <c r="D3913" s="5" t="s">
        <v>42</v>
      </c>
      <c r="E3913" s="5" t="s">
        <v>684</v>
      </c>
      <c r="F3913" s="9" t="s">
        <v>685</v>
      </c>
      <c r="G3913" s="9">
        <v>382</v>
      </c>
      <c r="H3913" s="5" t="s">
        <v>21</v>
      </c>
      <c r="I3913" s="5" t="s">
        <v>9971</v>
      </c>
      <c r="J3913" s="12" t="str">
        <f>HYPERLINK("https://www.boe.es/gazeta/dias/1808/04/15/pdfs/GMD-1808-35.pdf#page=8","Abrir facsímil")</f>
        <v>Abrir facsímil</v>
      </c>
      <c r="K3913" s="15" t="s">
        <v>23</v>
      </c>
    </row>
    <row r="3914" spans="1:11" ht="42" customHeight="1">
      <c r="A3914" s="4" t="s">
        <v>9972</v>
      </c>
      <c r="B3914" s="5" t="s">
        <v>9972</v>
      </c>
      <c r="C3914" s="5" t="s">
        <v>41</v>
      </c>
      <c r="D3914" s="5" t="s">
        <v>42</v>
      </c>
      <c r="E3914" s="5" t="s">
        <v>35</v>
      </c>
      <c r="F3914" s="9" t="s">
        <v>36</v>
      </c>
      <c r="G3914" s="9" t="s">
        <v>148</v>
      </c>
      <c r="H3914" s="5" t="s">
        <v>21</v>
      </c>
      <c r="I3914" s="5" t="s">
        <v>9973</v>
      </c>
      <c r="J3914" s="12" t="str">
        <f>HYPERLINK("https://www.boe.es/gazeta/dias/1808/04/22/pdfs/GMD-C-1808-38.pdf#page=38","Abrir facsímil")</f>
        <v>Abrir facsímil</v>
      </c>
      <c r="K3914" s="15" t="s">
        <v>23</v>
      </c>
    </row>
    <row r="3915" spans="1:11" ht="42" customHeight="1">
      <c r="A3915" s="4" t="s">
        <v>9974</v>
      </c>
      <c r="B3915" s="5" t="s">
        <v>9974</v>
      </c>
      <c r="C3915" s="5" t="s">
        <v>17</v>
      </c>
      <c r="D3915" s="5" t="s">
        <v>18</v>
      </c>
      <c r="E3915" s="5" t="s">
        <v>461</v>
      </c>
      <c r="F3915" s="9" t="s">
        <v>733</v>
      </c>
      <c r="G3915" s="9">
        <v>1448</v>
      </c>
      <c r="H3915" s="5" t="s">
        <v>21</v>
      </c>
      <c r="I3915" s="5" t="s">
        <v>9975</v>
      </c>
      <c r="J3915" s="12" t="str">
        <f>HYPERLINK("https://www.boe.es/gazeta/dias/1808/11/08/pdfs/GMD-1808-142.pdf#page=10","Abrir facsímil")</f>
        <v>Abrir facsímil</v>
      </c>
      <c r="K3915" s="15" t="s">
        <v>23</v>
      </c>
    </row>
    <row r="3916" spans="1:11" ht="42" customHeight="1">
      <c r="A3916" s="4" t="s">
        <v>9976</v>
      </c>
      <c r="B3916" s="5" t="s">
        <v>9976</v>
      </c>
      <c r="C3916" s="5" t="s">
        <v>26</v>
      </c>
      <c r="D3916" s="5" t="s">
        <v>27</v>
      </c>
      <c r="E3916" s="5" t="s">
        <v>166</v>
      </c>
      <c r="F3916" s="9" t="s">
        <v>400</v>
      </c>
      <c r="G3916" s="9" t="s">
        <v>117</v>
      </c>
      <c r="H3916" s="5" t="s">
        <v>21</v>
      </c>
      <c r="I3916" s="5" t="s">
        <v>9977</v>
      </c>
      <c r="J3916" s="12" t="str">
        <f>HYPERLINK("https://www.boe.es/gazeta/dias/1808/11/18/pdfs/D00069-00072.pdf#page=1","Abrir facsímil")</f>
        <v>Abrir facsímil</v>
      </c>
      <c r="K3916" s="15" t="s">
        <v>23</v>
      </c>
    </row>
    <row r="3917" spans="1:11" ht="42" customHeight="1">
      <c r="A3917" s="4" t="s">
        <v>9978</v>
      </c>
      <c r="B3917" s="5" t="s">
        <v>9978</v>
      </c>
      <c r="C3917" s="5" t="s">
        <v>17</v>
      </c>
      <c r="D3917" s="5" t="s">
        <v>18</v>
      </c>
      <c r="E3917" s="5" t="s">
        <v>61</v>
      </c>
      <c r="F3917" s="9" t="s">
        <v>62</v>
      </c>
      <c r="G3917" s="9">
        <v>1286</v>
      </c>
      <c r="H3917" s="5" t="s">
        <v>21</v>
      </c>
      <c r="I3917" s="5" t="s">
        <v>9979</v>
      </c>
      <c r="J3917" s="12" t="str">
        <f>HYPERLINK("https://www.boe.es/gazeta/dias/1808/10/11/pdfs/GMD-1808-133.pdf#page=14","Abrir facsímil")</f>
        <v>Abrir facsímil</v>
      </c>
      <c r="K3917" s="15" t="s">
        <v>23</v>
      </c>
    </row>
    <row r="3918" spans="1:11" ht="42" customHeight="1">
      <c r="A3918" s="4" t="s">
        <v>9980</v>
      </c>
      <c r="B3918" s="5" t="s">
        <v>9980</v>
      </c>
      <c r="C3918" s="5" t="s">
        <v>33</v>
      </c>
      <c r="D3918" s="5" t="s">
        <v>34</v>
      </c>
      <c r="E3918" s="5" t="s">
        <v>35</v>
      </c>
      <c r="F3918" s="9" t="s">
        <v>36</v>
      </c>
      <c r="G3918" s="9" t="s">
        <v>313</v>
      </c>
      <c r="H3918" s="5" t="s">
        <v>21</v>
      </c>
      <c r="I3918" s="5" t="s">
        <v>9981</v>
      </c>
      <c r="J3918" s="12" t="str">
        <f>HYPERLINK("https://www.boe.es/gazeta/dias/1808/04/22/pdfs/GMD-C-1808-38.pdf#page=29","Abrir facsímil")</f>
        <v>Abrir facsímil</v>
      </c>
      <c r="K3918" s="15" t="s">
        <v>23</v>
      </c>
    </row>
    <row r="3919" spans="1:11" ht="42" customHeight="1">
      <c r="A3919" s="4" t="s">
        <v>9982</v>
      </c>
      <c r="B3919" s="5" t="s">
        <v>9982</v>
      </c>
      <c r="C3919" s="5" t="s">
        <v>33</v>
      </c>
      <c r="D3919" s="5" t="s">
        <v>34</v>
      </c>
      <c r="E3919" s="5" t="s">
        <v>28</v>
      </c>
      <c r="F3919" s="9" t="s">
        <v>446</v>
      </c>
      <c r="G3919" s="9" t="s">
        <v>106</v>
      </c>
      <c r="H3919" s="5" t="s">
        <v>21</v>
      </c>
      <c r="I3919" s="5" t="s">
        <v>9983</v>
      </c>
      <c r="J3919" s="12" t="str">
        <f>HYPERLINK("https://www.boe.es/gazeta/dias/1808/11/04/pdfs/GMD-D-1808-141.pdf#page=3","Abrir facsímil")</f>
        <v>Abrir facsímil</v>
      </c>
      <c r="K3919" s="15" t="s">
        <v>23</v>
      </c>
    </row>
    <row r="3920" spans="1:11" ht="42" customHeight="1">
      <c r="A3920" s="4" t="s">
        <v>9984</v>
      </c>
      <c r="B3920" s="5" t="s">
        <v>9984</v>
      </c>
      <c r="C3920" s="5" t="s">
        <v>17</v>
      </c>
      <c r="D3920" s="5" t="s">
        <v>18</v>
      </c>
      <c r="E3920" s="5" t="s">
        <v>558</v>
      </c>
      <c r="F3920" s="9" t="s">
        <v>559</v>
      </c>
      <c r="G3920" s="9">
        <v>1544</v>
      </c>
      <c r="H3920" s="5" t="s">
        <v>21</v>
      </c>
      <c r="I3920" s="5" t="s">
        <v>9985</v>
      </c>
      <c r="J3920" s="12" t="str">
        <f>HYPERLINK("https://www.boe.es/gazeta/dias/1808/11/25/pdfs/GMD-1808-147.pdf#page=10","Abrir facsímil")</f>
        <v>Abrir facsímil</v>
      </c>
      <c r="K3920" s="15" t="s">
        <v>23</v>
      </c>
    </row>
    <row r="3921" spans="1:11" ht="42" customHeight="1">
      <c r="A3921" s="4" t="s">
        <v>9986</v>
      </c>
      <c r="B3921" s="5" t="s">
        <v>9987</v>
      </c>
      <c r="C3921" s="5" t="s">
        <v>33</v>
      </c>
      <c r="D3921" s="5" t="s">
        <v>34</v>
      </c>
      <c r="E3921" s="5" t="s">
        <v>89</v>
      </c>
      <c r="F3921" s="9" t="s">
        <v>563</v>
      </c>
      <c r="G3921" s="9" t="s">
        <v>117</v>
      </c>
      <c r="H3921" s="5" t="s">
        <v>21</v>
      </c>
      <c r="I3921" s="5" t="s">
        <v>9988</v>
      </c>
      <c r="J3921" s="12" t="str">
        <f>HYPERLINK("https://www.boe.es/gazeta/dias/1808/10/25/pdfs/GMD-D-1808-137.pdf#page=1","Abrir facsímil")</f>
        <v>Abrir facsímil</v>
      </c>
      <c r="K3921" s="15" t="s">
        <v>23</v>
      </c>
    </row>
    <row r="3922" spans="1:11" ht="42" customHeight="1">
      <c r="A3922" s="4" t="s">
        <v>9989</v>
      </c>
      <c r="B3922" s="5" t="s">
        <v>9990</v>
      </c>
      <c r="C3922" s="5" t="s">
        <v>94</v>
      </c>
      <c r="D3922" s="5" t="s">
        <v>95</v>
      </c>
      <c r="E3922" s="5" t="s">
        <v>3216</v>
      </c>
      <c r="F3922" s="9" t="s">
        <v>3217</v>
      </c>
      <c r="G3922" s="9">
        <v>7</v>
      </c>
      <c r="H3922" s="5" t="s">
        <v>21</v>
      </c>
      <c r="I3922" s="5" t="s">
        <v>9991</v>
      </c>
      <c r="J3922" s="12" t="str">
        <f>HYPERLINK("https://www.boe.es/gazeta/dias/1808/06/01/pdfs/GMS-1808-1.pdf#page=7","Abrir facsímil")</f>
        <v>Abrir facsímil</v>
      </c>
      <c r="K3922" s="15" t="s">
        <v>23</v>
      </c>
    </row>
    <row r="3923" spans="1:11" ht="42" customHeight="1">
      <c r="A3923" s="4" t="s">
        <v>9992</v>
      </c>
      <c r="B3923" s="5" t="s">
        <v>9993</v>
      </c>
      <c r="C3923" s="5" t="s">
        <v>17</v>
      </c>
      <c r="D3923" s="5" t="s">
        <v>18</v>
      </c>
      <c r="E3923" s="5" t="s">
        <v>185</v>
      </c>
      <c r="F3923" s="9" t="s">
        <v>186</v>
      </c>
      <c r="G3923" s="9">
        <v>1104</v>
      </c>
      <c r="H3923" s="5" t="s">
        <v>21</v>
      </c>
      <c r="I3923" s="5" t="s">
        <v>9994</v>
      </c>
      <c r="J3923" s="12" t="str">
        <f>HYPERLINK("https://www.boe.es/gazeta/dias/1808/08/30/pdfs/GMD-1808-118.pdf#page=10","Abrir facsímil")</f>
        <v>Abrir facsímil</v>
      </c>
      <c r="K3923" s="15" t="s">
        <v>23</v>
      </c>
    </row>
    <row r="3924" spans="1:11" ht="42" customHeight="1">
      <c r="A3924" s="4" t="s">
        <v>9995</v>
      </c>
      <c r="B3924" s="5" t="s">
        <v>9996</v>
      </c>
      <c r="C3924" s="5" t="s">
        <v>17</v>
      </c>
      <c r="D3924" s="5" t="s">
        <v>18</v>
      </c>
      <c r="E3924" s="5" t="s">
        <v>130</v>
      </c>
      <c r="F3924" s="9" t="s">
        <v>131</v>
      </c>
      <c r="G3924" s="9">
        <v>1603</v>
      </c>
      <c r="H3924" s="5" t="s">
        <v>21</v>
      </c>
      <c r="I3924" s="5" t="s">
        <v>9997</v>
      </c>
      <c r="J3924" s="12" t="str">
        <f>HYPERLINK("https://www.boe.es/gazeta/dias/1808/12/15/pdfs/GMD-1808-155.pdf#page=7","Abrir facsímil")</f>
        <v>Abrir facsímil</v>
      </c>
      <c r="K3924" s="15" t="s">
        <v>23</v>
      </c>
    </row>
    <row r="3925" spans="1:11" ht="42" customHeight="1">
      <c r="A3925" s="4" t="s">
        <v>9998</v>
      </c>
      <c r="B3925" s="5" t="s">
        <v>9999</v>
      </c>
      <c r="C3925" s="5" t="s">
        <v>41</v>
      </c>
      <c r="D3925" s="5" t="s">
        <v>42</v>
      </c>
      <c r="E3925" s="5" t="s">
        <v>68</v>
      </c>
      <c r="F3925" s="9" t="s">
        <v>69</v>
      </c>
      <c r="G3925" s="9">
        <v>1336</v>
      </c>
      <c r="H3925" s="5" t="s">
        <v>21</v>
      </c>
      <c r="I3925" s="5" t="s">
        <v>10000</v>
      </c>
      <c r="J3925" s="12" t="str">
        <f>HYPERLINK("https://www.boe.es/gazeta/dias/1808/10/21/pdfs/GMD-1808-136.pdf#page=8","Abrir facsímil")</f>
        <v>Abrir facsímil</v>
      </c>
      <c r="K3925" s="15" t="s">
        <v>23</v>
      </c>
    </row>
    <row r="3926" spans="1:11" ht="42" customHeight="1">
      <c r="A3926" s="4" t="s">
        <v>10001</v>
      </c>
      <c r="B3926" s="5" t="s">
        <v>10001</v>
      </c>
      <c r="C3926" s="5" t="s">
        <v>33</v>
      </c>
      <c r="D3926" s="5" t="s">
        <v>34</v>
      </c>
      <c r="E3926" s="5" t="s">
        <v>166</v>
      </c>
      <c r="F3926" s="9" t="s">
        <v>400</v>
      </c>
      <c r="G3926" s="9" t="s">
        <v>106</v>
      </c>
      <c r="H3926" s="5" t="s">
        <v>21</v>
      </c>
      <c r="I3926" s="5" t="s">
        <v>10002</v>
      </c>
      <c r="J3926" s="12" t="str">
        <f>HYPERLINK("https://www.boe.es/gazeta/dias/1808/11/18/pdfs/D00069-00072.pdf#page=3","Abrir facsímil")</f>
        <v>Abrir facsímil</v>
      </c>
      <c r="K3926" s="15" t="s">
        <v>23</v>
      </c>
    </row>
    <row r="3927" spans="1:11" ht="42" customHeight="1">
      <c r="A3927" s="4" t="s">
        <v>10003</v>
      </c>
      <c r="B3927" s="5" t="s">
        <v>10003</v>
      </c>
      <c r="C3927" s="5" t="s">
        <v>33</v>
      </c>
      <c r="D3927" s="5" t="s">
        <v>34</v>
      </c>
      <c r="E3927" s="5" t="s">
        <v>115</v>
      </c>
      <c r="F3927" s="9" t="s">
        <v>116</v>
      </c>
      <c r="G3927" s="9" t="s">
        <v>199</v>
      </c>
      <c r="H3927" s="5" t="s">
        <v>21</v>
      </c>
      <c r="I3927" s="5" t="s">
        <v>10004</v>
      </c>
      <c r="J3927" s="12" t="str">
        <f>HYPERLINK("https://www.boe.es/gazeta/dias/1808/09/16/pdfs/GMD-C-1808-125.pdf#page=2","Abrir facsímil")</f>
        <v>Abrir facsímil</v>
      </c>
      <c r="K3927" s="15" t="s">
        <v>23</v>
      </c>
    </row>
    <row r="3928" spans="1:11" ht="42" customHeight="1">
      <c r="A3928" s="4" t="s">
        <v>10005</v>
      </c>
      <c r="B3928" s="5" t="s">
        <v>10005</v>
      </c>
      <c r="C3928" s="5" t="s">
        <v>17</v>
      </c>
      <c r="D3928" s="5" t="s">
        <v>18</v>
      </c>
      <c r="E3928" s="5" t="s">
        <v>130</v>
      </c>
      <c r="F3928" s="9" t="s">
        <v>131</v>
      </c>
      <c r="G3928" s="9">
        <v>1604</v>
      </c>
      <c r="H3928" s="5" t="s">
        <v>21</v>
      </c>
      <c r="I3928" s="5" t="s">
        <v>10006</v>
      </c>
      <c r="J3928" s="12" t="str">
        <f>HYPERLINK("https://www.boe.es/gazeta/dias/1808/12/15/pdfs/GMD-1808-155.pdf#page=8","Abrir facsímil")</f>
        <v>Abrir facsímil</v>
      </c>
      <c r="K3928" s="15" t="s">
        <v>23</v>
      </c>
    </row>
    <row r="3929" spans="1:11" ht="42" customHeight="1">
      <c r="A3929" s="4" t="s">
        <v>10007</v>
      </c>
      <c r="B3929" s="5" t="s">
        <v>10007</v>
      </c>
      <c r="C3929" s="5" t="s">
        <v>33</v>
      </c>
      <c r="D3929" s="5" t="s">
        <v>34</v>
      </c>
      <c r="E3929" s="5" t="s">
        <v>35</v>
      </c>
      <c r="F3929" s="9" t="s">
        <v>36</v>
      </c>
      <c r="G3929" s="9" t="s">
        <v>818</v>
      </c>
      <c r="H3929" s="5" t="s">
        <v>21</v>
      </c>
      <c r="I3929" s="5" t="s">
        <v>10008</v>
      </c>
      <c r="J3929" s="12" t="str">
        <f>HYPERLINK("https://www.boe.es/gazeta/dias/1808/04/22/pdfs/GMD-C-1808-38.pdf#page=7","Abrir facsímil")</f>
        <v>Abrir facsímil</v>
      </c>
      <c r="K3929" s="15" t="s">
        <v>23</v>
      </c>
    </row>
    <row r="3930" spans="1:11" ht="42" customHeight="1">
      <c r="A3930" s="4" t="s">
        <v>10009</v>
      </c>
      <c r="B3930" s="5" t="s">
        <v>10010</v>
      </c>
      <c r="C3930" s="5" t="s">
        <v>94</v>
      </c>
      <c r="D3930" s="5" t="s">
        <v>95</v>
      </c>
      <c r="E3930" s="5" t="s">
        <v>2555</v>
      </c>
      <c r="F3930" s="9" t="s">
        <v>2556</v>
      </c>
      <c r="G3930" s="9">
        <v>123</v>
      </c>
      <c r="H3930" s="5" t="s">
        <v>21</v>
      </c>
      <c r="I3930" s="5" t="s">
        <v>10011</v>
      </c>
      <c r="J3930" s="12" t="str">
        <f>HYPERLINK("https://www.boe.es/gazeta/dias/1808/02/05/pdfs/GMD-1808-11.pdf#page=3","Abrir facsímil")</f>
        <v>Abrir facsímil</v>
      </c>
      <c r="K3930" s="15" t="s">
        <v>23</v>
      </c>
    </row>
    <row r="3931" spans="1:11" ht="42" customHeight="1">
      <c r="A3931" s="4" t="s">
        <v>10012</v>
      </c>
      <c r="B3931" s="5" t="s">
        <v>10013</v>
      </c>
      <c r="C3931" s="5" t="s">
        <v>33</v>
      </c>
      <c r="D3931" s="5" t="s">
        <v>34</v>
      </c>
      <c r="E3931" s="5" t="s">
        <v>35</v>
      </c>
      <c r="F3931" s="9" t="s">
        <v>36</v>
      </c>
      <c r="G3931" s="9" t="s">
        <v>117</v>
      </c>
      <c r="H3931" s="5" t="s">
        <v>21</v>
      </c>
      <c r="I3931" s="5" t="s">
        <v>10014</v>
      </c>
      <c r="J3931" s="12" t="str">
        <f>HYPERLINK("https://www.boe.es/gazeta/dias/1808/04/22/pdfs/GMD-C-1808-38.pdf#page=1","Abrir facsímil")</f>
        <v>Abrir facsímil</v>
      </c>
      <c r="K3931" s="15" t="s">
        <v>23</v>
      </c>
    </row>
    <row r="3932" spans="1:11" ht="42" customHeight="1">
      <c r="A3932" s="4" t="s">
        <v>10012</v>
      </c>
      <c r="B3932" s="5" t="s">
        <v>10013</v>
      </c>
      <c r="C3932" s="5" t="s">
        <v>33</v>
      </c>
      <c r="D3932" s="5" t="s">
        <v>34</v>
      </c>
      <c r="E3932" s="5" t="s">
        <v>35</v>
      </c>
      <c r="F3932" s="9" t="s">
        <v>36</v>
      </c>
      <c r="G3932" s="9" t="s">
        <v>135</v>
      </c>
      <c r="H3932" s="5" t="s">
        <v>21</v>
      </c>
      <c r="I3932" s="5" t="s">
        <v>10015</v>
      </c>
      <c r="J3932" s="12" t="str">
        <f>HYPERLINK("https://www.boe.es/gazeta/dias/1808/04/22/pdfs/GMD-C-1808-38.pdf#page=26","Abrir facsímil")</f>
        <v>Abrir facsímil</v>
      </c>
      <c r="K3932" s="15" t="s">
        <v>23</v>
      </c>
    </row>
    <row r="3933" spans="1:11" ht="42" customHeight="1">
      <c r="A3933" s="4" t="s">
        <v>10016</v>
      </c>
      <c r="B3933" s="5" t="s">
        <v>10016</v>
      </c>
      <c r="C3933" s="5" t="s">
        <v>17</v>
      </c>
      <c r="D3933" s="5" t="s">
        <v>18</v>
      </c>
      <c r="E3933" s="5" t="s">
        <v>19</v>
      </c>
      <c r="F3933" s="9" t="s">
        <v>59</v>
      </c>
      <c r="G3933" s="9">
        <v>1229</v>
      </c>
      <c r="H3933" s="5" t="s">
        <v>21</v>
      </c>
      <c r="I3933" s="5" t="s">
        <v>10017</v>
      </c>
      <c r="J3933" s="12" t="str">
        <f>HYPERLINK("https://www.boe.es/gazeta/dias/1808/09/30/pdfs/GMD-1808-130.pdf#page=9","Abrir facsímil")</f>
        <v>Abrir facsímil</v>
      </c>
      <c r="K3933" s="15" t="s">
        <v>23</v>
      </c>
    </row>
    <row r="3934" spans="1:11" ht="42" customHeight="1">
      <c r="A3934" s="4" t="s">
        <v>10018</v>
      </c>
      <c r="B3934" s="5" t="s">
        <v>10019</v>
      </c>
      <c r="C3934" s="5" t="s">
        <v>260</v>
      </c>
      <c r="D3934" s="5" t="s">
        <v>42</v>
      </c>
      <c r="E3934" s="5" t="s">
        <v>115</v>
      </c>
      <c r="F3934" s="9" t="s">
        <v>1650</v>
      </c>
      <c r="G3934" s="9">
        <v>1177</v>
      </c>
      <c r="H3934" s="5" t="s">
        <v>21</v>
      </c>
      <c r="I3934" s="5" t="s">
        <v>10020</v>
      </c>
      <c r="J3934" s="12" t="str">
        <f>HYPERLINK("https://www.boe.es/gazeta/dias/1808/09/16/pdfs/GMD-1808-125.pdf#page=9","Abrir facsímil")</f>
        <v>Abrir facsímil</v>
      </c>
      <c r="K3934" s="15" t="s">
        <v>23</v>
      </c>
    </row>
    <row r="3935" spans="1:11" ht="42" customHeight="1">
      <c r="A3935" s="4" t="s">
        <v>10021</v>
      </c>
      <c r="B3935" s="5" t="s">
        <v>10022</v>
      </c>
      <c r="C3935" s="5" t="s">
        <v>17</v>
      </c>
      <c r="D3935" s="5" t="s">
        <v>18</v>
      </c>
      <c r="E3935" s="5" t="s">
        <v>714</v>
      </c>
      <c r="F3935" s="9" t="s">
        <v>2736</v>
      </c>
      <c r="G3935" s="9">
        <v>822</v>
      </c>
      <c r="H3935" s="5" t="s">
        <v>21</v>
      </c>
      <c r="I3935" s="5" t="s">
        <v>10023</v>
      </c>
      <c r="J3935" s="12" t="str">
        <f>HYPERLINK("https://www.boe.es/gazeta/dias/1808/07/16/pdfs/GMD-1808-88.pdf#page=8","Abrir facsímil")</f>
        <v>Abrir facsímil</v>
      </c>
      <c r="K3935" s="15" t="s">
        <v>23</v>
      </c>
    </row>
    <row r="3936" spans="1:11" ht="42" customHeight="1">
      <c r="A3936" s="4" t="s">
        <v>10024</v>
      </c>
      <c r="B3936" s="5" t="s">
        <v>10025</v>
      </c>
      <c r="C3936" s="5" t="s">
        <v>17</v>
      </c>
      <c r="D3936" s="5" t="s">
        <v>18</v>
      </c>
      <c r="E3936" s="5" t="s">
        <v>363</v>
      </c>
      <c r="F3936" s="9" t="s">
        <v>1224</v>
      </c>
      <c r="G3936" s="9">
        <v>1188</v>
      </c>
      <c r="H3936" s="5" t="s">
        <v>21</v>
      </c>
      <c r="I3936" s="5" t="s">
        <v>10026</v>
      </c>
      <c r="J3936" s="12" t="str">
        <f>HYPERLINK("https://www.boe.es/gazeta/dias/1808/09/20/pdfs/GMD-1808-126.pdf#page=8","Abrir facsímil")</f>
        <v>Abrir facsímil</v>
      </c>
      <c r="K3936" s="15" t="s">
        <v>23</v>
      </c>
    </row>
    <row r="3937" spans="1:11" ht="42" customHeight="1">
      <c r="A3937" s="4" t="s">
        <v>10024</v>
      </c>
      <c r="B3937" s="5" t="s">
        <v>10025</v>
      </c>
      <c r="C3937" s="5" t="s">
        <v>33</v>
      </c>
      <c r="D3937" s="5" t="s">
        <v>34</v>
      </c>
      <c r="E3937" s="5" t="s">
        <v>363</v>
      </c>
      <c r="F3937" s="9" t="s">
        <v>364</v>
      </c>
      <c r="G3937" s="9" t="s">
        <v>75</v>
      </c>
      <c r="H3937" s="5" t="s">
        <v>21</v>
      </c>
      <c r="I3937" s="5" t="s">
        <v>10027</v>
      </c>
      <c r="J3937" s="12" t="str">
        <f>HYPERLINK("https://www.boe.es/gazeta/dias/1808/09/20/pdfs/GMD-C-1808-126.pdf#page=4","Abrir facsímil")</f>
        <v>Abrir facsímil</v>
      </c>
      <c r="K3937" s="15" t="s">
        <v>23</v>
      </c>
    </row>
    <row r="3938" spans="1:11" ht="42" customHeight="1">
      <c r="A3938" s="4" t="s">
        <v>10024</v>
      </c>
      <c r="B3938" s="5" t="s">
        <v>10025</v>
      </c>
      <c r="C3938" s="5" t="s">
        <v>17</v>
      </c>
      <c r="D3938" s="5" t="s">
        <v>18</v>
      </c>
      <c r="E3938" s="5" t="s">
        <v>73</v>
      </c>
      <c r="F3938" s="9" t="s">
        <v>581</v>
      </c>
      <c r="G3938" s="9">
        <v>1468</v>
      </c>
      <c r="H3938" s="5" t="s">
        <v>21</v>
      </c>
      <c r="I3938" s="5" t="s">
        <v>10028</v>
      </c>
      <c r="J3938" s="12" t="str">
        <f>HYPERLINK("https://www.boe.es/gazeta/dias/1808/11/11/pdfs/GMD-1808-143.pdf#page=10","Abrir facsímil")</f>
        <v>Abrir facsímil</v>
      </c>
      <c r="K3938" s="15" t="s">
        <v>23</v>
      </c>
    </row>
    <row r="3939" spans="1:11" ht="42" customHeight="1">
      <c r="A3939" s="4" t="s">
        <v>10029</v>
      </c>
      <c r="B3939" s="5" t="s">
        <v>10030</v>
      </c>
      <c r="C3939" s="5" t="s">
        <v>94</v>
      </c>
      <c r="D3939" s="5" t="s">
        <v>95</v>
      </c>
      <c r="E3939" s="5" t="s">
        <v>130</v>
      </c>
      <c r="F3939" s="9" t="s">
        <v>131</v>
      </c>
      <c r="G3939" s="9">
        <v>1602</v>
      </c>
      <c r="H3939" s="5" t="s">
        <v>21</v>
      </c>
      <c r="I3939" s="5" t="s">
        <v>10031</v>
      </c>
      <c r="J3939" s="12" t="str">
        <f>HYPERLINK("https://www.boe.es/gazeta/dias/1808/12/15/pdfs/GMD-1808-155.pdf#page=6","Abrir facsímil")</f>
        <v>Abrir facsímil</v>
      </c>
      <c r="K3939" s="15" t="s">
        <v>23</v>
      </c>
    </row>
    <row r="3940" spans="1:11" ht="42" customHeight="1">
      <c r="A3940" s="4" t="s">
        <v>10029</v>
      </c>
      <c r="B3940" s="5" t="s">
        <v>10030</v>
      </c>
      <c r="C3940" s="5" t="s">
        <v>94</v>
      </c>
      <c r="D3940" s="5" t="s">
        <v>95</v>
      </c>
      <c r="E3940" s="5" t="s">
        <v>719</v>
      </c>
      <c r="F3940" s="9" t="s">
        <v>720</v>
      </c>
      <c r="G3940" s="9">
        <v>1611</v>
      </c>
      <c r="H3940" s="5" t="s">
        <v>21</v>
      </c>
      <c r="I3940" s="5" t="s">
        <v>10032</v>
      </c>
      <c r="J3940" s="12" t="str">
        <f>HYPERLINK("https://www.boe.es/gazeta/dias/1808/12/16/pdfs/GMD-1808-156.pdf#page=3","Abrir facsímil")</f>
        <v>Abrir facsímil</v>
      </c>
      <c r="K3940" s="15" t="s">
        <v>23</v>
      </c>
    </row>
    <row r="3941" spans="1:11" ht="42" customHeight="1">
      <c r="A3941" s="4" t="s">
        <v>10033</v>
      </c>
      <c r="B3941" s="5" t="s">
        <v>10033</v>
      </c>
      <c r="C3941" s="5" t="s">
        <v>41</v>
      </c>
      <c r="D3941" s="5" t="s">
        <v>42</v>
      </c>
      <c r="E3941" s="5" t="s">
        <v>35</v>
      </c>
      <c r="F3941" s="9" t="s">
        <v>36</v>
      </c>
      <c r="G3941" s="9" t="s">
        <v>37</v>
      </c>
      <c r="H3941" s="5" t="s">
        <v>21</v>
      </c>
      <c r="I3941" s="5" t="s">
        <v>10034</v>
      </c>
      <c r="J3941" s="12" t="str">
        <f>HYPERLINK("https://www.boe.es/gazeta/dias/1808/04/22/pdfs/GMD-C-1808-38.pdf#page=33","Abrir facsímil")</f>
        <v>Abrir facsímil</v>
      </c>
      <c r="K3941" s="15" t="s">
        <v>23</v>
      </c>
    </row>
    <row r="3942" spans="1:11" ht="42" customHeight="1">
      <c r="A3942" s="4" t="s">
        <v>10035</v>
      </c>
      <c r="B3942" s="5" t="s">
        <v>10035</v>
      </c>
      <c r="C3942" s="5" t="s">
        <v>17</v>
      </c>
      <c r="D3942" s="5" t="s">
        <v>18</v>
      </c>
      <c r="E3942" s="5" t="s">
        <v>139</v>
      </c>
      <c r="F3942" s="9" t="s">
        <v>140</v>
      </c>
      <c r="G3942" s="9">
        <v>1204</v>
      </c>
      <c r="H3942" s="5" t="s">
        <v>21</v>
      </c>
      <c r="I3942" s="5" t="s">
        <v>10036</v>
      </c>
      <c r="J3942" s="12" t="str">
        <f>HYPERLINK("https://www.boe.es/gazeta/dias/1808/09/23/pdfs/GMD-1808-127.pdf#page=12","Abrir facsímil")</f>
        <v>Abrir facsímil</v>
      </c>
      <c r="K3942" s="15" t="s">
        <v>23</v>
      </c>
    </row>
    <row r="3943" spans="1:11" ht="42" customHeight="1">
      <c r="A3943" s="4" t="s">
        <v>10037</v>
      </c>
      <c r="B3943" s="5" t="s">
        <v>10037</v>
      </c>
      <c r="C3943" s="5" t="s">
        <v>17</v>
      </c>
      <c r="D3943" s="5" t="s">
        <v>18</v>
      </c>
      <c r="E3943" s="5" t="s">
        <v>1472</v>
      </c>
      <c r="F3943" s="9" t="s">
        <v>1473</v>
      </c>
      <c r="G3943" s="9">
        <v>95</v>
      </c>
      <c r="H3943" s="5" t="s">
        <v>21</v>
      </c>
      <c r="I3943" s="5" t="s">
        <v>10038</v>
      </c>
      <c r="J3943" s="12" t="str">
        <f>HYPERLINK("https://www.boe.es/gazeta/dias/1808/01/26/pdfs/GMD-1808-8.pdf#page=11","Abrir facsímil")</f>
        <v>Abrir facsímil</v>
      </c>
      <c r="K3943" s="15" t="s">
        <v>23</v>
      </c>
    </row>
    <row r="3944" spans="1:11" ht="42" customHeight="1">
      <c r="A3944" s="4" t="s">
        <v>10037</v>
      </c>
      <c r="B3944" s="5" t="s">
        <v>10037</v>
      </c>
      <c r="C3944" s="5" t="s">
        <v>33</v>
      </c>
      <c r="D3944" s="5" t="s">
        <v>34</v>
      </c>
      <c r="E3944" s="5" t="s">
        <v>68</v>
      </c>
      <c r="F3944" s="9" t="s">
        <v>309</v>
      </c>
      <c r="G3944" s="9" t="s">
        <v>117</v>
      </c>
      <c r="H3944" s="5" t="s">
        <v>21</v>
      </c>
      <c r="I3944" s="5" t="s">
        <v>10039</v>
      </c>
      <c r="J3944" s="12" t="str">
        <f>HYPERLINK("https://www.boe.es/gazeta/dias/1808/10/21/pdfs/GMD-D-1808-136.pdf#page=1","Abrir facsímil")</f>
        <v>Abrir facsímil</v>
      </c>
      <c r="K3944" s="15" t="s">
        <v>23</v>
      </c>
    </row>
    <row r="3945" spans="1:11" ht="42" customHeight="1">
      <c r="A3945" s="4" t="s">
        <v>10037</v>
      </c>
      <c r="B3945" s="5" t="s">
        <v>10037</v>
      </c>
      <c r="C3945" s="5" t="s">
        <v>41</v>
      </c>
      <c r="D3945" s="5" t="s">
        <v>42</v>
      </c>
      <c r="E3945" s="5" t="s">
        <v>264</v>
      </c>
      <c r="F3945" s="9" t="s">
        <v>318</v>
      </c>
      <c r="G3945" s="9" t="s">
        <v>117</v>
      </c>
      <c r="H3945" s="5" t="s">
        <v>21</v>
      </c>
      <c r="I3945" s="5" t="s">
        <v>10040</v>
      </c>
      <c r="J3945" s="12" t="str">
        <f>HYPERLINK("https://www.boe.es/gazeta/dias/1808/11/29/pdfs/GMD-C-1808-148.pdf#page=1","Abrir facsímil")</f>
        <v>Abrir facsímil</v>
      </c>
      <c r="K3945" s="15" t="s">
        <v>23</v>
      </c>
    </row>
    <row r="3946" spans="1:11" ht="42" customHeight="1">
      <c r="A3946" s="4" t="s">
        <v>10041</v>
      </c>
      <c r="B3946" s="5" t="s">
        <v>10041</v>
      </c>
      <c r="C3946" s="5" t="s">
        <v>17</v>
      </c>
      <c r="D3946" s="5" t="s">
        <v>18</v>
      </c>
      <c r="E3946" s="5" t="s">
        <v>558</v>
      </c>
      <c r="F3946" s="9" t="s">
        <v>559</v>
      </c>
      <c r="G3946" s="9">
        <v>1545</v>
      </c>
      <c r="H3946" s="5" t="s">
        <v>21</v>
      </c>
      <c r="I3946" s="5" t="s">
        <v>10042</v>
      </c>
      <c r="J3946" s="12" t="str">
        <f>HYPERLINK("https://www.boe.es/gazeta/dias/1808/11/25/pdfs/GMD-1808-147.pdf#page=11","Abrir facsímil")</f>
        <v>Abrir facsímil</v>
      </c>
      <c r="K3946" s="15" t="s">
        <v>23</v>
      </c>
    </row>
    <row r="3947" spans="1:11" ht="42" customHeight="1">
      <c r="A3947" s="4" t="s">
        <v>10043</v>
      </c>
      <c r="B3947" s="5" t="s">
        <v>10043</v>
      </c>
      <c r="C3947" s="5" t="s">
        <v>260</v>
      </c>
      <c r="D3947" s="5" t="s">
        <v>42</v>
      </c>
      <c r="E3947" s="5" t="s">
        <v>6282</v>
      </c>
      <c r="F3947" s="9" t="s">
        <v>6283</v>
      </c>
      <c r="G3947" s="9">
        <v>649</v>
      </c>
      <c r="H3947" s="5" t="s">
        <v>21</v>
      </c>
      <c r="I3947" s="5" t="s">
        <v>10044</v>
      </c>
      <c r="J3947" s="12" t="str">
        <f>HYPERLINK("https://www.boe.es/gazeta/dias/1808/06/25/pdfs/GMD-1808-67.pdf#page=3","Abrir facsímil")</f>
        <v>Abrir facsímil</v>
      </c>
      <c r="K3947" s="15" t="s">
        <v>23</v>
      </c>
    </row>
    <row r="3948" spans="1:11" ht="42" customHeight="1">
      <c r="A3948" s="4" t="s">
        <v>10045</v>
      </c>
      <c r="B3948" s="5" t="s">
        <v>10046</v>
      </c>
      <c r="C3948" s="5" t="s">
        <v>101</v>
      </c>
      <c r="D3948" s="5" t="s">
        <v>102</v>
      </c>
      <c r="E3948" s="5" t="s">
        <v>215</v>
      </c>
      <c r="F3948" s="9" t="s">
        <v>216</v>
      </c>
      <c r="G3948" s="9">
        <v>294</v>
      </c>
      <c r="H3948" s="5" t="s">
        <v>21</v>
      </c>
      <c r="I3948" s="5" t="s">
        <v>10047</v>
      </c>
      <c r="J3948" s="12" t="str">
        <f>HYPERLINK("https://www.boe.es/gazeta/dias/1808/03/25/pdfs/GMD-1808-25.pdf#page=4","Abrir facsímil")</f>
        <v>Abrir facsímil</v>
      </c>
      <c r="K3948" s="15" t="s">
        <v>23</v>
      </c>
    </row>
    <row r="3949" spans="1:11" ht="42" customHeight="1">
      <c r="A3949" s="4" t="s">
        <v>10048</v>
      </c>
      <c r="B3949" s="5" t="s">
        <v>10049</v>
      </c>
      <c r="C3949" s="5" t="s">
        <v>17</v>
      </c>
      <c r="D3949" s="5" t="s">
        <v>18</v>
      </c>
      <c r="E3949" s="5" t="s">
        <v>210</v>
      </c>
      <c r="F3949" s="9" t="s">
        <v>211</v>
      </c>
      <c r="G3949" s="9">
        <v>253</v>
      </c>
      <c r="H3949" s="5" t="s">
        <v>21</v>
      </c>
      <c r="I3949" s="5" t="s">
        <v>10050</v>
      </c>
      <c r="J3949" s="12" t="str">
        <f>HYPERLINK("https://www.boe.es/gazeta/dias/1808/03/11/pdfs/GMD-1808-21.pdf#page=7","Abrir facsímil")</f>
        <v>Abrir facsímil</v>
      </c>
      <c r="K3949" s="15" t="s">
        <v>23</v>
      </c>
    </row>
    <row r="3950" spans="1:11" ht="42" customHeight="1">
      <c r="A3950" s="4" t="s">
        <v>10051</v>
      </c>
      <c r="B3950" s="5" t="s">
        <v>10051</v>
      </c>
      <c r="C3950" s="5" t="s">
        <v>17</v>
      </c>
      <c r="D3950" s="5" t="s">
        <v>18</v>
      </c>
      <c r="E3950" s="5" t="s">
        <v>558</v>
      </c>
      <c r="F3950" s="9" t="s">
        <v>559</v>
      </c>
      <c r="G3950" s="9">
        <v>1545</v>
      </c>
      <c r="H3950" s="5" t="s">
        <v>21</v>
      </c>
      <c r="I3950" s="5" t="s">
        <v>10052</v>
      </c>
      <c r="J3950" s="12" t="str">
        <f>HYPERLINK("https://www.boe.es/gazeta/dias/1808/11/25/pdfs/GMD-1808-147.pdf#page=11","Abrir facsímil")</f>
        <v>Abrir facsímil</v>
      </c>
      <c r="K3950" s="15" t="s">
        <v>23</v>
      </c>
    </row>
    <row r="3951" spans="1:11" ht="42" customHeight="1">
      <c r="A3951" s="4" t="s">
        <v>10053</v>
      </c>
      <c r="B3951" s="5" t="s">
        <v>10053</v>
      </c>
      <c r="C3951" s="5" t="s">
        <v>33</v>
      </c>
      <c r="D3951" s="5" t="s">
        <v>34</v>
      </c>
      <c r="E3951" s="5" t="s">
        <v>35</v>
      </c>
      <c r="F3951" s="9" t="s">
        <v>36</v>
      </c>
      <c r="G3951" s="9" t="s">
        <v>795</v>
      </c>
      <c r="H3951" s="5" t="s">
        <v>21</v>
      </c>
      <c r="I3951" s="5" t="s">
        <v>10054</v>
      </c>
      <c r="J3951" s="12" t="str">
        <f>HYPERLINK("https://www.boe.es/gazeta/dias/1808/04/22/pdfs/GMD-C-1808-38.pdf#page=21","Abrir facsímil")</f>
        <v>Abrir facsímil</v>
      </c>
      <c r="K3951" s="15" t="s">
        <v>23</v>
      </c>
    </row>
    <row r="3952" spans="1:11" ht="42" customHeight="1">
      <c r="A3952" s="4" t="s">
        <v>10055</v>
      </c>
      <c r="B3952" s="5" t="s">
        <v>10055</v>
      </c>
      <c r="C3952" s="5" t="s">
        <v>33</v>
      </c>
      <c r="D3952" s="5" t="s">
        <v>34</v>
      </c>
      <c r="E3952" s="5" t="s">
        <v>264</v>
      </c>
      <c r="F3952" s="9" t="s">
        <v>318</v>
      </c>
      <c r="G3952" s="9" t="s">
        <v>106</v>
      </c>
      <c r="H3952" s="5" t="s">
        <v>21</v>
      </c>
      <c r="I3952" s="5" t="s">
        <v>10056</v>
      </c>
      <c r="J3952" s="12" t="str">
        <f>HYPERLINK("https://www.boe.es/gazeta/dias/1808/11/29/pdfs/GMD-C-1808-148.pdf#page=3","Abrir facsímil")</f>
        <v>Abrir facsímil</v>
      </c>
      <c r="K3952" s="15" t="s">
        <v>23</v>
      </c>
    </row>
    <row r="3953" spans="1:11" ht="42" customHeight="1">
      <c r="A3953" s="4" t="s">
        <v>10057</v>
      </c>
      <c r="B3953" s="5" t="s">
        <v>10057</v>
      </c>
      <c r="C3953" s="5" t="s">
        <v>17</v>
      </c>
      <c r="D3953" s="5" t="s">
        <v>18</v>
      </c>
      <c r="E3953" s="5" t="s">
        <v>139</v>
      </c>
      <c r="F3953" s="9" t="s">
        <v>140</v>
      </c>
      <c r="G3953" s="9">
        <v>1203</v>
      </c>
      <c r="H3953" s="5" t="s">
        <v>21</v>
      </c>
      <c r="I3953" s="5" t="s">
        <v>10058</v>
      </c>
      <c r="J3953" s="12" t="str">
        <f>HYPERLINK("https://www.boe.es/gazeta/dias/1808/09/23/pdfs/GMD-1808-127.pdf#page=11","Abrir facsímil")</f>
        <v>Abrir facsímil</v>
      </c>
      <c r="K3953" s="15" t="s">
        <v>23</v>
      </c>
    </row>
    <row r="3954" spans="1:11" ht="42" customHeight="1">
      <c r="A3954" s="4" t="s">
        <v>10059</v>
      </c>
      <c r="B3954" s="5" t="s">
        <v>10059</v>
      </c>
      <c r="C3954" s="5" t="s">
        <v>17</v>
      </c>
      <c r="D3954" s="5" t="s">
        <v>18</v>
      </c>
      <c r="E3954" s="5" t="s">
        <v>110</v>
      </c>
      <c r="F3954" s="9" t="s">
        <v>111</v>
      </c>
      <c r="G3954" s="9">
        <v>1384</v>
      </c>
      <c r="H3954" s="5" t="s">
        <v>21</v>
      </c>
      <c r="I3954" s="5" t="s">
        <v>10060</v>
      </c>
      <c r="J3954" s="12" t="str">
        <f>HYPERLINK("https://www.boe.es/gazeta/dias/1808/10/28/pdfs/GMD-1808-138.pdf#page=10","Abrir facsímil")</f>
        <v>Abrir facsímil</v>
      </c>
      <c r="K3954" s="15" t="s">
        <v>23</v>
      </c>
    </row>
    <row r="3955" spans="1:11" ht="42" customHeight="1">
      <c r="A3955" s="4" t="s">
        <v>10061</v>
      </c>
      <c r="B3955" s="5" t="s">
        <v>10061</v>
      </c>
      <c r="C3955" s="5" t="s">
        <v>41</v>
      </c>
      <c r="D3955" s="5" t="s">
        <v>42</v>
      </c>
      <c r="E3955" s="5" t="s">
        <v>96</v>
      </c>
      <c r="F3955" s="9" t="s">
        <v>97</v>
      </c>
      <c r="G3955" s="9">
        <v>270</v>
      </c>
      <c r="H3955" s="5" t="s">
        <v>21</v>
      </c>
      <c r="I3955" s="5" t="s">
        <v>10062</v>
      </c>
      <c r="J3955" s="12" t="str">
        <f>HYPERLINK("https://www.boe.es/gazeta/dias/1808/03/15/pdfs/GMD-1808-22.pdf#page=12","Abrir facsímil")</f>
        <v>Abrir facsímil</v>
      </c>
      <c r="K3955" s="15" t="s">
        <v>23</v>
      </c>
    </row>
    <row r="3956" spans="1:11" ht="42" customHeight="1">
      <c r="A3956" s="4" t="s">
        <v>10063</v>
      </c>
      <c r="B3956" s="5" t="s">
        <v>10063</v>
      </c>
      <c r="C3956" s="5" t="s">
        <v>389</v>
      </c>
      <c r="D3956" s="5" t="s">
        <v>390</v>
      </c>
      <c r="E3956" s="5" t="s">
        <v>115</v>
      </c>
      <c r="F3956" s="9" t="s">
        <v>116</v>
      </c>
      <c r="G3956" s="9" t="s">
        <v>106</v>
      </c>
      <c r="H3956" s="5" t="s">
        <v>21</v>
      </c>
      <c r="I3956" s="5" t="s">
        <v>10064</v>
      </c>
      <c r="J3956" s="12" t="str">
        <f>HYPERLINK("https://www.boe.es/gazeta/dias/1808/09/16/pdfs/GMD-C-1808-125.pdf#page=3","Abrir facsímil")</f>
        <v>Abrir facsímil</v>
      </c>
      <c r="K3956" s="15" t="s">
        <v>23</v>
      </c>
    </row>
    <row r="3957" spans="1:11" ht="42" customHeight="1">
      <c r="A3957" s="4" t="s">
        <v>10065</v>
      </c>
      <c r="B3957" s="5" t="s">
        <v>10065</v>
      </c>
      <c r="C3957" s="5" t="s">
        <v>41</v>
      </c>
      <c r="D3957" s="5" t="s">
        <v>42</v>
      </c>
      <c r="E3957" s="5" t="s">
        <v>166</v>
      </c>
      <c r="F3957" s="9" t="s">
        <v>400</v>
      </c>
      <c r="G3957" s="9" t="s">
        <v>106</v>
      </c>
      <c r="H3957" s="5" t="s">
        <v>21</v>
      </c>
      <c r="I3957" s="5" t="s">
        <v>10066</v>
      </c>
      <c r="J3957" s="12" t="str">
        <f>HYPERLINK("https://www.boe.es/gazeta/dias/1808/11/18/pdfs/D00069-00072.pdf#page=3","Abrir facsímil")</f>
        <v>Abrir facsímil</v>
      </c>
      <c r="K3957" s="15" t="s">
        <v>23</v>
      </c>
    </row>
    <row r="3958" spans="1:11" ht="42" customHeight="1">
      <c r="A3958" s="4" t="s">
        <v>10067</v>
      </c>
      <c r="B3958" s="5" t="s">
        <v>10067</v>
      </c>
      <c r="C3958" s="5" t="s">
        <v>17</v>
      </c>
      <c r="D3958" s="5" t="s">
        <v>18</v>
      </c>
      <c r="E3958" s="5" t="s">
        <v>558</v>
      </c>
      <c r="F3958" s="9" t="s">
        <v>559</v>
      </c>
      <c r="G3958" s="9">
        <v>1545</v>
      </c>
      <c r="H3958" s="5" t="s">
        <v>21</v>
      </c>
      <c r="I3958" s="5" t="s">
        <v>10068</v>
      </c>
      <c r="J3958" s="12" t="str">
        <f>HYPERLINK("https://www.boe.es/gazeta/dias/1808/11/25/pdfs/GMD-1808-147.pdf#page=11","Abrir facsímil")</f>
        <v>Abrir facsímil</v>
      </c>
      <c r="K3958" s="15" t="s">
        <v>23</v>
      </c>
    </row>
    <row r="3959" spans="1:11" ht="42" customHeight="1">
      <c r="A3959" s="4" t="s">
        <v>10069</v>
      </c>
      <c r="B3959" s="5" t="s">
        <v>10069</v>
      </c>
      <c r="C3959" s="5" t="s">
        <v>33</v>
      </c>
      <c r="D3959" s="5" t="s">
        <v>34</v>
      </c>
      <c r="E3959" s="5" t="s">
        <v>180</v>
      </c>
      <c r="F3959" s="9" t="s">
        <v>768</v>
      </c>
      <c r="G3959" s="9" t="s">
        <v>117</v>
      </c>
      <c r="H3959" s="5" t="s">
        <v>21</v>
      </c>
      <c r="I3959" s="5" t="s">
        <v>10070</v>
      </c>
      <c r="J3959" s="12" t="str">
        <f>HYPERLINK("https://www.boe.es/gazeta/dias/1808/11/15/pdfs/GMD-D-1808-144.pdf#page=1","Abrir facsímil")</f>
        <v>Abrir facsímil</v>
      </c>
      <c r="K3959" s="15" t="s">
        <v>23</v>
      </c>
    </row>
    <row r="3960" spans="1:11" ht="42" customHeight="1">
      <c r="A3960" s="4" t="s">
        <v>10071</v>
      </c>
      <c r="B3960" s="5" t="s">
        <v>10071</v>
      </c>
      <c r="C3960" s="5" t="s">
        <v>17</v>
      </c>
      <c r="D3960" s="5" t="s">
        <v>18</v>
      </c>
      <c r="E3960" s="5" t="s">
        <v>558</v>
      </c>
      <c r="F3960" s="9" t="s">
        <v>559</v>
      </c>
      <c r="G3960" s="9">
        <v>1544</v>
      </c>
      <c r="H3960" s="5" t="s">
        <v>21</v>
      </c>
      <c r="I3960" s="5" t="s">
        <v>10072</v>
      </c>
      <c r="J3960" s="12" t="str">
        <f>HYPERLINK("https://www.boe.es/gazeta/dias/1808/11/25/pdfs/GMD-1808-147.pdf#page=10","Abrir facsímil")</f>
        <v>Abrir facsímil</v>
      </c>
      <c r="K3960" s="15" t="s">
        <v>23</v>
      </c>
    </row>
    <row r="3961" spans="1:11" ht="42" customHeight="1">
      <c r="A3961" s="4" t="s">
        <v>10073</v>
      </c>
      <c r="B3961" s="5" t="s">
        <v>10073</v>
      </c>
      <c r="C3961" s="5" t="s">
        <v>17</v>
      </c>
      <c r="D3961" s="5" t="s">
        <v>18</v>
      </c>
      <c r="E3961" s="5" t="s">
        <v>61</v>
      </c>
      <c r="F3961" s="9" t="s">
        <v>62</v>
      </c>
      <c r="G3961" s="9">
        <v>1286</v>
      </c>
      <c r="H3961" s="5" t="s">
        <v>21</v>
      </c>
      <c r="I3961" s="5" t="s">
        <v>10074</v>
      </c>
      <c r="J3961" s="12" t="str">
        <f>HYPERLINK("https://www.boe.es/gazeta/dias/1808/10/11/pdfs/GMD-1808-133.pdf#page=14","Abrir facsímil")</f>
        <v>Abrir facsímil</v>
      </c>
      <c r="K3961" s="15" t="s">
        <v>23</v>
      </c>
    </row>
    <row r="3962" spans="1:11" ht="42" customHeight="1">
      <c r="A3962" s="4" t="s">
        <v>10073</v>
      </c>
      <c r="B3962" s="5" t="s">
        <v>10073</v>
      </c>
      <c r="C3962" s="5" t="s">
        <v>33</v>
      </c>
      <c r="D3962" s="5" t="s">
        <v>34</v>
      </c>
      <c r="E3962" s="5" t="s">
        <v>110</v>
      </c>
      <c r="F3962" s="9" t="s">
        <v>828</v>
      </c>
      <c r="G3962" s="9" t="s">
        <v>199</v>
      </c>
      <c r="H3962" s="5" t="s">
        <v>21</v>
      </c>
      <c r="I3962" s="5" t="s">
        <v>10075</v>
      </c>
      <c r="J3962" s="12" t="str">
        <f>HYPERLINK("https://www.boe.es/gazeta/dias/1808/10/28/pdfs/GMD-D-1808-138.pdf#page=2","Abrir facsímil")</f>
        <v>Abrir facsímil</v>
      </c>
      <c r="K3962" s="15" t="s">
        <v>23</v>
      </c>
    </row>
    <row r="3963" spans="1:11" ht="42" customHeight="1">
      <c r="A3963" s="4" t="s">
        <v>10076</v>
      </c>
      <c r="B3963" s="5" t="s">
        <v>10076</v>
      </c>
      <c r="C3963" s="5" t="s">
        <v>260</v>
      </c>
      <c r="D3963" s="5" t="s">
        <v>42</v>
      </c>
      <c r="E3963" s="5" t="s">
        <v>516</v>
      </c>
      <c r="F3963" s="9" t="s">
        <v>517</v>
      </c>
      <c r="G3963" s="9">
        <v>602</v>
      </c>
      <c r="H3963" s="5" t="s">
        <v>21</v>
      </c>
      <c r="I3963" s="5" t="s">
        <v>10077</v>
      </c>
      <c r="J3963" s="12" t="str">
        <f>HYPERLINK("https://www.boe.es/gazeta/dias/1808/06/19/pdfs/GMD-1808-61.pdf#page=8","Abrir facsímil")</f>
        <v>Abrir facsímil</v>
      </c>
      <c r="K3963" s="15" t="s">
        <v>23</v>
      </c>
    </row>
    <row r="3964" spans="1:11" ht="42" customHeight="1">
      <c r="A3964" s="4" t="s">
        <v>10078</v>
      </c>
      <c r="B3964" s="5" t="s">
        <v>10078</v>
      </c>
      <c r="C3964" s="5" t="s">
        <v>17</v>
      </c>
      <c r="D3964" s="5" t="s">
        <v>18</v>
      </c>
      <c r="E3964" s="5" t="s">
        <v>391</v>
      </c>
      <c r="F3964" s="9" t="s">
        <v>392</v>
      </c>
      <c r="G3964" s="9">
        <v>1214</v>
      </c>
      <c r="H3964" s="5" t="s">
        <v>21</v>
      </c>
      <c r="I3964" s="5" t="s">
        <v>10079</v>
      </c>
      <c r="J3964" s="12" t="str">
        <f>HYPERLINK("https://www.boe.es/gazeta/dias/1808/09/27/pdfs/GMD-1808-128.pdf#page=10","Abrir facsímil")</f>
        <v>Abrir facsímil</v>
      </c>
      <c r="K3964" s="15" t="s">
        <v>23</v>
      </c>
    </row>
    <row r="3965" spans="1:11" ht="42" customHeight="1">
      <c r="A3965" s="4" t="s">
        <v>10080</v>
      </c>
      <c r="B3965" s="5" t="s">
        <v>10080</v>
      </c>
      <c r="C3965" s="5" t="s">
        <v>33</v>
      </c>
      <c r="D3965" s="5" t="s">
        <v>34</v>
      </c>
      <c r="E3965" s="5" t="s">
        <v>363</v>
      </c>
      <c r="F3965" s="9" t="s">
        <v>364</v>
      </c>
      <c r="G3965" s="9" t="s">
        <v>75</v>
      </c>
      <c r="H3965" s="5" t="s">
        <v>21</v>
      </c>
      <c r="I3965" s="5" t="s">
        <v>10081</v>
      </c>
      <c r="J3965" s="12" t="str">
        <f>HYPERLINK("https://www.boe.es/gazeta/dias/1808/09/20/pdfs/GMD-C-1808-126.pdf#page=4","Abrir facsímil")</f>
        <v>Abrir facsímil</v>
      </c>
      <c r="K3965" s="15" t="s">
        <v>23</v>
      </c>
    </row>
    <row r="3966" spans="1:11" ht="42" customHeight="1">
      <c r="A3966" s="4" t="s">
        <v>10082</v>
      </c>
      <c r="B3966" s="5" t="s">
        <v>10082</v>
      </c>
      <c r="C3966" s="5" t="s">
        <v>33</v>
      </c>
      <c r="D3966" s="5" t="s">
        <v>34</v>
      </c>
      <c r="E3966" s="5" t="s">
        <v>65</v>
      </c>
      <c r="F3966" s="9" t="s">
        <v>105</v>
      </c>
      <c r="G3966" s="9" t="s">
        <v>117</v>
      </c>
      <c r="H3966" s="5" t="s">
        <v>21</v>
      </c>
      <c r="I3966" s="5" t="s">
        <v>10083</v>
      </c>
      <c r="J3966" s="12" t="str">
        <f>HYPERLINK("https://www.boe.es/gazeta/dias/1808/10/18/pdfs/GMD-D-1808-135.pdf#page=1","Abrir facsímil")</f>
        <v>Abrir facsímil</v>
      </c>
      <c r="K3966" s="15" t="s">
        <v>23</v>
      </c>
    </row>
    <row r="3967" spans="1:11" ht="42" customHeight="1">
      <c r="A3967" s="4" t="s">
        <v>10084</v>
      </c>
      <c r="B3967" s="5" t="s">
        <v>10084</v>
      </c>
      <c r="C3967" s="5" t="s">
        <v>33</v>
      </c>
      <c r="D3967" s="5" t="s">
        <v>34</v>
      </c>
      <c r="E3967" s="5" t="s">
        <v>558</v>
      </c>
      <c r="F3967" s="9" t="s">
        <v>758</v>
      </c>
      <c r="G3967" s="9" t="s">
        <v>75</v>
      </c>
      <c r="H3967" s="5" t="s">
        <v>21</v>
      </c>
      <c r="I3967" s="5" t="s">
        <v>10085</v>
      </c>
      <c r="J3967" s="12" t="str">
        <f>HYPERLINK("https://www.boe.es/gazeta/dias/1808/11/25/pdfs/GMD-E-1808-147.pdf#page=4","Abrir facsímil")</f>
        <v>Abrir facsímil</v>
      </c>
      <c r="K3967" s="15" t="s">
        <v>23</v>
      </c>
    </row>
    <row r="3968" spans="1:11" ht="42" customHeight="1">
      <c r="A3968" s="4" t="s">
        <v>10086</v>
      </c>
      <c r="B3968" s="5" t="s">
        <v>10087</v>
      </c>
      <c r="C3968" s="5" t="s">
        <v>33</v>
      </c>
      <c r="D3968" s="5" t="s">
        <v>34</v>
      </c>
      <c r="E3968" s="5" t="s">
        <v>35</v>
      </c>
      <c r="F3968" s="9" t="s">
        <v>36</v>
      </c>
      <c r="G3968" s="9" t="s">
        <v>277</v>
      </c>
      <c r="H3968" s="5" t="s">
        <v>21</v>
      </c>
      <c r="I3968" s="5" t="s">
        <v>10088</v>
      </c>
      <c r="J3968" s="12" t="str">
        <f>HYPERLINK("https://www.boe.es/gazeta/dias/1808/04/22/pdfs/GMD-C-1808-38.pdf#page=34","Abrir facsímil")</f>
        <v>Abrir facsímil</v>
      </c>
      <c r="K3968" s="15" t="s">
        <v>23</v>
      </c>
    </row>
    <row r="3969" spans="1:11" ht="42" customHeight="1">
      <c r="A3969" s="4" t="s">
        <v>10089</v>
      </c>
      <c r="B3969" s="5" t="s">
        <v>10090</v>
      </c>
      <c r="C3969" s="5" t="s">
        <v>33</v>
      </c>
      <c r="D3969" s="5" t="s">
        <v>34</v>
      </c>
      <c r="E3969" s="5" t="s">
        <v>35</v>
      </c>
      <c r="F3969" s="9" t="s">
        <v>36</v>
      </c>
      <c r="G3969" s="9" t="s">
        <v>199</v>
      </c>
      <c r="H3969" s="5" t="s">
        <v>21</v>
      </c>
      <c r="I3969" s="5" t="s">
        <v>10091</v>
      </c>
      <c r="J3969" s="12" t="str">
        <f>HYPERLINK("https://www.boe.es/gazeta/dias/1808/04/22/pdfs/GMD-C-1808-38.pdf#page=2","Abrir facsímil")</f>
        <v>Abrir facsímil</v>
      </c>
      <c r="K3969" s="15" t="s">
        <v>23</v>
      </c>
    </row>
    <row r="3970" spans="1:11" ht="42" customHeight="1">
      <c r="A3970" s="4" t="s">
        <v>10092</v>
      </c>
      <c r="B3970" s="5" t="s">
        <v>10092</v>
      </c>
      <c r="C3970" s="5" t="s">
        <v>33</v>
      </c>
      <c r="D3970" s="5" t="s">
        <v>34</v>
      </c>
      <c r="E3970" s="5" t="s">
        <v>35</v>
      </c>
      <c r="F3970" s="9" t="s">
        <v>36</v>
      </c>
      <c r="G3970" s="9" t="s">
        <v>498</v>
      </c>
      <c r="H3970" s="5" t="s">
        <v>21</v>
      </c>
      <c r="I3970" s="5" t="s">
        <v>10093</v>
      </c>
      <c r="J3970" s="12" t="str">
        <f>HYPERLINK("https://www.boe.es/gazeta/dias/1808/04/22/pdfs/GMD-C-1808-38.pdf#page=22","Abrir facsímil")</f>
        <v>Abrir facsímil</v>
      </c>
      <c r="K3970" s="15" t="s">
        <v>23</v>
      </c>
    </row>
    <row r="3971" spans="1:11" ht="42" customHeight="1">
      <c r="A3971" s="4" t="s">
        <v>10094</v>
      </c>
      <c r="B3971" s="5" t="s">
        <v>10094</v>
      </c>
      <c r="C3971" s="5" t="s">
        <v>33</v>
      </c>
      <c r="D3971" s="5" t="s">
        <v>34</v>
      </c>
      <c r="E3971" s="5" t="s">
        <v>35</v>
      </c>
      <c r="F3971" s="9" t="s">
        <v>36</v>
      </c>
      <c r="G3971" s="9" t="s">
        <v>414</v>
      </c>
      <c r="H3971" s="5" t="s">
        <v>21</v>
      </c>
      <c r="I3971" s="5" t="s">
        <v>10095</v>
      </c>
      <c r="J3971" s="12" t="str">
        <f>HYPERLINK("https://www.boe.es/gazeta/dias/1808/04/22/pdfs/GMD-C-1808-38.pdf#page=20","Abrir facsímil")</f>
        <v>Abrir facsímil</v>
      </c>
      <c r="K3971" s="15" t="s">
        <v>23</v>
      </c>
    </row>
    <row r="3972" spans="1:11" ht="42" customHeight="1">
      <c r="A3972" s="4" t="s">
        <v>10096</v>
      </c>
      <c r="B3972" s="5" t="s">
        <v>10096</v>
      </c>
      <c r="C3972" s="5" t="s">
        <v>41</v>
      </c>
      <c r="D3972" s="5" t="s">
        <v>42</v>
      </c>
      <c r="E3972" s="5" t="s">
        <v>508</v>
      </c>
      <c r="F3972" s="9" t="s">
        <v>1561</v>
      </c>
      <c r="G3972" s="9">
        <v>1032</v>
      </c>
      <c r="H3972" s="5" t="s">
        <v>21</v>
      </c>
      <c r="I3972" s="5" t="s">
        <v>10097</v>
      </c>
      <c r="J3972" s="12" t="str">
        <f>HYPERLINK("https://www.boe.es/gazeta/dias/1808/08/16/pdfs/GMD-C-1808-113.pdf#page=12","Abrir facsímil")</f>
        <v>Abrir facsímil</v>
      </c>
      <c r="K3972" s="15" t="s">
        <v>23</v>
      </c>
    </row>
    <row r="3973" spans="1:11" ht="42" customHeight="1">
      <c r="A3973" s="4" t="s">
        <v>10098</v>
      </c>
      <c r="B3973" s="5" t="s">
        <v>10098</v>
      </c>
      <c r="C3973" s="5" t="s">
        <v>17</v>
      </c>
      <c r="D3973" s="5" t="s">
        <v>18</v>
      </c>
      <c r="E3973" s="5" t="s">
        <v>110</v>
      </c>
      <c r="F3973" s="9" t="s">
        <v>111</v>
      </c>
      <c r="G3973" s="9">
        <v>1384</v>
      </c>
      <c r="H3973" s="5" t="s">
        <v>21</v>
      </c>
      <c r="I3973" s="5" t="s">
        <v>10099</v>
      </c>
      <c r="J3973" s="12" t="str">
        <f>HYPERLINK("https://www.boe.es/gazeta/dias/1808/10/28/pdfs/GMD-1808-138.pdf#page=10","Abrir facsímil")</f>
        <v>Abrir facsímil</v>
      </c>
      <c r="K3973" s="15" t="s">
        <v>23</v>
      </c>
    </row>
    <row r="3974" spans="1:11" ht="42" customHeight="1">
      <c r="A3974" s="4" t="s">
        <v>10100</v>
      </c>
      <c r="B3974" s="5" t="s">
        <v>10101</v>
      </c>
      <c r="C3974" s="5" t="s">
        <v>33</v>
      </c>
      <c r="D3974" s="5" t="s">
        <v>34</v>
      </c>
      <c r="E3974" s="5" t="s">
        <v>35</v>
      </c>
      <c r="F3974" s="9" t="s">
        <v>36</v>
      </c>
      <c r="G3974" s="9" t="s">
        <v>837</v>
      </c>
      <c r="H3974" s="5" t="s">
        <v>21</v>
      </c>
      <c r="I3974" s="5" t="s">
        <v>10102</v>
      </c>
      <c r="J3974" s="12" t="str">
        <f>HYPERLINK("https://www.boe.es/gazeta/dias/1808/04/22/pdfs/GMD-C-1808-38.pdf#page=10","Abrir facsímil")</f>
        <v>Abrir facsímil</v>
      </c>
      <c r="K3974" s="15" t="s">
        <v>23</v>
      </c>
    </row>
    <row r="3975" spans="1:11" ht="42" customHeight="1">
      <c r="A3975" s="4" t="s">
        <v>10103</v>
      </c>
      <c r="B3975" s="5" t="s">
        <v>10103</v>
      </c>
      <c r="C3975" s="5" t="s">
        <v>17</v>
      </c>
      <c r="D3975" s="5" t="s">
        <v>18</v>
      </c>
      <c r="E3975" s="5" t="s">
        <v>558</v>
      </c>
      <c r="F3975" s="9" t="s">
        <v>559</v>
      </c>
      <c r="G3975" s="9">
        <v>1545</v>
      </c>
      <c r="H3975" s="5" t="s">
        <v>21</v>
      </c>
      <c r="I3975" s="5" t="s">
        <v>10104</v>
      </c>
      <c r="J3975" s="12" t="str">
        <f>HYPERLINK("https://www.boe.es/gazeta/dias/1808/11/25/pdfs/GMD-1808-147.pdf#page=11","Abrir facsímil")</f>
        <v>Abrir facsímil</v>
      </c>
      <c r="K3975" s="15" t="s">
        <v>23</v>
      </c>
    </row>
    <row r="3976" spans="1:11" ht="42" customHeight="1">
      <c r="A3976" s="4" t="s">
        <v>10105</v>
      </c>
      <c r="B3976" s="5" t="s">
        <v>10105</v>
      </c>
      <c r="C3976" s="5" t="s">
        <v>17</v>
      </c>
      <c r="D3976" s="5" t="s">
        <v>18</v>
      </c>
      <c r="E3976" s="5" t="s">
        <v>558</v>
      </c>
      <c r="F3976" s="9" t="s">
        <v>559</v>
      </c>
      <c r="G3976" s="9">
        <v>1544</v>
      </c>
      <c r="H3976" s="5" t="s">
        <v>21</v>
      </c>
      <c r="I3976" s="5" t="s">
        <v>10106</v>
      </c>
      <c r="J3976" s="12" t="str">
        <f>HYPERLINK("https://www.boe.es/gazeta/dias/1808/11/25/pdfs/GMD-1808-147.pdf#page=10","Abrir facsímil")</f>
        <v>Abrir facsímil</v>
      </c>
      <c r="K3976" s="15" t="s">
        <v>23</v>
      </c>
    </row>
    <row r="3977" spans="1:11" ht="42" customHeight="1">
      <c r="A3977" s="4" t="s">
        <v>10107</v>
      </c>
      <c r="B3977" s="5" t="s">
        <v>10107</v>
      </c>
      <c r="C3977" s="5" t="s">
        <v>389</v>
      </c>
      <c r="D3977" s="5" t="s">
        <v>390</v>
      </c>
      <c r="E3977" s="5" t="s">
        <v>391</v>
      </c>
      <c r="F3977" s="9" t="s">
        <v>588</v>
      </c>
      <c r="G3977" s="9" t="s">
        <v>75</v>
      </c>
      <c r="H3977" s="5" t="s">
        <v>21</v>
      </c>
      <c r="I3977" s="5" t="s">
        <v>10108</v>
      </c>
      <c r="J3977" s="12" t="str">
        <f>HYPERLINK("https://www.boe.es/gazeta/dias/1808/09/27/pdfs/GMD-C-1808-128.pdf#page=4","Abrir facsímil")</f>
        <v>Abrir facsímil</v>
      </c>
      <c r="K3977" s="15" t="s">
        <v>23</v>
      </c>
    </row>
    <row r="3978" spans="1:11" ht="42" customHeight="1">
      <c r="A3978" s="4" t="s">
        <v>10109</v>
      </c>
      <c r="B3978" s="5" t="s">
        <v>10110</v>
      </c>
      <c r="C3978" s="5" t="s">
        <v>41</v>
      </c>
      <c r="D3978" s="5" t="s">
        <v>42</v>
      </c>
      <c r="E3978" s="5" t="s">
        <v>456</v>
      </c>
      <c r="F3978" s="9" t="s">
        <v>2825</v>
      </c>
      <c r="G3978" s="9">
        <v>320</v>
      </c>
      <c r="H3978" s="5" t="s">
        <v>21</v>
      </c>
      <c r="I3978" s="5" t="s">
        <v>10111</v>
      </c>
      <c r="J3978" s="12" t="str">
        <f>HYPERLINK("https://www.boe.es/gazeta/dias/1808/10/14/pdfs/GMS-1808-40.pdf#page=8","Abrir facsímil")</f>
        <v>Abrir facsímil</v>
      </c>
      <c r="K3978" s="15" t="s">
        <v>23</v>
      </c>
    </row>
    <row r="3979" spans="1:11" ht="42" customHeight="1">
      <c r="A3979" s="4" t="s">
        <v>10109</v>
      </c>
      <c r="B3979" s="5" t="s">
        <v>10110</v>
      </c>
      <c r="C3979" s="5" t="s">
        <v>41</v>
      </c>
      <c r="D3979" s="5" t="s">
        <v>42</v>
      </c>
      <c r="E3979" s="5" t="s">
        <v>89</v>
      </c>
      <c r="F3979" s="9" t="s">
        <v>90</v>
      </c>
      <c r="G3979" s="9">
        <v>1363</v>
      </c>
      <c r="H3979" s="5" t="s">
        <v>21</v>
      </c>
      <c r="I3979" s="5" t="s">
        <v>10112</v>
      </c>
      <c r="J3979" s="12" t="str">
        <f>HYPERLINK("https://www.boe.es/gazeta/dias/1808/10/25/pdfs/GMD-1808-137.pdf#page=11","Abrir facsímil")</f>
        <v>Abrir facsímil</v>
      </c>
      <c r="K3979" s="15" t="s">
        <v>23</v>
      </c>
    </row>
    <row r="3980" spans="1:11" ht="42" customHeight="1">
      <c r="A3980" s="4" t="s">
        <v>10113</v>
      </c>
      <c r="B3980" s="5" t="s">
        <v>10114</v>
      </c>
      <c r="C3980" s="5" t="s">
        <v>17</v>
      </c>
      <c r="D3980" s="5" t="s">
        <v>18</v>
      </c>
      <c r="E3980" s="5" t="s">
        <v>7114</v>
      </c>
      <c r="F3980" s="9" t="s">
        <v>7115</v>
      </c>
      <c r="G3980" s="9">
        <v>438</v>
      </c>
      <c r="H3980" s="5" t="s">
        <v>21</v>
      </c>
      <c r="I3980" s="5" t="s">
        <v>10115</v>
      </c>
      <c r="J3980" s="12" t="str">
        <f>HYPERLINK("https://www.boe.es/gazeta/dias/1808/05/06/pdfs/GMD-1808-44.pdf#page=6","Abrir facsímil")</f>
        <v>Abrir facsímil</v>
      </c>
      <c r="K3980" s="15" t="s">
        <v>9927</v>
      </c>
    </row>
    <row r="3981" spans="1:11" ht="42" customHeight="1">
      <c r="A3981" s="4" t="s">
        <v>10113</v>
      </c>
      <c r="B3981" s="5" t="s">
        <v>10114</v>
      </c>
      <c r="C3981" s="5" t="s">
        <v>17</v>
      </c>
      <c r="D3981" s="5" t="s">
        <v>18</v>
      </c>
      <c r="E3981" s="5" t="s">
        <v>3216</v>
      </c>
      <c r="F3981" s="9" t="s">
        <v>3217</v>
      </c>
      <c r="G3981" s="9">
        <v>2</v>
      </c>
      <c r="H3981" s="5" t="s">
        <v>21</v>
      </c>
      <c r="I3981" s="5" t="s">
        <v>10116</v>
      </c>
      <c r="J3981" s="12" t="str">
        <f>HYPERLINK("https://www.boe.es/gazeta/dias/1808/06/01/pdfs/GMS-1808-1.pdf#page=2","Abrir facsímil")</f>
        <v>Abrir facsímil</v>
      </c>
      <c r="K3981" s="15" t="s">
        <v>9927</v>
      </c>
    </row>
    <row r="3982" spans="1:11" ht="42" customHeight="1">
      <c r="A3982" s="4" t="s">
        <v>10113</v>
      </c>
      <c r="B3982" s="5" t="s">
        <v>10114</v>
      </c>
      <c r="C3982" s="5" t="s">
        <v>17</v>
      </c>
      <c r="D3982" s="5" t="s">
        <v>18</v>
      </c>
      <c r="E3982" s="5" t="s">
        <v>3235</v>
      </c>
      <c r="F3982" s="9" t="s">
        <v>3236</v>
      </c>
      <c r="G3982" s="9">
        <v>17</v>
      </c>
      <c r="H3982" s="5" t="s">
        <v>21</v>
      </c>
      <c r="I3982" s="5" t="s">
        <v>10117</v>
      </c>
      <c r="J3982" s="12" t="str">
        <f>HYPERLINK("https://www.boe.es/gazeta/dias/1808/06/08/pdfs/GMS-1808-3.pdf#page=1","Abrir facsímil")</f>
        <v>Abrir facsímil</v>
      </c>
      <c r="K3982" s="15" t="s">
        <v>9927</v>
      </c>
    </row>
    <row r="3983" spans="1:11" ht="42" customHeight="1">
      <c r="A3983" s="4" t="s">
        <v>10113</v>
      </c>
      <c r="B3983" s="5" t="s">
        <v>10114</v>
      </c>
      <c r="C3983" s="5" t="s">
        <v>17</v>
      </c>
      <c r="D3983" s="5" t="s">
        <v>18</v>
      </c>
      <c r="E3983" s="5" t="s">
        <v>3235</v>
      </c>
      <c r="F3983" s="9" t="s">
        <v>3236</v>
      </c>
      <c r="G3983" s="9">
        <v>18</v>
      </c>
      <c r="H3983" s="5" t="s">
        <v>21</v>
      </c>
      <c r="I3983" s="5" t="s">
        <v>10118</v>
      </c>
      <c r="J3983" s="12" t="str">
        <f>HYPERLINK("https://www.boe.es/gazeta/dias/1808/06/08/pdfs/GMS-1808-3.pdf#page=2","Abrir facsímil")</f>
        <v>Abrir facsímil</v>
      </c>
      <c r="K3983" s="15" t="s">
        <v>9927</v>
      </c>
    </row>
    <row r="3984" spans="1:11" ht="42" customHeight="1">
      <c r="A3984" s="4" t="s">
        <v>10113</v>
      </c>
      <c r="B3984" s="5" t="s">
        <v>10114</v>
      </c>
      <c r="C3984" s="5" t="s">
        <v>17</v>
      </c>
      <c r="D3984" s="5" t="s">
        <v>18</v>
      </c>
      <c r="E3984" s="5" t="s">
        <v>3235</v>
      </c>
      <c r="F3984" s="9" t="s">
        <v>3236</v>
      </c>
      <c r="G3984" s="9">
        <v>20</v>
      </c>
      <c r="H3984" s="5" t="s">
        <v>21</v>
      </c>
      <c r="I3984" s="5" t="s">
        <v>10119</v>
      </c>
      <c r="J3984" s="12" t="str">
        <f>HYPERLINK("https://www.boe.es/gazeta/dias/1808/06/08/pdfs/GMS-1808-3.pdf#page=4","Abrir facsímil")</f>
        <v>Abrir facsímil</v>
      </c>
      <c r="K3984" s="15" t="s">
        <v>9927</v>
      </c>
    </row>
    <row r="3985" spans="1:11" ht="42" customHeight="1">
      <c r="A3985" s="4" t="s">
        <v>10113</v>
      </c>
      <c r="B3985" s="5" t="s">
        <v>10114</v>
      </c>
      <c r="C3985" s="5" t="s">
        <v>17</v>
      </c>
      <c r="D3985" s="5" t="s">
        <v>18</v>
      </c>
      <c r="E3985" s="5" t="s">
        <v>351</v>
      </c>
      <c r="F3985" s="9" t="s">
        <v>352</v>
      </c>
      <c r="G3985" s="9">
        <v>26</v>
      </c>
      <c r="H3985" s="5" t="s">
        <v>21</v>
      </c>
      <c r="I3985" s="5" t="s">
        <v>10120</v>
      </c>
      <c r="J3985" s="12" t="str">
        <f>HYPERLINK("https://www.boe.es/gazeta/dias/1808/06/11/pdfs/GMS-1808-4.pdf#page=2","Abrir facsímil")</f>
        <v>Abrir facsímil</v>
      </c>
      <c r="K3985" s="15" t="s">
        <v>9927</v>
      </c>
    </row>
    <row r="3986" spans="1:11" ht="42" customHeight="1">
      <c r="A3986" s="4" t="s">
        <v>10113</v>
      </c>
      <c r="B3986" s="5" t="s">
        <v>10114</v>
      </c>
      <c r="C3986" s="5" t="s">
        <v>389</v>
      </c>
      <c r="D3986" s="5" t="s">
        <v>390</v>
      </c>
      <c r="E3986" s="5" t="s">
        <v>1821</v>
      </c>
      <c r="F3986" s="9" t="s">
        <v>1822</v>
      </c>
      <c r="G3986" s="9">
        <v>55</v>
      </c>
      <c r="H3986" s="5" t="s">
        <v>21</v>
      </c>
      <c r="I3986" s="5" t="s">
        <v>10121</v>
      </c>
      <c r="J3986" s="12" t="str">
        <f>HYPERLINK("https://www.boe.es/gazeta/dias/1808/06/22/pdfs/GMS-1808-7.pdf#page=7","Abrir facsímil")</f>
        <v>Abrir facsímil</v>
      </c>
      <c r="K3986" s="15" t="s">
        <v>9927</v>
      </c>
    </row>
    <row r="3987" spans="1:11" ht="42" customHeight="1">
      <c r="A3987" s="4" t="s">
        <v>10113</v>
      </c>
      <c r="B3987" s="5" t="s">
        <v>10114</v>
      </c>
      <c r="C3987" s="5" t="s">
        <v>41</v>
      </c>
      <c r="D3987" s="5" t="s">
        <v>42</v>
      </c>
      <c r="E3987" s="5" t="s">
        <v>1345</v>
      </c>
      <c r="F3987" s="9" t="s">
        <v>1346</v>
      </c>
      <c r="G3987" s="9">
        <v>81</v>
      </c>
      <c r="H3987" s="5" t="s">
        <v>21</v>
      </c>
      <c r="I3987" s="5" t="s">
        <v>10122</v>
      </c>
      <c r="J3987" s="12" t="str">
        <f>HYPERLINK("https://www.boe.es/gazeta/dias/1808/07/06/pdfs/GMS-1808-11.pdf#page=1","Abrir facsímil")</f>
        <v>Abrir facsímil</v>
      </c>
      <c r="K3987" s="15" t="s">
        <v>9927</v>
      </c>
    </row>
    <row r="3988" spans="1:11" ht="42" customHeight="1">
      <c r="A3988" s="4" t="s">
        <v>10113</v>
      </c>
      <c r="B3988" s="5" t="s">
        <v>10114</v>
      </c>
      <c r="C3988" s="5" t="s">
        <v>17</v>
      </c>
      <c r="D3988" s="5" t="s">
        <v>18</v>
      </c>
      <c r="E3988" s="5" t="s">
        <v>192</v>
      </c>
      <c r="F3988" s="9" t="s">
        <v>9673</v>
      </c>
      <c r="G3988" s="9">
        <v>94</v>
      </c>
      <c r="H3988" s="5" t="s">
        <v>21</v>
      </c>
      <c r="I3988" s="5" t="s">
        <v>10123</v>
      </c>
      <c r="J3988" s="12" t="str">
        <f>HYPERLINK("https://www.boe.es/gazeta/dias/1808/07/09/pdfs/GMS-1808-12.pdf#page=6","Abrir facsímil")</f>
        <v>Abrir facsímil</v>
      </c>
      <c r="K3988" s="15" t="s">
        <v>9927</v>
      </c>
    </row>
    <row r="3989" spans="1:11" ht="42" customHeight="1">
      <c r="A3989" s="4" t="s">
        <v>10113</v>
      </c>
      <c r="B3989" s="5" t="s">
        <v>10114</v>
      </c>
      <c r="C3989" s="5" t="s">
        <v>17</v>
      </c>
      <c r="D3989" s="5" t="s">
        <v>18</v>
      </c>
      <c r="E3989" s="5" t="s">
        <v>714</v>
      </c>
      <c r="F3989" s="9" t="s">
        <v>715</v>
      </c>
      <c r="G3989" s="9">
        <v>106</v>
      </c>
      <c r="H3989" s="5" t="s">
        <v>21</v>
      </c>
      <c r="I3989" s="5" t="s">
        <v>10124</v>
      </c>
      <c r="J3989" s="12" t="str">
        <f>HYPERLINK("https://www.boe.es/gazeta/dias/1808/07/16/pdfs/GMS-1808-14.pdf#page=2","Abrir facsímil")</f>
        <v>Abrir facsímil</v>
      </c>
      <c r="K3989" s="15" t="s">
        <v>9927</v>
      </c>
    </row>
    <row r="3990" spans="1:11" ht="42" customHeight="1">
      <c r="A3990" s="4" t="s">
        <v>10113</v>
      </c>
      <c r="B3990" s="5" t="s">
        <v>10114</v>
      </c>
      <c r="C3990" s="5" t="s">
        <v>17</v>
      </c>
      <c r="D3990" s="5" t="s">
        <v>18</v>
      </c>
      <c r="E3990" s="5" t="s">
        <v>391</v>
      </c>
      <c r="F3990" s="9" t="s">
        <v>454</v>
      </c>
      <c r="G3990" s="9">
        <v>280</v>
      </c>
      <c r="H3990" s="5" t="s">
        <v>21</v>
      </c>
      <c r="I3990" s="5" t="s">
        <v>10125</v>
      </c>
      <c r="J3990" s="12" t="str">
        <f>HYPERLINK("https://www.boe.es/gazeta/dias/1808/09/27/pdfs/GMS-1808-35.pdf#page=8","Abrir facsímil")</f>
        <v>Abrir facsímil</v>
      </c>
      <c r="K3990" s="15" t="s">
        <v>9927</v>
      </c>
    </row>
    <row r="3991" spans="1:11" ht="42" customHeight="1">
      <c r="A3991" s="4" t="s">
        <v>10113</v>
      </c>
      <c r="B3991" s="5" t="s">
        <v>10114</v>
      </c>
      <c r="C3991" s="5" t="s">
        <v>17</v>
      </c>
      <c r="D3991" s="5" t="s">
        <v>18</v>
      </c>
      <c r="E3991" s="5" t="s">
        <v>8477</v>
      </c>
      <c r="F3991" s="9" t="s">
        <v>8478</v>
      </c>
      <c r="G3991" s="9">
        <v>441</v>
      </c>
      <c r="H3991" s="5" t="s">
        <v>21</v>
      </c>
      <c r="I3991" s="5" t="s">
        <v>10126</v>
      </c>
      <c r="J3991" s="12" t="str">
        <f>HYPERLINK("https://www.boe.es/gazeta/dias/1808/12/09/pdfs/GMS-1808-56.pdf#page=1","Abrir facsímil")</f>
        <v>Abrir facsímil</v>
      </c>
      <c r="K3991" s="15" t="s">
        <v>9927</v>
      </c>
    </row>
    <row r="3992" spans="1:11" ht="42" customHeight="1">
      <c r="A3992" s="4" t="s">
        <v>10113</v>
      </c>
      <c r="B3992" s="5" t="s">
        <v>10114</v>
      </c>
      <c r="C3992" s="5" t="s">
        <v>642</v>
      </c>
      <c r="D3992" s="5" t="s">
        <v>643</v>
      </c>
      <c r="E3992" s="5" t="s">
        <v>2887</v>
      </c>
      <c r="F3992" s="9" t="s">
        <v>2888</v>
      </c>
      <c r="G3992" s="9">
        <v>1566</v>
      </c>
      <c r="H3992" s="5" t="s">
        <v>21</v>
      </c>
      <c r="I3992" s="5" t="s">
        <v>10127</v>
      </c>
      <c r="J3992" s="12" t="str">
        <f>HYPERLINK("https://www.boe.es/gazeta/dias/1808/12/11/pdfs/GMD-1808-151E.pdf#page=2","Abrir facsímil")</f>
        <v>Abrir facsímil</v>
      </c>
      <c r="K3992" s="15" t="s">
        <v>9927</v>
      </c>
    </row>
    <row r="3993" spans="1:11" ht="42" customHeight="1">
      <c r="A3993" s="4" t="s">
        <v>10113</v>
      </c>
      <c r="B3993" s="5" t="s">
        <v>10114</v>
      </c>
      <c r="C3993" s="5" t="s">
        <v>17</v>
      </c>
      <c r="D3993" s="5" t="s">
        <v>18</v>
      </c>
      <c r="E3993" s="5" t="s">
        <v>2524</v>
      </c>
      <c r="F3993" s="9" t="s">
        <v>4648</v>
      </c>
      <c r="G3993" s="9">
        <v>480</v>
      </c>
      <c r="H3993" s="5" t="s">
        <v>21</v>
      </c>
      <c r="I3993" s="5" t="s">
        <v>10128</v>
      </c>
      <c r="J3993" s="12" t="str">
        <f>HYPERLINK("https://www.boe.es/gazeta/dias/1808/12/23/pdfs/GMS-1808-60.pdf#page=8","Abrir facsímil")</f>
        <v>Abrir facsímil</v>
      </c>
      <c r="K3993" s="15" t="s">
        <v>9927</v>
      </c>
    </row>
    <row r="3994" spans="1:11" ht="42" customHeight="1">
      <c r="A3994" s="4" t="s">
        <v>10113</v>
      </c>
      <c r="B3994" s="5" t="s">
        <v>10114</v>
      </c>
      <c r="C3994" s="5" t="s">
        <v>17</v>
      </c>
      <c r="D3994" s="5" t="s">
        <v>18</v>
      </c>
      <c r="E3994" s="5" t="s">
        <v>2524</v>
      </c>
      <c r="F3994" s="9" t="s">
        <v>4648</v>
      </c>
      <c r="G3994" s="9">
        <v>483</v>
      </c>
      <c r="H3994" s="5" t="s">
        <v>21</v>
      </c>
      <c r="I3994" s="5" t="s">
        <v>10129</v>
      </c>
      <c r="J3994" s="12" t="str">
        <f>HYPERLINK("https://www.boe.es/gazeta/dias/1808/12/23/pdfs/GMS-1808-60.pdf#page=11","Abrir facsímil")</f>
        <v>Abrir facsímil</v>
      </c>
      <c r="K3994" s="15" t="s">
        <v>9927</v>
      </c>
    </row>
    <row r="3995" spans="1:11" ht="42" customHeight="1">
      <c r="A3995" s="4" t="s">
        <v>10130</v>
      </c>
      <c r="B3995" s="5" t="s">
        <v>10130</v>
      </c>
      <c r="C3995" s="5" t="s">
        <v>94</v>
      </c>
      <c r="D3995" s="5" t="s">
        <v>95</v>
      </c>
      <c r="E3995" s="5" t="s">
        <v>290</v>
      </c>
      <c r="F3995" s="9" t="s">
        <v>3150</v>
      </c>
      <c r="G3995" s="9">
        <v>197</v>
      </c>
      <c r="H3995" s="5" t="s">
        <v>21</v>
      </c>
      <c r="I3995" s="5" t="s">
        <v>10131</v>
      </c>
      <c r="J3995" s="12" t="str">
        <f>HYPERLINK("https://www.boe.es/gazeta/dias/1808/08/23/pdfs/GMS-1808-25.pdf#page=5","Abrir facsímil")</f>
        <v>Abrir facsímil</v>
      </c>
      <c r="K3995" s="15" t="s">
        <v>23</v>
      </c>
    </row>
    <row r="3996" spans="1:11" ht="42" customHeight="1">
      <c r="A3996" s="4" t="s">
        <v>10132</v>
      </c>
      <c r="B3996" s="5" t="s">
        <v>10132</v>
      </c>
      <c r="C3996" s="5" t="s">
        <v>389</v>
      </c>
      <c r="D3996" s="5" t="s">
        <v>390</v>
      </c>
      <c r="E3996" s="5" t="s">
        <v>110</v>
      </c>
      <c r="F3996" s="9" t="s">
        <v>111</v>
      </c>
      <c r="G3996" s="9">
        <v>1386</v>
      </c>
      <c r="H3996" s="5" t="s">
        <v>21</v>
      </c>
      <c r="I3996" s="5" t="s">
        <v>10133</v>
      </c>
      <c r="J3996" s="12" t="str">
        <f>HYPERLINK("https://www.boe.es/gazeta/dias/1808/10/28/pdfs/GMD-1808-138.pdf#page=12","Abrir facsímil")</f>
        <v>Abrir facsímil</v>
      </c>
      <c r="K3996" s="15" t="s">
        <v>23</v>
      </c>
    </row>
    <row r="3997" spans="1:11" ht="42" customHeight="1">
      <c r="A3997" s="4" t="s">
        <v>10134</v>
      </c>
      <c r="B3997" s="5" t="s">
        <v>10135</v>
      </c>
      <c r="C3997" s="5" t="s">
        <v>17</v>
      </c>
      <c r="D3997" s="5" t="s">
        <v>18</v>
      </c>
      <c r="E3997" s="5" t="s">
        <v>73</v>
      </c>
      <c r="F3997" s="9" t="s">
        <v>2883</v>
      </c>
      <c r="G3997" s="9">
        <v>380</v>
      </c>
      <c r="H3997" s="5" t="s">
        <v>21</v>
      </c>
      <c r="I3997" s="5" t="s">
        <v>10136</v>
      </c>
      <c r="J3997" s="12" t="str">
        <f>HYPERLINK("https://www.boe.es/gazeta/dias/1808/11/11/pdfs/GMS-1808-48.pdf#page=4","Abrir facsímil")</f>
        <v>Abrir facsímil</v>
      </c>
      <c r="K3997" s="15" t="s">
        <v>23</v>
      </c>
    </row>
    <row r="3998" spans="1:11" ht="42" customHeight="1">
      <c r="A3998" s="4" t="s">
        <v>10137</v>
      </c>
      <c r="B3998" s="5" t="s">
        <v>10137</v>
      </c>
      <c r="C3998" s="5" t="s">
        <v>33</v>
      </c>
      <c r="D3998" s="5" t="s">
        <v>34</v>
      </c>
      <c r="E3998" s="5" t="s">
        <v>3791</v>
      </c>
      <c r="F3998" s="9" t="s">
        <v>8498</v>
      </c>
      <c r="G3998" s="9">
        <v>620</v>
      </c>
      <c r="H3998" s="5" t="s">
        <v>21</v>
      </c>
      <c r="I3998" s="5" t="s">
        <v>10138</v>
      </c>
      <c r="J3998" s="12" t="str">
        <f>HYPERLINK("https://www.boe.es/gazeta/dias/1808/06/21/pdfs/GMD-C-1808-63.pdf#page=2","Abrir facsímil")</f>
        <v>Abrir facsímil</v>
      </c>
      <c r="K3998" s="15" t="s">
        <v>23</v>
      </c>
    </row>
    <row r="3999" spans="1:11" ht="42" customHeight="1">
      <c r="A3999" s="4" t="s">
        <v>10139</v>
      </c>
      <c r="B3999" s="5" t="s">
        <v>10140</v>
      </c>
      <c r="C3999" s="5" t="s">
        <v>389</v>
      </c>
      <c r="D3999" s="5" t="s">
        <v>390</v>
      </c>
      <c r="E3999" s="5" t="s">
        <v>185</v>
      </c>
      <c r="F3999" s="9" t="s">
        <v>186</v>
      </c>
      <c r="G3999" s="9">
        <v>1105</v>
      </c>
      <c r="H3999" s="5" t="s">
        <v>21</v>
      </c>
      <c r="I3999" s="5" t="s">
        <v>10141</v>
      </c>
      <c r="J3999" s="12" t="str">
        <f>HYPERLINK("https://www.boe.es/gazeta/dias/1808/08/30/pdfs/GMD-1808-118.pdf#page=11","Abrir facsímil")</f>
        <v>Abrir facsímil</v>
      </c>
      <c r="K3999" s="15" t="s">
        <v>23</v>
      </c>
    </row>
    <row r="4000" spans="1:11" ht="42" customHeight="1">
      <c r="A4000" s="4" t="s">
        <v>10142</v>
      </c>
      <c r="B4000" s="5" t="s">
        <v>10142</v>
      </c>
      <c r="C4000" s="5" t="s">
        <v>94</v>
      </c>
      <c r="D4000" s="5" t="s">
        <v>95</v>
      </c>
      <c r="E4000" s="5" t="s">
        <v>1361</v>
      </c>
      <c r="F4000" s="9" t="s">
        <v>1362</v>
      </c>
      <c r="G4000" s="9">
        <v>467</v>
      </c>
      <c r="H4000" s="5" t="s">
        <v>21</v>
      </c>
      <c r="I4000" s="5" t="s">
        <v>10143</v>
      </c>
      <c r="J4000" s="12" t="str">
        <f>HYPERLINK("https://www.boe.es/gazeta/dias/1808/05/17/pdfs/GMD-1808-47.pdf#page=7","Abrir facsímil")</f>
        <v>Abrir facsímil</v>
      </c>
      <c r="K4000" s="15" t="s">
        <v>23</v>
      </c>
    </row>
    <row r="4001" spans="1:11" ht="42" customHeight="1">
      <c r="A4001" s="4" t="s">
        <v>10144</v>
      </c>
      <c r="B4001" s="5" t="s">
        <v>10145</v>
      </c>
      <c r="C4001" s="5" t="s">
        <v>41</v>
      </c>
      <c r="D4001" s="5" t="s">
        <v>42</v>
      </c>
      <c r="E4001" s="5" t="s">
        <v>35</v>
      </c>
      <c r="F4001" s="9" t="s">
        <v>36</v>
      </c>
      <c r="G4001" s="9" t="s">
        <v>135</v>
      </c>
      <c r="H4001" s="5" t="s">
        <v>21</v>
      </c>
      <c r="I4001" s="5" t="s">
        <v>10146</v>
      </c>
      <c r="J4001" s="12" t="str">
        <f>HYPERLINK("https://www.boe.es/gazeta/dias/1808/04/22/pdfs/GMD-C-1808-38.pdf#page=26","Abrir facsímil")</f>
        <v>Abrir facsímil</v>
      </c>
      <c r="K4001" s="15" t="s">
        <v>23</v>
      </c>
    </row>
    <row r="4002" spans="1:11" ht="42" customHeight="1">
      <c r="A4002" s="4" t="s">
        <v>10147</v>
      </c>
      <c r="B4002" s="5" t="s">
        <v>10148</v>
      </c>
      <c r="C4002" s="5" t="s">
        <v>94</v>
      </c>
      <c r="D4002" s="5" t="s">
        <v>95</v>
      </c>
      <c r="E4002" s="5" t="s">
        <v>180</v>
      </c>
      <c r="F4002" s="9" t="s">
        <v>768</v>
      </c>
      <c r="G4002" s="9" t="s">
        <v>106</v>
      </c>
      <c r="H4002" s="5" t="s">
        <v>21</v>
      </c>
      <c r="I4002" s="5" t="s">
        <v>10149</v>
      </c>
      <c r="J4002" s="12" t="str">
        <f>HYPERLINK("https://www.boe.es/gazeta/dias/1808/11/15/pdfs/GMD-D-1808-144.pdf#page=3","Abrir facsímil")</f>
        <v>Abrir facsímil</v>
      </c>
      <c r="K4002" s="15" t="s">
        <v>23</v>
      </c>
    </row>
    <row r="4003" spans="1:11" ht="42" customHeight="1">
      <c r="A4003" s="4" t="s">
        <v>10150</v>
      </c>
      <c r="B4003" s="5" t="s">
        <v>10151</v>
      </c>
      <c r="C4003" s="5" t="s">
        <v>33</v>
      </c>
      <c r="D4003" s="5" t="s">
        <v>34</v>
      </c>
      <c r="E4003" s="5" t="s">
        <v>35</v>
      </c>
      <c r="F4003" s="9" t="s">
        <v>36</v>
      </c>
      <c r="G4003" s="9" t="s">
        <v>1294</v>
      </c>
      <c r="H4003" s="5" t="s">
        <v>21</v>
      </c>
      <c r="I4003" s="5" t="s">
        <v>10152</v>
      </c>
      <c r="J4003" s="12" t="str">
        <f>HYPERLINK("https://www.boe.es/gazeta/dias/1808/04/22/pdfs/GMD-C-1808-38.pdf#page=8","Abrir facsímil")</f>
        <v>Abrir facsímil</v>
      </c>
      <c r="K4003" s="15" t="s">
        <v>23</v>
      </c>
    </row>
    <row r="4004" spans="1:11" ht="42" customHeight="1">
      <c r="A4004" s="4" t="s">
        <v>10153</v>
      </c>
      <c r="B4004" s="5" t="s">
        <v>10154</v>
      </c>
      <c r="C4004" s="5" t="s">
        <v>41</v>
      </c>
      <c r="D4004" s="5" t="s">
        <v>42</v>
      </c>
      <c r="E4004" s="5" t="s">
        <v>461</v>
      </c>
      <c r="F4004" s="9" t="s">
        <v>462</v>
      </c>
      <c r="G4004" s="9" t="s">
        <v>75</v>
      </c>
      <c r="H4004" s="5" t="s">
        <v>21</v>
      </c>
      <c r="I4004" s="5" t="s">
        <v>10155</v>
      </c>
      <c r="J4004" s="12" t="str">
        <f>HYPERLINK("https://www.boe.es/gazeta/dias/1808/11/08/pdfs/GMD-D-1808-142.pdf#page=4","Abrir facsímil")</f>
        <v>Abrir facsímil</v>
      </c>
      <c r="K4004" s="15" t="s">
        <v>23</v>
      </c>
    </row>
    <row r="4005" spans="1:11" ht="42" customHeight="1">
      <c r="A4005" s="4" t="s">
        <v>10156</v>
      </c>
      <c r="B4005" s="5" t="s">
        <v>10157</v>
      </c>
      <c r="C4005" s="5" t="s">
        <v>33</v>
      </c>
      <c r="D4005" s="5" t="s">
        <v>34</v>
      </c>
      <c r="E4005" s="5" t="s">
        <v>65</v>
      </c>
      <c r="F4005" s="9" t="s">
        <v>691</v>
      </c>
      <c r="G4005" s="9">
        <v>1327</v>
      </c>
      <c r="H4005" s="5" t="s">
        <v>21</v>
      </c>
      <c r="I4005" s="5" t="s">
        <v>10158</v>
      </c>
      <c r="J4005" s="12" t="str">
        <f>HYPERLINK("https://www.boe.es/gazeta/dias/1808/10/18/pdfs/GMD-C-1808-135.pdf#page=11","Abrir facsímil")</f>
        <v>Abrir facsímil</v>
      </c>
      <c r="K4005" s="15" t="s">
        <v>23</v>
      </c>
    </row>
    <row r="4006" spans="1:11" ht="42" customHeight="1">
      <c r="A4006" s="4" t="s">
        <v>10159</v>
      </c>
      <c r="B4006" s="5" t="s">
        <v>10159</v>
      </c>
      <c r="C4006" s="5" t="s">
        <v>41</v>
      </c>
      <c r="D4006" s="5" t="s">
        <v>42</v>
      </c>
      <c r="E4006" s="5" t="s">
        <v>166</v>
      </c>
      <c r="F4006" s="9" t="s">
        <v>400</v>
      </c>
      <c r="G4006" s="9" t="s">
        <v>75</v>
      </c>
      <c r="H4006" s="5" t="s">
        <v>21</v>
      </c>
      <c r="I4006" s="5" t="s">
        <v>10160</v>
      </c>
      <c r="J4006" s="12" t="str">
        <f>HYPERLINK("https://www.boe.es/gazeta/dias/1808/11/18/pdfs/D00069-00072.pdf#page=4","Abrir facsímil")</f>
        <v>Abrir facsímil</v>
      </c>
      <c r="K4006" s="15" t="s">
        <v>23</v>
      </c>
    </row>
    <row r="4007" spans="1:11" ht="42" customHeight="1">
      <c r="A4007" s="4" t="s">
        <v>10161</v>
      </c>
      <c r="B4007" s="5" t="s">
        <v>10161</v>
      </c>
      <c r="C4007" s="5" t="s">
        <v>33</v>
      </c>
      <c r="D4007" s="5" t="s">
        <v>34</v>
      </c>
      <c r="E4007" s="5" t="s">
        <v>35</v>
      </c>
      <c r="F4007" s="9" t="s">
        <v>36</v>
      </c>
      <c r="G4007" s="9" t="s">
        <v>414</v>
      </c>
      <c r="H4007" s="5" t="s">
        <v>21</v>
      </c>
      <c r="I4007" s="5" t="s">
        <v>10162</v>
      </c>
      <c r="J4007" s="12" t="str">
        <f>HYPERLINK("https://www.boe.es/gazeta/dias/1808/04/22/pdfs/GMD-C-1808-38.pdf#page=20","Abrir facsímil")</f>
        <v>Abrir facsímil</v>
      </c>
      <c r="K4007" s="15" t="s">
        <v>23</v>
      </c>
    </row>
    <row r="4008" spans="1:11" ht="42" customHeight="1">
      <c r="A4008" s="4" t="s">
        <v>10163</v>
      </c>
      <c r="B4008" s="5" t="s">
        <v>10164</v>
      </c>
      <c r="C4008" s="5" t="s">
        <v>17</v>
      </c>
      <c r="D4008" s="5" t="s">
        <v>18</v>
      </c>
      <c r="E4008" s="5" t="s">
        <v>334</v>
      </c>
      <c r="F4008" s="9" t="s">
        <v>10165</v>
      </c>
      <c r="G4008" s="9">
        <v>292</v>
      </c>
      <c r="H4008" s="5" t="s">
        <v>21</v>
      </c>
      <c r="I4008" s="5" t="s">
        <v>10166</v>
      </c>
      <c r="J4008" s="12" t="str">
        <f>HYPERLINK("https://www.boe.es/gazeta/dias/1808/10/04/pdfs/GMS-1808-37.pdf#page=4","Abrir facsímil")</f>
        <v>Abrir facsímil</v>
      </c>
      <c r="K4008" s="15" t="s">
        <v>23</v>
      </c>
    </row>
    <row r="4009" spans="1:11" ht="42" customHeight="1">
      <c r="A4009" s="4" t="s">
        <v>10167</v>
      </c>
      <c r="B4009" s="5" t="s">
        <v>10167</v>
      </c>
      <c r="C4009" s="5" t="s">
        <v>94</v>
      </c>
      <c r="D4009" s="5" t="s">
        <v>95</v>
      </c>
      <c r="E4009" s="5" t="s">
        <v>54</v>
      </c>
      <c r="F4009" s="9" t="s">
        <v>55</v>
      </c>
      <c r="G4009" s="9">
        <v>1088</v>
      </c>
      <c r="H4009" s="5" t="s">
        <v>21</v>
      </c>
      <c r="I4009" s="5" t="s">
        <v>10168</v>
      </c>
      <c r="J4009" s="12" t="str">
        <f>HYPERLINK("https://www.boe.es/gazeta/dias/1808/08/26/pdfs/GMD-1808-117.pdf#page=10","Abrir facsímil")</f>
        <v>Abrir facsímil</v>
      </c>
      <c r="K4009" s="15" t="s">
        <v>23</v>
      </c>
    </row>
    <row r="4010" spans="1:11" ht="42" customHeight="1">
      <c r="A4010" s="4" t="s">
        <v>10169</v>
      </c>
      <c r="B4010" s="5" t="s">
        <v>10169</v>
      </c>
      <c r="C4010" s="5" t="s">
        <v>17</v>
      </c>
      <c r="D4010" s="5" t="s">
        <v>18</v>
      </c>
      <c r="E4010" s="5" t="s">
        <v>461</v>
      </c>
      <c r="F4010" s="9" t="s">
        <v>733</v>
      </c>
      <c r="G4010" s="9">
        <v>1448</v>
      </c>
      <c r="H4010" s="5" t="s">
        <v>21</v>
      </c>
      <c r="I4010" s="5" t="s">
        <v>10170</v>
      </c>
      <c r="J4010" s="12" t="str">
        <f>HYPERLINK("https://www.boe.es/gazeta/dias/1808/11/08/pdfs/GMD-1808-142.pdf#page=10","Abrir facsímil")</f>
        <v>Abrir facsímil</v>
      </c>
      <c r="K4010" s="15" t="s">
        <v>23</v>
      </c>
    </row>
    <row r="4011" spans="1:11" ht="42" customHeight="1">
      <c r="A4011" s="4" t="s">
        <v>10171</v>
      </c>
      <c r="B4011" s="5" t="s">
        <v>10171</v>
      </c>
      <c r="C4011" s="5" t="s">
        <v>94</v>
      </c>
      <c r="D4011" s="5" t="s">
        <v>95</v>
      </c>
      <c r="E4011" s="5" t="s">
        <v>207</v>
      </c>
      <c r="F4011" s="9" t="s">
        <v>208</v>
      </c>
      <c r="G4011" s="9">
        <v>195</v>
      </c>
      <c r="H4011" s="5" t="s">
        <v>21</v>
      </c>
      <c r="I4011" s="5" t="s">
        <v>10172</v>
      </c>
      <c r="J4011" s="12" t="str">
        <f>HYPERLINK("https://www.boe.es/gazeta/dias/1808/02/23/pdfs/GMD-1808-16.pdf#page=9","Abrir facsímil")</f>
        <v>Abrir facsímil</v>
      </c>
      <c r="K4011" s="15" t="s">
        <v>23</v>
      </c>
    </row>
    <row r="4012" spans="1:11" ht="42" customHeight="1">
      <c r="A4012" s="4" t="s">
        <v>10173</v>
      </c>
      <c r="B4012" s="5" t="s">
        <v>10173</v>
      </c>
      <c r="C4012" s="5" t="s">
        <v>17</v>
      </c>
      <c r="D4012" s="5" t="s">
        <v>18</v>
      </c>
      <c r="E4012" s="5" t="s">
        <v>110</v>
      </c>
      <c r="F4012" s="9" t="s">
        <v>111</v>
      </c>
      <c r="G4012" s="9">
        <v>1384</v>
      </c>
      <c r="H4012" s="5" t="s">
        <v>21</v>
      </c>
      <c r="I4012" s="5" t="s">
        <v>10174</v>
      </c>
      <c r="J4012" s="12" t="str">
        <f>HYPERLINK("https://www.boe.es/gazeta/dias/1808/10/28/pdfs/GMD-1808-138.pdf#page=10","Abrir facsímil")</f>
        <v>Abrir facsímil</v>
      </c>
      <c r="K4012" s="15" t="s">
        <v>23</v>
      </c>
    </row>
    <row r="4013" spans="1:11" ht="42" customHeight="1">
      <c r="A4013" s="4" t="s">
        <v>10175</v>
      </c>
      <c r="B4013" s="5" t="s">
        <v>10175</v>
      </c>
      <c r="C4013" s="5" t="s">
        <v>94</v>
      </c>
      <c r="D4013" s="5" t="s">
        <v>95</v>
      </c>
      <c r="E4013" s="5" t="s">
        <v>35</v>
      </c>
      <c r="F4013" s="9" t="s">
        <v>36</v>
      </c>
      <c r="G4013" s="9" t="s">
        <v>199</v>
      </c>
      <c r="H4013" s="5" t="s">
        <v>21</v>
      </c>
      <c r="I4013" s="5" t="s">
        <v>10176</v>
      </c>
      <c r="J4013" s="12" t="str">
        <f>HYPERLINK("https://www.boe.es/gazeta/dias/1808/04/22/pdfs/GMD-C-1808-38.pdf#page=2","Abrir facsímil")</f>
        <v>Abrir facsímil</v>
      </c>
      <c r="K4013" s="15" t="s">
        <v>23</v>
      </c>
    </row>
    <row r="4014" spans="1:11" ht="42" customHeight="1">
      <c r="A4014" s="4" t="s">
        <v>10177</v>
      </c>
      <c r="B4014" s="5" t="s">
        <v>10177</v>
      </c>
      <c r="C4014" s="5" t="s">
        <v>41</v>
      </c>
      <c r="D4014" s="5" t="s">
        <v>42</v>
      </c>
      <c r="E4014" s="5" t="s">
        <v>35</v>
      </c>
      <c r="F4014" s="9" t="s">
        <v>36</v>
      </c>
      <c r="G4014" s="9" t="s">
        <v>655</v>
      </c>
      <c r="H4014" s="5" t="s">
        <v>21</v>
      </c>
      <c r="I4014" s="5" t="s">
        <v>10178</v>
      </c>
      <c r="J4014" s="12" t="str">
        <f>HYPERLINK("https://www.boe.es/gazeta/dias/1808/04/22/pdfs/GMD-C-1808-38.pdf#page=43","Abrir facsímil")</f>
        <v>Abrir facsímil</v>
      </c>
      <c r="K4014" s="15" t="s">
        <v>23</v>
      </c>
    </row>
    <row r="4015" spans="1:11" ht="42" customHeight="1">
      <c r="A4015" s="4" t="s">
        <v>10179</v>
      </c>
      <c r="B4015" s="5" t="s">
        <v>10179</v>
      </c>
      <c r="C4015" s="5" t="s">
        <v>101</v>
      </c>
      <c r="D4015" s="5" t="s">
        <v>102</v>
      </c>
      <c r="E4015" s="5" t="s">
        <v>2204</v>
      </c>
      <c r="F4015" s="9" t="s">
        <v>2285</v>
      </c>
      <c r="G4015" s="9">
        <v>679</v>
      </c>
      <c r="H4015" s="5" t="s">
        <v>21</v>
      </c>
      <c r="I4015" s="5" t="s">
        <v>10180</v>
      </c>
      <c r="J4015" s="12" t="str">
        <f>HYPERLINK("https://www.boe.es/gazeta/dias/1808/06/29/pdfs/GMD-1808-71.pdf#page=1","Abrir facsímil")</f>
        <v>Abrir facsímil</v>
      </c>
      <c r="K4015" s="15" t="s">
        <v>23</v>
      </c>
    </row>
    <row r="4016" spans="1:11" ht="42" customHeight="1">
      <c r="A4016" s="4" t="s">
        <v>10179</v>
      </c>
      <c r="B4016" s="5" t="s">
        <v>10179</v>
      </c>
      <c r="C4016" s="5" t="s">
        <v>101</v>
      </c>
      <c r="D4016" s="5" t="s">
        <v>102</v>
      </c>
      <c r="E4016" s="5" t="s">
        <v>3097</v>
      </c>
      <c r="F4016" s="9" t="s">
        <v>3098</v>
      </c>
      <c r="G4016" s="9">
        <v>824</v>
      </c>
      <c r="H4016" s="5" t="s">
        <v>21</v>
      </c>
      <c r="I4016" s="5" t="s">
        <v>10181</v>
      </c>
      <c r="J4016" s="12" t="str">
        <f>HYPERLINK("https://www.boe.es/gazeta/dias/1808/07/17/pdfs/GMD-1808-89.pdf#page=2","Abrir facsímil")</f>
        <v>Abrir facsímil</v>
      </c>
      <c r="K4016" s="15" t="s">
        <v>23</v>
      </c>
    </row>
    <row r="4017" spans="1:11" ht="42" customHeight="1">
      <c r="A4017" s="4" t="s">
        <v>10182</v>
      </c>
      <c r="B4017" s="5" t="s">
        <v>10182</v>
      </c>
      <c r="C4017" s="5" t="s">
        <v>94</v>
      </c>
      <c r="D4017" s="5" t="s">
        <v>95</v>
      </c>
      <c r="E4017" s="5" t="s">
        <v>210</v>
      </c>
      <c r="F4017" s="9" t="s">
        <v>211</v>
      </c>
      <c r="G4017" s="9">
        <v>253</v>
      </c>
      <c r="H4017" s="5" t="s">
        <v>21</v>
      </c>
      <c r="I4017" s="5" t="s">
        <v>10183</v>
      </c>
      <c r="J4017" s="12" t="str">
        <f>HYPERLINK("https://www.boe.es/gazeta/dias/1808/03/11/pdfs/GMD-1808-21.pdf#page=7","Abrir facsímil")</f>
        <v>Abrir facsímil</v>
      </c>
      <c r="K4017" s="15" t="s">
        <v>23</v>
      </c>
    </row>
    <row r="4018" spans="1:11" ht="42" customHeight="1">
      <c r="A4018" s="4" t="s">
        <v>10184</v>
      </c>
      <c r="B4018" s="5" t="s">
        <v>10184</v>
      </c>
      <c r="C4018" s="5" t="s">
        <v>94</v>
      </c>
      <c r="D4018" s="5" t="s">
        <v>95</v>
      </c>
      <c r="E4018" s="5" t="s">
        <v>180</v>
      </c>
      <c r="F4018" s="9" t="s">
        <v>2568</v>
      </c>
      <c r="G4018" s="9">
        <v>1497</v>
      </c>
      <c r="H4018" s="5" t="s">
        <v>21</v>
      </c>
      <c r="I4018" s="5" t="s">
        <v>10185</v>
      </c>
      <c r="J4018" s="12" t="str">
        <f>HYPERLINK("https://www.boe.es/gazeta/dias/1808/11/15/pdfs/GMD-1808-144.pdf#page=11","Abrir facsímil")</f>
        <v>Abrir facsímil</v>
      </c>
      <c r="K4018" s="15" t="s">
        <v>23</v>
      </c>
    </row>
    <row r="4019" spans="1:11" ht="42" customHeight="1">
      <c r="A4019" s="4" t="s">
        <v>10186</v>
      </c>
      <c r="B4019" s="5" t="s">
        <v>10186</v>
      </c>
      <c r="C4019" s="5" t="s">
        <v>94</v>
      </c>
      <c r="D4019" s="5" t="s">
        <v>95</v>
      </c>
      <c r="E4019" s="5" t="s">
        <v>391</v>
      </c>
      <c r="F4019" s="9" t="s">
        <v>392</v>
      </c>
      <c r="G4019" s="9">
        <v>1214</v>
      </c>
      <c r="H4019" s="5" t="s">
        <v>21</v>
      </c>
      <c r="I4019" s="5" t="s">
        <v>10187</v>
      </c>
      <c r="J4019" s="12" t="str">
        <f>HYPERLINK("https://www.boe.es/gazeta/dias/1808/09/27/pdfs/GMD-1808-128.pdf#page=10","Abrir facsímil")</f>
        <v>Abrir facsímil</v>
      </c>
      <c r="K4019" s="15" t="s">
        <v>23</v>
      </c>
    </row>
    <row r="4020" spans="1:11" ht="42" customHeight="1">
      <c r="A4020" s="4" t="s">
        <v>10188</v>
      </c>
      <c r="B4020" s="5" t="s">
        <v>10188</v>
      </c>
      <c r="C4020" s="5" t="s">
        <v>101</v>
      </c>
      <c r="D4020" s="5" t="s">
        <v>102</v>
      </c>
      <c r="E4020" s="5" t="s">
        <v>3313</v>
      </c>
      <c r="F4020" s="9" t="s">
        <v>3314</v>
      </c>
      <c r="G4020" s="9">
        <v>812</v>
      </c>
      <c r="H4020" s="5" t="s">
        <v>21</v>
      </c>
      <c r="I4020" s="5" t="s">
        <v>10189</v>
      </c>
      <c r="J4020" s="12" t="str">
        <f>HYPERLINK("https://www.boe.es/gazeta/dias/1808/07/15/pdfs/GMD-1808-87.pdf#page=6","Abrir facsímil")</f>
        <v>Abrir facsímil</v>
      </c>
      <c r="K4020" s="15" t="s">
        <v>23</v>
      </c>
    </row>
    <row r="4021" spans="1:11" ht="42" customHeight="1">
      <c r="A4021" s="4" t="s">
        <v>10190</v>
      </c>
      <c r="B4021" s="5" t="s">
        <v>10191</v>
      </c>
      <c r="C4021" s="5" t="s">
        <v>41</v>
      </c>
      <c r="D4021" s="5" t="s">
        <v>42</v>
      </c>
      <c r="E4021" s="5" t="s">
        <v>663</v>
      </c>
      <c r="F4021" s="9" t="s">
        <v>664</v>
      </c>
      <c r="G4021" s="9">
        <v>210</v>
      </c>
      <c r="H4021" s="5" t="s">
        <v>21</v>
      </c>
      <c r="I4021" s="5" t="s">
        <v>10192</v>
      </c>
      <c r="J4021" s="12" t="str">
        <f>HYPERLINK("https://www.boe.es/gazeta/dias/1808/02/26/pdfs/GMD-1808-17.pdf#page=12","Abrir facsímil")</f>
        <v>Abrir facsímil</v>
      </c>
      <c r="K4021" s="15" t="s">
        <v>23</v>
      </c>
    </row>
    <row r="4022" spans="1:11" ht="42" customHeight="1">
      <c r="A4022" s="4" t="s">
        <v>10193</v>
      </c>
      <c r="B4022" s="5" t="s">
        <v>10194</v>
      </c>
      <c r="C4022" s="5" t="s">
        <v>41</v>
      </c>
      <c r="D4022" s="5" t="s">
        <v>42</v>
      </c>
      <c r="E4022" s="5" t="s">
        <v>1385</v>
      </c>
      <c r="F4022" s="9" t="s">
        <v>1386</v>
      </c>
      <c r="G4022" s="9">
        <v>232</v>
      </c>
      <c r="H4022" s="5" t="s">
        <v>21</v>
      </c>
      <c r="I4022" s="5" t="s">
        <v>10195</v>
      </c>
      <c r="J4022" s="12" t="str">
        <f>HYPERLINK("https://www.boe.es/gazeta/dias/1808/03/04/pdfs/GMD-1808-19.pdf#page=10","Abrir facsímil")</f>
        <v>Abrir facsímil</v>
      </c>
      <c r="K4022" s="15" t="s">
        <v>23</v>
      </c>
    </row>
    <row r="4023" spans="1:11" ht="42" customHeight="1">
      <c r="A4023" s="4" t="s">
        <v>10196</v>
      </c>
      <c r="B4023" s="5" t="s">
        <v>10196</v>
      </c>
      <c r="C4023" s="5" t="s">
        <v>101</v>
      </c>
      <c r="D4023" s="5" t="s">
        <v>102</v>
      </c>
      <c r="E4023" s="5" t="s">
        <v>120</v>
      </c>
      <c r="F4023" s="9" t="s">
        <v>121</v>
      </c>
      <c r="G4023" s="9">
        <v>306</v>
      </c>
      <c r="H4023" s="5" t="s">
        <v>21</v>
      </c>
      <c r="I4023" s="5" t="s">
        <v>10197</v>
      </c>
      <c r="J4023" s="12" t="str">
        <f>HYPERLINK("https://www.boe.es/gazeta/dias/1808/03/29/pdfs/GMD-1808-27.pdf#page=2","Abrir facsímil")</f>
        <v>Abrir facsímil</v>
      </c>
      <c r="K4023" s="15" t="s">
        <v>23</v>
      </c>
    </row>
    <row r="4024" spans="1:11" ht="42" customHeight="1">
      <c r="A4024" s="4" t="s">
        <v>10198</v>
      </c>
      <c r="B4024" s="5" t="s">
        <v>10199</v>
      </c>
      <c r="C4024" s="5" t="s">
        <v>41</v>
      </c>
      <c r="D4024" s="5" t="s">
        <v>42</v>
      </c>
      <c r="E4024" s="5" t="s">
        <v>238</v>
      </c>
      <c r="F4024" s="9" t="s">
        <v>239</v>
      </c>
      <c r="G4024" s="9">
        <v>35</v>
      </c>
      <c r="H4024" s="5" t="s">
        <v>21</v>
      </c>
      <c r="I4024" s="5" t="s">
        <v>10200</v>
      </c>
      <c r="J4024" s="12" t="str">
        <f>HYPERLINK("https://www.boe.es/gazeta/dias/1808/01/08/pdfs/GMD-1808-3.pdf#page=11","Abrir facsímil")</f>
        <v>Abrir facsímil</v>
      </c>
      <c r="K4024" s="15" t="s">
        <v>23</v>
      </c>
    </row>
    <row r="4025" spans="1:11" ht="42" customHeight="1">
      <c r="A4025" s="4" t="s">
        <v>10201</v>
      </c>
      <c r="B4025" s="5" t="s">
        <v>10202</v>
      </c>
      <c r="C4025" s="5" t="s">
        <v>94</v>
      </c>
      <c r="D4025" s="5" t="s">
        <v>95</v>
      </c>
      <c r="E4025" s="5" t="s">
        <v>68</v>
      </c>
      <c r="F4025" s="9" t="s">
        <v>849</v>
      </c>
      <c r="G4025" s="9">
        <v>1342</v>
      </c>
      <c r="H4025" s="5" t="s">
        <v>21</v>
      </c>
      <c r="I4025" s="5" t="s">
        <v>10203</v>
      </c>
      <c r="J4025" s="12" t="str">
        <f>HYPERLINK("https://www.boe.es/gazeta/dias/1808/10/21/pdfs/GMD-C-1808-136.pdf#page=2","Abrir facsímil")</f>
        <v>Abrir facsímil</v>
      </c>
      <c r="K4025" s="15" t="s">
        <v>23</v>
      </c>
    </row>
    <row r="4026" spans="1:11" ht="42" customHeight="1">
      <c r="A4026" s="4" t="s">
        <v>10204</v>
      </c>
      <c r="B4026" s="5" t="s">
        <v>10204</v>
      </c>
      <c r="C4026" s="5" t="s">
        <v>41</v>
      </c>
      <c r="D4026" s="5" t="s">
        <v>42</v>
      </c>
      <c r="E4026" s="5" t="s">
        <v>974</v>
      </c>
      <c r="F4026" s="9" t="s">
        <v>975</v>
      </c>
      <c r="G4026" s="9">
        <v>392</v>
      </c>
      <c r="H4026" s="5" t="s">
        <v>21</v>
      </c>
      <c r="I4026" s="5" t="s">
        <v>10205</v>
      </c>
      <c r="J4026" s="12" t="str">
        <f>HYPERLINK("https://www.boe.es/gazeta/dias/1808/04/19/pdfs/GMD-1808-37.pdf#page=8","Abrir facsímil")</f>
        <v>Abrir facsímil</v>
      </c>
      <c r="K4026" s="15" t="s">
        <v>23</v>
      </c>
    </row>
    <row r="4027" spans="1:11" ht="42" customHeight="1">
      <c r="A4027" s="4" t="s">
        <v>10204</v>
      </c>
      <c r="B4027" s="5" t="s">
        <v>10204</v>
      </c>
      <c r="C4027" s="5" t="s">
        <v>17</v>
      </c>
      <c r="D4027" s="5" t="s">
        <v>18</v>
      </c>
      <c r="E4027" s="5" t="s">
        <v>508</v>
      </c>
      <c r="F4027" s="9" t="s">
        <v>509</v>
      </c>
      <c r="G4027" s="9">
        <v>1016</v>
      </c>
      <c r="H4027" s="5" t="s">
        <v>21</v>
      </c>
      <c r="I4027" s="5" t="s">
        <v>10206</v>
      </c>
      <c r="J4027" s="12" t="str">
        <f>HYPERLINK("https://www.boe.es/gazeta/dias/1808/08/16/pdfs/GMD-1808-113.pdf#page=8","Abrir facsímil")</f>
        <v>Abrir facsímil</v>
      </c>
      <c r="K4027" s="15" t="s">
        <v>23</v>
      </c>
    </row>
    <row r="4028" spans="1:11" ht="42" customHeight="1">
      <c r="A4028" s="4" t="s">
        <v>10204</v>
      </c>
      <c r="B4028" s="5" t="s">
        <v>10204</v>
      </c>
      <c r="C4028" s="5" t="s">
        <v>94</v>
      </c>
      <c r="D4028" s="5" t="s">
        <v>95</v>
      </c>
      <c r="E4028" s="5" t="s">
        <v>456</v>
      </c>
      <c r="F4028" s="9" t="s">
        <v>457</v>
      </c>
      <c r="G4028" s="9">
        <v>1296</v>
      </c>
      <c r="H4028" s="5" t="s">
        <v>21</v>
      </c>
      <c r="I4028" s="5" t="s">
        <v>10207</v>
      </c>
      <c r="J4028" s="12" t="str">
        <f>HYPERLINK("https://www.boe.es/gazeta/dias/1808/10/14/pdfs/GMD-1808-134.pdf#page=8","Abrir facsímil")</f>
        <v>Abrir facsímil</v>
      </c>
      <c r="K4028" s="15" t="s">
        <v>23</v>
      </c>
    </row>
    <row r="4029" spans="1:11" ht="42" customHeight="1">
      <c r="A4029" s="4" t="s">
        <v>10208</v>
      </c>
      <c r="B4029" s="5" t="s">
        <v>10209</v>
      </c>
      <c r="C4029" s="5" t="s">
        <v>33</v>
      </c>
      <c r="D4029" s="5" t="s">
        <v>34</v>
      </c>
      <c r="E4029" s="5" t="s">
        <v>264</v>
      </c>
      <c r="F4029" s="9" t="s">
        <v>318</v>
      </c>
      <c r="G4029" s="9" t="s">
        <v>75</v>
      </c>
      <c r="H4029" s="5" t="s">
        <v>21</v>
      </c>
      <c r="I4029" s="5" t="s">
        <v>10210</v>
      </c>
      <c r="J4029" s="12" t="str">
        <f>HYPERLINK("https://www.boe.es/gazeta/dias/1808/11/29/pdfs/GMD-C-1808-148.pdf#page=4","Abrir facsímil")</f>
        <v>Abrir facsímil</v>
      </c>
      <c r="K4029" s="15" t="s">
        <v>23</v>
      </c>
    </row>
    <row r="4030" spans="1:11" ht="42" customHeight="1">
      <c r="A4030" s="4" t="s">
        <v>10211</v>
      </c>
      <c r="B4030" s="5" t="s">
        <v>10211</v>
      </c>
      <c r="C4030" s="5" t="s">
        <v>17</v>
      </c>
      <c r="D4030" s="5" t="s">
        <v>18</v>
      </c>
      <c r="E4030" s="5" t="s">
        <v>73</v>
      </c>
      <c r="F4030" s="9" t="s">
        <v>581</v>
      </c>
      <c r="G4030" s="9">
        <v>1468</v>
      </c>
      <c r="H4030" s="5" t="s">
        <v>21</v>
      </c>
      <c r="I4030" s="5" t="s">
        <v>10212</v>
      </c>
      <c r="J4030" s="12" t="str">
        <f>HYPERLINK("https://www.boe.es/gazeta/dias/1808/11/11/pdfs/GMD-1808-143.pdf#page=10","Abrir facsímil")</f>
        <v>Abrir facsímil</v>
      </c>
      <c r="K4030" s="15" t="s">
        <v>23</v>
      </c>
    </row>
    <row r="4031" spans="1:11" ht="42" customHeight="1">
      <c r="A4031" s="4" t="s">
        <v>10213</v>
      </c>
      <c r="B4031" s="5" t="s">
        <v>10213</v>
      </c>
      <c r="C4031" s="5" t="s">
        <v>41</v>
      </c>
      <c r="D4031" s="5" t="s">
        <v>42</v>
      </c>
      <c r="E4031" s="5" t="s">
        <v>139</v>
      </c>
      <c r="F4031" s="9" t="s">
        <v>140</v>
      </c>
      <c r="G4031" s="9">
        <v>1203</v>
      </c>
      <c r="H4031" s="5" t="s">
        <v>21</v>
      </c>
      <c r="I4031" s="5" t="s">
        <v>10214</v>
      </c>
      <c r="J4031" s="12" t="str">
        <f>HYPERLINK("https://www.boe.es/gazeta/dias/1808/09/23/pdfs/GMD-1808-127.pdf#page=11","Abrir facsímil")</f>
        <v>Abrir facsímil</v>
      </c>
      <c r="K4031" s="15" t="s">
        <v>23</v>
      </c>
    </row>
    <row r="4032" spans="1:11" ht="42" customHeight="1">
      <c r="A4032" s="4" t="s">
        <v>10215</v>
      </c>
      <c r="B4032" s="5" t="s">
        <v>10215</v>
      </c>
      <c r="C4032" s="5" t="s">
        <v>17</v>
      </c>
      <c r="D4032" s="5" t="s">
        <v>18</v>
      </c>
      <c r="E4032" s="5" t="s">
        <v>61</v>
      </c>
      <c r="F4032" s="9" t="s">
        <v>62</v>
      </c>
      <c r="G4032" s="9">
        <v>1284</v>
      </c>
      <c r="H4032" s="5" t="s">
        <v>21</v>
      </c>
      <c r="I4032" s="5" t="s">
        <v>10216</v>
      </c>
      <c r="J4032" s="12" t="str">
        <f>HYPERLINK("https://www.boe.es/gazeta/dias/1808/10/11/pdfs/GMD-1808-133.pdf#page=12","Abrir facsímil")</f>
        <v>Abrir facsímil</v>
      </c>
      <c r="K4032" s="15" t="s">
        <v>23</v>
      </c>
    </row>
    <row r="4033" spans="1:11" ht="42" customHeight="1">
      <c r="A4033" s="4" t="s">
        <v>10217</v>
      </c>
      <c r="B4033" s="5" t="s">
        <v>10217</v>
      </c>
      <c r="C4033" s="5" t="s">
        <v>94</v>
      </c>
      <c r="D4033" s="5" t="s">
        <v>95</v>
      </c>
      <c r="E4033" s="5" t="s">
        <v>19</v>
      </c>
      <c r="F4033" s="9" t="s">
        <v>59</v>
      </c>
      <c r="G4033" s="9">
        <v>1226</v>
      </c>
      <c r="H4033" s="5" t="s">
        <v>21</v>
      </c>
      <c r="I4033" s="5" t="s">
        <v>10218</v>
      </c>
      <c r="J4033" s="12" t="str">
        <f>HYPERLINK("https://www.boe.es/gazeta/dias/1808/09/30/pdfs/GMD-1808-130.pdf#page=6","Abrir facsímil")</f>
        <v>Abrir facsímil</v>
      </c>
      <c r="K4033" s="15" t="s">
        <v>23</v>
      </c>
    </row>
    <row r="4034" spans="1:11" ht="42" customHeight="1">
      <c r="A4034" s="4" t="s">
        <v>10219</v>
      </c>
      <c r="B4034" s="5" t="s">
        <v>10219</v>
      </c>
      <c r="C4034" s="5" t="s">
        <v>33</v>
      </c>
      <c r="D4034" s="5" t="s">
        <v>34</v>
      </c>
      <c r="E4034" s="5" t="s">
        <v>89</v>
      </c>
      <c r="F4034" s="9" t="s">
        <v>563</v>
      </c>
      <c r="G4034" s="9" t="s">
        <v>117</v>
      </c>
      <c r="H4034" s="5" t="s">
        <v>21</v>
      </c>
      <c r="I4034" s="5" t="s">
        <v>10220</v>
      </c>
      <c r="J4034" s="12" t="str">
        <f>HYPERLINK("https://www.boe.es/gazeta/dias/1808/10/25/pdfs/GMD-D-1808-137.pdf#page=1","Abrir facsímil")</f>
        <v>Abrir facsímil</v>
      </c>
      <c r="K4034" s="15" t="s">
        <v>23</v>
      </c>
    </row>
    <row r="4035" spans="1:11" ht="42" customHeight="1">
      <c r="A4035" s="4" t="s">
        <v>10221</v>
      </c>
      <c r="B4035" s="5" t="s">
        <v>10221</v>
      </c>
      <c r="C4035" s="5" t="s">
        <v>17</v>
      </c>
      <c r="D4035" s="5" t="s">
        <v>18</v>
      </c>
      <c r="E4035" s="5" t="s">
        <v>478</v>
      </c>
      <c r="F4035" s="9" t="s">
        <v>479</v>
      </c>
      <c r="G4035" s="9">
        <v>246</v>
      </c>
      <c r="H4035" s="5" t="s">
        <v>21</v>
      </c>
      <c r="I4035" s="5" t="s">
        <v>10222</v>
      </c>
      <c r="J4035" s="12" t="str">
        <f>HYPERLINK("https://www.boe.es/gazeta/dias/1808/03/08/pdfs/GMD-1808-20.pdf#page=12","Abrir facsímil")</f>
        <v>Abrir facsímil</v>
      </c>
      <c r="K4035" s="15" t="s">
        <v>23</v>
      </c>
    </row>
    <row r="4036" spans="1:11" ht="42" customHeight="1">
      <c r="A4036" s="4" t="s">
        <v>10223</v>
      </c>
      <c r="B4036" s="5" t="s">
        <v>10223</v>
      </c>
      <c r="C4036" s="5" t="s">
        <v>260</v>
      </c>
      <c r="D4036" s="5" t="s">
        <v>42</v>
      </c>
      <c r="E4036" s="5" t="s">
        <v>96</v>
      </c>
      <c r="F4036" s="9" t="s">
        <v>97</v>
      </c>
      <c r="G4036" s="9">
        <v>265</v>
      </c>
      <c r="H4036" s="5" t="s">
        <v>21</v>
      </c>
      <c r="I4036" s="5" t="s">
        <v>10224</v>
      </c>
      <c r="J4036" s="12" t="str">
        <f>HYPERLINK("https://www.boe.es/gazeta/dias/1808/03/15/pdfs/GMD-1808-22.pdf#page=7","Abrir facsímil")</f>
        <v>Abrir facsímil</v>
      </c>
      <c r="K4036" s="15" t="s">
        <v>23</v>
      </c>
    </row>
    <row r="4037" spans="1:11" ht="42" customHeight="1">
      <c r="A4037" s="4" t="s">
        <v>10225</v>
      </c>
      <c r="B4037" s="5" t="s">
        <v>10225</v>
      </c>
      <c r="C4037" s="5" t="s">
        <v>94</v>
      </c>
      <c r="D4037" s="5" t="s">
        <v>95</v>
      </c>
      <c r="E4037" s="5" t="s">
        <v>427</v>
      </c>
      <c r="F4037" s="9" t="s">
        <v>1802</v>
      </c>
      <c r="G4037" s="9">
        <v>1518</v>
      </c>
      <c r="H4037" s="5" t="s">
        <v>21</v>
      </c>
      <c r="I4037" s="5" t="s">
        <v>10226</v>
      </c>
      <c r="J4037" s="12" t="str">
        <f>HYPERLINK("https://www.boe.es/gazeta/dias/1808/11/22/pdfs/GMD-1808-146.pdf#page=4","Abrir facsímil")</f>
        <v>Abrir facsímil</v>
      </c>
      <c r="K4037" s="15" t="s">
        <v>23</v>
      </c>
    </row>
    <row r="4038" spans="1:11" ht="42" customHeight="1">
      <c r="A4038" s="4" t="s">
        <v>10227</v>
      </c>
      <c r="B4038" s="5" t="s">
        <v>10227</v>
      </c>
      <c r="C4038" s="5" t="s">
        <v>17</v>
      </c>
      <c r="D4038" s="5" t="s">
        <v>18</v>
      </c>
      <c r="E4038" s="5" t="s">
        <v>61</v>
      </c>
      <c r="F4038" s="9" t="s">
        <v>62</v>
      </c>
      <c r="G4038" s="9">
        <v>1286</v>
      </c>
      <c r="H4038" s="5" t="s">
        <v>21</v>
      </c>
      <c r="I4038" s="5" t="s">
        <v>10228</v>
      </c>
      <c r="J4038" s="12" t="str">
        <f>HYPERLINK("https://www.boe.es/gazeta/dias/1808/10/11/pdfs/GMD-1808-133.pdf#page=14","Abrir facsímil")</f>
        <v>Abrir facsímil</v>
      </c>
      <c r="K4038" s="15" t="s">
        <v>23</v>
      </c>
    </row>
    <row r="4039" spans="1:11" ht="42" customHeight="1">
      <c r="A4039" s="4" t="s">
        <v>10229</v>
      </c>
      <c r="B4039" s="5" t="s">
        <v>10229</v>
      </c>
      <c r="C4039" s="5" t="s">
        <v>17</v>
      </c>
      <c r="D4039" s="5" t="s">
        <v>18</v>
      </c>
      <c r="E4039" s="5" t="s">
        <v>203</v>
      </c>
      <c r="F4039" s="9" t="s">
        <v>204</v>
      </c>
      <c r="G4039" s="9">
        <v>140</v>
      </c>
      <c r="H4039" s="5" t="s">
        <v>21</v>
      </c>
      <c r="I4039" s="5" t="s">
        <v>10230</v>
      </c>
      <c r="J4039" s="12" t="str">
        <f>HYPERLINK("https://www.boe.es/gazeta/dias/1808/02/09/pdfs/GMD-1808-12.pdf#page=8","Abrir facsímil")</f>
        <v>Abrir facsímil</v>
      </c>
      <c r="K4039" s="15" t="s">
        <v>23</v>
      </c>
    </row>
    <row r="4040" spans="1:11" ht="42" customHeight="1">
      <c r="A4040" s="4" t="s">
        <v>10231</v>
      </c>
      <c r="B4040" s="5" t="s">
        <v>10231</v>
      </c>
      <c r="C4040" s="5" t="s">
        <v>26</v>
      </c>
      <c r="D4040" s="5" t="s">
        <v>27</v>
      </c>
      <c r="E4040" s="5" t="s">
        <v>19</v>
      </c>
      <c r="F4040" s="9" t="s">
        <v>59</v>
      </c>
      <c r="G4040" s="9">
        <v>1231</v>
      </c>
      <c r="H4040" s="5" t="s">
        <v>21</v>
      </c>
      <c r="I4040" s="5" t="s">
        <v>10232</v>
      </c>
      <c r="J4040" s="12" t="str">
        <f>HYPERLINK("https://www.boe.es/gazeta/dias/1808/09/30/pdfs/GMD-1808-130.pdf#page=11","Abrir facsímil")</f>
        <v>Abrir facsímil</v>
      </c>
      <c r="K4040" s="15" t="s">
        <v>23</v>
      </c>
    </row>
    <row r="4041" spans="1:11" ht="42" customHeight="1">
      <c r="A4041" s="4" t="s">
        <v>10233</v>
      </c>
      <c r="B4041" s="5" t="s">
        <v>10234</v>
      </c>
      <c r="C4041" s="5" t="s">
        <v>33</v>
      </c>
      <c r="D4041" s="5" t="s">
        <v>34</v>
      </c>
      <c r="E4041" s="5" t="s">
        <v>68</v>
      </c>
      <c r="F4041" s="9" t="s">
        <v>309</v>
      </c>
      <c r="G4041" s="9" t="s">
        <v>106</v>
      </c>
      <c r="H4041" s="5" t="s">
        <v>21</v>
      </c>
      <c r="I4041" s="5" t="s">
        <v>10235</v>
      </c>
      <c r="J4041" s="12" t="str">
        <f>HYPERLINK("https://www.boe.es/gazeta/dias/1808/10/21/pdfs/GMD-D-1808-136.pdf#page=3","Abrir facsímil")</f>
        <v>Abrir facsímil</v>
      </c>
      <c r="K4041" s="15" t="s">
        <v>23</v>
      </c>
    </row>
    <row r="4042" spans="1:11" ht="42" customHeight="1">
      <c r="A4042" s="4" t="s">
        <v>10236</v>
      </c>
      <c r="B4042" s="5" t="s">
        <v>10236</v>
      </c>
      <c r="C4042" s="5" t="s">
        <v>101</v>
      </c>
      <c r="D4042" s="5" t="s">
        <v>102</v>
      </c>
      <c r="E4042" s="5" t="s">
        <v>4567</v>
      </c>
      <c r="F4042" s="9" t="s">
        <v>4568</v>
      </c>
      <c r="G4042" s="9">
        <v>688</v>
      </c>
      <c r="H4042" s="5" t="s">
        <v>21</v>
      </c>
      <c r="I4042" s="5" t="s">
        <v>10237</v>
      </c>
      <c r="J4042" s="12" t="str">
        <f>HYPERLINK("https://www.boe.es/gazeta/dias/1808/06/30/pdfs/GMD-1808-72.pdf#page=2","Abrir facsímil")</f>
        <v>Abrir facsímil</v>
      </c>
      <c r="K4042" s="15" t="s">
        <v>23</v>
      </c>
    </row>
    <row r="4043" spans="1:11" ht="42" customHeight="1">
      <c r="A4043" s="4" t="s">
        <v>10238</v>
      </c>
      <c r="B4043" s="5" t="s">
        <v>10238</v>
      </c>
      <c r="C4043" s="5" t="s">
        <v>101</v>
      </c>
      <c r="D4043" s="5" t="s">
        <v>102</v>
      </c>
      <c r="E4043" s="5" t="s">
        <v>256</v>
      </c>
      <c r="F4043" s="9" t="s">
        <v>257</v>
      </c>
      <c r="G4043" s="9">
        <v>523</v>
      </c>
      <c r="H4043" s="5" t="s">
        <v>21</v>
      </c>
      <c r="I4043" s="5" t="s">
        <v>10239</v>
      </c>
      <c r="J4043" s="12" t="str">
        <f>HYPERLINK("https://www.boe.es/gazeta/dias/1808/06/03/pdfs/GMD-1808-53.pdf#page=1","Abrir facsímil")</f>
        <v>Abrir facsímil</v>
      </c>
      <c r="K4043" s="15" t="s">
        <v>23</v>
      </c>
    </row>
    <row r="4044" spans="1:11" ht="42" customHeight="1">
      <c r="A4044" s="4" t="s">
        <v>10240</v>
      </c>
      <c r="B4044" s="5" t="s">
        <v>10240</v>
      </c>
      <c r="C4044" s="5" t="s">
        <v>260</v>
      </c>
      <c r="D4044" s="5" t="s">
        <v>42</v>
      </c>
      <c r="E4044" s="5" t="s">
        <v>1361</v>
      </c>
      <c r="F4044" s="9" t="s">
        <v>1362</v>
      </c>
      <c r="G4044" s="9">
        <v>465</v>
      </c>
      <c r="H4044" s="5" t="s">
        <v>21</v>
      </c>
      <c r="I4044" s="5" t="s">
        <v>10241</v>
      </c>
      <c r="J4044" s="12" t="str">
        <f>HYPERLINK("https://www.boe.es/gazeta/dias/1808/05/17/pdfs/GMD-1808-47.pdf#page=5","Abrir facsímil")</f>
        <v>Abrir facsímil</v>
      </c>
      <c r="K4044" s="15" t="s">
        <v>23</v>
      </c>
    </row>
    <row r="4045" spans="1:11" ht="42" customHeight="1">
      <c r="A4045" s="4" t="s">
        <v>10240</v>
      </c>
      <c r="B4045" s="5" t="s">
        <v>10240</v>
      </c>
      <c r="C4045" s="5" t="s">
        <v>17</v>
      </c>
      <c r="D4045" s="5" t="s">
        <v>18</v>
      </c>
      <c r="E4045" s="5" t="s">
        <v>1148</v>
      </c>
      <c r="F4045" s="9" t="s">
        <v>1149</v>
      </c>
      <c r="G4045" s="9">
        <v>502</v>
      </c>
      <c r="H4045" s="5" t="s">
        <v>21</v>
      </c>
      <c r="I4045" s="5" t="s">
        <v>10242</v>
      </c>
      <c r="J4045" s="12" t="str">
        <f>HYPERLINK("https://www.boe.es/gazeta/dias/1808/05/27/pdfs/GMD-1808-50.pdf#page=6","Abrir facsímil")</f>
        <v>Abrir facsímil</v>
      </c>
      <c r="K4045" s="15" t="s">
        <v>23</v>
      </c>
    </row>
    <row r="4046" spans="1:11" ht="42" customHeight="1">
      <c r="A4046" s="4" t="s">
        <v>10243</v>
      </c>
      <c r="B4046" s="5" t="s">
        <v>10243</v>
      </c>
      <c r="C4046" s="5" t="s">
        <v>17</v>
      </c>
      <c r="D4046" s="5" t="s">
        <v>18</v>
      </c>
      <c r="E4046" s="5" t="s">
        <v>28</v>
      </c>
      <c r="F4046" s="9" t="s">
        <v>9084</v>
      </c>
      <c r="G4046" s="9">
        <v>361</v>
      </c>
      <c r="H4046" s="5" t="s">
        <v>21</v>
      </c>
      <c r="I4046" s="5" t="s">
        <v>10244</v>
      </c>
      <c r="J4046" s="12" t="str">
        <f>HYPERLINK("https://www.boe.es/gazeta/dias/1808/11/04/pdfs/GMS-1808-46.pdf#page=1","Abrir facsímil")</f>
        <v>Abrir facsímil</v>
      </c>
      <c r="K4046" s="15" t="s">
        <v>23</v>
      </c>
    </row>
    <row r="4047" spans="1:11" ht="42" customHeight="1">
      <c r="A4047" s="4" t="s">
        <v>10245</v>
      </c>
      <c r="B4047" s="5" t="s">
        <v>10245</v>
      </c>
      <c r="C4047" s="5" t="s">
        <v>101</v>
      </c>
      <c r="D4047" s="5" t="s">
        <v>102</v>
      </c>
      <c r="E4047" s="5" t="s">
        <v>215</v>
      </c>
      <c r="F4047" s="9" t="s">
        <v>216</v>
      </c>
      <c r="G4047" s="9">
        <v>294</v>
      </c>
      <c r="H4047" s="5" t="s">
        <v>21</v>
      </c>
      <c r="I4047" s="5" t="s">
        <v>10246</v>
      </c>
      <c r="J4047" s="12" t="str">
        <f>HYPERLINK("https://www.boe.es/gazeta/dias/1808/03/25/pdfs/GMD-1808-25.pdf#page=4","Abrir facsímil")</f>
        <v>Abrir facsímil</v>
      </c>
      <c r="K4047" s="15" t="s">
        <v>23</v>
      </c>
    </row>
    <row r="4048" spans="1:11" ht="42" customHeight="1">
      <c r="A4048" s="4" t="s">
        <v>10247</v>
      </c>
      <c r="B4048" s="5" t="s">
        <v>10247</v>
      </c>
      <c r="C4048" s="5" t="s">
        <v>101</v>
      </c>
      <c r="D4048" s="5" t="s">
        <v>102</v>
      </c>
      <c r="E4048" s="5" t="s">
        <v>991</v>
      </c>
      <c r="F4048" s="9" t="s">
        <v>992</v>
      </c>
      <c r="G4048" s="9">
        <v>212</v>
      </c>
      <c r="H4048" s="5" t="s">
        <v>21</v>
      </c>
      <c r="I4048" s="5" t="s">
        <v>10248</v>
      </c>
      <c r="J4048" s="12" t="str">
        <f>HYPERLINK("https://www.boe.es/gazeta/dias/1808/03/01/pdfs/GMD-1808-18.pdf#page=2","Abrir facsímil")</f>
        <v>Abrir facsímil</v>
      </c>
      <c r="K4048" s="15" t="s">
        <v>23</v>
      </c>
    </row>
    <row r="4049" spans="1:11" ht="42" customHeight="1">
      <c r="A4049" s="4" t="s">
        <v>10249</v>
      </c>
      <c r="B4049" s="5" t="s">
        <v>10250</v>
      </c>
      <c r="C4049" s="5" t="s">
        <v>17</v>
      </c>
      <c r="D4049" s="5" t="s">
        <v>18</v>
      </c>
      <c r="E4049" s="5" t="s">
        <v>461</v>
      </c>
      <c r="F4049" s="9" t="s">
        <v>733</v>
      </c>
      <c r="G4049" s="9">
        <v>1447</v>
      </c>
      <c r="H4049" s="5" t="s">
        <v>21</v>
      </c>
      <c r="I4049" s="5" t="s">
        <v>10251</v>
      </c>
      <c r="J4049" s="12" t="str">
        <f>HYPERLINK("https://www.boe.es/gazeta/dias/1808/11/08/pdfs/GMD-1808-142.pdf#page=9","Abrir facsímil")</f>
        <v>Abrir facsímil</v>
      </c>
      <c r="K4049" s="15" t="s">
        <v>23</v>
      </c>
    </row>
    <row r="4050" spans="1:11" ht="42" customHeight="1">
      <c r="A4050" s="4" t="s">
        <v>10252</v>
      </c>
      <c r="B4050" s="5" t="s">
        <v>10252</v>
      </c>
      <c r="C4050" s="5" t="s">
        <v>41</v>
      </c>
      <c r="D4050" s="5" t="s">
        <v>42</v>
      </c>
      <c r="E4050" s="5" t="s">
        <v>35</v>
      </c>
      <c r="F4050" s="9" t="s">
        <v>36</v>
      </c>
      <c r="G4050" s="9" t="s">
        <v>1517</v>
      </c>
      <c r="H4050" s="5" t="s">
        <v>21</v>
      </c>
      <c r="I4050" s="5" t="s">
        <v>10253</v>
      </c>
      <c r="J4050" s="12" t="str">
        <f>HYPERLINK("https://www.boe.es/gazeta/dias/1808/04/22/pdfs/GMD-C-1808-38.pdf#page=23","Abrir facsímil")</f>
        <v>Abrir facsímil</v>
      </c>
      <c r="K4050" s="15" t="s">
        <v>23</v>
      </c>
    </row>
    <row r="4051" spans="1:11" ht="42" customHeight="1">
      <c r="A4051" s="4" t="s">
        <v>10254</v>
      </c>
      <c r="B4051" s="5" t="s">
        <v>10254</v>
      </c>
      <c r="C4051" s="5" t="s">
        <v>33</v>
      </c>
      <c r="D4051" s="5" t="s">
        <v>34</v>
      </c>
      <c r="E4051" s="5" t="s">
        <v>35</v>
      </c>
      <c r="F4051" s="9" t="s">
        <v>36</v>
      </c>
      <c r="G4051" s="9" t="s">
        <v>814</v>
      </c>
      <c r="H4051" s="5" t="s">
        <v>21</v>
      </c>
      <c r="I4051" s="5" t="s">
        <v>10255</v>
      </c>
      <c r="J4051" s="12" t="str">
        <f>HYPERLINK("https://www.boe.es/gazeta/dias/1808/04/22/pdfs/GMD-C-1808-38.pdf#page=25","Abrir facsímil")</f>
        <v>Abrir facsímil</v>
      </c>
      <c r="K4051" s="15" t="s">
        <v>23</v>
      </c>
    </row>
    <row r="4052" spans="1:11" ht="42" customHeight="1">
      <c r="A4052" s="4" t="s">
        <v>10256</v>
      </c>
      <c r="B4052" s="5" t="s">
        <v>10256</v>
      </c>
      <c r="C4052" s="5" t="s">
        <v>41</v>
      </c>
      <c r="D4052" s="5" t="s">
        <v>42</v>
      </c>
      <c r="E4052" s="5" t="s">
        <v>35</v>
      </c>
      <c r="F4052" s="9" t="s">
        <v>36</v>
      </c>
      <c r="G4052" s="9" t="s">
        <v>956</v>
      </c>
      <c r="H4052" s="5" t="s">
        <v>21</v>
      </c>
      <c r="I4052" s="5" t="s">
        <v>10257</v>
      </c>
      <c r="J4052" s="12" t="str">
        <f>HYPERLINK("https://www.boe.es/gazeta/dias/1808/04/22/pdfs/GMD-C-1808-38.pdf#page=41","Abrir facsímil")</f>
        <v>Abrir facsímil</v>
      </c>
      <c r="K4052" s="15" t="s">
        <v>23</v>
      </c>
    </row>
    <row r="4053" spans="1:11" ht="42" customHeight="1">
      <c r="A4053" s="4" t="s">
        <v>10258</v>
      </c>
      <c r="B4053" s="5" t="s">
        <v>10258</v>
      </c>
      <c r="C4053" s="5" t="s">
        <v>26</v>
      </c>
      <c r="D4053" s="5" t="s">
        <v>27</v>
      </c>
      <c r="E4053" s="5" t="s">
        <v>225</v>
      </c>
      <c r="F4053" s="9" t="s">
        <v>226</v>
      </c>
      <c r="G4053" s="9">
        <v>605</v>
      </c>
      <c r="H4053" s="5" t="s">
        <v>21</v>
      </c>
      <c r="I4053" s="5" t="s">
        <v>10259</v>
      </c>
      <c r="J4053" s="12" t="str">
        <f>HYPERLINK("https://www.boe.es/gazeta/dias/1808/06/20/pdfs/GMD-1808-62.pdf#page=3","Abrir facsímil")</f>
        <v>Abrir facsímil</v>
      </c>
      <c r="K4053" s="15" t="s">
        <v>23</v>
      </c>
    </row>
    <row r="4054" spans="1:11" ht="42" customHeight="1">
      <c r="A4054" s="4" t="s">
        <v>10260</v>
      </c>
      <c r="B4054" s="5" t="s">
        <v>10260</v>
      </c>
      <c r="C4054" s="5" t="s">
        <v>41</v>
      </c>
      <c r="D4054" s="5" t="s">
        <v>42</v>
      </c>
      <c r="E4054" s="5" t="s">
        <v>35</v>
      </c>
      <c r="F4054" s="9" t="s">
        <v>36</v>
      </c>
      <c r="G4054" s="9" t="s">
        <v>867</v>
      </c>
      <c r="H4054" s="5" t="s">
        <v>21</v>
      </c>
      <c r="I4054" s="5" t="s">
        <v>10261</v>
      </c>
      <c r="J4054" s="12" t="str">
        <f>HYPERLINK("https://www.boe.es/gazeta/dias/1808/04/22/pdfs/GMD-C-1808-38.pdf#page=19","Abrir facsímil")</f>
        <v>Abrir facsímil</v>
      </c>
      <c r="K4054" s="15" t="s">
        <v>23</v>
      </c>
    </row>
    <row r="4055" spans="1:11" ht="42" customHeight="1">
      <c r="A4055" s="4" t="s">
        <v>10262</v>
      </c>
      <c r="B4055" s="5" t="s">
        <v>10262</v>
      </c>
      <c r="C4055" s="5" t="s">
        <v>17</v>
      </c>
      <c r="D4055" s="5" t="s">
        <v>18</v>
      </c>
      <c r="E4055" s="5" t="s">
        <v>125</v>
      </c>
      <c r="F4055" s="9" t="s">
        <v>397</v>
      </c>
      <c r="G4055" s="9">
        <v>1269</v>
      </c>
      <c r="H4055" s="5" t="s">
        <v>21</v>
      </c>
      <c r="I4055" s="5" t="s">
        <v>10263</v>
      </c>
      <c r="J4055" s="12" t="str">
        <f>HYPERLINK("https://www.boe.es/gazeta/dias/1808/10/07/pdfs/GMD-1808-132.pdf#page=9","Abrir facsímil")</f>
        <v>Abrir facsímil</v>
      </c>
      <c r="K4055" s="15" t="s">
        <v>23</v>
      </c>
    </row>
    <row r="4056" spans="1:11" ht="42" customHeight="1">
      <c r="A4056" s="4" t="s">
        <v>10264</v>
      </c>
      <c r="B4056" s="5" t="s">
        <v>10264</v>
      </c>
      <c r="C4056" s="5" t="s">
        <v>41</v>
      </c>
      <c r="D4056" s="5" t="s">
        <v>42</v>
      </c>
      <c r="E4056" s="5" t="s">
        <v>84</v>
      </c>
      <c r="F4056" s="9" t="s">
        <v>85</v>
      </c>
      <c r="G4056" s="9">
        <v>1159</v>
      </c>
      <c r="H4056" s="5" t="s">
        <v>21</v>
      </c>
      <c r="I4056" s="5" t="s">
        <v>10265</v>
      </c>
      <c r="J4056" s="12" t="str">
        <f>HYPERLINK("https://www.boe.es/gazeta/dias/1808/09/13/pdfs/GMD-1808-123.pdf#page=7","Abrir facsímil")</f>
        <v>Abrir facsímil</v>
      </c>
      <c r="K4056" s="15" t="s">
        <v>23</v>
      </c>
    </row>
    <row r="4057" spans="1:11" ht="42" customHeight="1">
      <c r="A4057" s="4" t="s">
        <v>10266</v>
      </c>
      <c r="B4057" s="5" t="s">
        <v>10266</v>
      </c>
      <c r="C4057" s="5" t="s">
        <v>94</v>
      </c>
      <c r="D4057" s="5" t="s">
        <v>95</v>
      </c>
      <c r="E4057" s="5" t="s">
        <v>2194</v>
      </c>
      <c r="F4057" s="9" t="s">
        <v>3881</v>
      </c>
      <c r="G4057" s="9">
        <v>341</v>
      </c>
      <c r="H4057" s="5" t="s">
        <v>21</v>
      </c>
      <c r="I4057" s="5" t="s">
        <v>10267</v>
      </c>
      <c r="J4057" s="12" t="str">
        <f>HYPERLINK("https://www.boe.es/gazeta/dias/1808/04/05/pdfs/GMD-1808-31.pdf#page=7","Abrir facsímil")</f>
        <v>Abrir facsímil</v>
      </c>
      <c r="K4057" s="15" t="s">
        <v>23</v>
      </c>
    </row>
    <row r="4058" spans="1:11" ht="42" customHeight="1">
      <c r="A4058" s="4" t="s">
        <v>10268</v>
      </c>
      <c r="B4058" s="5" t="s">
        <v>10268</v>
      </c>
      <c r="C4058" s="5" t="s">
        <v>17</v>
      </c>
      <c r="D4058" s="5" t="s">
        <v>18</v>
      </c>
      <c r="E4058" s="5" t="s">
        <v>185</v>
      </c>
      <c r="F4058" s="9" t="s">
        <v>186</v>
      </c>
      <c r="G4058" s="9">
        <v>1098</v>
      </c>
      <c r="H4058" s="5" t="s">
        <v>21</v>
      </c>
      <c r="I4058" s="5" t="s">
        <v>10269</v>
      </c>
      <c r="J4058" s="12" t="str">
        <f>HYPERLINK("https://www.boe.es/gazeta/dias/1808/08/30/pdfs/GMD-1808-118.pdf#page=4","Abrir facsímil")</f>
        <v>Abrir facsímil</v>
      </c>
      <c r="K4058" s="15" t="s">
        <v>23</v>
      </c>
    </row>
    <row r="4059" spans="1:11" ht="42" customHeight="1">
      <c r="A4059" s="4" t="s">
        <v>10270</v>
      </c>
      <c r="B4059" s="5" t="s">
        <v>10271</v>
      </c>
      <c r="C4059" s="5" t="s">
        <v>94</v>
      </c>
      <c r="D4059" s="5" t="s">
        <v>95</v>
      </c>
      <c r="E4059" s="5" t="s">
        <v>456</v>
      </c>
      <c r="F4059" s="9" t="s">
        <v>748</v>
      </c>
      <c r="G4059" s="9" t="s">
        <v>106</v>
      </c>
      <c r="H4059" s="5" t="s">
        <v>21</v>
      </c>
      <c r="I4059" s="5" t="s">
        <v>10272</v>
      </c>
      <c r="J4059" s="12" t="str">
        <f>HYPERLINK("https://www.boe.es/gazeta/dias/1808/10/14/pdfs/GMD-C-1808-134.pdf#page=3","Abrir facsímil")</f>
        <v>Abrir facsímil</v>
      </c>
      <c r="K4059" s="15" t="s">
        <v>23</v>
      </c>
    </row>
    <row r="4060" spans="1:11" ht="42" customHeight="1">
      <c r="A4060" s="4" t="s">
        <v>10273</v>
      </c>
      <c r="B4060" s="5" t="s">
        <v>10273</v>
      </c>
      <c r="C4060" s="5" t="s">
        <v>101</v>
      </c>
      <c r="D4060" s="5" t="s">
        <v>102</v>
      </c>
      <c r="E4060" s="5" t="s">
        <v>3313</v>
      </c>
      <c r="F4060" s="9" t="s">
        <v>3314</v>
      </c>
      <c r="G4060" s="9">
        <v>811</v>
      </c>
      <c r="H4060" s="5" t="s">
        <v>21</v>
      </c>
      <c r="I4060" s="5" t="s">
        <v>10274</v>
      </c>
      <c r="J4060" s="12" t="str">
        <f>HYPERLINK("https://www.boe.es/gazeta/dias/1808/07/15/pdfs/GMD-1808-87.pdf#page=5","Abrir facsímil")</f>
        <v>Abrir facsímil</v>
      </c>
      <c r="K4060" s="15" t="s">
        <v>23</v>
      </c>
    </row>
    <row r="4061" spans="1:11" ht="42" customHeight="1">
      <c r="A4061" s="4" t="s">
        <v>10275</v>
      </c>
      <c r="B4061" s="5" t="s">
        <v>10275</v>
      </c>
      <c r="C4061" s="5" t="s">
        <v>17</v>
      </c>
      <c r="D4061" s="5" t="s">
        <v>18</v>
      </c>
      <c r="E4061" s="5" t="s">
        <v>539</v>
      </c>
      <c r="F4061" s="9" t="s">
        <v>908</v>
      </c>
      <c r="G4061" s="9">
        <v>217</v>
      </c>
      <c r="H4061" s="5" t="s">
        <v>21</v>
      </c>
      <c r="I4061" s="5" t="s">
        <v>10276</v>
      </c>
      <c r="J4061" s="12" t="str">
        <f>HYPERLINK("https://www.boe.es/gazeta/dias/1808/09/02/pdfs/GMS-1808-28.pdf#page=1","Abrir facsímil")</f>
        <v>Abrir facsímil</v>
      </c>
      <c r="K4061" s="15" t="s">
        <v>23</v>
      </c>
    </row>
    <row r="4062" spans="1:11" ht="42" customHeight="1">
      <c r="A4062" s="4" t="s">
        <v>10275</v>
      </c>
      <c r="B4062" s="5" t="s">
        <v>10275</v>
      </c>
      <c r="C4062" s="5" t="s">
        <v>101</v>
      </c>
      <c r="D4062" s="5" t="s">
        <v>102</v>
      </c>
      <c r="E4062" s="5" t="s">
        <v>115</v>
      </c>
      <c r="F4062" s="9" t="s">
        <v>1650</v>
      </c>
      <c r="G4062" s="9">
        <v>1169</v>
      </c>
      <c r="H4062" s="5" t="s">
        <v>21</v>
      </c>
      <c r="I4062" s="5" t="s">
        <v>10277</v>
      </c>
      <c r="J4062" s="12" t="str">
        <f>HYPERLINK("https://www.boe.es/gazeta/dias/1808/09/16/pdfs/GMD-1808-125.pdf#page=1","Abrir facsímil")</f>
        <v>Abrir facsímil</v>
      </c>
      <c r="K4062" s="15" t="s">
        <v>23</v>
      </c>
    </row>
    <row r="4063" spans="1:11" ht="42" customHeight="1">
      <c r="A4063" s="4" t="s">
        <v>10275</v>
      </c>
      <c r="B4063" s="5" t="s">
        <v>10275</v>
      </c>
      <c r="C4063" s="5" t="s">
        <v>17</v>
      </c>
      <c r="D4063" s="5" t="s">
        <v>18</v>
      </c>
      <c r="E4063" s="5" t="s">
        <v>376</v>
      </c>
      <c r="F4063" s="9" t="s">
        <v>377</v>
      </c>
      <c r="G4063" s="9">
        <v>450</v>
      </c>
      <c r="H4063" s="5" t="s">
        <v>21</v>
      </c>
      <c r="I4063" s="5" t="s">
        <v>10278</v>
      </c>
      <c r="J4063" s="12" t="str">
        <f>HYPERLINK("https://www.boe.es/gazeta/dias/1808/12/13/pdfs/GMS-1808-57.pdf#page=2","Abrir facsímil")</f>
        <v>Abrir facsímil</v>
      </c>
      <c r="K4063" s="15" t="s">
        <v>23</v>
      </c>
    </row>
    <row r="4064" spans="1:11" ht="42" customHeight="1">
      <c r="A4064" s="4" t="s">
        <v>10279</v>
      </c>
      <c r="B4064" s="5" t="s">
        <v>10279</v>
      </c>
      <c r="C4064" s="5" t="s">
        <v>17</v>
      </c>
      <c r="D4064" s="5" t="s">
        <v>18</v>
      </c>
      <c r="E4064" s="5" t="s">
        <v>1371</v>
      </c>
      <c r="F4064" s="9" t="s">
        <v>1372</v>
      </c>
      <c r="G4064" s="9">
        <v>1670</v>
      </c>
      <c r="H4064" s="5" t="s">
        <v>21</v>
      </c>
      <c r="I4064" s="5" t="s">
        <v>10280</v>
      </c>
      <c r="J4064" s="12" t="str">
        <f>HYPERLINK("https://www.boe.es/gazeta/dias/1808/12/24/pdfs/GMD-1808-164.pdf#page=4","Abrir facsímil")</f>
        <v>Abrir facsímil</v>
      </c>
      <c r="K4064" s="15" t="s">
        <v>23</v>
      </c>
    </row>
    <row r="4065" spans="1:11" ht="42" customHeight="1">
      <c r="A4065" s="4" t="s">
        <v>10281</v>
      </c>
      <c r="B4065" s="5" t="s">
        <v>10281</v>
      </c>
      <c r="C4065" s="5" t="s">
        <v>17</v>
      </c>
      <c r="D4065" s="5" t="s">
        <v>18</v>
      </c>
      <c r="E4065" s="5" t="s">
        <v>65</v>
      </c>
      <c r="F4065" s="9" t="s">
        <v>66</v>
      </c>
      <c r="G4065" s="9">
        <v>1303</v>
      </c>
      <c r="H4065" s="5" t="s">
        <v>21</v>
      </c>
      <c r="I4065" s="5" t="s">
        <v>10282</v>
      </c>
      <c r="J4065" s="12" t="str">
        <f>HYPERLINK("https://www.boe.es/gazeta/dias/1808/10/18/pdfs/GMD-1808-135.pdf#page=3","Abrir facsímil")</f>
        <v>Abrir facsímil</v>
      </c>
      <c r="K4065" s="15" t="s">
        <v>23</v>
      </c>
    </row>
    <row r="4066" spans="1:11" ht="42" customHeight="1">
      <c r="A4066" s="4" t="s">
        <v>10283</v>
      </c>
      <c r="B4066" s="5" t="s">
        <v>10283</v>
      </c>
      <c r="C4066" s="5" t="s">
        <v>17</v>
      </c>
      <c r="D4066" s="5" t="s">
        <v>18</v>
      </c>
      <c r="E4066" s="5" t="s">
        <v>130</v>
      </c>
      <c r="F4066" s="9" t="s">
        <v>131</v>
      </c>
      <c r="G4066" s="9">
        <v>1603</v>
      </c>
      <c r="H4066" s="5" t="s">
        <v>21</v>
      </c>
      <c r="I4066" s="5" t="s">
        <v>10284</v>
      </c>
      <c r="J4066" s="12" t="str">
        <f>HYPERLINK("https://www.boe.es/gazeta/dias/1808/12/15/pdfs/GMD-1808-155.pdf#page=7","Abrir facsímil")</f>
        <v>Abrir facsímil</v>
      </c>
      <c r="K4066" s="15" t="s">
        <v>23</v>
      </c>
    </row>
    <row r="4067" spans="1:11" ht="42" customHeight="1">
      <c r="A4067" s="4" t="s">
        <v>10285</v>
      </c>
      <c r="B4067" s="5" t="s">
        <v>10285</v>
      </c>
      <c r="C4067" s="5" t="s">
        <v>94</v>
      </c>
      <c r="D4067" s="5" t="s">
        <v>95</v>
      </c>
      <c r="E4067" s="5" t="s">
        <v>54</v>
      </c>
      <c r="F4067" s="9" t="s">
        <v>55</v>
      </c>
      <c r="G4067" s="9">
        <v>1089</v>
      </c>
      <c r="H4067" s="5" t="s">
        <v>21</v>
      </c>
      <c r="I4067" s="5" t="s">
        <v>10286</v>
      </c>
      <c r="J4067" s="12" t="str">
        <f>HYPERLINK("https://www.boe.es/gazeta/dias/1808/08/26/pdfs/GMD-1808-117.pdf#page=11","Abrir facsímil")</f>
        <v>Abrir facsímil</v>
      </c>
      <c r="K4067" s="15" t="s">
        <v>23</v>
      </c>
    </row>
    <row r="4068" spans="1:11" ht="42" customHeight="1">
      <c r="A4068" s="4" t="s">
        <v>10287</v>
      </c>
      <c r="B4068" s="5" t="s">
        <v>10287</v>
      </c>
      <c r="C4068" s="5" t="s">
        <v>17</v>
      </c>
      <c r="D4068" s="5" t="s">
        <v>18</v>
      </c>
      <c r="E4068" s="5" t="s">
        <v>185</v>
      </c>
      <c r="F4068" s="9" t="s">
        <v>186</v>
      </c>
      <c r="G4068" s="9">
        <v>1102</v>
      </c>
      <c r="H4068" s="5" t="s">
        <v>21</v>
      </c>
      <c r="I4068" s="5" t="s">
        <v>10288</v>
      </c>
      <c r="J4068" s="12" t="str">
        <f>HYPERLINK("https://www.boe.es/gazeta/dias/1808/08/30/pdfs/GMD-1808-118.pdf#page=8","Abrir facsímil")</f>
        <v>Abrir facsímil</v>
      </c>
      <c r="K4068" s="15" t="s">
        <v>23</v>
      </c>
    </row>
    <row r="4069" spans="1:11" ht="42" customHeight="1">
      <c r="A4069" s="4" t="s">
        <v>10289</v>
      </c>
      <c r="B4069" s="5" t="s">
        <v>10289</v>
      </c>
      <c r="C4069" s="5" t="s">
        <v>26</v>
      </c>
      <c r="D4069" s="5" t="s">
        <v>27</v>
      </c>
      <c r="E4069" s="5" t="s">
        <v>110</v>
      </c>
      <c r="F4069" s="9" t="s">
        <v>111</v>
      </c>
      <c r="G4069" s="9">
        <v>1383</v>
      </c>
      <c r="H4069" s="5" t="s">
        <v>21</v>
      </c>
      <c r="I4069" s="5" t="s">
        <v>10290</v>
      </c>
      <c r="J4069" s="12" t="str">
        <f>HYPERLINK("https://www.boe.es/gazeta/dias/1808/10/28/pdfs/GMD-1808-138.pdf#page=9","Abrir facsímil")</f>
        <v>Abrir facsímil</v>
      </c>
      <c r="K4069" s="15" t="s">
        <v>23</v>
      </c>
    </row>
    <row r="4070" spans="1:11" ht="42" customHeight="1">
      <c r="A4070" s="4" t="s">
        <v>10291</v>
      </c>
      <c r="B4070" s="5" t="s">
        <v>10291</v>
      </c>
      <c r="C4070" s="5" t="s">
        <v>33</v>
      </c>
      <c r="D4070" s="5" t="s">
        <v>34</v>
      </c>
      <c r="E4070" s="5" t="s">
        <v>28</v>
      </c>
      <c r="F4070" s="9" t="s">
        <v>446</v>
      </c>
      <c r="G4070" s="9" t="s">
        <v>117</v>
      </c>
      <c r="H4070" s="5" t="s">
        <v>21</v>
      </c>
      <c r="I4070" s="5" t="s">
        <v>10292</v>
      </c>
      <c r="J4070" s="12" t="str">
        <f>HYPERLINK("https://www.boe.es/gazeta/dias/1808/11/04/pdfs/GMD-D-1808-141.pdf#page=1","Abrir facsímil")</f>
        <v>Abrir facsímil</v>
      </c>
      <c r="K4070" s="15" t="s">
        <v>23</v>
      </c>
    </row>
    <row r="4071" spans="1:11" ht="42" customHeight="1">
      <c r="A4071" s="4" t="s">
        <v>10293</v>
      </c>
      <c r="B4071" s="5" t="s">
        <v>10293</v>
      </c>
      <c r="C4071" s="5" t="s">
        <v>17</v>
      </c>
      <c r="D4071" s="5" t="s">
        <v>18</v>
      </c>
      <c r="E4071" s="5" t="s">
        <v>991</v>
      </c>
      <c r="F4071" s="9" t="s">
        <v>992</v>
      </c>
      <c r="G4071" s="9">
        <v>222</v>
      </c>
      <c r="H4071" s="5" t="s">
        <v>21</v>
      </c>
      <c r="I4071" s="5" t="s">
        <v>10294</v>
      </c>
      <c r="J4071" s="12" t="str">
        <f>HYPERLINK("https://www.boe.es/gazeta/dias/1808/03/01/pdfs/GMD-1808-18.pdf#page=12","Abrir facsímil")</f>
        <v>Abrir facsímil</v>
      </c>
      <c r="K4071" s="15" t="s">
        <v>23</v>
      </c>
    </row>
    <row r="4072" spans="1:11" ht="42" customHeight="1">
      <c r="A4072" s="4" t="s">
        <v>10295</v>
      </c>
      <c r="B4072" s="5" t="s">
        <v>10295</v>
      </c>
      <c r="C4072" s="5" t="s">
        <v>33</v>
      </c>
      <c r="D4072" s="5" t="s">
        <v>34</v>
      </c>
      <c r="E4072" s="5" t="s">
        <v>334</v>
      </c>
      <c r="F4072" s="9" t="s">
        <v>335</v>
      </c>
      <c r="G4072" s="9">
        <v>1256</v>
      </c>
      <c r="H4072" s="5" t="s">
        <v>21</v>
      </c>
      <c r="I4072" s="5" t="s">
        <v>10296</v>
      </c>
      <c r="J4072" s="12" t="str">
        <f>HYPERLINK("https://www.boe.es/gazeta/dias/1808/10/04/pdfs/GMD-C-1808-131.pdf#page=8","Abrir facsímil")</f>
        <v>Abrir facsímil</v>
      </c>
      <c r="K4072" s="15" t="s">
        <v>23</v>
      </c>
    </row>
    <row r="4073" spans="1:11" ht="42" customHeight="1">
      <c r="A4073" s="4" t="s">
        <v>10297</v>
      </c>
      <c r="B4073" s="5" t="s">
        <v>10297</v>
      </c>
      <c r="C4073" s="5" t="s">
        <v>41</v>
      </c>
      <c r="D4073" s="5" t="s">
        <v>42</v>
      </c>
      <c r="E4073" s="5" t="s">
        <v>28</v>
      </c>
      <c r="F4073" s="9" t="s">
        <v>446</v>
      </c>
      <c r="G4073" s="9" t="s">
        <v>75</v>
      </c>
      <c r="H4073" s="5" t="s">
        <v>21</v>
      </c>
      <c r="I4073" s="5" t="s">
        <v>10298</v>
      </c>
      <c r="J4073" s="12" t="str">
        <f>HYPERLINK("https://www.boe.es/gazeta/dias/1808/11/04/pdfs/GMD-D-1808-141.pdf#page=4","Abrir facsímil")</f>
        <v>Abrir facsímil</v>
      </c>
      <c r="K4073" s="15" t="s">
        <v>23</v>
      </c>
    </row>
    <row r="4074" spans="1:11" ht="42" customHeight="1">
      <c r="A4074" s="4" t="s">
        <v>10299</v>
      </c>
      <c r="B4074" s="5" t="s">
        <v>10300</v>
      </c>
      <c r="C4074" s="5" t="s">
        <v>389</v>
      </c>
      <c r="D4074" s="5" t="s">
        <v>390</v>
      </c>
      <c r="E4074" s="5" t="s">
        <v>65</v>
      </c>
      <c r="F4074" s="9" t="s">
        <v>105</v>
      </c>
      <c r="G4074" s="9" t="s">
        <v>75</v>
      </c>
      <c r="H4074" s="5" t="s">
        <v>21</v>
      </c>
      <c r="I4074" s="5" t="s">
        <v>10301</v>
      </c>
      <c r="J4074" s="12" t="str">
        <f>HYPERLINK("https://www.boe.es/gazeta/dias/1808/10/18/pdfs/GMD-D-1808-135.pdf#page=4","Abrir facsímil")</f>
        <v>Abrir facsímil</v>
      </c>
      <c r="K4074" s="15" t="s">
        <v>23</v>
      </c>
    </row>
    <row r="4075" spans="1:11" ht="42" customHeight="1">
      <c r="A4075" s="4" t="s">
        <v>10302</v>
      </c>
      <c r="B4075" s="5" t="s">
        <v>10302</v>
      </c>
      <c r="C4075" s="5" t="s">
        <v>33</v>
      </c>
      <c r="D4075" s="5" t="s">
        <v>34</v>
      </c>
      <c r="E4075" s="5" t="s">
        <v>166</v>
      </c>
      <c r="F4075" s="9" t="s">
        <v>400</v>
      </c>
      <c r="G4075" s="9" t="s">
        <v>75</v>
      </c>
      <c r="H4075" s="5" t="s">
        <v>21</v>
      </c>
      <c r="I4075" s="5" t="s">
        <v>10303</v>
      </c>
      <c r="J4075" s="12" t="str">
        <f>HYPERLINK("https://www.boe.es/gazeta/dias/1808/11/18/pdfs/D00069-00072.pdf#page=4","Abrir facsímil")</f>
        <v>Abrir facsímil</v>
      </c>
      <c r="K4075" s="15" t="s">
        <v>23</v>
      </c>
    </row>
    <row r="4076" spans="1:11" ht="42" customHeight="1">
      <c r="A4076" s="4" t="s">
        <v>10304</v>
      </c>
      <c r="B4076" s="5" t="s">
        <v>10304</v>
      </c>
      <c r="C4076" s="5" t="s">
        <v>41</v>
      </c>
      <c r="D4076" s="5" t="s">
        <v>42</v>
      </c>
      <c r="E4076" s="5" t="s">
        <v>264</v>
      </c>
      <c r="F4076" s="9" t="s">
        <v>318</v>
      </c>
      <c r="G4076" s="9" t="s">
        <v>75</v>
      </c>
      <c r="H4076" s="5" t="s">
        <v>21</v>
      </c>
      <c r="I4076" s="5" t="s">
        <v>10305</v>
      </c>
      <c r="J4076" s="12" t="str">
        <f>HYPERLINK("https://www.boe.es/gazeta/dias/1808/11/29/pdfs/GMD-C-1808-148.pdf#page=4","Abrir facsímil")</f>
        <v>Abrir facsímil</v>
      </c>
      <c r="K4076" s="15" t="s">
        <v>23</v>
      </c>
    </row>
    <row r="4077" spans="1:11" ht="42" customHeight="1">
      <c r="A4077" s="4" t="s">
        <v>10306</v>
      </c>
      <c r="B4077" s="5" t="s">
        <v>10307</v>
      </c>
      <c r="C4077" s="5" t="s">
        <v>94</v>
      </c>
      <c r="D4077" s="5" t="s">
        <v>95</v>
      </c>
      <c r="E4077" s="5" t="s">
        <v>203</v>
      </c>
      <c r="F4077" s="9" t="s">
        <v>204</v>
      </c>
      <c r="G4077" s="9">
        <v>141</v>
      </c>
      <c r="H4077" s="5" t="s">
        <v>21</v>
      </c>
      <c r="I4077" s="5" t="s">
        <v>10308</v>
      </c>
      <c r="J4077" s="12" t="str">
        <f>HYPERLINK("https://www.boe.es/gazeta/dias/1808/02/09/pdfs/GMD-1808-12.pdf#page=9","Abrir facsímil")</f>
        <v>Abrir facsímil</v>
      </c>
      <c r="K4077" s="15" t="s">
        <v>23</v>
      </c>
    </row>
    <row r="4078" spans="1:11" ht="42" customHeight="1">
      <c r="A4078" s="4" t="s">
        <v>10306</v>
      </c>
      <c r="B4078" s="5" t="s">
        <v>10307</v>
      </c>
      <c r="C4078" s="5" t="s">
        <v>41</v>
      </c>
      <c r="D4078" s="5" t="s">
        <v>42</v>
      </c>
      <c r="E4078" s="5" t="s">
        <v>461</v>
      </c>
      <c r="F4078" s="9" t="s">
        <v>733</v>
      </c>
      <c r="G4078" s="9">
        <v>1447</v>
      </c>
      <c r="H4078" s="5" t="s">
        <v>21</v>
      </c>
      <c r="I4078" s="5" t="s">
        <v>10309</v>
      </c>
      <c r="J4078" s="12" t="str">
        <f>HYPERLINK("https://www.boe.es/gazeta/dias/1808/11/08/pdfs/GMD-1808-142.pdf#page=9","Abrir facsímil")</f>
        <v>Abrir facsímil</v>
      </c>
      <c r="K4078" s="15" t="s">
        <v>23</v>
      </c>
    </row>
    <row r="4079" spans="1:11" ht="42" customHeight="1">
      <c r="A4079" s="4" t="s">
        <v>10310</v>
      </c>
      <c r="B4079" s="5" t="s">
        <v>10311</v>
      </c>
      <c r="C4079" s="5" t="s">
        <v>389</v>
      </c>
      <c r="D4079" s="5" t="s">
        <v>390</v>
      </c>
      <c r="E4079" s="5" t="s">
        <v>2194</v>
      </c>
      <c r="F4079" s="9" t="s">
        <v>3881</v>
      </c>
      <c r="G4079" s="9">
        <v>342</v>
      </c>
      <c r="H4079" s="5" t="s">
        <v>21</v>
      </c>
      <c r="I4079" s="5" t="s">
        <v>10312</v>
      </c>
      <c r="J4079" s="12" t="str">
        <f>HYPERLINK("https://www.boe.es/gazeta/dias/1808/04/05/pdfs/GMD-1808-31.pdf#page=8","Abrir facsímil")</f>
        <v>Abrir facsímil</v>
      </c>
      <c r="K4079" s="15" t="s">
        <v>23</v>
      </c>
    </row>
    <row r="4080" spans="1:11" ht="42" customHeight="1">
      <c r="A4080" s="4" t="s">
        <v>10313</v>
      </c>
      <c r="B4080" s="5" t="s">
        <v>10314</v>
      </c>
      <c r="C4080" s="5" t="s">
        <v>33</v>
      </c>
      <c r="D4080" s="5" t="s">
        <v>34</v>
      </c>
      <c r="E4080" s="5" t="s">
        <v>68</v>
      </c>
      <c r="F4080" s="9" t="s">
        <v>309</v>
      </c>
      <c r="G4080" s="9" t="s">
        <v>117</v>
      </c>
      <c r="H4080" s="5" t="s">
        <v>21</v>
      </c>
      <c r="I4080" s="5" t="s">
        <v>10315</v>
      </c>
      <c r="J4080" s="12" t="str">
        <f>HYPERLINK("https://www.boe.es/gazeta/dias/1808/10/21/pdfs/GMD-D-1808-136.pdf#page=1","Abrir facsímil")</f>
        <v>Abrir facsímil</v>
      </c>
      <c r="K4080" s="15" t="s">
        <v>23</v>
      </c>
    </row>
    <row r="4081" spans="1:11" ht="42" customHeight="1">
      <c r="A4081" s="4" t="s">
        <v>10316</v>
      </c>
      <c r="B4081" s="5" t="s">
        <v>10316</v>
      </c>
      <c r="C4081" s="5" t="s">
        <v>389</v>
      </c>
      <c r="D4081" s="5" t="s">
        <v>390</v>
      </c>
      <c r="E4081" s="5" t="s">
        <v>89</v>
      </c>
      <c r="F4081" s="9" t="s">
        <v>2031</v>
      </c>
      <c r="G4081" s="9">
        <v>344</v>
      </c>
      <c r="H4081" s="5" t="s">
        <v>21</v>
      </c>
      <c r="I4081" s="5" t="s">
        <v>10317</v>
      </c>
      <c r="J4081" s="12" t="str">
        <f>HYPERLINK("https://www.boe.es/gazeta/dias/1808/10/25/pdfs/GMS-1808-43.pdf#page=8","Abrir facsímil")</f>
        <v>Abrir facsímil</v>
      </c>
      <c r="K4081" s="15" t="s">
        <v>23</v>
      </c>
    </row>
    <row r="4082" spans="1:11" ht="42" customHeight="1">
      <c r="A4082" s="4" t="s">
        <v>10318</v>
      </c>
      <c r="B4082" s="5" t="s">
        <v>10318</v>
      </c>
      <c r="C4082" s="5" t="s">
        <v>41</v>
      </c>
      <c r="D4082" s="5" t="s">
        <v>42</v>
      </c>
      <c r="E4082" s="5" t="s">
        <v>35</v>
      </c>
      <c r="F4082" s="9" t="s">
        <v>3452</v>
      </c>
      <c r="G4082" s="9">
        <v>402</v>
      </c>
      <c r="H4082" s="5" t="s">
        <v>21</v>
      </c>
      <c r="I4082" s="5" t="s">
        <v>10319</v>
      </c>
      <c r="J4082" s="12" t="str">
        <f>HYPERLINK("https://www.boe.es/gazeta/dias/1808/04/22/pdfs/GMD-1808-38.pdf#page=10","Abrir facsímil")</f>
        <v>Abrir facsímil</v>
      </c>
      <c r="K4082" s="15" t="s">
        <v>23</v>
      </c>
    </row>
    <row r="4083" spans="1:11" ht="42" customHeight="1">
      <c r="A4083" s="4" t="s">
        <v>10320</v>
      </c>
      <c r="B4083" s="5" t="s">
        <v>10320</v>
      </c>
      <c r="C4083" s="5" t="s">
        <v>17</v>
      </c>
      <c r="D4083" s="5" t="s">
        <v>18</v>
      </c>
      <c r="E4083" s="5" t="s">
        <v>19</v>
      </c>
      <c r="F4083" s="9" t="s">
        <v>59</v>
      </c>
      <c r="G4083" s="9">
        <v>1228</v>
      </c>
      <c r="H4083" s="5" t="s">
        <v>21</v>
      </c>
      <c r="I4083" s="5" t="s">
        <v>10321</v>
      </c>
      <c r="J4083" s="12" t="str">
        <f>HYPERLINK("https://www.boe.es/gazeta/dias/1808/09/30/pdfs/GMD-1808-130.pdf#page=8","Abrir facsímil")</f>
        <v>Abrir facsímil</v>
      </c>
      <c r="K4083" s="15" t="s">
        <v>23</v>
      </c>
    </row>
    <row r="4084" spans="1:11" ht="42" customHeight="1">
      <c r="A4084" s="4" t="s">
        <v>10320</v>
      </c>
      <c r="B4084" s="5" t="s">
        <v>10320</v>
      </c>
      <c r="C4084" s="5" t="s">
        <v>33</v>
      </c>
      <c r="D4084" s="5" t="s">
        <v>34</v>
      </c>
      <c r="E4084" s="5" t="s">
        <v>65</v>
      </c>
      <c r="F4084" s="9" t="s">
        <v>105</v>
      </c>
      <c r="G4084" s="9" t="s">
        <v>106</v>
      </c>
      <c r="H4084" s="5" t="s">
        <v>21</v>
      </c>
      <c r="I4084" s="5" t="s">
        <v>10322</v>
      </c>
      <c r="J4084" s="12" t="str">
        <f>HYPERLINK("https://www.boe.es/gazeta/dias/1808/10/18/pdfs/GMD-D-1808-135.pdf#page=3","Abrir facsímil")</f>
        <v>Abrir facsímil</v>
      </c>
      <c r="K4084" s="15" t="s">
        <v>23</v>
      </c>
    </row>
    <row r="4085" spans="1:11" ht="42" customHeight="1">
      <c r="A4085" s="4" t="s">
        <v>10323</v>
      </c>
      <c r="B4085" s="5" t="s">
        <v>10323</v>
      </c>
      <c r="C4085" s="5" t="s">
        <v>17</v>
      </c>
      <c r="D4085" s="5" t="s">
        <v>18</v>
      </c>
      <c r="E4085" s="5" t="s">
        <v>185</v>
      </c>
      <c r="F4085" s="9" t="s">
        <v>186</v>
      </c>
      <c r="G4085" s="9">
        <v>1103</v>
      </c>
      <c r="H4085" s="5" t="s">
        <v>21</v>
      </c>
      <c r="I4085" s="5" t="s">
        <v>10324</v>
      </c>
      <c r="J4085" s="12" t="str">
        <f>HYPERLINK("https://www.boe.es/gazeta/dias/1808/08/30/pdfs/GMD-1808-118.pdf#page=9","Abrir facsímil")</f>
        <v>Abrir facsímil</v>
      </c>
      <c r="K4085" s="15" t="s">
        <v>23</v>
      </c>
    </row>
    <row r="4086" spans="1:11" ht="42" customHeight="1">
      <c r="A4086" s="4" t="s">
        <v>10325</v>
      </c>
      <c r="B4086" s="5" t="s">
        <v>10325</v>
      </c>
      <c r="C4086" s="5" t="s">
        <v>33</v>
      </c>
      <c r="D4086" s="5" t="s">
        <v>34</v>
      </c>
      <c r="E4086" s="5" t="s">
        <v>334</v>
      </c>
      <c r="F4086" s="9" t="s">
        <v>335</v>
      </c>
      <c r="G4086" s="9">
        <v>1258</v>
      </c>
      <c r="H4086" s="5" t="s">
        <v>21</v>
      </c>
      <c r="I4086" s="5" t="s">
        <v>10326</v>
      </c>
      <c r="J4086" s="12" t="str">
        <f>HYPERLINK("https://www.boe.es/gazeta/dias/1808/10/04/pdfs/GMD-C-1808-131.pdf#page=10","Abrir facsímil")</f>
        <v>Abrir facsímil</v>
      </c>
      <c r="K4086" s="15" t="s">
        <v>23</v>
      </c>
    </row>
    <row r="4087" spans="1:11" ht="42" customHeight="1">
      <c r="A4087" s="4" t="s">
        <v>10327</v>
      </c>
      <c r="B4087" s="5" t="s">
        <v>10327</v>
      </c>
      <c r="C4087" s="5" t="s">
        <v>17</v>
      </c>
      <c r="D4087" s="5" t="s">
        <v>18</v>
      </c>
      <c r="E4087" s="5" t="s">
        <v>616</v>
      </c>
      <c r="F4087" s="9" t="s">
        <v>8009</v>
      </c>
      <c r="G4087" s="9">
        <v>192</v>
      </c>
      <c r="H4087" s="5" t="s">
        <v>21</v>
      </c>
      <c r="I4087" s="5" t="s">
        <v>10328</v>
      </c>
      <c r="J4087" s="12" t="str">
        <f>HYPERLINK("https://www.boe.es/gazeta/dias/1808/08/19/pdfs/GMS-1808-24.pdf#page=8","Abrir facsímil")</f>
        <v>Abrir facsímil</v>
      </c>
      <c r="K4087" s="15" t="s">
        <v>23</v>
      </c>
    </row>
    <row r="4088" spans="1:11" ht="42" customHeight="1">
      <c r="A4088" s="4" t="s">
        <v>10329</v>
      </c>
      <c r="B4088" s="5" t="s">
        <v>10329</v>
      </c>
      <c r="C4088" s="5" t="s">
        <v>33</v>
      </c>
      <c r="D4088" s="5" t="s">
        <v>34</v>
      </c>
      <c r="E4088" s="5" t="s">
        <v>363</v>
      </c>
      <c r="F4088" s="9" t="s">
        <v>364</v>
      </c>
      <c r="G4088" s="9" t="s">
        <v>106</v>
      </c>
      <c r="H4088" s="5" t="s">
        <v>21</v>
      </c>
      <c r="I4088" s="5" t="s">
        <v>10330</v>
      </c>
      <c r="J4088" s="12" t="str">
        <f>HYPERLINK("https://www.boe.es/gazeta/dias/1808/09/20/pdfs/GMD-C-1808-126.pdf#page=3","Abrir facsímil")</f>
        <v>Abrir facsímil</v>
      </c>
      <c r="K4088" s="15" t="s">
        <v>23</v>
      </c>
    </row>
    <row r="4089" spans="1:11" ht="42" customHeight="1">
      <c r="A4089" s="4" t="s">
        <v>10331</v>
      </c>
      <c r="B4089" s="5" t="s">
        <v>10331</v>
      </c>
      <c r="C4089" s="5" t="s">
        <v>17</v>
      </c>
      <c r="D4089" s="5" t="s">
        <v>18</v>
      </c>
      <c r="E4089" s="5" t="s">
        <v>553</v>
      </c>
      <c r="F4089" s="9" t="s">
        <v>3282</v>
      </c>
      <c r="G4089" s="9">
        <v>135</v>
      </c>
      <c r="H4089" s="5" t="s">
        <v>21</v>
      </c>
      <c r="I4089" s="5" t="s">
        <v>10332</v>
      </c>
      <c r="J4089" s="12" t="str">
        <f>HYPERLINK("https://www.boe.es/gazeta/dias/1808/07/27/pdfs/GMS-1808-17.pdf#page=7","Abrir facsímil")</f>
        <v>Abrir facsímil</v>
      </c>
      <c r="K4089" s="15" t="s">
        <v>23</v>
      </c>
    </row>
    <row r="4090" spans="1:11" ht="42" customHeight="1">
      <c r="A4090" s="4" t="s">
        <v>10333</v>
      </c>
      <c r="B4090" s="5" t="s">
        <v>10334</v>
      </c>
      <c r="C4090" s="5" t="s">
        <v>94</v>
      </c>
      <c r="D4090" s="5" t="s">
        <v>95</v>
      </c>
      <c r="E4090" s="5" t="s">
        <v>73</v>
      </c>
      <c r="F4090" s="9" t="s">
        <v>581</v>
      </c>
      <c r="G4090" s="9">
        <v>1469</v>
      </c>
      <c r="H4090" s="5" t="s">
        <v>21</v>
      </c>
      <c r="I4090" s="5" t="s">
        <v>10335</v>
      </c>
      <c r="J4090" s="12" t="str">
        <f>HYPERLINK("https://www.boe.es/gazeta/dias/1808/11/11/pdfs/GMD-1808-143.pdf#page=11","Abrir facsímil")</f>
        <v>Abrir facsímil</v>
      </c>
      <c r="K4090" s="15" t="s">
        <v>23</v>
      </c>
    </row>
    <row r="4091" spans="1:11" ht="42" customHeight="1">
      <c r="A4091" s="4" t="s">
        <v>10336</v>
      </c>
      <c r="B4091" s="5" t="s">
        <v>10336</v>
      </c>
      <c r="C4091" s="5" t="s">
        <v>33</v>
      </c>
      <c r="D4091" s="5" t="s">
        <v>34</v>
      </c>
      <c r="E4091" s="5" t="s">
        <v>35</v>
      </c>
      <c r="F4091" s="9" t="s">
        <v>36</v>
      </c>
      <c r="G4091" s="9" t="s">
        <v>1517</v>
      </c>
      <c r="H4091" s="5" t="s">
        <v>21</v>
      </c>
      <c r="I4091" s="5" t="s">
        <v>10337</v>
      </c>
      <c r="J4091" s="12" t="str">
        <f>HYPERLINK("https://www.boe.es/gazeta/dias/1808/04/22/pdfs/GMD-C-1808-38.pdf#page=23","Abrir facsímil")</f>
        <v>Abrir facsímil</v>
      </c>
      <c r="K4091" s="15" t="s">
        <v>23</v>
      </c>
    </row>
    <row r="4092" spans="1:11" ht="42" customHeight="1">
      <c r="A4092" s="4" t="s">
        <v>10338</v>
      </c>
      <c r="B4092" s="5" t="s">
        <v>10338</v>
      </c>
      <c r="C4092" s="5" t="s">
        <v>33</v>
      </c>
      <c r="D4092" s="5" t="s">
        <v>34</v>
      </c>
      <c r="E4092" s="5" t="s">
        <v>180</v>
      </c>
      <c r="F4092" s="9" t="s">
        <v>768</v>
      </c>
      <c r="G4092" s="9" t="s">
        <v>106</v>
      </c>
      <c r="H4092" s="5" t="s">
        <v>21</v>
      </c>
      <c r="I4092" s="5" t="s">
        <v>10339</v>
      </c>
      <c r="J4092" s="12" t="str">
        <f>HYPERLINK("https://www.boe.es/gazeta/dias/1808/11/15/pdfs/GMD-D-1808-144.pdf#page=3","Abrir facsímil")</f>
        <v>Abrir facsímil</v>
      </c>
      <c r="K4092" s="15" t="s">
        <v>23</v>
      </c>
    </row>
    <row r="4093" spans="1:11" ht="42" customHeight="1">
      <c r="A4093" s="4" t="s">
        <v>10340</v>
      </c>
      <c r="B4093" s="5" t="s">
        <v>10340</v>
      </c>
      <c r="C4093" s="5" t="s">
        <v>17</v>
      </c>
      <c r="D4093" s="5" t="s">
        <v>18</v>
      </c>
      <c r="E4093" s="5" t="s">
        <v>218</v>
      </c>
      <c r="F4093" s="9" t="s">
        <v>219</v>
      </c>
      <c r="G4093" s="9">
        <v>332</v>
      </c>
      <c r="H4093" s="5" t="s">
        <v>21</v>
      </c>
      <c r="I4093" s="5" t="s">
        <v>10341</v>
      </c>
      <c r="J4093" s="12" t="str">
        <f>HYPERLINK("https://www.boe.es/gazeta/dias/1808/04/01/pdfs/GMD-1808-29.pdf#page=8","Abrir facsímil")</f>
        <v>Abrir facsímil</v>
      </c>
      <c r="K4093" s="15" t="s">
        <v>23</v>
      </c>
    </row>
    <row r="4094" spans="1:11" ht="42" customHeight="1">
      <c r="A4094" s="4" t="s">
        <v>10342</v>
      </c>
      <c r="B4094" s="5" t="s">
        <v>10342</v>
      </c>
      <c r="C4094" s="5" t="s">
        <v>33</v>
      </c>
      <c r="D4094" s="5" t="s">
        <v>34</v>
      </c>
      <c r="E4094" s="5" t="s">
        <v>89</v>
      </c>
      <c r="F4094" s="9" t="s">
        <v>563</v>
      </c>
      <c r="G4094" s="9" t="s">
        <v>199</v>
      </c>
      <c r="H4094" s="5" t="s">
        <v>21</v>
      </c>
      <c r="I4094" s="5" t="s">
        <v>10343</v>
      </c>
      <c r="J4094" s="12" t="str">
        <f>HYPERLINK("https://www.boe.es/gazeta/dias/1808/10/25/pdfs/GMD-D-1808-137.pdf#page=2","Abrir facsímil")</f>
        <v>Abrir facsímil</v>
      </c>
      <c r="K4094" s="15" t="s">
        <v>23</v>
      </c>
    </row>
    <row r="4095" spans="1:11" ht="42" customHeight="1">
      <c r="A4095" s="4" t="s">
        <v>10344</v>
      </c>
      <c r="B4095" s="5" t="s">
        <v>10344</v>
      </c>
      <c r="C4095" s="5" t="s">
        <v>17</v>
      </c>
      <c r="D4095" s="5" t="s">
        <v>18</v>
      </c>
      <c r="E4095" s="5" t="s">
        <v>287</v>
      </c>
      <c r="F4095" s="9" t="s">
        <v>489</v>
      </c>
      <c r="G4095" s="9">
        <v>1001</v>
      </c>
      <c r="H4095" s="5" t="s">
        <v>21</v>
      </c>
      <c r="I4095" s="5" t="s">
        <v>10345</v>
      </c>
      <c r="J4095" s="12" t="str">
        <f>HYPERLINK("https://www.boe.es/gazeta/dias/1808/08/12/pdfs/GMD-1808-112.pdf#page=5","Abrir facsímil")</f>
        <v>Abrir facsímil</v>
      </c>
      <c r="K4095" s="15" t="s">
        <v>23</v>
      </c>
    </row>
    <row r="4096" spans="1:11" ht="42" customHeight="1">
      <c r="A4096" s="4" t="s">
        <v>10346</v>
      </c>
      <c r="B4096" s="5" t="s">
        <v>10346</v>
      </c>
      <c r="C4096" s="5" t="s">
        <v>33</v>
      </c>
      <c r="D4096" s="5" t="s">
        <v>34</v>
      </c>
      <c r="E4096" s="5" t="s">
        <v>110</v>
      </c>
      <c r="F4096" s="9" t="s">
        <v>828</v>
      </c>
      <c r="G4096" s="9" t="s">
        <v>75</v>
      </c>
      <c r="H4096" s="5" t="s">
        <v>21</v>
      </c>
      <c r="I4096" s="5" t="s">
        <v>10347</v>
      </c>
      <c r="J4096" s="12" t="str">
        <f>HYPERLINK("https://www.boe.es/gazeta/dias/1808/10/28/pdfs/GMD-D-1808-138.pdf#page=4","Abrir facsímil")</f>
        <v>Abrir facsímil</v>
      </c>
      <c r="K4096" s="15" t="s">
        <v>23</v>
      </c>
    </row>
    <row r="4097" spans="1:11" ht="42" customHeight="1">
      <c r="A4097" s="4" t="s">
        <v>10348</v>
      </c>
      <c r="B4097" s="5" t="s">
        <v>10348</v>
      </c>
      <c r="C4097" s="5" t="s">
        <v>17</v>
      </c>
      <c r="D4097" s="5" t="s">
        <v>18</v>
      </c>
      <c r="E4097" s="5" t="s">
        <v>139</v>
      </c>
      <c r="F4097" s="9" t="s">
        <v>140</v>
      </c>
      <c r="G4097" s="9">
        <v>1203</v>
      </c>
      <c r="H4097" s="5" t="s">
        <v>21</v>
      </c>
      <c r="I4097" s="5" t="s">
        <v>10349</v>
      </c>
      <c r="J4097" s="12" t="str">
        <f>HYPERLINK("https://www.boe.es/gazeta/dias/1808/09/23/pdfs/GMD-1808-127.pdf#page=11","Abrir facsímil")</f>
        <v>Abrir facsímil</v>
      </c>
      <c r="K4097" s="15" t="s">
        <v>23</v>
      </c>
    </row>
    <row r="4098" spans="1:11" ht="42" customHeight="1">
      <c r="A4098" s="4" t="s">
        <v>10350</v>
      </c>
      <c r="B4098" s="5" t="s">
        <v>10350</v>
      </c>
      <c r="C4098" s="5" t="s">
        <v>17</v>
      </c>
      <c r="D4098" s="5" t="s">
        <v>18</v>
      </c>
      <c r="E4098" s="5" t="s">
        <v>558</v>
      </c>
      <c r="F4098" s="9" t="s">
        <v>559</v>
      </c>
      <c r="G4098" s="9">
        <v>1545</v>
      </c>
      <c r="H4098" s="5" t="s">
        <v>21</v>
      </c>
      <c r="I4098" s="5" t="s">
        <v>10351</v>
      </c>
      <c r="J4098" s="12" t="str">
        <f>HYPERLINK("https://www.boe.es/gazeta/dias/1808/11/25/pdfs/GMD-1808-147.pdf#page=11","Abrir facsímil")</f>
        <v>Abrir facsímil</v>
      </c>
      <c r="K4098" s="15" t="s">
        <v>23</v>
      </c>
    </row>
    <row r="4099" spans="1:11" ht="42" customHeight="1">
      <c r="A4099" s="4" t="s">
        <v>10352</v>
      </c>
      <c r="B4099" s="5" t="s">
        <v>10352</v>
      </c>
      <c r="C4099" s="5" t="s">
        <v>17</v>
      </c>
      <c r="D4099" s="5" t="s">
        <v>18</v>
      </c>
      <c r="E4099" s="5" t="s">
        <v>125</v>
      </c>
      <c r="F4099" s="9" t="s">
        <v>397</v>
      </c>
      <c r="G4099" s="9">
        <v>1269</v>
      </c>
      <c r="H4099" s="5" t="s">
        <v>21</v>
      </c>
      <c r="I4099" s="5" t="s">
        <v>10353</v>
      </c>
      <c r="J4099" s="12" t="str">
        <f>HYPERLINK("https://www.boe.es/gazeta/dias/1808/10/07/pdfs/GMD-1808-132.pdf#page=9","Abrir facsímil")</f>
        <v>Abrir facsímil</v>
      </c>
      <c r="K4099" s="15" t="s">
        <v>23</v>
      </c>
    </row>
    <row r="4100" spans="1:11" ht="42" customHeight="1">
      <c r="A4100" s="4" t="s">
        <v>10354</v>
      </c>
      <c r="B4100" s="5" t="s">
        <v>10355</v>
      </c>
      <c r="C4100" s="5" t="s">
        <v>260</v>
      </c>
      <c r="D4100" s="5" t="s">
        <v>42</v>
      </c>
      <c r="E4100" s="5" t="s">
        <v>469</v>
      </c>
      <c r="F4100" s="9" t="s">
        <v>470</v>
      </c>
      <c r="G4100" s="9">
        <v>153</v>
      </c>
      <c r="H4100" s="5" t="s">
        <v>21</v>
      </c>
      <c r="I4100" s="5" t="s">
        <v>10356</v>
      </c>
      <c r="J4100" s="12" t="str">
        <f>HYPERLINK("https://www.boe.es/gazeta/dias/1808/02/12/pdfs/GMD-1808-13.pdf#page=9","Abrir facsímil")</f>
        <v>Abrir facsímil</v>
      </c>
      <c r="K4100" s="15" t="s">
        <v>23</v>
      </c>
    </row>
    <row r="4101" spans="1:11" ht="42" customHeight="1">
      <c r="A4101" s="4" t="s">
        <v>10357</v>
      </c>
      <c r="B4101" s="5" t="s">
        <v>10357</v>
      </c>
      <c r="C4101" s="5" t="s">
        <v>33</v>
      </c>
      <c r="D4101" s="5" t="s">
        <v>34</v>
      </c>
      <c r="E4101" s="5" t="s">
        <v>35</v>
      </c>
      <c r="F4101" s="9" t="s">
        <v>36</v>
      </c>
      <c r="G4101" s="9" t="s">
        <v>655</v>
      </c>
      <c r="H4101" s="5" t="s">
        <v>21</v>
      </c>
      <c r="I4101" s="5" t="s">
        <v>10358</v>
      </c>
      <c r="J4101" s="12" t="str">
        <f>HYPERLINK("https://www.boe.es/gazeta/dias/1808/04/22/pdfs/GMD-C-1808-38.pdf#page=43","Abrir facsímil")</f>
        <v>Abrir facsímil</v>
      </c>
      <c r="K4101" s="15" t="s">
        <v>23</v>
      </c>
    </row>
    <row r="4102" spans="1:11" ht="42" customHeight="1">
      <c r="A4102" s="4" t="s">
        <v>10357</v>
      </c>
      <c r="B4102" s="5" t="s">
        <v>10357</v>
      </c>
      <c r="C4102" s="5" t="s">
        <v>41</v>
      </c>
      <c r="D4102" s="5" t="s">
        <v>42</v>
      </c>
      <c r="E4102" s="5" t="s">
        <v>180</v>
      </c>
      <c r="F4102" s="9" t="s">
        <v>768</v>
      </c>
      <c r="G4102" s="9" t="s">
        <v>199</v>
      </c>
      <c r="H4102" s="5" t="s">
        <v>21</v>
      </c>
      <c r="I4102" s="5" t="s">
        <v>10359</v>
      </c>
      <c r="J4102" s="12" t="str">
        <f>HYPERLINK("https://www.boe.es/gazeta/dias/1808/11/15/pdfs/GMD-D-1808-144.pdf#page=2","Abrir facsímil")</f>
        <v>Abrir facsímil</v>
      </c>
      <c r="K4102" s="15" t="s">
        <v>23</v>
      </c>
    </row>
    <row r="4103" spans="1:11" ht="42" customHeight="1">
      <c r="A4103" s="4" t="s">
        <v>10360</v>
      </c>
      <c r="B4103" s="5" t="s">
        <v>10360</v>
      </c>
      <c r="C4103" s="5" t="s">
        <v>17</v>
      </c>
      <c r="D4103" s="5" t="s">
        <v>18</v>
      </c>
      <c r="E4103" s="5" t="s">
        <v>110</v>
      </c>
      <c r="F4103" s="9" t="s">
        <v>111</v>
      </c>
      <c r="G4103" s="9">
        <v>1384</v>
      </c>
      <c r="H4103" s="5" t="s">
        <v>21</v>
      </c>
      <c r="I4103" s="5" t="s">
        <v>10361</v>
      </c>
      <c r="J4103" s="12" t="str">
        <f>HYPERLINK("https://www.boe.es/gazeta/dias/1808/10/28/pdfs/GMD-1808-138.pdf#page=10","Abrir facsímil")</f>
        <v>Abrir facsímil</v>
      </c>
      <c r="K4103" s="15" t="s">
        <v>23</v>
      </c>
    </row>
    <row r="4104" spans="1:11" ht="42" customHeight="1">
      <c r="A4104" s="4" t="s">
        <v>10360</v>
      </c>
      <c r="B4104" s="5" t="s">
        <v>10360</v>
      </c>
      <c r="C4104" s="5" t="s">
        <v>26</v>
      </c>
      <c r="D4104" s="5" t="s">
        <v>27</v>
      </c>
      <c r="E4104" s="5" t="s">
        <v>110</v>
      </c>
      <c r="F4104" s="9" t="s">
        <v>828</v>
      </c>
      <c r="G4104" s="9" t="s">
        <v>75</v>
      </c>
      <c r="H4104" s="5" t="s">
        <v>21</v>
      </c>
      <c r="I4104" s="5" t="s">
        <v>10362</v>
      </c>
      <c r="J4104" s="12" t="str">
        <f>HYPERLINK("https://www.boe.es/gazeta/dias/1808/10/28/pdfs/GMD-D-1808-138.pdf#page=4","Abrir facsímil")</f>
        <v>Abrir facsímil</v>
      </c>
      <c r="K4104" s="15" t="s">
        <v>23</v>
      </c>
    </row>
    <row r="4105" spans="1:11" ht="42" customHeight="1">
      <c r="A4105" s="4" t="s">
        <v>10363</v>
      </c>
      <c r="B4105" s="5" t="s">
        <v>10363</v>
      </c>
      <c r="C4105" s="5" t="s">
        <v>17</v>
      </c>
      <c r="D4105" s="5" t="s">
        <v>18</v>
      </c>
      <c r="E4105" s="5" t="s">
        <v>197</v>
      </c>
      <c r="F4105" s="9" t="s">
        <v>790</v>
      </c>
      <c r="G4105" s="9">
        <v>1407</v>
      </c>
      <c r="H4105" s="5" t="s">
        <v>21</v>
      </c>
      <c r="I4105" s="5" t="s">
        <v>10364</v>
      </c>
      <c r="J4105" s="12" t="str">
        <f>HYPERLINK("https://www.boe.es/gazeta/dias/1808/11/01/pdfs/GMD-1808-140.pdf#page=9","Abrir facsímil")</f>
        <v>Abrir facsímil</v>
      </c>
      <c r="K4105" s="15" t="s">
        <v>23</v>
      </c>
    </row>
    <row r="4106" spans="1:11" ht="42" customHeight="1">
      <c r="A4106" s="4" t="s">
        <v>10365</v>
      </c>
      <c r="B4106" s="5" t="s">
        <v>10365</v>
      </c>
      <c r="C4106" s="5" t="s">
        <v>33</v>
      </c>
      <c r="D4106" s="5" t="s">
        <v>34</v>
      </c>
      <c r="E4106" s="5" t="s">
        <v>153</v>
      </c>
      <c r="F4106" s="9" t="s">
        <v>154</v>
      </c>
      <c r="G4106" s="9" t="s">
        <v>199</v>
      </c>
      <c r="H4106" s="5" t="s">
        <v>21</v>
      </c>
      <c r="I4106" s="5" t="s">
        <v>10366</v>
      </c>
      <c r="J4106" s="12" t="str">
        <f>HYPERLINK("https://www.boe.es/gazeta/dias/1808/09/09/pdfs/GMD-C-1808-121.pdf#page=2","Abrir facsímil")</f>
        <v>Abrir facsímil</v>
      </c>
      <c r="K4106" s="15" t="s">
        <v>23</v>
      </c>
    </row>
    <row r="4107" spans="1:11" ht="42" customHeight="1">
      <c r="A4107" s="4" t="s">
        <v>10367</v>
      </c>
      <c r="B4107" s="5" t="s">
        <v>10367</v>
      </c>
      <c r="C4107" s="5" t="s">
        <v>33</v>
      </c>
      <c r="D4107" s="5" t="s">
        <v>34</v>
      </c>
      <c r="E4107" s="5" t="s">
        <v>35</v>
      </c>
      <c r="F4107" s="9" t="s">
        <v>36</v>
      </c>
      <c r="G4107" s="9" t="s">
        <v>924</v>
      </c>
      <c r="H4107" s="5" t="s">
        <v>21</v>
      </c>
      <c r="I4107" s="5" t="s">
        <v>10368</v>
      </c>
      <c r="J4107" s="12" t="str">
        <f>HYPERLINK("https://www.boe.es/gazeta/dias/1808/04/22/pdfs/GMD-C-1808-38.pdf#page=27","Abrir facsímil")</f>
        <v>Abrir facsímil</v>
      </c>
      <c r="K4107" s="15" t="s">
        <v>23</v>
      </c>
    </row>
    <row r="4108" spans="1:11" ht="42" customHeight="1">
      <c r="A4108" s="4" t="s">
        <v>10369</v>
      </c>
      <c r="B4108" s="5" t="s">
        <v>10369</v>
      </c>
      <c r="C4108" s="5" t="s">
        <v>41</v>
      </c>
      <c r="D4108" s="5" t="s">
        <v>42</v>
      </c>
      <c r="E4108" s="5" t="s">
        <v>264</v>
      </c>
      <c r="F4108" s="9" t="s">
        <v>318</v>
      </c>
      <c r="G4108" s="9" t="s">
        <v>75</v>
      </c>
      <c r="H4108" s="5" t="s">
        <v>21</v>
      </c>
      <c r="I4108" s="5" t="s">
        <v>10370</v>
      </c>
      <c r="J4108" s="12" t="str">
        <f>HYPERLINK("https://www.boe.es/gazeta/dias/1808/11/29/pdfs/GMD-C-1808-148.pdf#page=4","Abrir facsímil")</f>
        <v>Abrir facsímil</v>
      </c>
      <c r="K4108" s="15" t="s">
        <v>23</v>
      </c>
    </row>
    <row r="4109" spans="1:11" ht="42" customHeight="1">
      <c r="A4109" s="4" t="s">
        <v>10371</v>
      </c>
      <c r="B4109" s="5" t="s">
        <v>10371</v>
      </c>
      <c r="C4109" s="5" t="s">
        <v>94</v>
      </c>
      <c r="D4109" s="5" t="s">
        <v>95</v>
      </c>
      <c r="E4109" s="5" t="s">
        <v>264</v>
      </c>
      <c r="F4109" s="9" t="s">
        <v>2256</v>
      </c>
      <c r="G4109" s="9">
        <v>1565</v>
      </c>
      <c r="H4109" s="5" t="s">
        <v>21</v>
      </c>
      <c r="I4109" s="5" t="s">
        <v>10372</v>
      </c>
      <c r="J4109" s="12" t="str">
        <f>HYPERLINK("https://www.boe.es/gazeta/dias/1808/11/29/pdfs/GMD-1808-148.pdf#page=11","Abrir facsímil")</f>
        <v>Abrir facsímil</v>
      </c>
      <c r="K4109" s="15" t="s">
        <v>23</v>
      </c>
    </row>
    <row r="4110" spans="1:11" ht="42" customHeight="1">
      <c r="A4110" s="4" t="s">
        <v>10373</v>
      </c>
      <c r="B4110" s="5" t="s">
        <v>10373</v>
      </c>
      <c r="C4110" s="5" t="s">
        <v>41</v>
      </c>
      <c r="D4110" s="5" t="s">
        <v>42</v>
      </c>
      <c r="E4110" s="5" t="s">
        <v>35</v>
      </c>
      <c r="F4110" s="9" t="s">
        <v>36</v>
      </c>
      <c r="G4110" s="9" t="s">
        <v>75</v>
      </c>
      <c r="H4110" s="5" t="s">
        <v>21</v>
      </c>
      <c r="I4110" s="5" t="s">
        <v>10374</v>
      </c>
      <c r="J4110" s="12" t="str">
        <f>HYPERLINK("https://www.boe.es/gazeta/dias/1808/04/22/pdfs/GMD-C-1808-38.pdf#page=4","Abrir facsímil")</f>
        <v>Abrir facsímil</v>
      </c>
      <c r="K4110" s="15" t="s">
        <v>23</v>
      </c>
    </row>
    <row r="4111" spans="1:11" ht="42" customHeight="1">
      <c r="A4111" s="4" t="s">
        <v>10375</v>
      </c>
      <c r="B4111" s="5" t="s">
        <v>10375</v>
      </c>
      <c r="C4111" s="5" t="s">
        <v>17</v>
      </c>
      <c r="D4111" s="5" t="s">
        <v>18</v>
      </c>
      <c r="E4111" s="5" t="s">
        <v>139</v>
      </c>
      <c r="F4111" s="9" t="s">
        <v>140</v>
      </c>
      <c r="G4111" s="9">
        <v>1204</v>
      </c>
      <c r="H4111" s="5" t="s">
        <v>21</v>
      </c>
      <c r="I4111" s="5" t="s">
        <v>10376</v>
      </c>
      <c r="J4111" s="12" t="str">
        <f>HYPERLINK("https://www.boe.es/gazeta/dias/1808/09/23/pdfs/GMD-1808-127.pdf#page=12","Abrir facsímil")</f>
        <v>Abrir facsímil</v>
      </c>
      <c r="K4111" s="15" t="s">
        <v>23</v>
      </c>
    </row>
    <row r="4112" spans="1:11" ht="42" customHeight="1">
      <c r="A4112" s="4" t="s">
        <v>10377</v>
      </c>
      <c r="B4112" s="5" t="s">
        <v>10377</v>
      </c>
      <c r="C4112" s="5" t="s">
        <v>33</v>
      </c>
      <c r="D4112" s="5" t="s">
        <v>34</v>
      </c>
      <c r="E4112" s="5" t="s">
        <v>35</v>
      </c>
      <c r="F4112" s="9" t="s">
        <v>36</v>
      </c>
      <c r="G4112" s="9" t="s">
        <v>985</v>
      </c>
      <c r="H4112" s="5" t="s">
        <v>21</v>
      </c>
      <c r="I4112" s="5" t="s">
        <v>10378</v>
      </c>
      <c r="J4112" s="12" t="str">
        <f>HYPERLINK("https://www.boe.es/gazeta/dias/1808/04/22/pdfs/GMD-C-1808-38.pdf#page=39","Abrir facsímil")</f>
        <v>Abrir facsímil</v>
      </c>
      <c r="K4112" s="15" t="s">
        <v>23</v>
      </c>
    </row>
    <row r="4113" spans="1:11" ht="42" customHeight="1">
      <c r="A4113" s="4" t="s">
        <v>10379</v>
      </c>
      <c r="B4113" s="5" t="s">
        <v>10379</v>
      </c>
      <c r="C4113" s="5" t="s">
        <v>41</v>
      </c>
      <c r="D4113" s="5" t="s">
        <v>42</v>
      </c>
      <c r="E4113" s="5" t="s">
        <v>264</v>
      </c>
      <c r="F4113" s="9" t="s">
        <v>2256</v>
      </c>
      <c r="G4113" s="9">
        <v>1565</v>
      </c>
      <c r="H4113" s="5" t="s">
        <v>21</v>
      </c>
      <c r="I4113" s="5" t="s">
        <v>10380</v>
      </c>
      <c r="J4113" s="12" t="str">
        <f>HYPERLINK("https://www.boe.es/gazeta/dias/1808/11/29/pdfs/GMD-1808-148.pdf#page=11","Abrir facsímil")</f>
        <v>Abrir facsímil</v>
      </c>
      <c r="K4113" s="15" t="s">
        <v>23</v>
      </c>
    </row>
    <row r="4114" spans="1:11" ht="42" customHeight="1">
      <c r="A4114" s="4" t="s">
        <v>10381</v>
      </c>
      <c r="B4114" s="5" t="s">
        <v>10381</v>
      </c>
      <c r="C4114" s="5" t="s">
        <v>17</v>
      </c>
      <c r="D4114" s="5" t="s">
        <v>18</v>
      </c>
      <c r="E4114" s="5" t="s">
        <v>663</v>
      </c>
      <c r="F4114" s="9" t="s">
        <v>664</v>
      </c>
      <c r="G4114" s="9">
        <v>207</v>
      </c>
      <c r="H4114" s="5" t="s">
        <v>21</v>
      </c>
      <c r="I4114" s="5" t="s">
        <v>10382</v>
      </c>
      <c r="J4114" s="12" t="str">
        <f>HYPERLINK("https://www.boe.es/gazeta/dias/1808/02/26/pdfs/GMD-1808-17.pdf#page=9","Abrir facsímil")</f>
        <v>Abrir facsímil</v>
      </c>
      <c r="K4114" s="15" t="s">
        <v>23</v>
      </c>
    </row>
    <row r="4115" spans="1:11" ht="42" customHeight="1">
      <c r="A4115" s="4" t="s">
        <v>10383</v>
      </c>
      <c r="B4115" s="5" t="s">
        <v>10383</v>
      </c>
      <c r="C4115" s="5" t="s">
        <v>17</v>
      </c>
      <c r="D4115" s="5" t="s">
        <v>18</v>
      </c>
      <c r="E4115" s="5" t="s">
        <v>1385</v>
      </c>
      <c r="F4115" s="9" t="s">
        <v>1386</v>
      </c>
      <c r="G4115" s="9">
        <v>230</v>
      </c>
      <c r="H4115" s="5" t="s">
        <v>21</v>
      </c>
      <c r="I4115" s="5" t="s">
        <v>10384</v>
      </c>
      <c r="J4115" s="12" t="str">
        <f>HYPERLINK("https://www.boe.es/gazeta/dias/1808/03/04/pdfs/GMD-1808-19.pdf#page=8","Abrir facsímil")</f>
        <v>Abrir facsímil</v>
      </c>
      <c r="K4115" s="15" t="s">
        <v>23</v>
      </c>
    </row>
    <row r="4116" spans="1:11" ht="42" customHeight="1">
      <c r="A4116" s="4" t="s">
        <v>10385</v>
      </c>
      <c r="B4116" s="5" t="s">
        <v>10385</v>
      </c>
      <c r="C4116" s="5" t="s">
        <v>17</v>
      </c>
      <c r="D4116" s="5" t="s">
        <v>18</v>
      </c>
      <c r="E4116" s="5" t="s">
        <v>130</v>
      </c>
      <c r="F4116" s="9" t="s">
        <v>131</v>
      </c>
      <c r="G4116" s="9">
        <v>1602</v>
      </c>
      <c r="H4116" s="5" t="s">
        <v>21</v>
      </c>
      <c r="I4116" s="5" t="s">
        <v>10386</v>
      </c>
      <c r="J4116" s="12" t="str">
        <f>HYPERLINK("https://www.boe.es/gazeta/dias/1808/12/15/pdfs/GMD-1808-155.pdf#page=6","Abrir facsímil")</f>
        <v>Abrir facsímil</v>
      </c>
      <c r="K4116" s="15" t="s">
        <v>23</v>
      </c>
    </row>
    <row r="4117" spans="1:11" ht="42" customHeight="1">
      <c r="A4117" s="4" t="s">
        <v>10387</v>
      </c>
      <c r="B4117" s="5" t="s">
        <v>10387</v>
      </c>
      <c r="C4117" s="5" t="s">
        <v>33</v>
      </c>
      <c r="D4117" s="5" t="s">
        <v>34</v>
      </c>
      <c r="E4117" s="5" t="s">
        <v>28</v>
      </c>
      <c r="F4117" s="9" t="s">
        <v>446</v>
      </c>
      <c r="G4117" s="9" t="s">
        <v>199</v>
      </c>
      <c r="H4117" s="5" t="s">
        <v>21</v>
      </c>
      <c r="I4117" s="5" t="s">
        <v>10388</v>
      </c>
      <c r="J4117" s="12" t="str">
        <f>HYPERLINK("https://www.boe.es/gazeta/dias/1808/11/04/pdfs/GMD-D-1808-141.pdf#page=2","Abrir facsímil")</f>
        <v>Abrir facsímil</v>
      </c>
      <c r="K4117" s="15" t="s">
        <v>23</v>
      </c>
    </row>
    <row r="4118" spans="1:11" ht="42" customHeight="1">
      <c r="A4118" s="4" t="s">
        <v>10389</v>
      </c>
      <c r="B4118" s="5" t="s">
        <v>10389</v>
      </c>
      <c r="C4118" s="5" t="s">
        <v>33</v>
      </c>
      <c r="D4118" s="5" t="s">
        <v>34</v>
      </c>
      <c r="E4118" s="5" t="s">
        <v>68</v>
      </c>
      <c r="F4118" s="9" t="s">
        <v>309</v>
      </c>
      <c r="G4118" s="9" t="s">
        <v>199</v>
      </c>
      <c r="H4118" s="5" t="s">
        <v>21</v>
      </c>
      <c r="I4118" s="5" t="s">
        <v>10390</v>
      </c>
      <c r="J4118" s="12" t="str">
        <f>HYPERLINK("https://www.boe.es/gazeta/dias/1808/10/21/pdfs/GMD-D-1808-136.pdf#page=2","Abrir facsímil")</f>
        <v>Abrir facsímil</v>
      </c>
      <c r="K4118" s="15" t="s">
        <v>23</v>
      </c>
    </row>
    <row r="4119" spans="1:11" ht="42" customHeight="1">
      <c r="A4119" s="4" t="s">
        <v>10391</v>
      </c>
      <c r="B4119" s="5" t="s">
        <v>10391</v>
      </c>
      <c r="C4119" s="5" t="s">
        <v>17</v>
      </c>
      <c r="D4119" s="5" t="s">
        <v>18</v>
      </c>
      <c r="E4119" s="5" t="s">
        <v>51</v>
      </c>
      <c r="F4119" s="9" t="s">
        <v>1366</v>
      </c>
      <c r="G4119" s="9">
        <v>162</v>
      </c>
      <c r="H4119" s="5" t="s">
        <v>21</v>
      </c>
      <c r="I4119" s="5" t="s">
        <v>10392</v>
      </c>
      <c r="J4119" s="12" t="str">
        <f>HYPERLINK("https://www.boe.es/gazeta/dias/1808/08/09/pdfs/GMS-1808-21.pdf#page=2","Abrir facsímil")</f>
        <v>Abrir facsímil</v>
      </c>
      <c r="K4119" s="15" t="s">
        <v>23</v>
      </c>
    </row>
    <row r="4120" spans="1:11" ht="42" customHeight="1">
      <c r="A4120" s="4" t="s">
        <v>10393</v>
      </c>
      <c r="B4120" s="5" t="s">
        <v>10393</v>
      </c>
      <c r="C4120" s="5" t="s">
        <v>94</v>
      </c>
      <c r="D4120" s="5" t="s">
        <v>95</v>
      </c>
      <c r="E4120" s="5" t="s">
        <v>553</v>
      </c>
      <c r="F4120" s="9" t="s">
        <v>3282</v>
      </c>
      <c r="G4120" s="9">
        <v>131</v>
      </c>
      <c r="H4120" s="5" t="s">
        <v>21</v>
      </c>
      <c r="I4120" s="5" t="s">
        <v>10394</v>
      </c>
      <c r="J4120" s="12" t="str">
        <f>HYPERLINK("https://www.boe.es/gazeta/dias/1808/07/27/pdfs/GMS-1808-17.pdf#page=3","Abrir facsímil")</f>
        <v>Abrir facsímil</v>
      </c>
      <c r="K4120" s="15" t="s">
        <v>23</v>
      </c>
    </row>
    <row r="4121" spans="1:11" ht="42" customHeight="1">
      <c r="A4121" s="4" t="s">
        <v>10395</v>
      </c>
      <c r="B4121" s="5" t="s">
        <v>10395</v>
      </c>
      <c r="C4121" s="5" t="s">
        <v>101</v>
      </c>
      <c r="D4121" s="5" t="s">
        <v>102</v>
      </c>
      <c r="E4121" s="5" t="s">
        <v>516</v>
      </c>
      <c r="F4121" s="9" t="s">
        <v>517</v>
      </c>
      <c r="G4121" s="9">
        <v>599</v>
      </c>
      <c r="H4121" s="5" t="s">
        <v>21</v>
      </c>
      <c r="I4121" s="5" t="s">
        <v>10396</v>
      </c>
      <c r="J4121" s="12" t="str">
        <f>HYPERLINK("https://www.boe.es/gazeta/dias/1808/06/19/pdfs/GMD-1808-61.pdf#page=5","Abrir facsímil")</f>
        <v>Abrir facsímil</v>
      </c>
      <c r="K4121" s="15" t="s">
        <v>23</v>
      </c>
    </row>
    <row r="4122" spans="1:11" ht="42" customHeight="1">
      <c r="A4122" s="4" t="s">
        <v>10395</v>
      </c>
      <c r="B4122" s="5" t="s">
        <v>10395</v>
      </c>
      <c r="C4122" s="5" t="s">
        <v>17</v>
      </c>
      <c r="D4122" s="5" t="s">
        <v>18</v>
      </c>
      <c r="E4122" s="5" t="s">
        <v>804</v>
      </c>
      <c r="F4122" s="9" t="s">
        <v>3116</v>
      </c>
      <c r="G4122" s="9">
        <v>155</v>
      </c>
      <c r="H4122" s="5" t="s">
        <v>21</v>
      </c>
      <c r="I4122" s="5" t="s">
        <v>10397</v>
      </c>
      <c r="J4122" s="12" t="str">
        <f>HYPERLINK("https://www.boe.es/gazeta/dias/1808/08/05/pdfs/GMS-1808-20.pdf#page=3","Abrir facsímil")</f>
        <v>Abrir facsímil</v>
      </c>
      <c r="K4122" s="15" t="s">
        <v>23</v>
      </c>
    </row>
    <row r="4123" spans="1:11" ht="42" customHeight="1">
      <c r="A4123" s="4" t="s">
        <v>10395</v>
      </c>
      <c r="B4123" s="5" t="s">
        <v>10395</v>
      </c>
      <c r="C4123" s="5" t="s">
        <v>17</v>
      </c>
      <c r="D4123" s="5" t="s">
        <v>18</v>
      </c>
      <c r="E4123" s="5" t="s">
        <v>287</v>
      </c>
      <c r="F4123" s="9" t="s">
        <v>288</v>
      </c>
      <c r="G4123" s="9">
        <v>171</v>
      </c>
      <c r="H4123" s="5" t="s">
        <v>21</v>
      </c>
      <c r="I4123" s="5" t="s">
        <v>10398</v>
      </c>
      <c r="J4123" s="12" t="str">
        <f>HYPERLINK("https://www.boe.es/gazeta/dias/1808/08/12/pdfs/GMS-1808-22.pdf#page=3","Abrir facsímil")</f>
        <v>Abrir facsímil</v>
      </c>
      <c r="K4123" s="15" t="s">
        <v>23</v>
      </c>
    </row>
    <row r="4124" spans="1:11" ht="42" customHeight="1">
      <c r="A4124" s="4" t="s">
        <v>10395</v>
      </c>
      <c r="B4124" s="5" t="s">
        <v>10395</v>
      </c>
      <c r="C4124" s="5" t="s">
        <v>94</v>
      </c>
      <c r="D4124" s="5" t="s">
        <v>95</v>
      </c>
      <c r="E4124" s="5" t="s">
        <v>616</v>
      </c>
      <c r="F4124" s="9" t="s">
        <v>8009</v>
      </c>
      <c r="G4124" s="9">
        <v>186</v>
      </c>
      <c r="H4124" s="5" t="s">
        <v>21</v>
      </c>
      <c r="I4124" s="5" t="s">
        <v>10399</v>
      </c>
      <c r="J4124" s="12" t="str">
        <f>HYPERLINK("https://www.boe.es/gazeta/dias/1808/08/19/pdfs/GMS-1808-24.pdf#page=2","Abrir facsímil")</f>
        <v>Abrir facsímil</v>
      </c>
      <c r="K4124" s="15" t="s">
        <v>23</v>
      </c>
    </row>
    <row r="4125" spans="1:11" ht="42" customHeight="1">
      <c r="A4125" s="4" t="s">
        <v>10395</v>
      </c>
      <c r="B4125" s="5" t="s">
        <v>10395</v>
      </c>
      <c r="C4125" s="5" t="s">
        <v>101</v>
      </c>
      <c r="D4125" s="5" t="s">
        <v>102</v>
      </c>
      <c r="E4125" s="5" t="s">
        <v>290</v>
      </c>
      <c r="F4125" s="9" t="s">
        <v>291</v>
      </c>
      <c r="G4125" s="9">
        <v>1055</v>
      </c>
      <c r="H4125" s="5" t="s">
        <v>21</v>
      </c>
      <c r="I4125" s="5" t="s">
        <v>10400</v>
      </c>
      <c r="J4125" s="12" t="str">
        <f>HYPERLINK("https://www.boe.es/gazeta/dias/1808/08/23/pdfs/GMD-1808-116.pdf#page=1","Abrir facsímil")</f>
        <v>Abrir facsímil</v>
      </c>
      <c r="K4125" s="15" t="s">
        <v>23</v>
      </c>
    </row>
    <row r="4126" spans="1:11" ht="42" customHeight="1">
      <c r="A4126" s="4" t="s">
        <v>10395</v>
      </c>
      <c r="B4126" s="5" t="s">
        <v>10395</v>
      </c>
      <c r="C4126" s="5" t="s">
        <v>17</v>
      </c>
      <c r="D4126" s="5" t="s">
        <v>18</v>
      </c>
      <c r="E4126" s="5" t="s">
        <v>110</v>
      </c>
      <c r="F4126" s="9" t="s">
        <v>3788</v>
      </c>
      <c r="G4126" s="9">
        <v>347</v>
      </c>
      <c r="H4126" s="5" t="s">
        <v>21</v>
      </c>
      <c r="I4126" s="5" t="s">
        <v>10401</v>
      </c>
      <c r="J4126" s="12" t="str">
        <f>HYPERLINK("https://www.boe.es/gazeta/dias/1808/10/28/pdfs/GMS-1808-44.pdf#page=3","Abrir facsímil")</f>
        <v>Abrir facsímil</v>
      </c>
      <c r="K4126" s="15" t="s">
        <v>23</v>
      </c>
    </row>
    <row r="4127" spans="1:11" ht="42" customHeight="1">
      <c r="A4127" s="4" t="s">
        <v>10402</v>
      </c>
      <c r="B4127" s="5" t="s">
        <v>10402</v>
      </c>
      <c r="C4127" s="5" t="s">
        <v>94</v>
      </c>
      <c r="D4127" s="5" t="s">
        <v>95</v>
      </c>
      <c r="E4127" s="5" t="s">
        <v>1361</v>
      </c>
      <c r="F4127" s="9" t="s">
        <v>1362</v>
      </c>
      <c r="G4127" s="9">
        <v>467</v>
      </c>
      <c r="H4127" s="5" t="s">
        <v>21</v>
      </c>
      <c r="I4127" s="5" t="s">
        <v>10403</v>
      </c>
      <c r="J4127" s="12" t="str">
        <f>HYPERLINK("https://www.boe.es/gazeta/dias/1808/05/17/pdfs/GMD-1808-47.pdf#page=7","Abrir facsímil")</f>
        <v>Abrir facsímil</v>
      </c>
      <c r="K4127" s="15" t="s">
        <v>23</v>
      </c>
    </row>
    <row r="4128" spans="1:11" ht="42" customHeight="1">
      <c r="A4128" s="4" t="s">
        <v>10404</v>
      </c>
      <c r="B4128" s="5" t="s">
        <v>10404</v>
      </c>
      <c r="C4128" s="5" t="s">
        <v>17</v>
      </c>
      <c r="D4128" s="5" t="s">
        <v>18</v>
      </c>
      <c r="E4128" s="5" t="s">
        <v>539</v>
      </c>
      <c r="F4128" s="9" t="s">
        <v>540</v>
      </c>
      <c r="G4128" s="9">
        <v>1109</v>
      </c>
      <c r="H4128" s="5" t="s">
        <v>21</v>
      </c>
      <c r="I4128" s="5" t="s">
        <v>10405</v>
      </c>
      <c r="J4128" s="12" t="str">
        <f>HYPERLINK("https://www.boe.es/gazeta/dias/1808/09/02/pdfs/GMD-1808-119.pdf#page=3","Abrir facsímil")</f>
        <v>Abrir facsímil</v>
      </c>
      <c r="K4128" s="15" t="s">
        <v>23</v>
      </c>
    </row>
    <row r="4129" spans="1:11" ht="42" customHeight="1">
      <c r="A4129" s="4" t="s">
        <v>10406</v>
      </c>
      <c r="B4129" s="5" t="s">
        <v>10406</v>
      </c>
      <c r="C4129" s="5" t="s">
        <v>17</v>
      </c>
      <c r="D4129" s="5" t="s">
        <v>18</v>
      </c>
      <c r="E4129" s="5" t="s">
        <v>461</v>
      </c>
      <c r="F4129" s="9" t="s">
        <v>733</v>
      </c>
      <c r="G4129" s="9">
        <v>1448</v>
      </c>
      <c r="H4129" s="5" t="s">
        <v>21</v>
      </c>
      <c r="I4129" s="5" t="s">
        <v>10407</v>
      </c>
      <c r="J4129" s="12" t="str">
        <f>HYPERLINK("https://www.boe.es/gazeta/dias/1808/11/08/pdfs/GMD-1808-142.pdf#page=10","Abrir facsímil")</f>
        <v>Abrir facsímil</v>
      </c>
      <c r="K4129" s="15" t="s">
        <v>23</v>
      </c>
    </row>
    <row r="4130" spans="1:11" ht="42" customHeight="1">
      <c r="A4130" s="4" t="s">
        <v>10408</v>
      </c>
      <c r="B4130" s="5" t="s">
        <v>10408</v>
      </c>
      <c r="C4130" s="5" t="s">
        <v>33</v>
      </c>
      <c r="D4130" s="5" t="s">
        <v>34</v>
      </c>
      <c r="E4130" s="5" t="s">
        <v>35</v>
      </c>
      <c r="F4130" s="9" t="s">
        <v>36</v>
      </c>
      <c r="G4130" s="9" t="s">
        <v>279</v>
      </c>
      <c r="H4130" s="5" t="s">
        <v>21</v>
      </c>
      <c r="I4130" s="5" t="s">
        <v>10409</v>
      </c>
      <c r="J4130" s="12" t="str">
        <f>HYPERLINK("https://www.boe.es/gazeta/dias/1808/04/22/pdfs/GMD-C-1808-38.pdf#page=44","Abrir facsímil")</f>
        <v>Abrir facsímil</v>
      </c>
      <c r="K4130" s="15" t="s">
        <v>23</v>
      </c>
    </row>
    <row r="4131" spans="1:11" ht="42" customHeight="1">
      <c r="A4131" s="4" t="s">
        <v>10410</v>
      </c>
      <c r="B4131" s="5" t="s">
        <v>10410</v>
      </c>
      <c r="C4131" s="5" t="s">
        <v>101</v>
      </c>
      <c r="D4131" s="5" t="s">
        <v>102</v>
      </c>
      <c r="E4131" s="5" t="s">
        <v>493</v>
      </c>
      <c r="F4131" s="9" t="s">
        <v>494</v>
      </c>
      <c r="G4131" s="9">
        <v>40</v>
      </c>
      <c r="H4131" s="5" t="s">
        <v>21</v>
      </c>
      <c r="I4131" s="5" t="s">
        <v>10411</v>
      </c>
      <c r="J4131" s="12" t="str">
        <f>HYPERLINK("https://www.boe.es/gazeta/dias/1808/01/12/pdfs/GMD-1808-4.pdf#page=4","Abrir facsímil")</f>
        <v>Abrir facsímil</v>
      </c>
      <c r="K4131" s="15" t="s">
        <v>23</v>
      </c>
    </row>
    <row r="4132" spans="1:11" ht="42" customHeight="1">
      <c r="A4132" s="4" t="s">
        <v>10412</v>
      </c>
      <c r="B4132" s="5" t="s">
        <v>10413</v>
      </c>
      <c r="C4132" s="5" t="s">
        <v>17</v>
      </c>
      <c r="D4132" s="5" t="s">
        <v>18</v>
      </c>
      <c r="E4132" s="5" t="s">
        <v>269</v>
      </c>
      <c r="F4132" s="9" t="s">
        <v>270</v>
      </c>
      <c r="G4132" s="9">
        <v>69</v>
      </c>
      <c r="H4132" s="5" t="s">
        <v>21</v>
      </c>
      <c r="I4132" s="5" t="s">
        <v>10414</v>
      </c>
      <c r="J4132" s="12" t="str">
        <f>HYPERLINK("https://www.boe.es/gazeta/dias/1808/01/19/pdfs/GMD-1808-6.pdf#page=9","Abrir facsímil")</f>
        <v>Abrir facsímil</v>
      </c>
      <c r="K4132" s="15" t="s">
        <v>23</v>
      </c>
    </row>
    <row r="4133" spans="1:11" ht="42" customHeight="1">
      <c r="A4133" s="4" t="s">
        <v>10412</v>
      </c>
      <c r="B4133" s="5" t="s">
        <v>10413</v>
      </c>
      <c r="C4133" s="5" t="s">
        <v>94</v>
      </c>
      <c r="D4133" s="5" t="s">
        <v>95</v>
      </c>
      <c r="E4133" s="5" t="s">
        <v>290</v>
      </c>
      <c r="F4133" s="9" t="s">
        <v>3150</v>
      </c>
      <c r="G4133" s="9">
        <v>198</v>
      </c>
      <c r="H4133" s="5" t="s">
        <v>21</v>
      </c>
      <c r="I4133" s="5" t="s">
        <v>10415</v>
      </c>
      <c r="J4133" s="12" t="str">
        <f>HYPERLINK("https://www.boe.es/gazeta/dias/1808/08/23/pdfs/GMS-1808-25.pdf#page=6","Abrir facsímil")</f>
        <v>Abrir facsímil</v>
      </c>
      <c r="K4133" s="15" t="s">
        <v>23</v>
      </c>
    </row>
    <row r="4134" spans="1:11" ht="42" customHeight="1">
      <c r="A4134" s="4" t="s">
        <v>10412</v>
      </c>
      <c r="B4134" s="5" t="s">
        <v>10413</v>
      </c>
      <c r="C4134" s="5" t="s">
        <v>17</v>
      </c>
      <c r="D4134" s="5" t="s">
        <v>18</v>
      </c>
      <c r="E4134" s="5" t="s">
        <v>54</v>
      </c>
      <c r="F4134" s="9" t="s">
        <v>55</v>
      </c>
      <c r="G4134" s="9">
        <v>1083</v>
      </c>
      <c r="H4134" s="5" t="s">
        <v>21</v>
      </c>
      <c r="I4134" s="5" t="s">
        <v>10416</v>
      </c>
      <c r="J4134" s="12" t="str">
        <f>HYPERLINK("https://www.boe.es/gazeta/dias/1808/08/26/pdfs/GMD-1808-117.pdf#page=5","Abrir facsímil")</f>
        <v>Abrir facsímil</v>
      </c>
      <c r="K4134" s="15" t="s">
        <v>23</v>
      </c>
    </row>
    <row r="4135" spans="1:11" ht="42" customHeight="1">
      <c r="A4135" s="4" t="s">
        <v>10417</v>
      </c>
      <c r="B4135" s="5" t="s">
        <v>10417</v>
      </c>
      <c r="C4135" s="5" t="s">
        <v>101</v>
      </c>
      <c r="D4135" s="5" t="s">
        <v>102</v>
      </c>
      <c r="E4135" s="5" t="s">
        <v>1361</v>
      </c>
      <c r="F4135" s="9" t="s">
        <v>1362</v>
      </c>
      <c r="G4135" s="9">
        <v>465</v>
      </c>
      <c r="H4135" s="5" t="s">
        <v>21</v>
      </c>
      <c r="I4135" s="5" t="s">
        <v>10418</v>
      </c>
      <c r="J4135" s="12" t="str">
        <f>HYPERLINK("https://www.boe.es/gazeta/dias/1808/05/17/pdfs/GMD-1808-47.pdf#page=5","Abrir facsímil")</f>
        <v>Abrir facsímil</v>
      </c>
      <c r="K4135" s="15" t="s">
        <v>23</v>
      </c>
    </row>
    <row r="4136" spans="1:11" ht="42" customHeight="1">
      <c r="A4136" s="4" t="s">
        <v>10419</v>
      </c>
      <c r="B4136" s="5" t="s">
        <v>10419</v>
      </c>
      <c r="C4136" s="5" t="s">
        <v>94</v>
      </c>
      <c r="D4136" s="5" t="s">
        <v>95</v>
      </c>
      <c r="E4136" s="5" t="s">
        <v>1351</v>
      </c>
      <c r="F4136" s="9" t="s">
        <v>1352</v>
      </c>
      <c r="G4136" s="9">
        <v>1655</v>
      </c>
      <c r="H4136" s="5" t="s">
        <v>21</v>
      </c>
      <c r="I4136" s="5" t="s">
        <v>10420</v>
      </c>
      <c r="J4136" s="12" t="str">
        <f>HYPERLINK("https://www.boe.es/gazeta/dias/1808/12/22/pdfs/GMD-1808-162.pdf#page=1","Abrir facsímil")</f>
        <v>Abrir facsímil</v>
      </c>
      <c r="K4136" s="15" t="s">
        <v>23</v>
      </c>
    </row>
    <row r="4137" spans="1:11" ht="42" customHeight="1">
      <c r="A4137" s="4" t="s">
        <v>10421</v>
      </c>
      <c r="B4137" s="5" t="s">
        <v>10421</v>
      </c>
      <c r="C4137" s="5" t="s">
        <v>41</v>
      </c>
      <c r="D4137" s="5" t="s">
        <v>42</v>
      </c>
      <c r="E4137" s="5" t="s">
        <v>461</v>
      </c>
      <c r="F4137" s="9" t="s">
        <v>462</v>
      </c>
      <c r="G4137" s="9" t="s">
        <v>199</v>
      </c>
      <c r="H4137" s="5" t="s">
        <v>21</v>
      </c>
      <c r="I4137" s="5" t="s">
        <v>10422</v>
      </c>
      <c r="J4137" s="12" t="str">
        <f>HYPERLINK("https://www.boe.es/gazeta/dias/1808/11/08/pdfs/GMD-D-1808-142.pdf#page=2","Abrir facsímil")</f>
        <v>Abrir facsímil</v>
      </c>
      <c r="K4137" s="15" t="s">
        <v>23</v>
      </c>
    </row>
    <row r="4138" spans="1:11" ht="42" customHeight="1">
      <c r="A4138" s="4" t="s">
        <v>10423</v>
      </c>
      <c r="B4138" s="5" t="s">
        <v>10423</v>
      </c>
      <c r="C4138" s="5" t="s">
        <v>94</v>
      </c>
      <c r="D4138" s="5" t="s">
        <v>95</v>
      </c>
      <c r="E4138" s="5" t="s">
        <v>469</v>
      </c>
      <c r="F4138" s="9" t="s">
        <v>470</v>
      </c>
      <c r="G4138" s="9">
        <v>153</v>
      </c>
      <c r="H4138" s="5" t="s">
        <v>21</v>
      </c>
      <c r="I4138" s="5" t="s">
        <v>10424</v>
      </c>
      <c r="J4138" s="12" t="str">
        <f>HYPERLINK("https://www.boe.es/gazeta/dias/1808/02/12/pdfs/GMD-1808-13.pdf#page=9","Abrir facsímil")</f>
        <v>Abrir facsímil</v>
      </c>
      <c r="K4138" s="15" t="s">
        <v>23</v>
      </c>
    </row>
    <row r="4139" spans="1:11" ht="42" customHeight="1">
      <c r="A4139" s="4" t="s">
        <v>10425</v>
      </c>
      <c r="B4139" s="5" t="s">
        <v>10425</v>
      </c>
      <c r="C4139" s="5" t="s">
        <v>17</v>
      </c>
      <c r="D4139" s="5" t="s">
        <v>18</v>
      </c>
      <c r="E4139" s="5" t="s">
        <v>290</v>
      </c>
      <c r="F4139" s="9" t="s">
        <v>3150</v>
      </c>
      <c r="G4139" s="9">
        <v>199</v>
      </c>
      <c r="H4139" s="5" t="s">
        <v>21</v>
      </c>
      <c r="I4139" s="5" t="s">
        <v>10426</v>
      </c>
      <c r="J4139" s="12" t="str">
        <f>HYPERLINK("https://www.boe.es/gazeta/dias/1808/08/23/pdfs/GMS-1808-25.pdf#page=7","Abrir facsímil")</f>
        <v>Abrir facsímil</v>
      </c>
      <c r="K4139" s="15" t="s">
        <v>23</v>
      </c>
    </row>
    <row r="4140" spans="1:11" ht="42" customHeight="1">
      <c r="A4140" s="4" t="s">
        <v>10427</v>
      </c>
      <c r="B4140" s="5" t="s">
        <v>10428</v>
      </c>
      <c r="C4140" s="5" t="s">
        <v>94</v>
      </c>
      <c r="D4140" s="5" t="s">
        <v>95</v>
      </c>
      <c r="E4140" s="5" t="s">
        <v>207</v>
      </c>
      <c r="F4140" s="9" t="s">
        <v>208</v>
      </c>
      <c r="G4140" s="9">
        <v>196</v>
      </c>
      <c r="H4140" s="5" t="s">
        <v>21</v>
      </c>
      <c r="I4140" s="5" t="s">
        <v>10429</v>
      </c>
      <c r="J4140" s="12" t="str">
        <f>HYPERLINK("https://www.boe.es/gazeta/dias/1808/02/23/pdfs/GMD-1808-16.pdf#page=10","Abrir facsímil")</f>
        <v>Abrir facsímil</v>
      </c>
      <c r="K4140" s="15" t="s">
        <v>23</v>
      </c>
    </row>
    <row r="4141" spans="1:11" ht="42" customHeight="1">
      <c r="A4141" s="4" t="s">
        <v>10430</v>
      </c>
      <c r="B4141" s="5" t="s">
        <v>10430</v>
      </c>
      <c r="C4141" s="5" t="s">
        <v>389</v>
      </c>
      <c r="D4141" s="5" t="s">
        <v>390</v>
      </c>
      <c r="E4141" s="5" t="s">
        <v>8354</v>
      </c>
      <c r="F4141" s="9" t="s">
        <v>8355</v>
      </c>
      <c r="G4141" s="9">
        <v>805</v>
      </c>
      <c r="H4141" s="5" t="s">
        <v>21</v>
      </c>
      <c r="I4141" s="5" t="s">
        <v>10431</v>
      </c>
      <c r="J4141" s="12" t="str">
        <f>HYPERLINK("https://www.boe.es/gazeta/dias/1808/07/14/pdfs/GMD-1808-86.pdf#page=7","Abrir facsímil")</f>
        <v>Abrir facsímil</v>
      </c>
      <c r="K4141" s="15" t="s">
        <v>23</v>
      </c>
    </row>
    <row r="4142" spans="1:11" ht="42" customHeight="1">
      <c r="A4142" s="4" t="s">
        <v>10432</v>
      </c>
      <c r="B4142" s="5" t="s">
        <v>10432</v>
      </c>
      <c r="C4142" s="5" t="s">
        <v>33</v>
      </c>
      <c r="D4142" s="5" t="s">
        <v>34</v>
      </c>
      <c r="E4142" s="5" t="s">
        <v>508</v>
      </c>
      <c r="F4142" s="9" t="s">
        <v>1561</v>
      </c>
      <c r="G4142" s="9">
        <v>1023</v>
      </c>
      <c r="H4142" s="5" t="s">
        <v>21</v>
      </c>
      <c r="I4142" s="5" t="s">
        <v>10433</v>
      </c>
      <c r="J4142" s="12" t="str">
        <f>HYPERLINK("https://www.boe.es/gazeta/dias/1808/08/16/pdfs/GMD-C-1808-113.pdf#page=3","Abrir facsímil")</f>
        <v>Abrir facsímil</v>
      </c>
      <c r="K4142" s="15" t="s">
        <v>23</v>
      </c>
    </row>
    <row r="4143" spans="1:11" ht="42" customHeight="1">
      <c r="A4143" s="4" t="s">
        <v>10434</v>
      </c>
      <c r="B4143" s="5" t="s">
        <v>10434</v>
      </c>
      <c r="C4143" s="5" t="s">
        <v>33</v>
      </c>
      <c r="D4143" s="5" t="s">
        <v>34</v>
      </c>
      <c r="E4143" s="5" t="s">
        <v>35</v>
      </c>
      <c r="F4143" s="9" t="s">
        <v>36</v>
      </c>
      <c r="G4143" s="9" t="s">
        <v>47</v>
      </c>
      <c r="H4143" s="5" t="s">
        <v>21</v>
      </c>
      <c r="I4143" s="5" t="s">
        <v>10435</v>
      </c>
      <c r="J4143" s="12" t="str">
        <f>HYPERLINK("https://www.boe.es/gazeta/dias/1808/04/22/pdfs/GMD-C-1808-38.pdf#page=13","Abrir facsímil")</f>
        <v>Abrir facsímil</v>
      </c>
      <c r="K4143" s="15" t="s">
        <v>23</v>
      </c>
    </row>
    <row r="4144" spans="1:11" ht="42" customHeight="1">
      <c r="A4144" s="4" t="s">
        <v>10434</v>
      </c>
      <c r="B4144" s="5" t="s">
        <v>10434</v>
      </c>
      <c r="C4144" s="5" t="s">
        <v>33</v>
      </c>
      <c r="D4144" s="5" t="s">
        <v>34</v>
      </c>
      <c r="E4144" s="5" t="s">
        <v>35</v>
      </c>
      <c r="F4144" s="9" t="s">
        <v>36</v>
      </c>
      <c r="G4144" s="9" t="s">
        <v>443</v>
      </c>
      <c r="H4144" s="5" t="s">
        <v>21</v>
      </c>
      <c r="I4144" s="5" t="s">
        <v>10436</v>
      </c>
      <c r="J4144" s="12" t="str">
        <f>HYPERLINK("https://www.boe.es/gazeta/dias/1808/04/22/pdfs/GMD-C-1808-38.pdf#page=16","Abrir facsímil")</f>
        <v>Abrir facsímil</v>
      </c>
      <c r="K4144" s="15" t="s">
        <v>23</v>
      </c>
    </row>
    <row r="4145" spans="1:11" ht="42" customHeight="1">
      <c r="A4145" s="4" t="s">
        <v>10434</v>
      </c>
      <c r="B4145" s="5" t="s">
        <v>10434</v>
      </c>
      <c r="C4145" s="5" t="s">
        <v>33</v>
      </c>
      <c r="D4145" s="5" t="s">
        <v>34</v>
      </c>
      <c r="E4145" s="5" t="s">
        <v>35</v>
      </c>
      <c r="F4145" s="9" t="s">
        <v>36</v>
      </c>
      <c r="G4145" s="9" t="s">
        <v>324</v>
      </c>
      <c r="H4145" s="5" t="s">
        <v>21</v>
      </c>
      <c r="I4145" s="5" t="s">
        <v>10437</v>
      </c>
      <c r="J4145" s="12" t="str">
        <f>HYPERLINK("https://www.boe.es/gazeta/dias/1808/04/22/pdfs/GMD-C-1808-38.pdf#page=24","Abrir facsímil")</f>
        <v>Abrir facsímil</v>
      </c>
      <c r="K4145" s="15" t="s">
        <v>23</v>
      </c>
    </row>
    <row r="4146" spans="1:11" ht="42" customHeight="1">
      <c r="A4146" s="4" t="s">
        <v>10434</v>
      </c>
      <c r="B4146" s="5" t="s">
        <v>10434</v>
      </c>
      <c r="C4146" s="5" t="s">
        <v>33</v>
      </c>
      <c r="D4146" s="5" t="s">
        <v>34</v>
      </c>
      <c r="E4146" s="5" t="s">
        <v>35</v>
      </c>
      <c r="F4146" s="9" t="s">
        <v>36</v>
      </c>
      <c r="G4146" s="9" t="s">
        <v>655</v>
      </c>
      <c r="H4146" s="5" t="s">
        <v>21</v>
      </c>
      <c r="I4146" s="5" t="s">
        <v>10438</v>
      </c>
      <c r="J4146" s="12" t="str">
        <f>HYPERLINK("https://www.boe.es/gazeta/dias/1808/04/22/pdfs/GMD-C-1808-38.pdf#page=43","Abrir facsímil")</f>
        <v>Abrir facsímil</v>
      </c>
      <c r="K4146" s="15" t="s">
        <v>23</v>
      </c>
    </row>
    <row r="4147" spans="1:11" ht="42" customHeight="1">
      <c r="A4147" s="4" t="s">
        <v>10439</v>
      </c>
      <c r="B4147" s="5" t="s">
        <v>10439</v>
      </c>
      <c r="C4147" s="5" t="s">
        <v>41</v>
      </c>
      <c r="D4147" s="5" t="s">
        <v>42</v>
      </c>
      <c r="E4147" s="5" t="s">
        <v>65</v>
      </c>
      <c r="F4147" s="9" t="s">
        <v>66</v>
      </c>
      <c r="G4147" s="9">
        <v>1310</v>
      </c>
      <c r="H4147" s="5" t="s">
        <v>21</v>
      </c>
      <c r="I4147" s="5" t="s">
        <v>10440</v>
      </c>
      <c r="J4147" s="12" t="str">
        <f>HYPERLINK("https://www.boe.es/gazeta/dias/1808/10/18/pdfs/GMD-1808-135.pdf#page=10","Abrir facsímil")</f>
        <v>Abrir facsímil</v>
      </c>
      <c r="K4147" s="15" t="s">
        <v>23</v>
      </c>
    </row>
    <row r="4148" spans="1:11" ht="42" customHeight="1">
      <c r="A4148" s="4" t="s">
        <v>10441</v>
      </c>
      <c r="B4148" s="5" t="s">
        <v>10441</v>
      </c>
      <c r="C4148" s="5" t="s">
        <v>17</v>
      </c>
      <c r="D4148" s="5" t="s">
        <v>18</v>
      </c>
      <c r="E4148" s="5" t="s">
        <v>215</v>
      </c>
      <c r="F4148" s="9" t="s">
        <v>216</v>
      </c>
      <c r="G4148" s="9">
        <v>300</v>
      </c>
      <c r="H4148" s="5" t="s">
        <v>21</v>
      </c>
      <c r="I4148" s="5" t="s">
        <v>10442</v>
      </c>
      <c r="J4148" s="12" t="str">
        <f>HYPERLINK("https://www.boe.es/gazeta/dias/1808/03/25/pdfs/GMD-1808-25.pdf#page=10","Abrir facsímil")</f>
        <v>Abrir facsímil</v>
      </c>
      <c r="K4148" s="15" t="s">
        <v>23</v>
      </c>
    </row>
    <row r="4149" spans="1:11" ht="42" customHeight="1">
      <c r="A4149" s="4" t="s">
        <v>10443</v>
      </c>
      <c r="B4149" s="5" t="s">
        <v>10443</v>
      </c>
      <c r="C4149" s="5" t="s">
        <v>33</v>
      </c>
      <c r="D4149" s="5" t="s">
        <v>34</v>
      </c>
      <c r="E4149" s="5" t="s">
        <v>35</v>
      </c>
      <c r="F4149" s="9" t="s">
        <v>36</v>
      </c>
      <c r="G4149" s="9" t="s">
        <v>655</v>
      </c>
      <c r="H4149" s="5" t="s">
        <v>21</v>
      </c>
      <c r="I4149" s="5" t="s">
        <v>10444</v>
      </c>
      <c r="J4149" s="12" t="str">
        <f>HYPERLINK("https://www.boe.es/gazeta/dias/1808/04/22/pdfs/GMD-C-1808-38.pdf#page=43","Abrir facsímil")</f>
        <v>Abrir facsímil</v>
      </c>
      <c r="K4149" s="15" t="s">
        <v>23</v>
      </c>
    </row>
    <row r="4150" spans="1:11" ht="42" customHeight="1">
      <c r="A4150" s="4" t="s">
        <v>10445</v>
      </c>
      <c r="B4150" s="5" t="s">
        <v>10445</v>
      </c>
      <c r="C4150" s="5" t="s">
        <v>33</v>
      </c>
      <c r="D4150" s="5" t="s">
        <v>34</v>
      </c>
      <c r="E4150" s="5" t="s">
        <v>153</v>
      </c>
      <c r="F4150" s="9" t="s">
        <v>154</v>
      </c>
      <c r="G4150" s="9" t="s">
        <v>106</v>
      </c>
      <c r="H4150" s="5" t="s">
        <v>21</v>
      </c>
      <c r="I4150" s="5" t="s">
        <v>10446</v>
      </c>
      <c r="J4150" s="12" t="str">
        <f>HYPERLINK("https://www.boe.es/gazeta/dias/1808/09/09/pdfs/GMD-C-1808-121.pdf#page=3","Abrir facsímil")</f>
        <v>Abrir facsímil</v>
      </c>
      <c r="K4150" s="15" t="s">
        <v>23</v>
      </c>
    </row>
    <row r="4151" spans="1:11" ht="42" customHeight="1">
      <c r="A4151" s="4" t="s">
        <v>10447</v>
      </c>
      <c r="B4151" s="5" t="s">
        <v>10447</v>
      </c>
      <c r="C4151" s="5" t="s">
        <v>94</v>
      </c>
      <c r="D4151" s="5" t="s">
        <v>95</v>
      </c>
      <c r="E4151" s="5" t="s">
        <v>68</v>
      </c>
      <c r="F4151" s="9" t="s">
        <v>849</v>
      </c>
      <c r="G4151" s="9">
        <v>1344</v>
      </c>
      <c r="H4151" s="5" t="s">
        <v>21</v>
      </c>
      <c r="I4151" s="5" t="s">
        <v>10448</v>
      </c>
      <c r="J4151" s="12" t="str">
        <f>HYPERLINK("https://www.boe.es/gazeta/dias/1808/10/21/pdfs/GMD-C-1808-136.pdf#page=4","Abrir facsímil")</f>
        <v>Abrir facsímil</v>
      </c>
      <c r="K4151" s="15" t="s">
        <v>23</v>
      </c>
    </row>
    <row r="4152" spans="1:11" ht="42" customHeight="1">
      <c r="A4152" s="4" t="s">
        <v>10449</v>
      </c>
      <c r="B4152" s="5" t="s">
        <v>10449</v>
      </c>
      <c r="C4152" s="5" t="s">
        <v>33</v>
      </c>
      <c r="D4152" s="5" t="s">
        <v>34</v>
      </c>
      <c r="E4152" s="5" t="s">
        <v>68</v>
      </c>
      <c r="F4152" s="9" t="s">
        <v>309</v>
      </c>
      <c r="G4152" s="9" t="s">
        <v>117</v>
      </c>
      <c r="H4152" s="5" t="s">
        <v>21</v>
      </c>
      <c r="I4152" s="5" t="s">
        <v>10450</v>
      </c>
      <c r="J4152" s="12" t="str">
        <f>HYPERLINK("https://www.boe.es/gazeta/dias/1808/10/21/pdfs/GMD-D-1808-136.pdf#page=1","Abrir facsímil")</f>
        <v>Abrir facsímil</v>
      </c>
      <c r="K4152" s="15" t="s">
        <v>23</v>
      </c>
    </row>
    <row r="4153" spans="1:11" ht="42" customHeight="1">
      <c r="A4153" s="4" t="s">
        <v>10451</v>
      </c>
      <c r="B4153" s="5" t="s">
        <v>10451</v>
      </c>
      <c r="C4153" s="5" t="s">
        <v>94</v>
      </c>
      <c r="D4153" s="5" t="s">
        <v>95</v>
      </c>
      <c r="E4153" s="5" t="s">
        <v>2159</v>
      </c>
      <c r="F4153" s="9" t="s">
        <v>2160</v>
      </c>
      <c r="G4153" s="9">
        <v>184</v>
      </c>
      <c r="H4153" s="5" t="s">
        <v>21</v>
      </c>
      <c r="I4153" s="5" t="s">
        <v>10452</v>
      </c>
      <c r="J4153" s="12" t="str">
        <f>HYPERLINK("https://www.boe.es/gazeta/dias/1808/02/19/pdfs/GMD-1808-15.pdf#page=14","Abrir facsímil")</f>
        <v>Abrir facsímil</v>
      </c>
      <c r="K4153" s="15" t="s">
        <v>23</v>
      </c>
    </row>
    <row r="4154" spans="1:11" ht="42" customHeight="1">
      <c r="A4154" s="4" t="s">
        <v>10453</v>
      </c>
      <c r="B4154" s="5" t="s">
        <v>10453</v>
      </c>
      <c r="C4154" s="5" t="s">
        <v>17</v>
      </c>
      <c r="D4154" s="5" t="s">
        <v>18</v>
      </c>
      <c r="E4154" s="5" t="s">
        <v>8354</v>
      </c>
      <c r="F4154" s="9" t="s">
        <v>8355</v>
      </c>
      <c r="G4154" s="9">
        <v>806</v>
      </c>
      <c r="H4154" s="5" t="s">
        <v>21</v>
      </c>
      <c r="I4154" s="5" t="s">
        <v>10454</v>
      </c>
      <c r="J4154" s="12" t="str">
        <f>HYPERLINK("https://www.boe.es/gazeta/dias/1808/07/14/pdfs/GMD-1808-86.pdf#page=8","Abrir facsímil")</f>
        <v>Abrir facsímil</v>
      </c>
      <c r="K4154" s="15" t="s">
        <v>23</v>
      </c>
    </row>
    <row r="4155" spans="1:11" ht="42" customHeight="1">
      <c r="A4155" s="4" t="s">
        <v>10455</v>
      </c>
      <c r="B4155" s="5" t="s">
        <v>10455</v>
      </c>
      <c r="C4155" s="5" t="s">
        <v>94</v>
      </c>
      <c r="D4155" s="5" t="s">
        <v>95</v>
      </c>
      <c r="E4155" s="5" t="s">
        <v>68</v>
      </c>
      <c r="F4155" s="9" t="s">
        <v>849</v>
      </c>
      <c r="G4155" s="9">
        <v>1350</v>
      </c>
      <c r="H4155" s="5" t="s">
        <v>21</v>
      </c>
      <c r="I4155" s="5" t="s">
        <v>10456</v>
      </c>
      <c r="J4155" s="12" t="str">
        <f>HYPERLINK("https://www.boe.es/gazeta/dias/1808/10/21/pdfs/GMD-C-1808-136.pdf#page=10","Abrir facsímil")</f>
        <v>Abrir facsímil</v>
      </c>
      <c r="K4155" s="15" t="s">
        <v>23</v>
      </c>
    </row>
    <row r="4156" spans="1:11" ht="42" customHeight="1">
      <c r="A4156" s="4" t="s">
        <v>10457</v>
      </c>
      <c r="B4156" s="5" t="s">
        <v>10457</v>
      </c>
      <c r="C4156" s="5" t="s">
        <v>94</v>
      </c>
      <c r="D4156" s="5" t="s">
        <v>95</v>
      </c>
      <c r="E4156" s="5" t="s">
        <v>663</v>
      </c>
      <c r="F4156" s="9" t="s">
        <v>664</v>
      </c>
      <c r="G4156" s="9">
        <v>209</v>
      </c>
      <c r="H4156" s="5" t="s">
        <v>21</v>
      </c>
      <c r="I4156" s="5" t="s">
        <v>10458</v>
      </c>
      <c r="J4156" s="12" t="str">
        <f>HYPERLINK("https://www.boe.es/gazeta/dias/1808/02/26/pdfs/GMD-1808-17.pdf#page=11","Abrir facsímil")</f>
        <v>Abrir facsímil</v>
      </c>
      <c r="K4156" s="15" t="s">
        <v>23</v>
      </c>
    </row>
    <row r="4157" spans="1:11" ht="42" customHeight="1">
      <c r="A4157" s="4" t="s">
        <v>10459</v>
      </c>
      <c r="B4157" s="5" t="s">
        <v>10459</v>
      </c>
      <c r="C4157" s="5" t="s">
        <v>17</v>
      </c>
      <c r="D4157" s="5" t="s">
        <v>18</v>
      </c>
      <c r="E4157" s="5" t="s">
        <v>130</v>
      </c>
      <c r="F4157" s="9" t="s">
        <v>131</v>
      </c>
      <c r="G4157" s="9">
        <v>1603</v>
      </c>
      <c r="H4157" s="5" t="s">
        <v>21</v>
      </c>
      <c r="I4157" s="5" t="s">
        <v>10460</v>
      </c>
      <c r="J4157" s="12" t="str">
        <f>HYPERLINK("https://www.boe.es/gazeta/dias/1808/12/15/pdfs/GMD-1808-155.pdf#page=7","Abrir facsímil")</f>
        <v>Abrir facsímil</v>
      </c>
      <c r="K4157" s="15" t="s">
        <v>23</v>
      </c>
    </row>
    <row r="4158" spans="1:11" ht="42" customHeight="1">
      <c r="A4158" s="4" t="s">
        <v>10461</v>
      </c>
      <c r="B4158" s="5" t="s">
        <v>10461</v>
      </c>
      <c r="C4158" s="5" t="s">
        <v>33</v>
      </c>
      <c r="D4158" s="5" t="s">
        <v>34</v>
      </c>
      <c r="E4158" s="5" t="s">
        <v>166</v>
      </c>
      <c r="F4158" s="9" t="s">
        <v>400</v>
      </c>
      <c r="G4158" s="9" t="s">
        <v>75</v>
      </c>
      <c r="H4158" s="5" t="s">
        <v>21</v>
      </c>
      <c r="I4158" s="5" t="s">
        <v>10462</v>
      </c>
      <c r="J4158" s="12" t="str">
        <f>HYPERLINK("https://www.boe.es/gazeta/dias/1808/11/18/pdfs/D00069-00072.pdf#page=4","Abrir facsímil")</f>
        <v>Abrir facsímil</v>
      </c>
      <c r="K4158" s="15" t="s">
        <v>23</v>
      </c>
    </row>
    <row r="4159" spans="1:11" ht="42" customHeight="1">
      <c r="A4159" s="4" t="s">
        <v>10463</v>
      </c>
      <c r="B4159" s="5" t="s">
        <v>10463</v>
      </c>
      <c r="C4159" s="5" t="s">
        <v>17</v>
      </c>
      <c r="D4159" s="5" t="s">
        <v>18</v>
      </c>
      <c r="E4159" s="5" t="s">
        <v>130</v>
      </c>
      <c r="F4159" s="9" t="s">
        <v>131</v>
      </c>
      <c r="G4159" s="9">
        <v>1604</v>
      </c>
      <c r="H4159" s="5" t="s">
        <v>21</v>
      </c>
      <c r="I4159" s="5" t="s">
        <v>10464</v>
      </c>
      <c r="J4159" s="12" t="str">
        <f>HYPERLINK("https://www.boe.es/gazeta/dias/1808/12/15/pdfs/GMD-1808-155.pdf#page=8","Abrir facsímil")</f>
        <v>Abrir facsímil</v>
      </c>
      <c r="K4159" s="15" t="s">
        <v>23</v>
      </c>
    </row>
    <row r="4160" spans="1:11" ht="42" customHeight="1">
      <c r="A4160" s="4" t="s">
        <v>10465</v>
      </c>
      <c r="B4160" s="5" t="s">
        <v>10465</v>
      </c>
      <c r="C4160" s="5" t="s">
        <v>94</v>
      </c>
      <c r="D4160" s="5" t="s">
        <v>95</v>
      </c>
      <c r="E4160" s="5" t="s">
        <v>65</v>
      </c>
      <c r="F4160" s="9" t="s">
        <v>66</v>
      </c>
      <c r="G4160" s="9">
        <v>1316</v>
      </c>
      <c r="H4160" s="5" t="s">
        <v>21</v>
      </c>
      <c r="I4160" s="5" t="s">
        <v>10466</v>
      </c>
      <c r="J4160" s="12" t="str">
        <f>HYPERLINK("https://www.boe.es/gazeta/dias/1808/10/18/pdfs/GMD-1808-135.pdf#page=16","Abrir facsímil")</f>
        <v>Abrir facsímil</v>
      </c>
      <c r="K4160" s="15" t="s">
        <v>23</v>
      </c>
    </row>
    <row r="4161" spans="1:11" ht="42" customHeight="1">
      <c r="A4161" s="4" t="s">
        <v>10467</v>
      </c>
      <c r="B4161" s="5" t="s">
        <v>10467</v>
      </c>
      <c r="C4161" s="5" t="s">
        <v>33</v>
      </c>
      <c r="D4161" s="5" t="s">
        <v>34</v>
      </c>
      <c r="E4161" s="5" t="s">
        <v>391</v>
      </c>
      <c r="F4161" s="9" t="s">
        <v>588</v>
      </c>
      <c r="G4161" s="9" t="s">
        <v>199</v>
      </c>
      <c r="H4161" s="5" t="s">
        <v>21</v>
      </c>
      <c r="I4161" s="5" t="s">
        <v>10468</v>
      </c>
      <c r="J4161" s="12" t="str">
        <f>HYPERLINK("https://www.boe.es/gazeta/dias/1808/09/27/pdfs/GMD-C-1808-128.pdf#page=2","Abrir facsímil")</f>
        <v>Abrir facsímil</v>
      </c>
      <c r="K4161" s="15" t="s">
        <v>23</v>
      </c>
    </row>
    <row r="4162" spans="1:11" ht="42" customHeight="1">
      <c r="A4162" s="4" t="s">
        <v>10469</v>
      </c>
      <c r="B4162" s="5" t="s">
        <v>10469</v>
      </c>
      <c r="C4162" s="5" t="s">
        <v>33</v>
      </c>
      <c r="D4162" s="5" t="s">
        <v>34</v>
      </c>
      <c r="E4162" s="5" t="s">
        <v>115</v>
      </c>
      <c r="F4162" s="9" t="s">
        <v>116</v>
      </c>
      <c r="G4162" s="9" t="s">
        <v>199</v>
      </c>
      <c r="H4162" s="5" t="s">
        <v>21</v>
      </c>
      <c r="I4162" s="5" t="s">
        <v>10470</v>
      </c>
      <c r="J4162" s="12" t="str">
        <f>HYPERLINK("https://www.boe.es/gazeta/dias/1808/09/16/pdfs/GMD-C-1808-125.pdf#page=2","Abrir facsímil")</f>
        <v>Abrir facsímil</v>
      </c>
      <c r="K4162" s="15" t="s">
        <v>23</v>
      </c>
    </row>
    <row r="4163" spans="1:11" ht="42" customHeight="1">
      <c r="A4163" s="4" t="s">
        <v>10471</v>
      </c>
      <c r="B4163" s="5" t="s">
        <v>10471</v>
      </c>
      <c r="C4163" s="5" t="s">
        <v>41</v>
      </c>
      <c r="D4163" s="5" t="s">
        <v>42</v>
      </c>
      <c r="E4163" s="5" t="s">
        <v>334</v>
      </c>
      <c r="F4163" s="9" t="s">
        <v>1814</v>
      </c>
      <c r="G4163" s="9">
        <v>1248</v>
      </c>
      <c r="H4163" s="5" t="s">
        <v>21</v>
      </c>
      <c r="I4163" s="5" t="s">
        <v>10472</v>
      </c>
      <c r="J4163" s="12" t="str">
        <f>HYPERLINK("https://www.boe.es/gazeta/dias/1808/10/04/pdfs/GMD-1808-131.pdf#page=16","Abrir facsímil")</f>
        <v>Abrir facsímil</v>
      </c>
      <c r="K4163" s="15" t="s">
        <v>23</v>
      </c>
    </row>
    <row r="4164" spans="1:11" ht="42" customHeight="1">
      <c r="A4164" s="4" t="s">
        <v>10473</v>
      </c>
      <c r="B4164" s="5" t="s">
        <v>10473</v>
      </c>
      <c r="C4164" s="5" t="s">
        <v>41</v>
      </c>
      <c r="D4164" s="5" t="s">
        <v>42</v>
      </c>
      <c r="E4164" s="5" t="s">
        <v>334</v>
      </c>
      <c r="F4164" s="9" t="s">
        <v>1814</v>
      </c>
      <c r="G4164" s="9">
        <v>1248</v>
      </c>
      <c r="H4164" s="5" t="s">
        <v>21</v>
      </c>
      <c r="I4164" s="5" t="s">
        <v>10474</v>
      </c>
      <c r="J4164" s="12" t="str">
        <f>HYPERLINK("https://www.boe.es/gazeta/dias/1808/10/04/pdfs/GMD-1808-131.pdf#page=16","Abrir facsímil")</f>
        <v>Abrir facsímil</v>
      </c>
      <c r="K4164" s="15" t="s">
        <v>23</v>
      </c>
    </row>
    <row r="4165" spans="1:11" ht="42" customHeight="1">
      <c r="A4165" s="4" t="s">
        <v>10475</v>
      </c>
      <c r="B4165" s="5" t="s">
        <v>10475</v>
      </c>
      <c r="C4165" s="5" t="s">
        <v>41</v>
      </c>
      <c r="D4165" s="5" t="s">
        <v>42</v>
      </c>
      <c r="E4165" s="5" t="s">
        <v>180</v>
      </c>
      <c r="F4165" s="9" t="s">
        <v>768</v>
      </c>
      <c r="G4165" s="9" t="s">
        <v>106</v>
      </c>
      <c r="H4165" s="5" t="s">
        <v>21</v>
      </c>
      <c r="I4165" s="5" t="s">
        <v>10476</v>
      </c>
      <c r="J4165" s="12" t="str">
        <f>HYPERLINK("https://www.boe.es/gazeta/dias/1808/11/15/pdfs/GMD-D-1808-144.pdf#page=3","Abrir facsímil")</f>
        <v>Abrir facsímil</v>
      </c>
      <c r="K4165" s="15" t="s">
        <v>23</v>
      </c>
    </row>
    <row r="4166" spans="1:11" ht="42" customHeight="1">
      <c r="A4166" s="4" t="s">
        <v>10477</v>
      </c>
      <c r="B4166" s="5" t="s">
        <v>10477</v>
      </c>
      <c r="C4166" s="5" t="s">
        <v>33</v>
      </c>
      <c r="D4166" s="5" t="s">
        <v>34</v>
      </c>
      <c r="E4166" s="5" t="s">
        <v>35</v>
      </c>
      <c r="F4166" s="9" t="s">
        <v>36</v>
      </c>
      <c r="G4166" s="9" t="s">
        <v>135</v>
      </c>
      <c r="H4166" s="5" t="s">
        <v>21</v>
      </c>
      <c r="I4166" s="5" t="s">
        <v>10478</v>
      </c>
      <c r="J4166" s="12" t="str">
        <f>HYPERLINK("https://www.boe.es/gazeta/dias/1808/04/22/pdfs/GMD-C-1808-38.pdf#page=26","Abrir facsímil")</f>
        <v>Abrir facsímil</v>
      </c>
      <c r="K4166" s="15" t="s">
        <v>23</v>
      </c>
    </row>
    <row r="4167" spans="1:11" ht="42" customHeight="1">
      <c r="A4167" s="4" t="s">
        <v>10479</v>
      </c>
      <c r="B4167" s="5" t="s">
        <v>10479</v>
      </c>
      <c r="C4167" s="5" t="s">
        <v>33</v>
      </c>
      <c r="D4167" s="5" t="s">
        <v>34</v>
      </c>
      <c r="E4167" s="5" t="s">
        <v>427</v>
      </c>
      <c r="F4167" s="9" t="s">
        <v>9188</v>
      </c>
      <c r="G4167" s="9">
        <v>1534</v>
      </c>
      <c r="H4167" s="5" t="s">
        <v>21</v>
      </c>
      <c r="I4167" s="5" t="s">
        <v>10480</v>
      </c>
      <c r="J4167" s="12" t="str">
        <f>HYPERLINK("https://www.boe.es/gazeta/dias/1808/11/22/pdfs/GMD-C-1808-146.pdf#page=8","Abrir facsímil")</f>
        <v>Abrir facsímil</v>
      </c>
      <c r="K4167" s="15" t="s">
        <v>23</v>
      </c>
    </row>
    <row r="4168" spans="1:11" ht="42" customHeight="1">
      <c r="A4168" s="4" t="s">
        <v>10481</v>
      </c>
      <c r="B4168" s="5" t="s">
        <v>10481</v>
      </c>
      <c r="C4168" s="5" t="s">
        <v>33</v>
      </c>
      <c r="D4168" s="5" t="s">
        <v>34</v>
      </c>
      <c r="E4168" s="5" t="s">
        <v>89</v>
      </c>
      <c r="F4168" s="9" t="s">
        <v>1247</v>
      </c>
      <c r="G4168" s="9">
        <v>1374</v>
      </c>
      <c r="H4168" s="5" t="s">
        <v>21</v>
      </c>
      <c r="I4168" s="5" t="s">
        <v>10482</v>
      </c>
      <c r="J4168" s="12" t="str">
        <f>HYPERLINK("https://www.boe.es/gazeta/dias/1808/10/25/pdfs/GMD-C-1808-137.pdf#page=10","Abrir facsímil")</f>
        <v>Abrir facsímil</v>
      </c>
      <c r="K4168" s="15" t="s">
        <v>23</v>
      </c>
    </row>
    <row r="4169" spans="1:11" ht="42" customHeight="1">
      <c r="A4169" s="4" t="s">
        <v>10483</v>
      </c>
      <c r="B4169" s="5" t="s">
        <v>10483</v>
      </c>
      <c r="C4169" s="5" t="s">
        <v>33</v>
      </c>
      <c r="D4169" s="5" t="s">
        <v>34</v>
      </c>
      <c r="E4169" s="5" t="s">
        <v>110</v>
      </c>
      <c r="F4169" s="9" t="s">
        <v>828</v>
      </c>
      <c r="G4169" s="9" t="s">
        <v>106</v>
      </c>
      <c r="H4169" s="5" t="s">
        <v>21</v>
      </c>
      <c r="I4169" s="5" t="s">
        <v>10484</v>
      </c>
      <c r="J4169" s="12" t="str">
        <f>HYPERLINK("https://www.boe.es/gazeta/dias/1808/10/28/pdfs/GMD-D-1808-138.pdf#page=3","Abrir facsímil")</f>
        <v>Abrir facsímil</v>
      </c>
      <c r="K4169" s="15" t="s">
        <v>23</v>
      </c>
    </row>
    <row r="4170" spans="1:11" ht="42" customHeight="1">
      <c r="A4170" s="4" t="s">
        <v>10485</v>
      </c>
      <c r="B4170" s="5" t="s">
        <v>10485</v>
      </c>
      <c r="C4170" s="5" t="s">
        <v>41</v>
      </c>
      <c r="D4170" s="5" t="s">
        <v>42</v>
      </c>
      <c r="E4170" s="5" t="s">
        <v>427</v>
      </c>
      <c r="F4170" s="9" t="s">
        <v>428</v>
      </c>
      <c r="G4170" s="9" t="s">
        <v>106</v>
      </c>
      <c r="H4170" s="5" t="s">
        <v>21</v>
      </c>
      <c r="I4170" s="5" t="s">
        <v>10486</v>
      </c>
      <c r="J4170" s="12" t="str">
        <f>HYPERLINK("https://www.boe.es/gazeta/dias/1808/11/22/pdfs/GMD-D-1808-146.pdf#page=3","Abrir facsímil")</f>
        <v>Abrir facsímil</v>
      </c>
      <c r="K4170" s="15" t="s">
        <v>23</v>
      </c>
    </row>
    <row r="4171" spans="1:11" ht="42" customHeight="1">
      <c r="A4171" s="4" t="s">
        <v>10487</v>
      </c>
      <c r="B4171" s="5" t="s">
        <v>10487</v>
      </c>
      <c r="C4171" s="5" t="s">
        <v>17</v>
      </c>
      <c r="D4171" s="5" t="s">
        <v>18</v>
      </c>
      <c r="E4171" s="5" t="s">
        <v>218</v>
      </c>
      <c r="F4171" s="9" t="s">
        <v>219</v>
      </c>
      <c r="G4171" s="9">
        <v>332</v>
      </c>
      <c r="H4171" s="5" t="s">
        <v>21</v>
      </c>
      <c r="I4171" s="5" t="s">
        <v>10488</v>
      </c>
      <c r="J4171" s="12" t="str">
        <f>HYPERLINK("https://www.boe.es/gazeta/dias/1808/04/01/pdfs/GMD-1808-29.pdf#page=8","Abrir facsímil")</f>
        <v>Abrir facsímil</v>
      </c>
      <c r="K4171" s="15" t="s">
        <v>23</v>
      </c>
    </row>
    <row r="4172" spans="1:11" ht="42" customHeight="1">
      <c r="A4172" s="4" t="s">
        <v>10487</v>
      </c>
      <c r="B4172" s="5" t="s">
        <v>10487</v>
      </c>
      <c r="C4172" s="5" t="s">
        <v>17</v>
      </c>
      <c r="D4172" s="5" t="s">
        <v>18</v>
      </c>
      <c r="E4172" s="5" t="s">
        <v>1791</v>
      </c>
      <c r="F4172" s="9" t="s">
        <v>2814</v>
      </c>
      <c r="G4172" s="9">
        <v>930</v>
      </c>
      <c r="H4172" s="5" t="s">
        <v>21</v>
      </c>
      <c r="I4172" s="5" t="s">
        <v>10489</v>
      </c>
      <c r="J4172" s="12" t="str">
        <f>HYPERLINK("https://www.boe.es/gazeta/dias/1808/07/30/pdfs/GMD-1808-102.pdf#page=4","Abrir facsímil")</f>
        <v>Abrir facsímil</v>
      </c>
      <c r="K4172" s="15" t="s">
        <v>23</v>
      </c>
    </row>
    <row r="4173" spans="1:11" ht="42" customHeight="1">
      <c r="A4173" s="4" t="s">
        <v>10490</v>
      </c>
      <c r="B4173" s="5" t="s">
        <v>10490</v>
      </c>
      <c r="C4173" s="5" t="s">
        <v>94</v>
      </c>
      <c r="D4173" s="5" t="s">
        <v>95</v>
      </c>
      <c r="E4173" s="5" t="s">
        <v>68</v>
      </c>
      <c r="F4173" s="9" t="s">
        <v>849</v>
      </c>
      <c r="G4173" s="9">
        <v>1349</v>
      </c>
      <c r="H4173" s="5" t="s">
        <v>21</v>
      </c>
      <c r="I4173" s="5" t="s">
        <v>10491</v>
      </c>
      <c r="J4173" s="12" t="str">
        <f>HYPERLINK("https://www.boe.es/gazeta/dias/1808/10/21/pdfs/GMD-C-1808-136.pdf#page=9","Abrir facsímil")</f>
        <v>Abrir facsímil</v>
      </c>
      <c r="K4173" s="15" t="s">
        <v>23</v>
      </c>
    </row>
    <row r="4174" spans="1:11" ht="42" customHeight="1">
      <c r="A4174" s="4" t="s">
        <v>10492</v>
      </c>
      <c r="B4174" s="5" t="s">
        <v>10492</v>
      </c>
      <c r="C4174" s="5" t="s">
        <v>33</v>
      </c>
      <c r="D4174" s="5" t="s">
        <v>34</v>
      </c>
      <c r="E4174" s="5" t="s">
        <v>68</v>
      </c>
      <c r="F4174" s="9" t="s">
        <v>309</v>
      </c>
      <c r="G4174" s="9" t="s">
        <v>106</v>
      </c>
      <c r="H4174" s="5" t="s">
        <v>21</v>
      </c>
      <c r="I4174" s="5" t="s">
        <v>10493</v>
      </c>
      <c r="J4174" s="12" t="str">
        <f>HYPERLINK("https://www.boe.es/gazeta/dias/1808/10/21/pdfs/GMD-D-1808-136.pdf#page=3","Abrir facsímil")</f>
        <v>Abrir facsímil</v>
      </c>
      <c r="K4174" s="15" t="s">
        <v>23</v>
      </c>
    </row>
    <row r="4175" spans="1:11" ht="42" customHeight="1">
      <c r="A4175" s="4" t="s">
        <v>10494</v>
      </c>
      <c r="B4175" s="5" t="s">
        <v>10494</v>
      </c>
      <c r="C4175" s="5" t="s">
        <v>33</v>
      </c>
      <c r="D4175" s="5" t="s">
        <v>34</v>
      </c>
      <c r="E4175" s="5" t="s">
        <v>35</v>
      </c>
      <c r="F4175" s="9" t="s">
        <v>36</v>
      </c>
      <c r="G4175" s="9" t="s">
        <v>443</v>
      </c>
      <c r="H4175" s="5" t="s">
        <v>21</v>
      </c>
      <c r="I4175" s="5" t="s">
        <v>10495</v>
      </c>
      <c r="J4175" s="12" t="str">
        <f>HYPERLINK("https://www.boe.es/gazeta/dias/1808/04/22/pdfs/GMD-C-1808-38.pdf#page=16","Abrir facsímil")</f>
        <v>Abrir facsímil</v>
      </c>
      <c r="K4175" s="15" t="s">
        <v>23</v>
      </c>
    </row>
    <row r="4176" spans="1:11" ht="42" customHeight="1">
      <c r="A4176" s="4" t="s">
        <v>10496</v>
      </c>
      <c r="B4176" s="5" t="s">
        <v>10496</v>
      </c>
      <c r="C4176" s="5" t="s">
        <v>260</v>
      </c>
      <c r="D4176" s="5" t="s">
        <v>42</v>
      </c>
      <c r="E4176" s="5" t="s">
        <v>269</v>
      </c>
      <c r="F4176" s="9" t="s">
        <v>270</v>
      </c>
      <c r="G4176" s="9">
        <v>69</v>
      </c>
      <c r="H4176" s="5" t="s">
        <v>21</v>
      </c>
      <c r="I4176" s="5" t="s">
        <v>10497</v>
      </c>
      <c r="J4176" s="12" t="str">
        <f>HYPERLINK("https://www.boe.es/gazeta/dias/1808/01/19/pdfs/GMD-1808-6.pdf#page=9","Abrir facsímil")</f>
        <v>Abrir facsímil</v>
      </c>
      <c r="K4176" s="15" t="s">
        <v>23</v>
      </c>
    </row>
    <row r="4177" spans="1:11" ht="42" customHeight="1">
      <c r="A4177" s="4" t="s">
        <v>10498</v>
      </c>
      <c r="B4177" s="5" t="s">
        <v>10498</v>
      </c>
      <c r="C4177" s="5" t="s">
        <v>94</v>
      </c>
      <c r="D4177" s="5" t="s">
        <v>95</v>
      </c>
      <c r="E4177" s="5" t="s">
        <v>548</v>
      </c>
      <c r="F4177" s="9" t="s">
        <v>549</v>
      </c>
      <c r="G4177" s="9">
        <v>277</v>
      </c>
      <c r="H4177" s="5" t="s">
        <v>21</v>
      </c>
      <c r="I4177" s="5" t="s">
        <v>10499</v>
      </c>
      <c r="J4177" s="12" t="str">
        <f>HYPERLINK("https://www.boe.es/gazeta/dias/1808/03/18/pdfs/GMD-1808-23.pdf#page=7","Abrir facsímil")</f>
        <v>Abrir facsímil</v>
      </c>
      <c r="K4177" s="15" t="s">
        <v>23</v>
      </c>
    </row>
    <row r="4178" spans="1:11" ht="42" customHeight="1">
      <c r="A4178" s="4" t="s">
        <v>10500</v>
      </c>
      <c r="B4178" s="5" t="s">
        <v>10500</v>
      </c>
      <c r="C4178" s="5" t="s">
        <v>33</v>
      </c>
      <c r="D4178" s="5" t="s">
        <v>34</v>
      </c>
      <c r="E4178" s="5" t="s">
        <v>35</v>
      </c>
      <c r="F4178" s="9" t="s">
        <v>36</v>
      </c>
      <c r="G4178" s="9" t="s">
        <v>313</v>
      </c>
      <c r="H4178" s="5" t="s">
        <v>21</v>
      </c>
      <c r="I4178" s="5" t="s">
        <v>10501</v>
      </c>
      <c r="J4178" s="12" t="str">
        <f>HYPERLINK("https://www.boe.es/gazeta/dias/1808/04/22/pdfs/GMD-C-1808-38.pdf#page=29","Abrir facsímil")</f>
        <v>Abrir facsímil</v>
      </c>
      <c r="K4178" s="15" t="s">
        <v>23</v>
      </c>
    </row>
    <row r="4179" spans="1:11" ht="42" customHeight="1">
      <c r="A4179" s="4" t="s">
        <v>10500</v>
      </c>
      <c r="B4179" s="5" t="s">
        <v>10500</v>
      </c>
      <c r="C4179" s="5" t="s">
        <v>33</v>
      </c>
      <c r="D4179" s="5" t="s">
        <v>34</v>
      </c>
      <c r="E4179" s="5" t="s">
        <v>35</v>
      </c>
      <c r="F4179" s="9" t="s">
        <v>36</v>
      </c>
      <c r="G4179" s="9" t="s">
        <v>43</v>
      </c>
      <c r="H4179" s="5" t="s">
        <v>21</v>
      </c>
      <c r="I4179" s="5" t="s">
        <v>10502</v>
      </c>
      <c r="J4179" s="12" t="str">
        <f>HYPERLINK("https://www.boe.es/gazeta/dias/1808/04/22/pdfs/GMD-C-1808-38.pdf#page=30","Abrir facsímil")</f>
        <v>Abrir facsímil</v>
      </c>
      <c r="K4179" s="15" t="s">
        <v>23</v>
      </c>
    </row>
    <row r="4180" spans="1:11" ht="42" customHeight="1">
      <c r="A4180" s="4" t="s">
        <v>10503</v>
      </c>
      <c r="B4180" s="5" t="s">
        <v>10503</v>
      </c>
      <c r="C4180" s="5" t="s">
        <v>41</v>
      </c>
      <c r="D4180" s="5" t="s">
        <v>42</v>
      </c>
      <c r="E4180" s="5" t="s">
        <v>35</v>
      </c>
      <c r="F4180" s="9" t="s">
        <v>36</v>
      </c>
      <c r="G4180" s="9" t="s">
        <v>956</v>
      </c>
      <c r="H4180" s="5" t="s">
        <v>21</v>
      </c>
      <c r="I4180" s="5" t="s">
        <v>10504</v>
      </c>
      <c r="J4180" s="12" t="str">
        <f>HYPERLINK("https://www.boe.es/gazeta/dias/1808/04/22/pdfs/GMD-C-1808-38.pdf#page=41","Abrir facsímil")</f>
        <v>Abrir facsímil</v>
      </c>
      <c r="K4180" s="15" t="s">
        <v>23</v>
      </c>
    </row>
    <row r="4181" spans="1:11" ht="42" customHeight="1">
      <c r="A4181" s="4" t="s">
        <v>10505</v>
      </c>
      <c r="B4181" s="5" t="s">
        <v>10505</v>
      </c>
      <c r="C4181" s="5" t="s">
        <v>260</v>
      </c>
      <c r="D4181" s="5" t="s">
        <v>42</v>
      </c>
      <c r="E4181" s="5" t="s">
        <v>2204</v>
      </c>
      <c r="F4181" s="9" t="s">
        <v>2285</v>
      </c>
      <c r="G4181" s="9">
        <v>685</v>
      </c>
      <c r="H4181" s="5" t="s">
        <v>21</v>
      </c>
      <c r="I4181" s="5" t="s">
        <v>10506</v>
      </c>
      <c r="J4181" s="12" t="str">
        <f>HYPERLINK("https://www.boe.es/gazeta/dias/1808/06/29/pdfs/GMD-1808-71.pdf#page=7","Abrir facsímil")</f>
        <v>Abrir facsímil</v>
      </c>
      <c r="K4181" s="15" t="s">
        <v>23</v>
      </c>
    </row>
    <row r="4182" spans="1:11" ht="42" customHeight="1">
      <c r="A4182" s="4" t="s">
        <v>10505</v>
      </c>
      <c r="B4182" s="5" t="s">
        <v>10505</v>
      </c>
      <c r="C4182" s="5" t="s">
        <v>33</v>
      </c>
      <c r="D4182" s="5" t="s">
        <v>34</v>
      </c>
      <c r="E4182" s="5" t="s">
        <v>115</v>
      </c>
      <c r="F4182" s="9" t="s">
        <v>116</v>
      </c>
      <c r="G4182" s="9" t="s">
        <v>106</v>
      </c>
      <c r="H4182" s="5" t="s">
        <v>21</v>
      </c>
      <c r="I4182" s="5" t="s">
        <v>10507</v>
      </c>
      <c r="J4182" s="12" t="str">
        <f>HYPERLINK("https://www.boe.es/gazeta/dias/1808/09/16/pdfs/GMD-C-1808-125.pdf#page=3","Abrir facsímil")</f>
        <v>Abrir facsímil</v>
      </c>
      <c r="K4182" s="15" t="s">
        <v>23</v>
      </c>
    </row>
    <row r="4183" spans="1:11" ht="42" customHeight="1">
      <c r="A4183" s="4" t="s">
        <v>10505</v>
      </c>
      <c r="B4183" s="5" t="s">
        <v>10505</v>
      </c>
      <c r="C4183" s="5" t="s">
        <v>260</v>
      </c>
      <c r="D4183" s="5" t="s">
        <v>42</v>
      </c>
      <c r="E4183" s="5" t="s">
        <v>28</v>
      </c>
      <c r="F4183" s="9" t="s">
        <v>29</v>
      </c>
      <c r="G4183" s="9">
        <v>1430</v>
      </c>
      <c r="H4183" s="5" t="s">
        <v>21</v>
      </c>
      <c r="I4183" s="5" t="s">
        <v>10508</v>
      </c>
      <c r="J4183" s="12" t="str">
        <f>HYPERLINK("https://www.boe.es/gazeta/dias/1808/11/04/pdfs/GMD-1808-141.pdf#page=12","Abrir facsímil")</f>
        <v>Abrir facsímil</v>
      </c>
      <c r="K4183" s="15" t="s">
        <v>23</v>
      </c>
    </row>
    <row r="4184" spans="1:11" ht="42" customHeight="1">
      <c r="A4184" s="4" t="s">
        <v>10509</v>
      </c>
      <c r="B4184" s="5" t="s">
        <v>10509</v>
      </c>
      <c r="C4184" s="5" t="s">
        <v>94</v>
      </c>
      <c r="D4184" s="5" t="s">
        <v>95</v>
      </c>
      <c r="E4184" s="5" t="s">
        <v>203</v>
      </c>
      <c r="F4184" s="9" t="s">
        <v>204</v>
      </c>
      <c r="G4184" s="9">
        <v>141</v>
      </c>
      <c r="H4184" s="5" t="s">
        <v>21</v>
      </c>
      <c r="I4184" s="5" t="s">
        <v>10510</v>
      </c>
      <c r="J4184" s="12" t="str">
        <f>HYPERLINK("https://www.boe.es/gazeta/dias/1808/02/09/pdfs/GMD-1808-12.pdf#page=9","Abrir facsímil")</f>
        <v>Abrir facsímil</v>
      </c>
      <c r="K4184" s="15" t="s">
        <v>23</v>
      </c>
    </row>
    <row r="4185" spans="1:11" ht="42" customHeight="1">
      <c r="A4185" s="4" t="s">
        <v>10511</v>
      </c>
      <c r="B4185" s="5" t="s">
        <v>10511</v>
      </c>
      <c r="C4185" s="5" t="s">
        <v>17</v>
      </c>
      <c r="D4185" s="5" t="s">
        <v>18</v>
      </c>
      <c r="E4185" s="5" t="s">
        <v>203</v>
      </c>
      <c r="F4185" s="9" t="s">
        <v>204</v>
      </c>
      <c r="G4185" s="9">
        <v>140</v>
      </c>
      <c r="H4185" s="5" t="s">
        <v>21</v>
      </c>
      <c r="I4185" s="5" t="s">
        <v>10512</v>
      </c>
      <c r="J4185" s="12" t="str">
        <f>HYPERLINK("https://www.boe.es/gazeta/dias/1808/02/09/pdfs/GMD-1808-12.pdf#page=8","Abrir facsímil")</f>
        <v>Abrir facsímil</v>
      </c>
      <c r="K4185" s="15" t="s">
        <v>23</v>
      </c>
    </row>
    <row r="4186" spans="1:11" ht="42" customHeight="1">
      <c r="A4186" s="4" t="s">
        <v>10513</v>
      </c>
      <c r="B4186" s="5" t="s">
        <v>10513</v>
      </c>
      <c r="C4186" s="5" t="s">
        <v>94</v>
      </c>
      <c r="D4186" s="5" t="s">
        <v>95</v>
      </c>
      <c r="E4186" s="5" t="s">
        <v>1385</v>
      </c>
      <c r="F4186" s="9" t="s">
        <v>1386</v>
      </c>
      <c r="G4186" s="9">
        <v>231</v>
      </c>
      <c r="H4186" s="5" t="s">
        <v>21</v>
      </c>
      <c r="I4186" s="5" t="s">
        <v>10514</v>
      </c>
      <c r="J4186" s="12" t="str">
        <f>HYPERLINK("https://www.boe.es/gazeta/dias/1808/03/04/pdfs/GMD-1808-19.pdf#page=9","Abrir facsímil")</f>
        <v>Abrir facsímil</v>
      </c>
      <c r="K4186" s="15" t="s">
        <v>23</v>
      </c>
    </row>
    <row r="4187" spans="1:11" ht="42" customHeight="1">
      <c r="A4187" s="4" t="s">
        <v>10515</v>
      </c>
      <c r="B4187" s="5" t="s">
        <v>10515</v>
      </c>
      <c r="C4187" s="5" t="s">
        <v>33</v>
      </c>
      <c r="D4187" s="5" t="s">
        <v>34</v>
      </c>
      <c r="E4187" s="5" t="s">
        <v>35</v>
      </c>
      <c r="F4187" s="9" t="s">
        <v>36</v>
      </c>
      <c r="G4187" s="9" t="s">
        <v>322</v>
      </c>
      <c r="H4187" s="5" t="s">
        <v>21</v>
      </c>
      <c r="I4187" s="5" t="s">
        <v>10516</v>
      </c>
      <c r="J4187" s="12" t="str">
        <f>HYPERLINK("https://www.boe.es/gazeta/dias/1808/04/22/pdfs/GMD-C-1808-38.pdf#page=15","Abrir facsímil")</f>
        <v>Abrir facsímil</v>
      </c>
      <c r="K4187" s="15" t="s">
        <v>23</v>
      </c>
    </row>
    <row r="4188" spans="1:11" ht="42" customHeight="1">
      <c r="A4188" s="4" t="s">
        <v>10517</v>
      </c>
      <c r="B4188" s="5" t="s">
        <v>10517</v>
      </c>
      <c r="C4188" s="5" t="s">
        <v>94</v>
      </c>
      <c r="D4188" s="5" t="s">
        <v>95</v>
      </c>
      <c r="E4188" s="5" t="s">
        <v>877</v>
      </c>
      <c r="F4188" s="9" t="s">
        <v>878</v>
      </c>
      <c r="G4188" s="9">
        <v>119</v>
      </c>
      <c r="H4188" s="5" t="s">
        <v>21</v>
      </c>
      <c r="I4188" s="5" t="s">
        <v>10518</v>
      </c>
      <c r="J4188" s="12" t="str">
        <f>HYPERLINK("https://www.boe.es/gazeta/dias/1808/02/02/pdfs/GMD-1808-10.pdf#page=11","Abrir facsímil")</f>
        <v>Abrir facsímil</v>
      </c>
      <c r="K4188" s="15" t="s">
        <v>23</v>
      </c>
    </row>
    <row r="4189" spans="1:11" ht="42" customHeight="1">
      <c r="A4189" s="4" t="s">
        <v>10517</v>
      </c>
      <c r="B4189" s="5" t="s">
        <v>10517</v>
      </c>
      <c r="C4189" s="5" t="s">
        <v>260</v>
      </c>
      <c r="D4189" s="5" t="s">
        <v>42</v>
      </c>
      <c r="E4189" s="5" t="s">
        <v>1760</v>
      </c>
      <c r="F4189" s="9" t="s">
        <v>1761</v>
      </c>
      <c r="G4189" s="9">
        <v>432</v>
      </c>
      <c r="H4189" s="5" t="s">
        <v>21</v>
      </c>
      <c r="I4189" s="5" t="s">
        <v>10519</v>
      </c>
      <c r="J4189" s="12" t="str">
        <f>HYPERLINK("https://www.boe.es/gazeta/dias/1808/05/03/pdfs/GMD-1808-43.pdf#page=8","Abrir facsímil")</f>
        <v>Abrir facsímil</v>
      </c>
      <c r="K4189" s="15" t="s">
        <v>23</v>
      </c>
    </row>
    <row r="4190" spans="1:11" ht="42" customHeight="1">
      <c r="A4190" s="4" t="s">
        <v>10520</v>
      </c>
      <c r="B4190" s="5" t="s">
        <v>10520</v>
      </c>
      <c r="C4190" s="5" t="s">
        <v>17</v>
      </c>
      <c r="D4190" s="5" t="s">
        <v>18</v>
      </c>
      <c r="E4190" s="5" t="s">
        <v>719</v>
      </c>
      <c r="F4190" s="9" t="s">
        <v>720</v>
      </c>
      <c r="G4190" s="9">
        <v>1609</v>
      </c>
      <c r="H4190" s="5" t="s">
        <v>21</v>
      </c>
      <c r="I4190" s="5" t="s">
        <v>10521</v>
      </c>
      <c r="J4190" s="12" t="str">
        <f>HYPERLINK("https://www.boe.es/gazeta/dias/1808/12/16/pdfs/GMD-1808-156.pdf#page=1","Abrir facsímil")</f>
        <v>Abrir facsímil</v>
      </c>
      <c r="K4190" s="15" t="s">
        <v>23</v>
      </c>
    </row>
    <row r="4191" spans="1:11" ht="42" customHeight="1">
      <c r="A4191" s="4" t="s">
        <v>10522</v>
      </c>
      <c r="B4191" s="5" t="s">
        <v>10522</v>
      </c>
      <c r="C4191" s="5" t="s">
        <v>17</v>
      </c>
      <c r="D4191" s="5" t="s">
        <v>18</v>
      </c>
      <c r="E4191" s="5" t="s">
        <v>1085</v>
      </c>
      <c r="F4191" s="9" t="s">
        <v>1086</v>
      </c>
      <c r="G4191" s="9">
        <v>108</v>
      </c>
      <c r="H4191" s="5" t="s">
        <v>21</v>
      </c>
      <c r="I4191" s="5" t="s">
        <v>10523</v>
      </c>
      <c r="J4191" s="12" t="str">
        <f>HYPERLINK("https://www.boe.es/gazeta/dias/1808/01/29/pdfs/GMD-1808-9.pdf#page=12","Abrir facsímil")</f>
        <v>Abrir facsímil</v>
      </c>
      <c r="K4191" s="15" t="s">
        <v>23</v>
      </c>
    </row>
    <row r="4192" spans="1:11" ht="42" customHeight="1">
      <c r="A4192" s="4" t="s">
        <v>10524</v>
      </c>
      <c r="B4192" s="5" t="s">
        <v>10524</v>
      </c>
      <c r="C4192" s="5" t="s">
        <v>17</v>
      </c>
      <c r="D4192" s="5" t="s">
        <v>18</v>
      </c>
      <c r="E4192" s="5" t="s">
        <v>804</v>
      </c>
      <c r="F4192" s="9" t="s">
        <v>805</v>
      </c>
      <c r="G4192" s="9">
        <v>973</v>
      </c>
      <c r="H4192" s="5" t="s">
        <v>21</v>
      </c>
      <c r="I4192" s="5" t="s">
        <v>10525</v>
      </c>
      <c r="J4192" s="12" t="str">
        <f>HYPERLINK("https://www.boe.es/gazeta/dias/1808/08/05/pdfs/GMD-1808-108.pdf#page=3","Abrir facsímil")</f>
        <v>Abrir facsímil</v>
      </c>
      <c r="K4192" s="15" t="s">
        <v>23</v>
      </c>
    </row>
    <row r="4193" spans="1:11" ht="42" customHeight="1">
      <c r="A4193" s="4" t="s">
        <v>10526</v>
      </c>
      <c r="B4193" s="5" t="s">
        <v>10526</v>
      </c>
      <c r="C4193" s="5" t="s">
        <v>17</v>
      </c>
      <c r="D4193" s="5" t="s">
        <v>18</v>
      </c>
      <c r="E4193" s="5" t="s">
        <v>61</v>
      </c>
      <c r="F4193" s="9" t="s">
        <v>62</v>
      </c>
      <c r="G4193" s="9">
        <v>1285</v>
      </c>
      <c r="H4193" s="5" t="s">
        <v>21</v>
      </c>
      <c r="I4193" s="5" t="s">
        <v>10527</v>
      </c>
      <c r="J4193" s="12" t="str">
        <f>HYPERLINK("https://www.boe.es/gazeta/dias/1808/10/11/pdfs/GMD-1808-133.pdf#page=13","Abrir facsímil")</f>
        <v>Abrir facsímil</v>
      </c>
      <c r="K4193" s="15" t="s">
        <v>23</v>
      </c>
    </row>
    <row r="4194" spans="1:11" ht="42" customHeight="1">
      <c r="A4194" s="4" t="s">
        <v>10528</v>
      </c>
      <c r="B4194" s="5" t="s">
        <v>10528</v>
      </c>
      <c r="C4194" s="5" t="s">
        <v>33</v>
      </c>
      <c r="D4194" s="5" t="s">
        <v>34</v>
      </c>
      <c r="E4194" s="5" t="s">
        <v>35</v>
      </c>
      <c r="F4194" s="9" t="s">
        <v>36</v>
      </c>
      <c r="G4194" s="9" t="s">
        <v>324</v>
      </c>
      <c r="H4194" s="5" t="s">
        <v>21</v>
      </c>
      <c r="I4194" s="5" t="s">
        <v>10529</v>
      </c>
      <c r="J4194" s="12" t="str">
        <f>HYPERLINK("https://www.boe.es/gazeta/dias/1808/04/22/pdfs/GMD-C-1808-38.pdf#page=24","Abrir facsímil")</f>
        <v>Abrir facsímil</v>
      </c>
      <c r="K4194" s="15" t="s">
        <v>23</v>
      </c>
    </row>
    <row r="4195" spans="1:11" ht="42" customHeight="1">
      <c r="A4195" s="4" t="s">
        <v>10530</v>
      </c>
      <c r="B4195" s="5" t="s">
        <v>10530</v>
      </c>
      <c r="C4195" s="5" t="s">
        <v>33</v>
      </c>
      <c r="D4195" s="5" t="s">
        <v>34</v>
      </c>
      <c r="E4195" s="5" t="s">
        <v>35</v>
      </c>
      <c r="F4195" s="9" t="s">
        <v>36</v>
      </c>
      <c r="G4195" s="9" t="s">
        <v>47</v>
      </c>
      <c r="H4195" s="5" t="s">
        <v>21</v>
      </c>
      <c r="I4195" s="5" t="s">
        <v>10531</v>
      </c>
      <c r="J4195" s="12" t="str">
        <f>HYPERLINK("https://www.boe.es/gazeta/dias/1808/04/22/pdfs/GMD-C-1808-38.pdf#page=13","Abrir facsímil")</f>
        <v>Abrir facsímil</v>
      </c>
      <c r="K4195" s="15" t="s">
        <v>23</v>
      </c>
    </row>
    <row r="4196" spans="1:11" ht="42" customHeight="1">
      <c r="A4196" s="4" t="s">
        <v>10532</v>
      </c>
      <c r="B4196" s="5" t="s">
        <v>10532</v>
      </c>
      <c r="C4196" s="5" t="s">
        <v>33</v>
      </c>
      <c r="D4196" s="5" t="s">
        <v>34</v>
      </c>
      <c r="E4196" s="5" t="s">
        <v>35</v>
      </c>
      <c r="F4196" s="9" t="s">
        <v>36</v>
      </c>
      <c r="G4196" s="9" t="s">
        <v>1075</v>
      </c>
      <c r="H4196" s="5" t="s">
        <v>21</v>
      </c>
      <c r="I4196" s="5" t="s">
        <v>10533</v>
      </c>
      <c r="J4196" s="12" t="str">
        <f>HYPERLINK("https://www.boe.es/gazeta/dias/1808/04/22/pdfs/GMD-C-1808-38.pdf#page=32","Abrir facsímil")</f>
        <v>Abrir facsímil</v>
      </c>
      <c r="K4196" s="15" t="s">
        <v>23</v>
      </c>
    </row>
    <row r="4197" spans="1:11" ht="42" customHeight="1">
      <c r="A4197" s="4" t="s">
        <v>10534</v>
      </c>
      <c r="B4197" s="5" t="s">
        <v>10534</v>
      </c>
      <c r="C4197" s="5" t="s">
        <v>33</v>
      </c>
      <c r="D4197" s="5" t="s">
        <v>34</v>
      </c>
      <c r="E4197" s="5" t="s">
        <v>334</v>
      </c>
      <c r="F4197" s="9" t="s">
        <v>335</v>
      </c>
      <c r="G4197" s="9">
        <v>1251</v>
      </c>
      <c r="H4197" s="5" t="s">
        <v>21</v>
      </c>
      <c r="I4197" s="5" t="s">
        <v>10535</v>
      </c>
      <c r="J4197" s="12" t="str">
        <f>HYPERLINK("https://www.boe.es/gazeta/dias/1808/10/04/pdfs/GMD-C-1808-131.pdf#page=3","Abrir facsímil")</f>
        <v>Abrir facsímil</v>
      </c>
      <c r="K4197" s="15" t="s">
        <v>23</v>
      </c>
    </row>
    <row r="4198" spans="1:11" ht="42" customHeight="1">
      <c r="A4198" s="4" t="s">
        <v>10536</v>
      </c>
      <c r="B4198" s="5" t="s">
        <v>10536</v>
      </c>
      <c r="C4198" s="5" t="s">
        <v>33</v>
      </c>
      <c r="D4198" s="5" t="s">
        <v>34</v>
      </c>
      <c r="E4198" s="5" t="s">
        <v>35</v>
      </c>
      <c r="F4198" s="9" t="s">
        <v>36</v>
      </c>
      <c r="G4198" s="9" t="s">
        <v>135</v>
      </c>
      <c r="H4198" s="5" t="s">
        <v>21</v>
      </c>
      <c r="I4198" s="5" t="s">
        <v>10537</v>
      </c>
      <c r="J4198" s="12" t="str">
        <f>HYPERLINK("https://www.boe.es/gazeta/dias/1808/04/22/pdfs/GMD-C-1808-38.pdf#page=26","Abrir facsímil")</f>
        <v>Abrir facsímil</v>
      </c>
      <c r="K4198" s="15" t="s">
        <v>23</v>
      </c>
    </row>
    <row r="4199" spans="1:11" ht="42" customHeight="1">
      <c r="A4199" s="4" t="s">
        <v>10538</v>
      </c>
      <c r="B4199" s="5" t="s">
        <v>10538</v>
      </c>
      <c r="C4199" s="5" t="s">
        <v>33</v>
      </c>
      <c r="D4199" s="5" t="s">
        <v>34</v>
      </c>
      <c r="E4199" s="5" t="s">
        <v>35</v>
      </c>
      <c r="F4199" s="9" t="s">
        <v>36</v>
      </c>
      <c r="G4199" s="9" t="s">
        <v>313</v>
      </c>
      <c r="H4199" s="5" t="s">
        <v>21</v>
      </c>
      <c r="I4199" s="5" t="s">
        <v>10539</v>
      </c>
      <c r="J4199" s="12" t="str">
        <f>HYPERLINK("https://www.boe.es/gazeta/dias/1808/04/22/pdfs/GMD-C-1808-38.pdf#page=29","Abrir facsímil")</f>
        <v>Abrir facsímil</v>
      </c>
      <c r="K4199" s="15" t="s">
        <v>23</v>
      </c>
    </row>
    <row r="4200" spans="1:11" ht="42" customHeight="1">
      <c r="A4200" s="4" t="s">
        <v>10540</v>
      </c>
      <c r="B4200" s="5" t="s">
        <v>10540</v>
      </c>
      <c r="C4200" s="5" t="s">
        <v>33</v>
      </c>
      <c r="D4200" s="5" t="s">
        <v>34</v>
      </c>
      <c r="E4200" s="5" t="s">
        <v>35</v>
      </c>
      <c r="F4200" s="9" t="s">
        <v>36</v>
      </c>
      <c r="G4200" s="9" t="s">
        <v>985</v>
      </c>
      <c r="H4200" s="5" t="s">
        <v>21</v>
      </c>
      <c r="I4200" s="5" t="s">
        <v>10541</v>
      </c>
      <c r="J4200" s="12" t="str">
        <f>HYPERLINK("https://www.boe.es/gazeta/dias/1808/04/22/pdfs/GMD-C-1808-38.pdf#page=39","Abrir facsímil")</f>
        <v>Abrir facsímil</v>
      </c>
      <c r="K4200" s="15" t="s">
        <v>23</v>
      </c>
    </row>
    <row r="4201" spans="1:11" ht="42" customHeight="1">
      <c r="A4201" s="4" t="s">
        <v>10542</v>
      </c>
      <c r="B4201" s="5" t="s">
        <v>10542</v>
      </c>
      <c r="C4201" s="5" t="s">
        <v>26</v>
      </c>
      <c r="D4201" s="5" t="s">
        <v>27</v>
      </c>
      <c r="E4201" s="5" t="s">
        <v>558</v>
      </c>
      <c r="F4201" s="9" t="s">
        <v>758</v>
      </c>
      <c r="G4201" s="9" t="s">
        <v>117</v>
      </c>
      <c r="H4201" s="5" t="s">
        <v>21</v>
      </c>
      <c r="I4201" s="5" t="s">
        <v>10543</v>
      </c>
      <c r="J4201" s="12" t="str">
        <f>HYPERLINK("https://www.boe.es/gazeta/dias/1808/11/25/pdfs/GMD-E-1808-147.pdf#page=1","Abrir facsímil")</f>
        <v>Abrir facsímil</v>
      </c>
      <c r="K4201" s="15" t="s">
        <v>23</v>
      </c>
    </row>
    <row r="4202" spans="1:11" ht="42" customHeight="1">
      <c r="A4202" s="4" t="s">
        <v>10544</v>
      </c>
      <c r="B4202" s="5" t="s">
        <v>10544</v>
      </c>
      <c r="C4202" s="5" t="s">
        <v>33</v>
      </c>
      <c r="D4202" s="5" t="s">
        <v>34</v>
      </c>
      <c r="E4202" s="5" t="s">
        <v>35</v>
      </c>
      <c r="F4202" s="9" t="s">
        <v>36</v>
      </c>
      <c r="G4202" s="9" t="s">
        <v>501</v>
      </c>
      <c r="H4202" s="5" t="s">
        <v>21</v>
      </c>
      <c r="I4202" s="5" t="s">
        <v>10545</v>
      </c>
      <c r="J4202" s="12" t="str">
        <f>HYPERLINK("https://www.boe.es/gazeta/dias/1808/04/22/pdfs/GMD-C-1808-38.pdf#page=5","Abrir facsímil")</f>
        <v>Abrir facsímil</v>
      </c>
      <c r="K4202" s="15" t="s">
        <v>23</v>
      </c>
    </row>
    <row r="4203" spans="1:11" ht="42" customHeight="1">
      <c r="A4203" s="4" t="s">
        <v>10546</v>
      </c>
      <c r="B4203" s="5" t="s">
        <v>10546</v>
      </c>
      <c r="C4203" s="5" t="s">
        <v>33</v>
      </c>
      <c r="D4203" s="5" t="s">
        <v>34</v>
      </c>
      <c r="E4203" s="5" t="s">
        <v>153</v>
      </c>
      <c r="F4203" s="9" t="s">
        <v>154</v>
      </c>
      <c r="G4203" s="9" t="s">
        <v>75</v>
      </c>
      <c r="H4203" s="5" t="s">
        <v>21</v>
      </c>
      <c r="I4203" s="5" t="s">
        <v>10547</v>
      </c>
      <c r="J4203" s="12" t="str">
        <f>HYPERLINK("https://www.boe.es/gazeta/dias/1808/09/09/pdfs/GMD-C-1808-121.pdf#page=4","Abrir facsímil")</f>
        <v>Abrir facsímil</v>
      </c>
      <c r="K4203" s="15" t="s">
        <v>23</v>
      </c>
    </row>
    <row r="4204" spans="1:11" ht="42" customHeight="1">
      <c r="A4204" s="4" t="s">
        <v>10548</v>
      </c>
      <c r="B4204" s="5" t="s">
        <v>10548</v>
      </c>
      <c r="C4204" s="5" t="s">
        <v>33</v>
      </c>
      <c r="D4204" s="5" t="s">
        <v>34</v>
      </c>
      <c r="E4204" s="5" t="s">
        <v>19</v>
      </c>
      <c r="F4204" s="9" t="s">
        <v>949</v>
      </c>
      <c r="G4204" s="9" t="s">
        <v>106</v>
      </c>
      <c r="H4204" s="5" t="s">
        <v>21</v>
      </c>
      <c r="I4204" s="5" t="s">
        <v>10549</v>
      </c>
      <c r="J4204" s="12" t="str">
        <f>HYPERLINK("https://www.boe.es/gazeta/dias/1808/09/30/pdfs/GMD-C-1808-130.pdf#page=3","Abrir facsímil")</f>
        <v>Abrir facsímil</v>
      </c>
      <c r="K4204" s="15" t="s">
        <v>23</v>
      </c>
    </row>
    <row r="4205" spans="1:11" ht="42" customHeight="1">
      <c r="A4205" s="4" t="s">
        <v>10550</v>
      </c>
      <c r="B4205" s="5" t="s">
        <v>10550</v>
      </c>
      <c r="C4205" s="5" t="s">
        <v>41</v>
      </c>
      <c r="D4205" s="5" t="s">
        <v>42</v>
      </c>
      <c r="E4205" s="5" t="s">
        <v>478</v>
      </c>
      <c r="F4205" s="9" t="s">
        <v>479</v>
      </c>
      <c r="G4205" s="9">
        <v>243</v>
      </c>
      <c r="H4205" s="5" t="s">
        <v>21</v>
      </c>
      <c r="I4205" s="5" t="s">
        <v>10551</v>
      </c>
      <c r="J4205" s="12" t="str">
        <f>HYPERLINK("https://www.boe.es/gazeta/dias/1808/03/08/pdfs/GMD-1808-20.pdf#page=9","Abrir facsímil")</f>
        <v>Abrir facsímil</v>
      </c>
      <c r="K4205" s="15" t="s">
        <v>23</v>
      </c>
    </row>
    <row r="4206" spans="1:11" ht="42" customHeight="1">
      <c r="A4206" s="4" t="s">
        <v>10552</v>
      </c>
      <c r="B4206" s="5" t="s">
        <v>10552</v>
      </c>
      <c r="C4206" s="5" t="s">
        <v>41</v>
      </c>
      <c r="D4206" s="5" t="s">
        <v>42</v>
      </c>
      <c r="E4206" s="5" t="s">
        <v>877</v>
      </c>
      <c r="F4206" s="9" t="s">
        <v>878</v>
      </c>
      <c r="G4206" s="9">
        <v>119</v>
      </c>
      <c r="H4206" s="5" t="s">
        <v>21</v>
      </c>
      <c r="I4206" s="5" t="s">
        <v>10553</v>
      </c>
      <c r="J4206" s="12" t="str">
        <f>HYPERLINK("https://www.boe.es/gazeta/dias/1808/02/02/pdfs/GMD-1808-10.pdf#page=11","Abrir facsímil")</f>
        <v>Abrir facsímil</v>
      </c>
      <c r="K4206" s="15" t="s">
        <v>23</v>
      </c>
    </row>
    <row r="4207" spans="1:11" ht="42" customHeight="1">
      <c r="A4207" s="4" t="s">
        <v>10554</v>
      </c>
      <c r="B4207" s="5" t="s">
        <v>10554</v>
      </c>
      <c r="C4207" s="5" t="s">
        <v>33</v>
      </c>
      <c r="D4207" s="5" t="s">
        <v>34</v>
      </c>
      <c r="E4207" s="5" t="s">
        <v>456</v>
      </c>
      <c r="F4207" s="9" t="s">
        <v>748</v>
      </c>
      <c r="G4207" s="9" t="s">
        <v>75</v>
      </c>
      <c r="H4207" s="5" t="s">
        <v>21</v>
      </c>
      <c r="I4207" s="5" t="s">
        <v>10555</v>
      </c>
      <c r="J4207" s="12" t="str">
        <f>HYPERLINK("https://www.boe.es/gazeta/dias/1808/10/14/pdfs/GMD-C-1808-134.pdf#page=4","Abrir facsímil")</f>
        <v>Abrir facsímil</v>
      </c>
      <c r="K4207" s="15" t="s">
        <v>23</v>
      </c>
    </row>
    <row r="4208" spans="1:11" ht="42" customHeight="1">
      <c r="A4208" s="4" t="s">
        <v>10556</v>
      </c>
      <c r="B4208" s="5" t="s">
        <v>10556</v>
      </c>
      <c r="C4208" s="5" t="s">
        <v>17</v>
      </c>
      <c r="D4208" s="5" t="s">
        <v>18</v>
      </c>
      <c r="E4208" s="5" t="s">
        <v>1702</v>
      </c>
      <c r="F4208" s="9" t="s">
        <v>3079</v>
      </c>
      <c r="G4208" s="9">
        <v>798</v>
      </c>
      <c r="H4208" s="5" t="s">
        <v>21</v>
      </c>
      <c r="I4208" s="5" t="s">
        <v>10557</v>
      </c>
      <c r="J4208" s="12" t="str">
        <f>HYPERLINK("https://www.boe.es/gazeta/dias/1808/07/13/pdfs/GMD-1808-85.pdf#page=8","Abrir facsímil")</f>
        <v>Abrir facsímil</v>
      </c>
      <c r="K4208" s="15" t="s">
        <v>23</v>
      </c>
    </row>
    <row r="4209" spans="1:11" ht="42" customHeight="1">
      <c r="A4209" s="4" t="s">
        <v>10558</v>
      </c>
      <c r="B4209" s="5" t="s">
        <v>10558</v>
      </c>
      <c r="C4209" s="5" t="s">
        <v>33</v>
      </c>
      <c r="D4209" s="5" t="s">
        <v>34</v>
      </c>
      <c r="E4209" s="5" t="s">
        <v>461</v>
      </c>
      <c r="F4209" s="9" t="s">
        <v>462</v>
      </c>
      <c r="G4209" s="9" t="s">
        <v>106</v>
      </c>
      <c r="H4209" s="5" t="s">
        <v>21</v>
      </c>
      <c r="I4209" s="5" t="s">
        <v>10559</v>
      </c>
      <c r="J4209" s="12" t="str">
        <f>HYPERLINK("https://www.boe.es/gazeta/dias/1808/11/08/pdfs/GMD-D-1808-142.pdf#page=3","Abrir facsímil")</f>
        <v>Abrir facsímil</v>
      </c>
      <c r="K4209" s="15" t="s">
        <v>23</v>
      </c>
    </row>
    <row r="4210" spans="1:11" ht="42" customHeight="1">
      <c r="A4210" s="4" t="s">
        <v>10560</v>
      </c>
      <c r="B4210" s="5" t="s">
        <v>10560</v>
      </c>
      <c r="C4210" s="5" t="s">
        <v>17</v>
      </c>
      <c r="D4210" s="5" t="s">
        <v>18</v>
      </c>
      <c r="E4210" s="5" t="s">
        <v>61</v>
      </c>
      <c r="F4210" s="9" t="s">
        <v>62</v>
      </c>
      <c r="G4210" s="9">
        <v>1286</v>
      </c>
      <c r="H4210" s="5" t="s">
        <v>21</v>
      </c>
      <c r="I4210" s="5" t="s">
        <v>10561</v>
      </c>
      <c r="J4210" s="12" t="str">
        <f>HYPERLINK("https://www.boe.es/gazeta/dias/1808/10/11/pdfs/GMD-1808-133.pdf#page=14","Abrir facsímil")</f>
        <v>Abrir facsímil</v>
      </c>
      <c r="K4210" s="15" t="s">
        <v>23</v>
      </c>
    </row>
    <row r="4211" spans="1:11" ht="42" customHeight="1">
      <c r="A4211" s="4" t="s">
        <v>10562</v>
      </c>
      <c r="B4211" s="5" t="s">
        <v>10562</v>
      </c>
      <c r="C4211" s="5" t="s">
        <v>33</v>
      </c>
      <c r="D4211" s="5" t="s">
        <v>34</v>
      </c>
      <c r="E4211" s="5" t="s">
        <v>391</v>
      </c>
      <c r="F4211" s="9" t="s">
        <v>588</v>
      </c>
      <c r="G4211" s="9" t="s">
        <v>106</v>
      </c>
      <c r="H4211" s="5" t="s">
        <v>21</v>
      </c>
      <c r="I4211" s="5" t="s">
        <v>10563</v>
      </c>
      <c r="J4211" s="12" t="str">
        <f>HYPERLINK("https://www.boe.es/gazeta/dias/1808/09/27/pdfs/GMD-C-1808-128.pdf#page=3","Abrir facsímil")</f>
        <v>Abrir facsímil</v>
      </c>
      <c r="K4211" s="15" t="s">
        <v>23</v>
      </c>
    </row>
    <row r="4212" spans="1:11" ht="42" customHeight="1">
      <c r="A4212" s="4" t="s">
        <v>10564</v>
      </c>
      <c r="B4212" s="5" t="s">
        <v>10564</v>
      </c>
      <c r="C4212" s="5" t="s">
        <v>389</v>
      </c>
      <c r="D4212" s="5" t="s">
        <v>390</v>
      </c>
      <c r="E4212" s="5" t="s">
        <v>264</v>
      </c>
      <c r="F4212" s="9" t="s">
        <v>318</v>
      </c>
      <c r="G4212" s="9" t="s">
        <v>199</v>
      </c>
      <c r="H4212" s="5" t="s">
        <v>21</v>
      </c>
      <c r="I4212" s="5" t="s">
        <v>10565</v>
      </c>
      <c r="J4212" s="12" t="str">
        <f>HYPERLINK("https://www.boe.es/gazeta/dias/1808/11/29/pdfs/GMD-C-1808-148.pdf#page=2","Abrir facsímil")</f>
        <v>Abrir facsímil</v>
      </c>
      <c r="K4212" s="15" t="s">
        <v>23</v>
      </c>
    </row>
    <row r="4213" spans="1:11" ht="42" customHeight="1">
      <c r="A4213" s="4" t="s">
        <v>10566</v>
      </c>
      <c r="B4213" s="5" t="s">
        <v>10566</v>
      </c>
      <c r="C4213" s="5" t="s">
        <v>94</v>
      </c>
      <c r="D4213" s="5" t="s">
        <v>95</v>
      </c>
      <c r="E4213" s="5" t="s">
        <v>68</v>
      </c>
      <c r="F4213" s="9" t="s">
        <v>849</v>
      </c>
      <c r="G4213" s="9">
        <v>1349</v>
      </c>
      <c r="H4213" s="5" t="s">
        <v>21</v>
      </c>
      <c r="I4213" s="5" t="s">
        <v>10567</v>
      </c>
      <c r="J4213" s="12" t="str">
        <f>HYPERLINK("https://www.boe.es/gazeta/dias/1808/10/21/pdfs/GMD-C-1808-136.pdf#page=9","Abrir facsímil")</f>
        <v>Abrir facsímil</v>
      </c>
      <c r="K4213" s="15" t="s">
        <v>23</v>
      </c>
    </row>
    <row r="4214" spans="1:11" ht="42" customHeight="1">
      <c r="A4214" s="4" t="s">
        <v>10568</v>
      </c>
      <c r="B4214" s="5" t="s">
        <v>10568</v>
      </c>
      <c r="C4214" s="5" t="s">
        <v>94</v>
      </c>
      <c r="D4214" s="5" t="s">
        <v>95</v>
      </c>
      <c r="E4214" s="5" t="s">
        <v>54</v>
      </c>
      <c r="F4214" s="9" t="s">
        <v>55</v>
      </c>
      <c r="G4214" s="9">
        <v>1089</v>
      </c>
      <c r="H4214" s="5" t="s">
        <v>21</v>
      </c>
      <c r="I4214" s="5" t="s">
        <v>10569</v>
      </c>
      <c r="J4214" s="12" t="str">
        <f>HYPERLINK("https://www.boe.es/gazeta/dias/1808/08/26/pdfs/GMD-1808-117.pdf#page=11","Abrir facsímil")</f>
        <v>Abrir facsímil</v>
      </c>
      <c r="K4214" s="15" t="s">
        <v>23</v>
      </c>
    </row>
    <row r="4215" spans="1:11" ht="42" customHeight="1">
      <c r="A4215" s="4" t="s">
        <v>10570</v>
      </c>
      <c r="B4215" s="5" t="s">
        <v>10570</v>
      </c>
      <c r="C4215" s="5" t="s">
        <v>17</v>
      </c>
      <c r="D4215" s="5" t="s">
        <v>18</v>
      </c>
      <c r="E4215" s="5" t="s">
        <v>218</v>
      </c>
      <c r="F4215" s="9" t="s">
        <v>219</v>
      </c>
      <c r="G4215" s="9">
        <v>331</v>
      </c>
      <c r="H4215" s="5" t="s">
        <v>21</v>
      </c>
      <c r="I4215" s="5" t="s">
        <v>10571</v>
      </c>
      <c r="J4215" s="12" t="str">
        <f>HYPERLINK("https://www.boe.es/gazeta/dias/1808/04/01/pdfs/GMD-1808-29.pdf#page=7","Abrir facsímil")</f>
        <v>Abrir facsímil</v>
      </c>
      <c r="K4215" s="15" t="s">
        <v>23</v>
      </c>
    </row>
    <row r="4216" spans="1:11" ht="42" customHeight="1">
      <c r="A4216" s="4" t="s">
        <v>10570</v>
      </c>
      <c r="B4216" s="5" t="s">
        <v>10570</v>
      </c>
      <c r="C4216" s="5" t="s">
        <v>17</v>
      </c>
      <c r="D4216" s="5" t="s">
        <v>18</v>
      </c>
      <c r="E4216" s="5" t="s">
        <v>1791</v>
      </c>
      <c r="F4216" s="9" t="s">
        <v>2814</v>
      </c>
      <c r="G4216" s="9">
        <v>930</v>
      </c>
      <c r="H4216" s="5" t="s">
        <v>21</v>
      </c>
      <c r="I4216" s="5" t="s">
        <v>10572</v>
      </c>
      <c r="J4216" s="12" t="str">
        <f>HYPERLINK("https://www.boe.es/gazeta/dias/1808/07/30/pdfs/GMD-1808-102.pdf#page=4","Abrir facsímil")</f>
        <v>Abrir facsímil</v>
      </c>
      <c r="K4216" s="15" t="s">
        <v>23</v>
      </c>
    </row>
    <row r="4217" spans="1:11" ht="42" customHeight="1">
      <c r="A4217" s="4" t="s">
        <v>10573</v>
      </c>
      <c r="B4217" s="5" t="s">
        <v>10573</v>
      </c>
      <c r="C4217" s="5" t="s">
        <v>17</v>
      </c>
      <c r="D4217" s="5" t="s">
        <v>18</v>
      </c>
      <c r="E4217" s="5" t="s">
        <v>427</v>
      </c>
      <c r="F4217" s="9" t="s">
        <v>1802</v>
      </c>
      <c r="G4217" s="9">
        <v>1525</v>
      </c>
      <c r="H4217" s="5" t="s">
        <v>21</v>
      </c>
      <c r="I4217" s="5" t="s">
        <v>10574</v>
      </c>
      <c r="J4217" s="12" t="str">
        <f>HYPERLINK("https://www.boe.es/gazeta/dias/1808/11/22/pdfs/GMD-1808-146.pdf#page=11","Abrir facsímil")</f>
        <v>Abrir facsímil</v>
      </c>
      <c r="K4217" s="15" t="s">
        <v>23</v>
      </c>
    </row>
    <row r="4218" spans="1:11" ht="42" customHeight="1">
      <c r="A4218" s="4" t="s">
        <v>10575</v>
      </c>
      <c r="B4218" s="5" t="s">
        <v>10575</v>
      </c>
      <c r="C4218" s="5" t="s">
        <v>17</v>
      </c>
      <c r="D4218" s="5" t="s">
        <v>18</v>
      </c>
      <c r="E4218" s="5" t="s">
        <v>54</v>
      </c>
      <c r="F4218" s="9" t="s">
        <v>55</v>
      </c>
      <c r="G4218" s="9">
        <v>1084</v>
      </c>
      <c r="H4218" s="5" t="s">
        <v>21</v>
      </c>
      <c r="I4218" s="5" t="s">
        <v>10576</v>
      </c>
      <c r="J4218" s="12" t="str">
        <f>HYPERLINK("https://www.boe.es/gazeta/dias/1808/08/26/pdfs/GMD-1808-117.pdf#page=6","Abrir facsímil")</f>
        <v>Abrir facsímil</v>
      </c>
      <c r="K4218" s="15" t="s">
        <v>23</v>
      </c>
    </row>
    <row r="4219" spans="1:11" ht="42" customHeight="1">
      <c r="A4219" s="4" t="s">
        <v>10577</v>
      </c>
      <c r="B4219" s="5" t="s">
        <v>10577</v>
      </c>
      <c r="C4219" s="5" t="s">
        <v>389</v>
      </c>
      <c r="D4219" s="5" t="s">
        <v>390</v>
      </c>
      <c r="E4219" s="5" t="s">
        <v>2794</v>
      </c>
      <c r="F4219" s="9" t="s">
        <v>2795</v>
      </c>
      <c r="G4219" s="9">
        <v>977</v>
      </c>
      <c r="H4219" s="5" t="s">
        <v>21</v>
      </c>
      <c r="I4219" s="5" t="s">
        <v>10578</v>
      </c>
      <c r="J4219" s="12" t="str">
        <f>HYPERLINK("https://www.boe.es/gazeta/dias/1808/08/06/pdfs/GMD-1808-109.pdf#page=3","Abrir facsímil")</f>
        <v>Abrir facsímil</v>
      </c>
      <c r="K4219" s="15" t="s">
        <v>23</v>
      </c>
    </row>
    <row r="4220" spans="1:11" ht="42" customHeight="1">
      <c r="A4220" s="4" t="s">
        <v>10579</v>
      </c>
      <c r="B4220" s="5" t="s">
        <v>10579</v>
      </c>
      <c r="C4220" s="5" t="s">
        <v>17</v>
      </c>
      <c r="D4220" s="5" t="s">
        <v>18</v>
      </c>
      <c r="E4220" s="5" t="s">
        <v>54</v>
      </c>
      <c r="F4220" s="9" t="s">
        <v>55</v>
      </c>
      <c r="G4220" s="9">
        <v>1079</v>
      </c>
      <c r="H4220" s="5" t="s">
        <v>21</v>
      </c>
      <c r="I4220" s="5" t="s">
        <v>10580</v>
      </c>
      <c r="J4220" s="12" t="str">
        <f>HYPERLINK("https://www.boe.es/gazeta/dias/1808/08/26/pdfs/GMD-1808-117.pdf#page=1","Abrir facsímil")</f>
        <v>Abrir facsímil</v>
      </c>
      <c r="K4220" s="15" t="s">
        <v>23</v>
      </c>
    </row>
    <row r="4221" spans="1:11" ht="42" customHeight="1">
      <c r="A4221" s="4" t="s">
        <v>10579</v>
      </c>
      <c r="B4221" s="5" t="s">
        <v>10579</v>
      </c>
      <c r="C4221" s="5" t="s">
        <v>41</v>
      </c>
      <c r="D4221" s="5" t="s">
        <v>42</v>
      </c>
      <c r="E4221" s="5" t="s">
        <v>539</v>
      </c>
      <c r="F4221" s="9" t="s">
        <v>908</v>
      </c>
      <c r="G4221" s="9">
        <v>222</v>
      </c>
      <c r="H4221" s="5" t="s">
        <v>21</v>
      </c>
      <c r="I4221" s="5" t="s">
        <v>10581</v>
      </c>
      <c r="J4221" s="12" t="str">
        <f>HYPERLINK("https://www.boe.es/gazeta/dias/1808/09/02/pdfs/GMS-1808-28.pdf#page=6","Abrir facsímil")</f>
        <v>Abrir facsímil</v>
      </c>
      <c r="K4221" s="15" t="s">
        <v>23</v>
      </c>
    </row>
    <row r="4222" spans="1:11" ht="42" customHeight="1">
      <c r="A4222" s="4" t="s">
        <v>10582</v>
      </c>
      <c r="B4222" s="5" t="s">
        <v>10582</v>
      </c>
      <c r="C4222" s="5" t="s">
        <v>33</v>
      </c>
      <c r="D4222" s="5" t="s">
        <v>34</v>
      </c>
      <c r="E4222" s="5" t="s">
        <v>35</v>
      </c>
      <c r="F4222" s="9" t="s">
        <v>36</v>
      </c>
      <c r="G4222" s="9" t="s">
        <v>284</v>
      </c>
      <c r="H4222" s="5" t="s">
        <v>21</v>
      </c>
      <c r="I4222" s="5" t="s">
        <v>10583</v>
      </c>
      <c r="J4222" s="12" t="str">
        <f>HYPERLINK("https://www.boe.es/gazeta/dias/1808/04/22/pdfs/GMD-C-1808-38.pdf#page=35","Abrir facsímil")</f>
        <v>Abrir facsímil</v>
      </c>
      <c r="K4222" s="15" t="s">
        <v>23</v>
      </c>
    </row>
    <row r="4223" spans="1:11" ht="42" customHeight="1">
      <c r="A4223" s="4" t="s">
        <v>10582</v>
      </c>
      <c r="B4223" s="5" t="s">
        <v>10582</v>
      </c>
      <c r="C4223" s="5" t="s">
        <v>33</v>
      </c>
      <c r="D4223" s="5" t="s">
        <v>34</v>
      </c>
      <c r="E4223" s="5" t="s">
        <v>35</v>
      </c>
      <c r="F4223" s="9" t="s">
        <v>36</v>
      </c>
      <c r="G4223" s="9" t="s">
        <v>1294</v>
      </c>
      <c r="H4223" s="5" t="s">
        <v>21</v>
      </c>
      <c r="I4223" s="5" t="s">
        <v>10584</v>
      </c>
      <c r="J4223" s="12" t="str">
        <f>HYPERLINK("https://www.boe.es/gazeta/dias/1808/04/22/pdfs/GMD-C-1808-38.pdf#page=8","Abrir facsímil")</f>
        <v>Abrir facsímil</v>
      </c>
      <c r="K4223" s="15" t="s">
        <v>23</v>
      </c>
    </row>
    <row r="4224" spans="1:11" ht="42" customHeight="1">
      <c r="A4224" s="4" t="s">
        <v>10585</v>
      </c>
      <c r="B4224" s="5" t="s">
        <v>10585</v>
      </c>
      <c r="C4224" s="5" t="s">
        <v>33</v>
      </c>
      <c r="D4224" s="5" t="s">
        <v>34</v>
      </c>
      <c r="E4224" s="5" t="s">
        <v>35</v>
      </c>
      <c r="F4224" s="9" t="s">
        <v>36</v>
      </c>
      <c r="G4224" s="9" t="s">
        <v>498</v>
      </c>
      <c r="H4224" s="5" t="s">
        <v>21</v>
      </c>
      <c r="I4224" s="5" t="s">
        <v>10586</v>
      </c>
      <c r="J4224" s="12" t="str">
        <f>HYPERLINK("https://www.boe.es/gazeta/dias/1808/04/22/pdfs/GMD-C-1808-38.pdf#page=22","Abrir facsímil")</f>
        <v>Abrir facsímil</v>
      </c>
      <c r="K4224" s="15" t="s">
        <v>23</v>
      </c>
    </row>
    <row r="4225" spans="1:11" ht="42" customHeight="1">
      <c r="A4225" s="4" t="s">
        <v>10587</v>
      </c>
      <c r="B4225" s="5" t="s">
        <v>10587</v>
      </c>
      <c r="C4225" s="5" t="s">
        <v>17</v>
      </c>
      <c r="D4225" s="5" t="s">
        <v>18</v>
      </c>
      <c r="E4225" s="5" t="s">
        <v>391</v>
      </c>
      <c r="F4225" s="9" t="s">
        <v>454</v>
      </c>
      <c r="G4225" s="9">
        <v>277</v>
      </c>
      <c r="H4225" s="5" t="s">
        <v>21</v>
      </c>
      <c r="I4225" s="5" t="s">
        <v>10588</v>
      </c>
      <c r="J4225" s="12" t="str">
        <f>HYPERLINK("https://www.boe.es/gazeta/dias/1808/09/27/pdfs/GMS-1808-35.pdf#page=5","Abrir facsímil")</f>
        <v>Abrir facsímil</v>
      </c>
      <c r="K4225" s="15" t="s">
        <v>23</v>
      </c>
    </row>
    <row r="4226" spans="1:11" ht="42" customHeight="1">
      <c r="A4226" s="4" t="s">
        <v>10589</v>
      </c>
      <c r="B4226" s="5" t="s">
        <v>10589</v>
      </c>
      <c r="C4226" s="5" t="s">
        <v>33</v>
      </c>
      <c r="D4226" s="5" t="s">
        <v>34</v>
      </c>
      <c r="E4226" s="5" t="s">
        <v>35</v>
      </c>
      <c r="F4226" s="9" t="s">
        <v>36</v>
      </c>
      <c r="G4226" s="9" t="s">
        <v>37</v>
      </c>
      <c r="H4226" s="5" t="s">
        <v>21</v>
      </c>
      <c r="I4226" s="5" t="s">
        <v>10590</v>
      </c>
      <c r="J4226" s="12" t="str">
        <f>HYPERLINK("https://www.boe.es/gazeta/dias/1808/04/22/pdfs/GMD-C-1808-38.pdf#page=33","Abrir facsímil")</f>
        <v>Abrir facsímil</v>
      </c>
      <c r="K4226" s="15" t="s">
        <v>23</v>
      </c>
    </row>
    <row r="4227" spans="1:11" ht="42" customHeight="1">
      <c r="A4227" s="4" t="s">
        <v>10591</v>
      </c>
      <c r="B4227" s="5" t="s">
        <v>10591</v>
      </c>
      <c r="C4227" s="5" t="s">
        <v>33</v>
      </c>
      <c r="D4227" s="5" t="s">
        <v>34</v>
      </c>
      <c r="E4227" s="5" t="s">
        <v>125</v>
      </c>
      <c r="F4227" s="9" t="s">
        <v>126</v>
      </c>
      <c r="G4227" s="9" t="s">
        <v>199</v>
      </c>
      <c r="H4227" s="5" t="s">
        <v>21</v>
      </c>
      <c r="I4227" s="5" t="s">
        <v>10592</v>
      </c>
      <c r="J4227" s="12" t="str">
        <f>HYPERLINK("https://www.boe.es/gazeta/dias/1808/10/07/pdfs/GMD-C-1808-132.pdf#page=2","Abrir facsímil")</f>
        <v>Abrir facsímil</v>
      </c>
      <c r="K4227" s="15" t="s">
        <v>23</v>
      </c>
    </row>
    <row r="4228" spans="1:11" ht="42" customHeight="1">
      <c r="A4228" s="4" t="s">
        <v>10591</v>
      </c>
      <c r="B4228" s="5" t="s">
        <v>10591</v>
      </c>
      <c r="C4228" s="5" t="s">
        <v>17</v>
      </c>
      <c r="D4228" s="5" t="s">
        <v>18</v>
      </c>
      <c r="E4228" s="5" t="s">
        <v>130</v>
      </c>
      <c r="F4228" s="9" t="s">
        <v>131</v>
      </c>
      <c r="G4228" s="9">
        <v>1604</v>
      </c>
      <c r="H4228" s="5" t="s">
        <v>21</v>
      </c>
      <c r="I4228" s="5" t="s">
        <v>10593</v>
      </c>
      <c r="J4228" s="12" t="str">
        <f>HYPERLINK("https://www.boe.es/gazeta/dias/1808/12/15/pdfs/GMD-1808-155.pdf#page=8","Abrir facsímil")</f>
        <v>Abrir facsímil</v>
      </c>
      <c r="K4228" s="15" t="s">
        <v>23</v>
      </c>
    </row>
    <row r="4229" spans="1:11" ht="42" customHeight="1">
      <c r="A4229" s="4" t="s">
        <v>10594</v>
      </c>
      <c r="B4229" s="5" t="s">
        <v>10594</v>
      </c>
      <c r="C4229" s="5" t="s">
        <v>41</v>
      </c>
      <c r="D4229" s="5" t="s">
        <v>42</v>
      </c>
      <c r="E4229" s="5" t="s">
        <v>166</v>
      </c>
      <c r="F4229" s="9" t="s">
        <v>400</v>
      </c>
      <c r="G4229" s="9" t="s">
        <v>117</v>
      </c>
      <c r="H4229" s="5" t="s">
        <v>21</v>
      </c>
      <c r="I4229" s="5" t="s">
        <v>10595</v>
      </c>
      <c r="J4229" s="12" t="str">
        <f>HYPERLINK("https://www.boe.es/gazeta/dias/1808/11/18/pdfs/D00069-00072.pdf#page=1","Abrir facsímil")</f>
        <v>Abrir facsímil</v>
      </c>
      <c r="K4229" s="15" t="s">
        <v>23</v>
      </c>
    </row>
    <row r="4230" spans="1:11" ht="42" customHeight="1">
      <c r="A4230" s="4" t="s">
        <v>10594</v>
      </c>
      <c r="B4230" s="5" t="s">
        <v>10594</v>
      </c>
      <c r="C4230" s="5" t="s">
        <v>17</v>
      </c>
      <c r="D4230" s="5" t="s">
        <v>18</v>
      </c>
      <c r="E4230" s="5" t="s">
        <v>558</v>
      </c>
      <c r="F4230" s="9" t="s">
        <v>559</v>
      </c>
      <c r="G4230" s="9">
        <v>1544</v>
      </c>
      <c r="H4230" s="5" t="s">
        <v>21</v>
      </c>
      <c r="I4230" s="5" t="s">
        <v>10596</v>
      </c>
      <c r="J4230" s="12" t="str">
        <f>HYPERLINK("https://www.boe.es/gazeta/dias/1808/11/25/pdfs/GMD-1808-147.pdf#page=10","Abrir facsímil")</f>
        <v>Abrir facsímil</v>
      </c>
      <c r="K4230" s="15" t="s">
        <v>23</v>
      </c>
    </row>
    <row r="4231" spans="1:11" ht="42" customHeight="1">
      <c r="A4231" s="4" t="s">
        <v>10597</v>
      </c>
      <c r="B4231" s="5" t="s">
        <v>10597</v>
      </c>
      <c r="C4231" s="5" t="s">
        <v>33</v>
      </c>
      <c r="D4231" s="5" t="s">
        <v>34</v>
      </c>
      <c r="E4231" s="5" t="s">
        <v>110</v>
      </c>
      <c r="F4231" s="9" t="s">
        <v>828</v>
      </c>
      <c r="G4231" s="9" t="s">
        <v>117</v>
      </c>
      <c r="H4231" s="5" t="s">
        <v>21</v>
      </c>
      <c r="I4231" s="5" t="s">
        <v>10598</v>
      </c>
      <c r="J4231" s="12" t="str">
        <f>HYPERLINK("https://www.boe.es/gazeta/dias/1808/10/28/pdfs/GMD-D-1808-138.pdf#page=1","Abrir facsímil")</f>
        <v>Abrir facsímil</v>
      </c>
      <c r="K4231" s="15" t="s">
        <v>23</v>
      </c>
    </row>
    <row r="4232" spans="1:11" ht="42" customHeight="1">
      <c r="A4232" s="4" t="s">
        <v>10599</v>
      </c>
      <c r="B4232" s="5" t="s">
        <v>10599</v>
      </c>
      <c r="C4232" s="5" t="s">
        <v>33</v>
      </c>
      <c r="D4232" s="5" t="s">
        <v>34</v>
      </c>
      <c r="E4232" s="5" t="s">
        <v>68</v>
      </c>
      <c r="F4232" s="9" t="s">
        <v>849</v>
      </c>
      <c r="G4232" s="9">
        <v>1344</v>
      </c>
      <c r="H4232" s="5" t="s">
        <v>21</v>
      </c>
      <c r="I4232" s="5" t="s">
        <v>10600</v>
      </c>
      <c r="J4232" s="12" t="str">
        <f>HYPERLINK("https://www.boe.es/gazeta/dias/1808/10/21/pdfs/GMD-C-1808-136.pdf#page=4","Abrir facsímil")</f>
        <v>Abrir facsímil</v>
      </c>
      <c r="K4232" s="15" t="s">
        <v>23</v>
      </c>
    </row>
    <row r="4233" spans="1:11" ht="42" customHeight="1">
      <c r="A4233" s="4" t="s">
        <v>10601</v>
      </c>
      <c r="B4233" s="5" t="s">
        <v>10601</v>
      </c>
      <c r="C4233" s="5" t="s">
        <v>33</v>
      </c>
      <c r="D4233" s="5" t="s">
        <v>34</v>
      </c>
      <c r="E4233" s="5" t="s">
        <v>180</v>
      </c>
      <c r="F4233" s="9" t="s">
        <v>768</v>
      </c>
      <c r="G4233" s="9" t="s">
        <v>75</v>
      </c>
      <c r="H4233" s="5" t="s">
        <v>21</v>
      </c>
      <c r="I4233" s="5" t="s">
        <v>10602</v>
      </c>
      <c r="J4233" s="12" t="str">
        <f>HYPERLINK("https://www.boe.es/gazeta/dias/1808/11/15/pdfs/GMD-D-1808-144.pdf#page=4","Abrir facsímil")</f>
        <v>Abrir facsímil</v>
      </c>
      <c r="K4233" s="15" t="s">
        <v>23</v>
      </c>
    </row>
    <row r="4234" spans="1:11" ht="42" customHeight="1">
      <c r="A4234" s="4" t="s">
        <v>10603</v>
      </c>
      <c r="B4234" s="5" t="s">
        <v>10603</v>
      </c>
      <c r="C4234" s="5" t="s">
        <v>94</v>
      </c>
      <c r="D4234" s="5" t="s">
        <v>95</v>
      </c>
      <c r="E4234" s="5" t="s">
        <v>1893</v>
      </c>
      <c r="F4234" s="9" t="s">
        <v>1894</v>
      </c>
      <c r="G4234" s="9">
        <v>747</v>
      </c>
      <c r="H4234" s="5" t="s">
        <v>21</v>
      </c>
      <c r="I4234" s="5" t="s">
        <v>10604</v>
      </c>
      <c r="J4234" s="12" t="str">
        <f>HYPERLINK("https://www.boe.es/gazeta/dias/1808/07/07/pdfs/GMD-1808-79.pdf#page=5","Abrir facsímil")</f>
        <v>Abrir facsímil</v>
      </c>
      <c r="K4234" s="15" t="s">
        <v>23</v>
      </c>
    </row>
    <row r="4235" spans="1:11" ht="42" customHeight="1">
      <c r="A4235" s="4" t="s">
        <v>10605</v>
      </c>
      <c r="B4235" s="5" t="s">
        <v>10606</v>
      </c>
      <c r="C4235" s="5" t="s">
        <v>17</v>
      </c>
      <c r="D4235" s="5" t="s">
        <v>18</v>
      </c>
      <c r="E4235" s="5" t="s">
        <v>1085</v>
      </c>
      <c r="F4235" s="9" t="s">
        <v>1086</v>
      </c>
      <c r="G4235" s="9">
        <v>108</v>
      </c>
      <c r="H4235" s="5" t="s">
        <v>21</v>
      </c>
      <c r="I4235" s="5" t="s">
        <v>10607</v>
      </c>
      <c r="J4235" s="12" t="str">
        <f>HYPERLINK("https://www.boe.es/gazeta/dias/1808/01/29/pdfs/GMD-1808-9.pdf#page=12","Abrir facsímil")</f>
        <v>Abrir facsímil</v>
      </c>
      <c r="K4235" s="15" t="s">
        <v>23</v>
      </c>
    </row>
    <row r="4236" spans="1:11" ht="42" customHeight="1">
      <c r="A4236" s="4" t="s">
        <v>10608</v>
      </c>
      <c r="B4236" s="5" t="s">
        <v>10609</v>
      </c>
      <c r="C4236" s="5" t="s">
        <v>260</v>
      </c>
      <c r="D4236" s="5" t="s">
        <v>42</v>
      </c>
      <c r="E4236" s="5" t="s">
        <v>1484</v>
      </c>
      <c r="F4236" s="9" t="s">
        <v>1485</v>
      </c>
      <c r="G4236" s="9">
        <v>676</v>
      </c>
      <c r="H4236" s="5" t="s">
        <v>21</v>
      </c>
      <c r="I4236" s="5" t="s">
        <v>10610</v>
      </c>
      <c r="J4236" s="12" t="str">
        <f>HYPERLINK("https://www.boe.es/gazeta/dias/1808/06/28/pdfs/GMD-1808-70.pdf#page=6","Abrir facsímil")</f>
        <v>Abrir facsímil</v>
      </c>
      <c r="K4236" s="15" t="s">
        <v>23</v>
      </c>
    </row>
    <row r="4237" spans="1:11" ht="42" customHeight="1">
      <c r="A4237" s="4" t="s">
        <v>10611</v>
      </c>
      <c r="B4237" s="5" t="s">
        <v>10611</v>
      </c>
      <c r="C4237" s="5" t="s">
        <v>33</v>
      </c>
      <c r="D4237" s="5" t="s">
        <v>34</v>
      </c>
      <c r="E4237" s="5" t="s">
        <v>35</v>
      </c>
      <c r="F4237" s="9" t="s">
        <v>36</v>
      </c>
      <c r="G4237" s="9" t="s">
        <v>162</v>
      </c>
      <c r="H4237" s="5" t="s">
        <v>21</v>
      </c>
      <c r="I4237" s="5" t="s">
        <v>10612</v>
      </c>
      <c r="J4237" s="12" t="str">
        <f>HYPERLINK("https://www.boe.es/gazeta/dias/1808/04/22/pdfs/GMD-C-1808-38.pdf#page=31","Abrir facsímil")</f>
        <v>Abrir facsímil</v>
      </c>
      <c r="K4237" s="15" t="s">
        <v>23</v>
      </c>
    </row>
    <row r="4238" spans="1:11" ht="42" customHeight="1">
      <c r="A4238" s="4" t="s">
        <v>10613</v>
      </c>
      <c r="B4238" s="5" t="s">
        <v>10613</v>
      </c>
      <c r="C4238" s="5" t="s">
        <v>17</v>
      </c>
      <c r="D4238" s="5" t="s">
        <v>18</v>
      </c>
      <c r="E4238" s="5" t="s">
        <v>54</v>
      </c>
      <c r="F4238" s="9" t="s">
        <v>55</v>
      </c>
      <c r="G4238" s="9">
        <v>1087</v>
      </c>
      <c r="H4238" s="5" t="s">
        <v>21</v>
      </c>
      <c r="I4238" s="5" t="s">
        <v>10614</v>
      </c>
      <c r="J4238" s="12" t="str">
        <f>HYPERLINK("https://www.boe.es/gazeta/dias/1808/08/26/pdfs/GMD-1808-117.pdf#page=9","Abrir facsímil")</f>
        <v>Abrir facsímil</v>
      </c>
      <c r="K4238" s="15" t="s">
        <v>23</v>
      </c>
    </row>
    <row r="4239" spans="1:11" ht="42" customHeight="1">
      <c r="A4239" s="4" t="s">
        <v>10615</v>
      </c>
      <c r="B4239" s="5" t="s">
        <v>10615</v>
      </c>
      <c r="C4239" s="5" t="s">
        <v>94</v>
      </c>
      <c r="D4239" s="5" t="s">
        <v>95</v>
      </c>
      <c r="E4239" s="5" t="s">
        <v>210</v>
      </c>
      <c r="F4239" s="9" t="s">
        <v>211</v>
      </c>
      <c r="G4239" s="9">
        <v>254</v>
      </c>
      <c r="H4239" s="5" t="s">
        <v>21</v>
      </c>
      <c r="I4239" s="5" t="s">
        <v>10616</v>
      </c>
      <c r="J4239" s="12" t="str">
        <f>HYPERLINK("https://www.boe.es/gazeta/dias/1808/03/11/pdfs/GMD-1808-21.pdf#page=8","Abrir facsímil")</f>
        <v>Abrir facsímil</v>
      </c>
      <c r="K4239" s="15" t="s">
        <v>23</v>
      </c>
    </row>
    <row r="4240" spans="1:11" ht="42" customHeight="1">
      <c r="A4240" s="4" t="s">
        <v>10617</v>
      </c>
      <c r="B4240" s="5" t="s">
        <v>10618</v>
      </c>
      <c r="C4240" s="5" t="s">
        <v>17</v>
      </c>
      <c r="D4240" s="5" t="s">
        <v>18</v>
      </c>
      <c r="E4240" s="5" t="s">
        <v>130</v>
      </c>
      <c r="F4240" s="9" t="s">
        <v>131</v>
      </c>
      <c r="G4240" s="9">
        <v>1602</v>
      </c>
      <c r="H4240" s="5" t="s">
        <v>21</v>
      </c>
      <c r="I4240" s="5" t="s">
        <v>10619</v>
      </c>
      <c r="J4240" s="12" t="str">
        <f>HYPERLINK("https://www.boe.es/gazeta/dias/1808/12/15/pdfs/GMD-1808-155.pdf#page=6","Abrir facsímil")</f>
        <v>Abrir facsímil</v>
      </c>
      <c r="K4240" s="15" t="s">
        <v>23</v>
      </c>
    </row>
    <row r="4241" spans="1:11" ht="42" customHeight="1">
      <c r="A4241" s="4" t="s">
        <v>10620</v>
      </c>
      <c r="B4241" s="5" t="s">
        <v>10620</v>
      </c>
      <c r="C4241" s="5" t="s">
        <v>33</v>
      </c>
      <c r="D4241" s="5" t="s">
        <v>34</v>
      </c>
      <c r="E4241" s="5" t="s">
        <v>35</v>
      </c>
      <c r="F4241" s="9" t="s">
        <v>36</v>
      </c>
      <c r="G4241" s="9" t="s">
        <v>814</v>
      </c>
      <c r="H4241" s="5" t="s">
        <v>21</v>
      </c>
      <c r="I4241" s="5" t="s">
        <v>10621</v>
      </c>
      <c r="J4241" s="12" t="str">
        <f>HYPERLINK("https://www.boe.es/gazeta/dias/1808/04/22/pdfs/GMD-C-1808-38.pdf#page=25","Abrir facsímil")</f>
        <v>Abrir facsímil</v>
      </c>
      <c r="K4241" s="15" t="s">
        <v>23</v>
      </c>
    </row>
    <row r="4242" spans="1:11" ht="42" customHeight="1">
      <c r="A4242" s="4" t="s">
        <v>10622</v>
      </c>
      <c r="B4242" s="5" t="s">
        <v>10622</v>
      </c>
      <c r="C4242" s="5" t="s">
        <v>260</v>
      </c>
      <c r="D4242" s="5" t="s">
        <v>42</v>
      </c>
      <c r="E4242" s="5" t="s">
        <v>368</v>
      </c>
      <c r="F4242" s="9" t="s">
        <v>369</v>
      </c>
      <c r="G4242" s="9">
        <v>167</v>
      </c>
      <c r="H4242" s="5" t="s">
        <v>21</v>
      </c>
      <c r="I4242" s="5" t="s">
        <v>10623</v>
      </c>
      <c r="J4242" s="12" t="str">
        <f>HYPERLINK("https://www.boe.es/gazeta/dias/1808/02/16/pdfs/GMD-1808-14.pdf#page=9","Abrir facsímil")</f>
        <v>Abrir facsímil</v>
      </c>
      <c r="K4242" s="15" t="s">
        <v>23</v>
      </c>
    </row>
    <row r="4243" spans="1:11" ht="42" customHeight="1">
      <c r="A4243" s="4" t="s">
        <v>10624</v>
      </c>
      <c r="B4243" s="5" t="s">
        <v>10624</v>
      </c>
      <c r="C4243" s="5" t="s">
        <v>94</v>
      </c>
      <c r="D4243" s="5" t="s">
        <v>95</v>
      </c>
      <c r="E4243" s="5" t="s">
        <v>73</v>
      </c>
      <c r="F4243" s="9" t="s">
        <v>1570</v>
      </c>
      <c r="G4243" s="9">
        <v>1484</v>
      </c>
      <c r="H4243" s="5" t="s">
        <v>21</v>
      </c>
      <c r="I4243" s="5" t="s">
        <v>10625</v>
      </c>
      <c r="J4243" s="12" t="str">
        <f>HYPERLINK("https://www.boe.es/gazeta/dias/1808/11/11/pdfs/GMD-C-1808-143.pdf#page=14","Abrir facsímil")</f>
        <v>Abrir facsímil</v>
      </c>
      <c r="K4243" s="15" t="s">
        <v>23</v>
      </c>
    </row>
    <row r="4244" spans="1:11" ht="42" customHeight="1">
      <c r="A4244" s="4" t="s">
        <v>10626</v>
      </c>
      <c r="B4244" s="5" t="s">
        <v>10626</v>
      </c>
      <c r="C4244" s="5" t="s">
        <v>17</v>
      </c>
      <c r="D4244" s="5" t="s">
        <v>18</v>
      </c>
      <c r="E4244" s="5" t="s">
        <v>719</v>
      </c>
      <c r="F4244" s="9" t="s">
        <v>720</v>
      </c>
      <c r="G4244" s="9">
        <v>1609</v>
      </c>
      <c r="H4244" s="5" t="s">
        <v>21</v>
      </c>
      <c r="I4244" s="5" t="s">
        <v>10627</v>
      </c>
      <c r="J4244" s="12" t="str">
        <f>HYPERLINK("https://www.boe.es/gazeta/dias/1808/12/16/pdfs/GMD-1808-156.pdf#page=1","Abrir facsímil")</f>
        <v>Abrir facsímil</v>
      </c>
      <c r="K4244" s="15" t="s">
        <v>23</v>
      </c>
    </row>
    <row r="4245" spans="1:11" ht="42" customHeight="1">
      <c r="A4245" s="4" t="s">
        <v>10628</v>
      </c>
      <c r="B4245" s="5" t="s">
        <v>10628</v>
      </c>
      <c r="C4245" s="5" t="s">
        <v>94</v>
      </c>
      <c r="D4245" s="5" t="s">
        <v>95</v>
      </c>
      <c r="E4245" s="5" t="s">
        <v>68</v>
      </c>
      <c r="F4245" s="9" t="s">
        <v>849</v>
      </c>
      <c r="G4245" s="9">
        <v>1349</v>
      </c>
      <c r="H4245" s="5" t="s">
        <v>21</v>
      </c>
      <c r="I4245" s="5" t="s">
        <v>10629</v>
      </c>
      <c r="J4245" s="12" t="str">
        <f>HYPERLINK("https://www.boe.es/gazeta/dias/1808/10/21/pdfs/GMD-C-1808-136.pdf#page=9","Abrir facsímil")</f>
        <v>Abrir facsímil</v>
      </c>
      <c r="K4245" s="15" t="s">
        <v>23</v>
      </c>
    </row>
    <row r="4246" spans="1:11" ht="42" customHeight="1">
      <c r="A4246" s="4" t="s">
        <v>10630</v>
      </c>
      <c r="B4246" s="5" t="s">
        <v>10630</v>
      </c>
      <c r="C4246" s="5" t="s">
        <v>33</v>
      </c>
      <c r="D4246" s="5" t="s">
        <v>34</v>
      </c>
      <c r="E4246" s="5" t="s">
        <v>35</v>
      </c>
      <c r="F4246" s="9" t="s">
        <v>36</v>
      </c>
      <c r="G4246" s="9" t="s">
        <v>867</v>
      </c>
      <c r="H4246" s="5" t="s">
        <v>21</v>
      </c>
      <c r="I4246" s="5" t="s">
        <v>10631</v>
      </c>
      <c r="J4246" s="12" t="str">
        <f>HYPERLINK("https://www.boe.es/gazeta/dias/1808/04/22/pdfs/GMD-C-1808-38.pdf#page=19","Abrir facsímil")</f>
        <v>Abrir facsímil</v>
      </c>
      <c r="K4246" s="15" t="s">
        <v>23</v>
      </c>
    </row>
    <row r="4247" spans="1:11" ht="42" customHeight="1">
      <c r="A4247" s="4" t="s">
        <v>10632</v>
      </c>
      <c r="B4247" s="5" t="s">
        <v>10632</v>
      </c>
      <c r="C4247" s="5" t="s">
        <v>33</v>
      </c>
      <c r="D4247" s="5" t="s">
        <v>34</v>
      </c>
      <c r="E4247" s="5" t="s">
        <v>456</v>
      </c>
      <c r="F4247" s="9" t="s">
        <v>748</v>
      </c>
      <c r="G4247" s="9" t="s">
        <v>106</v>
      </c>
      <c r="H4247" s="5" t="s">
        <v>21</v>
      </c>
      <c r="I4247" s="5" t="s">
        <v>10633</v>
      </c>
      <c r="J4247" s="12" t="str">
        <f>HYPERLINK("https://www.boe.es/gazeta/dias/1808/10/14/pdfs/GMD-C-1808-134.pdf#page=3","Abrir facsímil")</f>
        <v>Abrir facsímil</v>
      </c>
      <c r="K4247" s="15" t="s">
        <v>23</v>
      </c>
    </row>
    <row r="4248" spans="1:11" ht="42" customHeight="1">
      <c r="A4248" s="4" t="s">
        <v>10634</v>
      </c>
      <c r="B4248" s="5" t="s">
        <v>10634</v>
      </c>
      <c r="C4248" s="5" t="s">
        <v>26</v>
      </c>
      <c r="D4248" s="5" t="s">
        <v>27</v>
      </c>
      <c r="E4248" s="5" t="s">
        <v>197</v>
      </c>
      <c r="F4248" s="9" t="s">
        <v>198</v>
      </c>
      <c r="G4248" s="9" t="s">
        <v>106</v>
      </c>
      <c r="H4248" s="5" t="s">
        <v>21</v>
      </c>
      <c r="I4248" s="5" t="s">
        <v>10635</v>
      </c>
      <c r="J4248" s="12" t="str">
        <f>HYPERLINK("https://www.boe.es/gazeta/dias/1808/11/01/pdfs/GMD-D-1808-140.pdf#page=3","Abrir facsímil")</f>
        <v>Abrir facsímil</v>
      </c>
      <c r="K4248" s="15" t="s">
        <v>23</v>
      </c>
    </row>
    <row r="4249" spans="1:11" ht="42" customHeight="1">
      <c r="A4249" s="4" t="s">
        <v>10636</v>
      </c>
      <c r="B4249" s="5" t="s">
        <v>10636</v>
      </c>
      <c r="C4249" s="5" t="s">
        <v>17</v>
      </c>
      <c r="D4249" s="5" t="s">
        <v>18</v>
      </c>
      <c r="E4249" s="5" t="s">
        <v>125</v>
      </c>
      <c r="F4249" s="9" t="s">
        <v>397</v>
      </c>
      <c r="G4249" s="9">
        <v>1269</v>
      </c>
      <c r="H4249" s="5" t="s">
        <v>21</v>
      </c>
      <c r="I4249" s="5" t="s">
        <v>10637</v>
      </c>
      <c r="J4249" s="12" t="str">
        <f>HYPERLINK("https://www.boe.es/gazeta/dias/1808/10/07/pdfs/GMD-1808-132.pdf#page=9","Abrir facsímil")</f>
        <v>Abrir facsímil</v>
      </c>
      <c r="K4249" s="15" t="s">
        <v>23</v>
      </c>
    </row>
    <row r="4250" spans="1:11" ht="42" customHeight="1">
      <c r="A4250" s="4" t="s">
        <v>10636</v>
      </c>
      <c r="B4250" s="5" t="s">
        <v>10636</v>
      </c>
      <c r="C4250" s="5" t="s">
        <v>33</v>
      </c>
      <c r="D4250" s="5" t="s">
        <v>34</v>
      </c>
      <c r="E4250" s="5" t="s">
        <v>166</v>
      </c>
      <c r="F4250" s="9" t="s">
        <v>400</v>
      </c>
      <c r="G4250" s="9" t="s">
        <v>117</v>
      </c>
      <c r="H4250" s="5" t="s">
        <v>21</v>
      </c>
      <c r="I4250" s="5" t="s">
        <v>10638</v>
      </c>
      <c r="J4250" s="12" t="str">
        <f>HYPERLINK("https://www.boe.es/gazeta/dias/1808/11/18/pdfs/D00069-00072.pdf#page=1","Abrir facsímil")</f>
        <v>Abrir facsímil</v>
      </c>
      <c r="K4250" s="15" t="s">
        <v>23</v>
      </c>
    </row>
    <row r="4251" spans="1:11" ht="42" customHeight="1">
      <c r="A4251" s="4" t="s">
        <v>10639</v>
      </c>
      <c r="B4251" s="5" t="s">
        <v>10639</v>
      </c>
      <c r="C4251" s="5" t="s">
        <v>17</v>
      </c>
      <c r="D4251" s="5" t="s">
        <v>18</v>
      </c>
      <c r="E4251" s="5" t="s">
        <v>1371</v>
      </c>
      <c r="F4251" s="9" t="s">
        <v>1372</v>
      </c>
      <c r="G4251" s="9">
        <v>1674</v>
      </c>
      <c r="H4251" s="5" t="s">
        <v>21</v>
      </c>
      <c r="I4251" s="5" t="s">
        <v>10640</v>
      </c>
      <c r="J4251" s="12" t="str">
        <f>HYPERLINK("https://www.boe.es/gazeta/dias/1808/12/24/pdfs/GMD-1808-164.pdf#page=8","Abrir facsímil")</f>
        <v>Abrir facsímil</v>
      </c>
      <c r="K4251" s="15" t="s">
        <v>23</v>
      </c>
    </row>
    <row r="4252" spans="1:11" ht="42" customHeight="1">
      <c r="A4252" s="4" t="s">
        <v>10641</v>
      </c>
      <c r="B4252" s="5" t="s">
        <v>10641</v>
      </c>
      <c r="C4252" s="5" t="s">
        <v>33</v>
      </c>
      <c r="D4252" s="5" t="s">
        <v>34</v>
      </c>
      <c r="E4252" s="5" t="s">
        <v>35</v>
      </c>
      <c r="F4252" s="9" t="s">
        <v>36</v>
      </c>
      <c r="G4252" s="9" t="s">
        <v>924</v>
      </c>
      <c r="H4252" s="5" t="s">
        <v>21</v>
      </c>
      <c r="I4252" s="5" t="s">
        <v>10642</v>
      </c>
      <c r="J4252" s="12" t="str">
        <f>HYPERLINK("https://www.boe.es/gazeta/dias/1808/04/22/pdfs/GMD-C-1808-38.pdf#page=27","Abrir facsímil")</f>
        <v>Abrir facsímil</v>
      </c>
      <c r="K4252" s="15" t="s">
        <v>23</v>
      </c>
    </row>
    <row r="4253" spans="1:11" ht="42" customHeight="1">
      <c r="A4253" s="4" t="s">
        <v>10641</v>
      </c>
      <c r="B4253" s="5" t="s">
        <v>10641</v>
      </c>
      <c r="C4253" s="5" t="s">
        <v>41</v>
      </c>
      <c r="D4253" s="5" t="s">
        <v>42</v>
      </c>
      <c r="E4253" s="5" t="s">
        <v>35</v>
      </c>
      <c r="F4253" s="9" t="s">
        <v>36</v>
      </c>
      <c r="G4253" s="9" t="s">
        <v>106</v>
      </c>
      <c r="H4253" s="5" t="s">
        <v>21</v>
      </c>
      <c r="I4253" s="5" t="s">
        <v>10643</v>
      </c>
      <c r="J4253" s="12" t="str">
        <f>HYPERLINK("https://www.boe.es/gazeta/dias/1808/04/22/pdfs/GMD-C-1808-38.pdf#page=3","Abrir facsímil")</f>
        <v>Abrir facsímil</v>
      </c>
      <c r="K4253" s="15" t="s">
        <v>23</v>
      </c>
    </row>
    <row r="4254" spans="1:11" ht="42" customHeight="1">
      <c r="A4254" s="4" t="s">
        <v>10644</v>
      </c>
      <c r="B4254" s="5" t="s">
        <v>10644</v>
      </c>
      <c r="C4254" s="5" t="s">
        <v>17</v>
      </c>
      <c r="D4254" s="5" t="s">
        <v>18</v>
      </c>
      <c r="E4254" s="5" t="s">
        <v>166</v>
      </c>
      <c r="F4254" s="9" t="s">
        <v>5028</v>
      </c>
      <c r="G4254" s="9">
        <v>398</v>
      </c>
      <c r="H4254" s="5" t="s">
        <v>21</v>
      </c>
      <c r="I4254" s="5" t="s">
        <v>10645</v>
      </c>
      <c r="J4254" s="12" t="str">
        <f>HYPERLINK("https://www.boe.es/gazeta/dias/1808/11/18/pdfs/GMS-1808-50.pdf#page=6","Abrir facsímil")</f>
        <v>Abrir facsímil</v>
      </c>
      <c r="K4254" s="15" t="s">
        <v>23</v>
      </c>
    </row>
    <row r="4255" spans="1:11" ht="42" customHeight="1">
      <c r="A4255" s="4" t="s">
        <v>10646</v>
      </c>
      <c r="B4255" s="5" t="s">
        <v>10646</v>
      </c>
      <c r="C4255" s="5" t="s">
        <v>17</v>
      </c>
      <c r="D4255" s="5" t="s">
        <v>18</v>
      </c>
      <c r="E4255" s="5" t="s">
        <v>115</v>
      </c>
      <c r="F4255" s="9" t="s">
        <v>1650</v>
      </c>
      <c r="G4255" s="9">
        <v>1173</v>
      </c>
      <c r="H4255" s="5" t="s">
        <v>21</v>
      </c>
      <c r="I4255" s="5" t="s">
        <v>10647</v>
      </c>
      <c r="J4255" s="12" t="str">
        <f>HYPERLINK("https://www.boe.es/gazeta/dias/1808/09/16/pdfs/GMD-1808-125.pdf#page=5","Abrir facsímil")</f>
        <v>Abrir facsímil</v>
      </c>
      <c r="K4255" s="15" t="s">
        <v>23</v>
      </c>
    </row>
    <row r="4256" spans="1:11" ht="42" customHeight="1">
      <c r="A4256" s="4" t="s">
        <v>10648</v>
      </c>
      <c r="B4256" s="5" t="s">
        <v>10648</v>
      </c>
      <c r="C4256" s="5" t="s">
        <v>94</v>
      </c>
      <c r="D4256" s="5" t="s">
        <v>95</v>
      </c>
      <c r="E4256" s="5" t="s">
        <v>203</v>
      </c>
      <c r="F4256" s="9" t="s">
        <v>204</v>
      </c>
      <c r="G4256" s="9">
        <v>141</v>
      </c>
      <c r="H4256" s="5" t="s">
        <v>21</v>
      </c>
      <c r="I4256" s="5" t="s">
        <v>10649</v>
      </c>
      <c r="J4256" s="12" t="str">
        <f>HYPERLINK("https://www.boe.es/gazeta/dias/1808/02/09/pdfs/GMD-1808-12.pdf#page=9","Abrir facsímil")</f>
        <v>Abrir facsímil</v>
      </c>
      <c r="K4256" s="15" t="s">
        <v>23</v>
      </c>
    </row>
    <row r="4257" spans="1:11" ht="42" customHeight="1">
      <c r="A4257" s="4" t="s">
        <v>10650</v>
      </c>
      <c r="B4257" s="5" t="s">
        <v>10650</v>
      </c>
      <c r="C4257" s="5" t="s">
        <v>33</v>
      </c>
      <c r="D4257" s="5" t="s">
        <v>34</v>
      </c>
      <c r="E4257" s="5" t="s">
        <v>197</v>
      </c>
      <c r="F4257" s="9" t="s">
        <v>198</v>
      </c>
      <c r="G4257" s="9" t="s">
        <v>106</v>
      </c>
      <c r="H4257" s="5" t="s">
        <v>21</v>
      </c>
      <c r="I4257" s="5" t="s">
        <v>10651</v>
      </c>
      <c r="J4257" s="12" t="str">
        <f>HYPERLINK("https://www.boe.es/gazeta/dias/1808/11/01/pdfs/GMD-D-1808-140.pdf#page=3","Abrir facsímil")</f>
        <v>Abrir facsímil</v>
      </c>
      <c r="K4257" s="15" t="s">
        <v>23</v>
      </c>
    </row>
    <row r="4258" spans="1:11" ht="42" customHeight="1">
      <c r="A4258" s="4" t="s">
        <v>10652</v>
      </c>
      <c r="B4258" s="5" t="s">
        <v>10652</v>
      </c>
      <c r="C4258" s="5" t="s">
        <v>17</v>
      </c>
      <c r="D4258" s="5" t="s">
        <v>18</v>
      </c>
      <c r="E4258" s="5" t="s">
        <v>663</v>
      </c>
      <c r="F4258" s="9" t="s">
        <v>664</v>
      </c>
      <c r="G4258" s="9">
        <v>207</v>
      </c>
      <c r="H4258" s="5" t="s">
        <v>21</v>
      </c>
      <c r="I4258" s="5" t="s">
        <v>10653</v>
      </c>
      <c r="J4258" s="12" t="str">
        <f>HYPERLINK("https://www.boe.es/gazeta/dias/1808/02/26/pdfs/GMD-1808-17.pdf#page=9","Abrir facsímil")</f>
        <v>Abrir facsímil</v>
      </c>
      <c r="K4258" s="15" t="s">
        <v>23</v>
      </c>
    </row>
    <row r="4259" spans="1:11" ht="42" customHeight="1">
      <c r="A4259" s="4" t="s">
        <v>10654</v>
      </c>
      <c r="B4259" s="5" t="s">
        <v>10654</v>
      </c>
      <c r="C4259" s="5" t="s">
        <v>94</v>
      </c>
      <c r="D4259" s="5" t="s">
        <v>95</v>
      </c>
      <c r="E4259" s="5" t="s">
        <v>663</v>
      </c>
      <c r="F4259" s="9" t="s">
        <v>664</v>
      </c>
      <c r="G4259" s="9">
        <v>209</v>
      </c>
      <c r="H4259" s="5" t="s">
        <v>21</v>
      </c>
      <c r="I4259" s="5" t="s">
        <v>10655</v>
      </c>
      <c r="J4259" s="12" t="str">
        <f>HYPERLINK("https://www.boe.es/gazeta/dias/1808/02/26/pdfs/GMD-1808-17.pdf#page=11","Abrir facsímil")</f>
        <v>Abrir facsímil</v>
      </c>
      <c r="K4259" s="15" t="s">
        <v>23</v>
      </c>
    </row>
    <row r="4260" spans="1:11" ht="42" customHeight="1">
      <c r="A4260" s="4" t="s">
        <v>10656</v>
      </c>
      <c r="B4260" s="5" t="s">
        <v>10656</v>
      </c>
      <c r="C4260" s="5" t="s">
        <v>41</v>
      </c>
      <c r="D4260" s="5" t="s">
        <v>42</v>
      </c>
      <c r="E4260" s="5" t="s">
        <v>1760</v>
      </c>
      <c r="F4260" s="9" t="s">
        <v>1761</v>
      </c>
      <c r="G4260" s="9">
        <v>432</v>
      </c>
      <c r="H4260" s="5" t="s">
        <v>21</v>
      </c>
      <c r="I4260" s="5" t="s">
        <v>10657</v>
      </c>
      <c r="J4260" s="12" t="str">
        <f>HYPERLINK("https://www.boe.es/gazeta/dias/1808/05/03/pdfs/GMD-1808-43.pdf#page=8","Abrir facsímil")</f>
        <v>Abrir facsímil</v>
      </c>
      <c r="K4260" s="15" t="s">
        <v>23</v>
      </c>
    </row>
    <row r="4261" spans="1:11" ht="42" customHeight="1">
      <c r="A4261" s="4" t="s">
        <v>10658</v>
      </c>
      <c r="B4261" s="5" t="s">
        <v>10658</v>
      </c>
      <c r="C4261" s="5" t="s">
        <v>17</v>
      </c>
      <c r="D4261" s="5" t="s">
        <v>18</v>
      </c>
      <c r="E4261" s="5" t="s">
        <v>461</v>
      </c>
      <c r="F4261" s="9" t="s">
        <v>733</v>
      </c>
      <c r="G4261" s="9">
        <v>1447</v>
      </c>
      <c r="H4261" s="5" t="s">
        <v>21</v>
      </c>
      <c r="I4261" s="5" t="s">
        <v>10659</v>
      </c>
      <c r="J4261" s="12" t="str">
        <f>HYPERLINK("https://www.boe.es/gazeta/dias/1808/11/08/pdfs/GMD-1808-142.pdf#page=9","Abrir facsímil")</f>
        <v>Abrir facsímil</v>
      </c>
      <c r="K4261" s="15" t="s">
        <v>23</v>
      </c>
    </row>
    <row r="4262" spans="1:11" ht="42" customHeight="1">
      <c r="A4262" s="4" t="s">
        <v>10660</v>
      </c>
      <c r="B4262" s="5" t="s">
        <v>10660</v>
      </c>
      <c r="C4262" s="5" t="s">
        <v>260</v>
      </c>
      <c r="D4262" s="5" t="s">
        <v>42</v>
      </c>
      <c r="E4262" s="5" t="s">
        <v>516</v>
      </c>
      <c r="F4262" s="9" t="s">
        <v>517</v>
      </c>
      <c r="G4262" s="9">
        <v>602</v>
      </c>
      <c r="H4262" s="5" t="s">
        <v>21</v>
      </c>
      <c r="I4262" s="5" t="s">
        <v>10661</v>
      </c>
      <c r="J4262" s="12" t="str">
        <f>HYPERLINK("https://www.boe.es/gazeta/dias/1808/06/19/pdfs/GMD-1808-61.pdf#page=8","Abrir facsímil")</f>
        <v>Abrir facsímil</v>
      </c>
      <c r="K4262" s="15" t="s">
        <v>23</v>
      </c>
    </row>
    <row r="4263" spans="1:11" ht="42" customHeight="1">
      <c r="A4263" s="4" t="s">
        <v>10662</v>
      </c>
      <c r="B4263" s="5" t="s">
        <v>10662</v>
      </c>
      <c r="C4263" s="5" t="s">
        <v>33</v>
      </c>
      <c r="D4263" s="5" t="s">
        <v>34</v>
      </c>
      <c r="E4263" s="5" t="s">
        <v>35</v>
      </c>
      <c r="F4263" s="9" t="s">
        <v>36</v>
      </c>
      <c r="G4263" s="9" t="s">
        <v>135</v>
      </c>
      <c r="H4263" s="5" t="s">
        <v>21</v>
      </c>
      <c r="I4263" s="5" t="s">
        <v>10663</v>
      </c>
      <c r="J4263" s="12" t="str">
        <f>HYPERLINK("https://www.boe.es/gazeta/dias/1808/04/22/pdfs/GMD-C-1808-38.pdf#page=26","Abrir facsímil")</f>
        <v>Abrir facsímil</v>
      </c>
      <c r="K4263" s="15" t="s">
        <v>23</v>
      </c>
    </row>
    <row r="4264" spans="1:11" ht="42" customHeight="1">
      <c r="A4264" s="4" t="s">
        <v>10664</v>
      </c>
      <c r="B4264" s="5" t="s">
        <v>10664</v>
      </c>
      <c r="C4264" s="5" t="s">
        <v>33</v>
      </c>
      <c r="D4264" s="5" t="s">
        <v>34</v>
      </c>
      <c r="E4264" s="5" t="s">
        <v>68</v>
      </c>
      <c r="F4264" s="9" t="s">
        <v>849</v>
      </c>
      <c r="G4264" s="9">
        <v>1344</v>
      </c>
      <c r="H4264" s="5" t="s">
        <v>21</v>
      </c>
      <c r="I4264" s="5" t="s">
        <v>10665</v>
      </c>
      <c r="J4264" s="12" t="str">
        <f>HYPERLINK("https://www.boe.es/gazeta/dias/1808/10/21/pdfs/GMD-C-1808-136.pdf#page=4","Abrir facsímil")</f>
        <v>Abrir facsímil</v>
      </c>
      <c r="K4264" s="15" t="s">
        <v>23</v>
      </c>
    </row>
    <row r="4265" spans="1:11" ht="42" customHeight="1">
      <c r="A4265" s="4" t="s">
        <v>10666</v>
      </c>
      <c r="B4265" s="5" t="s">
        <v>10666</v>
      </c>
      <c r="C4265" s="5" t="s">
        <v>33</v>
      </c>
      <c r="D4265" s="5" t="s">
        <v>34</v>
      </c>
      <c r="E4265" s="5" t="s">
        <v>28</v>
      </c>
      <c r="F4265" s="9" t="s">
        <v>446</v>
      </c>
      <c r="G4265" s="9" t="s">
        <v>117</v>
      </c>
      <c r="H4265" s="5" t="s">
        <v>21</v>
      </c>
      <c r="I4265" s="5" t="s">
        <v>10667</v>
      </c>
      <c r="J4265" s="12" t="str">
        <f>HYPERLINK("https://www.boe.es/gazeta/dias/1808/11/04/pdfs/GMD-D-1808-141.pdf#page=1","Abrir facsímil")</f>
        <v>Abrir facsímil</v>
      </c>
      <c r="K4265" s="15" t="s">
        <v>23</v>
      </c>
    </row>
    <row r="4266" spans="1:11" ht="42" customHeight="1">
      <c r="A4266" s="4" t="s">
        <v>10668</v>
      </c>
      <c r="B4266" s="5" t="s">
        <v>10668</v>
      </c>
      <c r="C4266" s="5" t="s">
        <v>33</v>
      </c>
      <c r="D4266" s="5" t="s">
        <v>34</v>
      </c>
      <c r="E4266" s="5" t="s">
        <v>35</v>
      </c>
      <c r="F4266" s="9" t="s">
        <v>36</v>
      </c>
      <c r="G4266" s="9" t="s">
        <v>80</v>
      </c>
      <c r="H4266" s="5" t="s">
        <v>21</v>
      </c>
      <c r="I4266" s="5" t="s">
        <v>10669</v>
      </c>
      <c r="J4266" s="12" t="str">
        <f>HYPERLINK("https://www.boe.es/gazeta/dias/1808/04/22/pdfs/GMD-C-1808-38.pdf#page=18","Abrir facsímil")</f>
        <v>Abrir facsímil</v>
      </c>
      <c r="K4266" s="15" t="s">
        <v>23</v>
      </c>
    </row>
    <row r="4267" spans="1:11" ht="42" customHeight="1">
      <c r="A4267" s="4" t="s">
        <v>10670</v>
      </c>
      <c r="B4267" s="5" t="s">
        <v>10671</v>
      </c>
      <c r="C4267" s="5" t="s">
        <v>33</v>
      </c>
      <c r="D4267" s="5" t="s">
        <v>34</v>
      </c>
      <c r="E4267" s="5" t="s">
        <v>110</v>
      </c>
      <c r="F4267" s="9" t="s">
        <v>828</v>
      </c>
      <c r="G4267" s="9" t="s">
        <v>106</v>
      </c>
      <c r="H4267" s="5" t="s">
        <v>21</v>
      </c>
      <c r="I4267" s="5" t="s">
        <v>10672</v>
      </c>
      <c r="J4267" s="12" t="str">
        <f>HYPERLINK("https://www.boe.es/gazeta/dias/1808/10/28/pdfs/GMD-D-1808-138.pdf#page=3","Abrir facsímil")</f>
        <v>Abrir facsímil</v>
      </c>
      <c r="K4267" s="15" t="s">
        <v>23</v>
      </c>
    </row>
    <row r="4268" spans="1:11" ht="42" customHeight="1">
      <c r="A4268" s="4" t="s">
        <v>10673</v>
      </c>
      <c r="B4268" s="5" t="s">
        <v>10673</v>
      </c>
      <c r="C4268" s="5" t="s">
        <v>41</v>
      </c>
      <c r="D4268" s="5" t="s">
        <v>42</v>
      </c>
      <c r="E4268" s="5" t="s">
        <v>363</v>
      </c>
      <c r="F4268" s="9" t="s">
        <v>1224</v>
      </c>
      <c r="G4268" s="9">
        <v>1189</v>
      </c>
      <c r="H4268" s="5" t="s">
        <v>21</v>
      </c>
      <c r="I4268" s="5" t="s">
        <v>10674</v>
      </c>
      <c r="J4268" s="12" t="str">
        <f>HYPERLINK("https://www.boe.es/gazeta/dias/1808/09/20/pdfs/GMD-1808-126.pdf#page=9","Abrir facsímil")</f>
        <v>Abrir facsímil</v>
      </c>
      <c r="K4268" s="15" t="s">
        <v>23</v>
      </c>
    </row>
    <row r="4269" spans="1:11" ht="42" customHeight="1">
      <c r="A4269" s="4" t="s">
        <v>10673</v>
      </c>
      <c r="B4269" s="5" t="s">
        <v>10673</v>
      </c>
      <c r="C4269" s="5" t="s">
        <v>41</v>
      </c>
      <c r="D4269" s="5" t="s">
        <v>42</v>
      </c>
      <c r="E4269" s="5" t="s">
        <v>427</v>
      </c>
      <c r="F4269" s="9" t="s">
        <v>428</v>
      </c>
      <c r="G4269" s="9" t="s">
        <v>75</v>
      </c>
      <c r="H4269" s="5" t="s">
        <v>21</v>
      </c>
      <c r="I4269" s="5" t="s">
        <v>10675</v>
      </c>
      <c r="J4269" s="12" t="str">
        <f>HYPERLINK("https://www.boe.es/gazeta/dias/1808/11/22/pdfs/GMD-D-1808-146.pdf#page=4","Abrir facsímil")</f>
        <v>Abrir facsímil</v>
      </c>
      <c r="K4269" s="15" t="s">
        <v>23</v>
      </c>
    </row>
    <row r="4270" spans="1:11" ht="42" customHeight="1">
      <c r="A4270" s="4" t="s">
        <v>10676</v>
      </c>
      <c r="B4270" s="5" t="s">
        <v>10676</v>
      </c>
      <c r="C4270" s="5" t="s">
        <v>389</v>
      </c>
      <c r="D4270" s="5" t="s">
        <v>390</v>
      </c>
      <c r="E4270" s="5" t="s">
        <v>35</v>
      </c>
      <c r="F4270" s="9" t="s">
        <v>36</v>
      </c>
      <c r="G4270" s="9" t="s">
        <v>75</v>
      </c>
      <c r="H4270" s="5" t="s">
        <v>21</v>
      </c>
      <c r="I4270" s="5" t="s">
        <v>10677</v>
      </c>
      <c r="J4270" s="12" t="str">
        <f>HYPERLINK("https://www.boe.es/gazeta/dias/1808/04/22/pdfs/GMD-C-1808-38.pdf#page=4","Abrir facsímil")</f>
        <v>Abrir facsímil</v>
      </c>
      <c r="K4270" s="15" t="s">
        <v>23</v>
      </c>
    </row>
    <row r="4271" spans="1:11" ht="42" customHeight="1">
      <c r="A4271" s="4" t="s">
        <v>10678</v>
      </c>
      <c r="B4271" s="5" t="s">
        <v>10678</v>
      </c>
      <c r="C4271" s="5" t="s">
        <v>17</v>
      </c>
      <c r="D4271" s="5" t="s">
        <v>18</v>
      </c>
      <c r="E4271" s="5" t="s">
        <v>418</v>
      </c>
      <c r="F4271" s="9" t="s">
        <v>1218</v>
      </c>
      <c r="G4271" s="9">
        <v>1122</v>
      </c>
      <c r="H4271" s="5" t="s">
        <v>21</v>
      </c>
      <c r="I4271" s="5" t="s">
        <v>10679</v>
      </c>
      <c r="J4271" s="12" t="str">
        <f>HYPERLINK("https://www.boe.es/gazeta/dias/1808/09/06/pdfs/GMD-1808-120.pdf#page=4","Abrir facsímil")</f>
        <v>Abrir facsímil</v>
      </c>
      <c r="K4271" s="15" t="s">
        <v>23</v>
      </c>
    </row>
    <row r="4272" spans="1:11" ht="42" customHeight="1">
      <c r="A4272" s="4" t="s">
        <v>10680</v>
      </c>
      <c r="B4272" s="5" t="s">
        <v>10680</v>
      </c>
      <c r="C4272" s="5" t="s">
        <v>41</v>
      </c>
      <c r="D4272" s="5" t="s">
        <v>42</v>
      </c>
      <c r="E4272" s="5" t="s">
        <v>35</v>
      </c>
      <c r="F4272" s="9" t="s">
        <v>36</v>
      </c>
      <c r="G4272" s="9" t="s">
        <v>322</v>
      </c>
      <c r="H4272" s="5" t="s">
        <v>21</v>
      </c>
      <c r="I4272" s="5" t="s">
        <v>10681</v>
      </c>
      <c r="J4272" s="12" t="str">
        <f>HYPERLINK("https://www.boe.es/gazeta/dias/1808/04/22/pdfs/GMD-C-1808-38.pdf#page=15","Abrir facsímil")</f>
        <v>Abrir facsímil</v>
      </c>
      <c r="K4272" s="15" t="s">
        <v>23</v>
      </c>
    </row>
    <row r="4273" spans="1:11" ht="42" customHeight="1">
      <c r="A4273" s="4" t="s">
        <v>10682</v>
      </c>
      <c r="B4273" s="5" t="s">
        <v>10682</v>
      </c>
      <c r="C4273" s="5" t="s">
        <v>33</v>
      </c>
      <c r="D4273" s="5" t="s">
        <v>34</v>
      </c>
      <c r="E4273" s="5" t="s">
        <v>110</v>
      </c>
      <c r="F4273" s="9" t="s">
        <v>828</v>
      </c>
      <c r="G4273" s="9" t="s">
        <v>199</v>
      </c>
      <c r="H4273" s="5" t="s">
        <v>21</v>
      </c>
      <c r="I4273" s="5" t="s">
        <v>10683</v>
      </c>
      <c r="J4273" s="12" t="str">
        <f>HYPERLINK("https://www.boe.es/gazeta/dias/1808/10/28/pdfs/GMD-D-1808-138.pdf#page=2","Abrir facsímil")</f>
        <v>Abrir facsímil</v>
      </c>
      <c r="K4273" s="15" t="s">
        <v>23</v>
      </c>
    </row>
    <row r="4274" spans="1:11" ht="42" customHeight="1">
      <c r="A4274" s="4" t="s">
        <v>10684</v>
      </c>
      <c r="B4274" s="5" t="s">
        <v>10684</v>
      </c>
      <c r="C4274" s="5" t="s">
        <v>33</v>
      </c>
      <c r="D4274" s="5" t="s">
        <v>34</v>
      </c>
      <c r="E4274" s="5" t="s">
        <v>35</v>
      </c>
      <c r="F4274" s="9" t="s">
        <v>36</v>
      </c>
      <c r="G4274" s="9" t="s">
        <v>37</v>
      </c>
      <c r="H4274" s="5" t="s">
        <v>21</v>
      </c>
      <c r="I4274" s="5" t="s">
        <v>10685</v>
      </c>
      <c r="J4274" s="12" t="str">
        <f>HYPERLINK("https://www.boe.es/gazeta/dias/1808/04/22/pdfs/GMD-C-1808-38.pdf#page=33","Abrir facsímil")</f>
        <v>Abrir facsímil</v>
      </c>
      <c r="K4274" s="15" t="s">
        <v>23</v>
      </c>
    </row>
    <row r="4275" spans="1:11" ht="42" customHeight="1">
      <c r="A4275" s="4" t="s">
        <v>10686</v>
      </c>
      <c r="B4275" s="5" t="s">
        <v>10686</v>
      </c>
      <c r="C4275" s="5" t="s">
        <v>33</v>
      </c>
      <c r="D4275" s="5" t="s">
        <v>34</v>
      </c>
      <c r="E4275" s="5" t="s">
        <v>125</v>
      </c>
      <c r="F4275" s="9" t="s">
        <v>126</v>
      </c>
      <c r="G4275" s="9" t="s">
        <v>117</v>
      </c>
      <c r="H4275" s="5" t="s">
        <v>21</v>
      </c>
      <c r="I4275" s="5" t="s">
        <v>10687</v>
      </c>
      <c r="J4275" s="12" t="str">
        <f>HYPERLINK("https://www.boe.es/gazeta/dias/1808/10/07/pdfs/GMD-C-1808-132.pdf#page=1","Abrir facsímil")</f>
        <v>Abrir facsímil</v>
      </c>
      <c r="K4275" s="15" t="s">
        <v>23</v>
      </c>
    </row>
    <row r="4276" spans="1:11" ht="42" customHeight="1">
      <c r="A4276" s="4" t="s">
        <v>10686</v>
      </c>
      <c r="B4276" s="5" t="s">
        <v>10686</v>
      </c>
      <c r="C4276" s="5" t="s">
        <v>17</v>
      </c>
      <c r="D4276" s="5" t="s">
        <v>18</v>
      </c>
      <c r="E4276" s="5" t="s">
        <v>130</v>
      </c>
      <c r="F4276" s="9" t="s">
        <v>131</v>
      </c>
      <c r="G4276" s="9">
        <v>1602</v>
      </c>
      <c r="H4276" s="5" t="s">
        <v>21</v>
      </c>
      <c r="I4276" s="5" t="s">
        <v>10688</v>
      </c>
      <c r="J4276" s="12" t="str">
        <f>HYPERLINK("https://www.boe.es/gazeta/dias/1808/12/15/pdfs/GMD-1808-155.pdf#page=6","Abrir facsímil")</f>
        <v>Abrir facsímil</v>
      </c>
      <c r="K4276" s="15" t="s">
        <v>23</v>
      </c>
    </row>
    <row r="4277" spans="1:11" ht="42" customHeight="1">
      <c r="A4277" s="4" t="s">
        <v>10689</v>
      </c>
      <c r="B4277" s="5" t="s">
        <v>10689</v>
      </c>
      <c r="C4277" s="5" t="s">
        <v>94</v>
      </c>
      <c r="D4277" s="5" t="s">
        <v>95</v>
      </c>
      <c r="E4277" s="5" t="s">
        <v>238</v>
      </c>
      <c r="F4277" s="9" t="s">
        <v>239</v>
      </c>
      <c r="G4277" s="9">
        <v>35</v>
      </c>
      <c r="H4277" s="5" t="s">
        <v>21</v>
      </c>
      <c r="I4277" s="5" t="s">
        <v>10690</v>
      </c>
      <c r="J4277" s="12" t="str">
        <f>HYPERLINK("https://www.boe.es/gazeta/dias/1808/01/08/pdfs/GMD-1808-3.pdf#page=11","Abrir facsímil")</f>
        <v>Abrir facsímil</v>
      </c>
      <c r="K4277" s="15" t="s">
        <v>23</v>
      </c>
    </row>
    <row r="4278" spans="1:11" ht="42" customHeight="1">
      <c r="A4278" s="4" t="s">
        <v>10691</v>
      </c>
      <c r="B4278" s="5" t="s">
        <v>10691</v>
      </c>
      <c r="C4278" s="5" t="s">
        <v>389</v>
      </c>
      <c r="D4278" s="5" t="s">
        <v>390</v>
      </c>
      <c r="E4278" s="5" t="s">
        <v>153</v>
      </c>
      <c r="F4278" s="9" t="s">
        <v>154</v>
      </c>
      <c r="G4278" s="9" t="s">
        <v>117</v>
      </c>
      <c r="H4278" s="5" t="s">
        <v>21</v>
      </c>
      <c r="I4278" s="5" t="s">
        <v>10692</v>
      </c>
      <c r="J4278" s="12" t="str">
        <f>HYPERLINK("https://www.boe.es/gazeta/dias/1808/09/09/pdfs/GMD-C-1808-121.pdf#page=1","Abrir facsímil")</f>
        <v>Abrir facsímil</v>
      </c>
      <c r="K4278" s="15" t="s">
        <v>23</v>
      </c>
    </row>
    <row r="4279" spans="1:11" ht="42" customHeight="1">
      <c r="A4279" s="4" t="s">
        <v>10693</v>
      </c>
      <c r="B4279" s="5" t="s">
        <v>10693</v>
      </c>
      <c r="C4279" s="5" t="s">
        <v>17</v>
      </c>
      <c r="D4279" s="5" t="s">
        <v>18</v>
      </c>
      <c r="E4279" s="5" t="s">
        <v>3313</v>
      </c>
      <c r="F4279" s="9" t="s">
        <v>3314</v>
      </c>
      <c r="G4279" s="9">
        <v>813</v>
      </c>
      <c r="H4279" s="5" t="s">
        <v>21</v>
      </c>
      <c r="I4279" s="5" t="s">
        <v>10694</v>
      </c>
      <c r="J4279" s="12" t="str">
        <f>HYPERLINK("https://www.boe.es/gazeta/dias/1808/07/15/pdfs/GMD-1808-87.pdf#page=7","Abrir facsímil")</f>
        <v>Abrir facsímil</v>
      </c>
      <c r="K4279" s="15" t="s">
        <v>23</v>
      </c>
    </row>
    <row r="4280" spans="1:11" ht="42" customHeight="1">
      <c r="A4280" s="4" t="s">
        <v>10695</v>
      </c>
      <c r="B4280" s="5" t="s">
        <v>10695</v>
      </c>
      <c r="C4280" s="5" t="s">
        <v>94</v>
      </c>
      <c r="D4280" s="5" t="s">
        <v>95</v>
      </c>
      <c r="E4280" s="5" t="s">
        <v>153</v>
      </c>
      <c r="F4280" s="9" t="s">
        <v>306</v>
      </c>
      <c r="G4280" s="9">
        <v>238</v>
      </c>
      <c r="H4280" s="5" t="s">
        <v>21</v>
      </c>
      <c r="I4280" s="5" t="s">
        <v>10696</v>
      </c>
      <c r="J4280" s="12" t="str">
        <f>HYPERLINK("https://www.boe.es/gazeta/dias/1808/09/09/pdfs/GMS-1808-30.pdf#page=6","Abrir facsímil")</f>
        <v>Abrir facsímil</v>
      </c>
      <c r="K4280" s="15" t="s">
        <v>23</v>
      </c>
    </row>
    <row r="4281" spans="1:11" ht="42" customHeight="1">
      <c r="A4281" s="4" t="s">
        <v>10697</v>
      </c>
      <c r="B4281" s="5" t="s">
        <v>10698</v>
      </c>
      <c r="C4281" s="5" t="s">
        <v>17</v>
      </c>
      <c r="D4281" s="5" t="s">
        <v>18</v>
      </c>
      <c r="E4281" s="5" t="s">
        <v>120</v>
      </c>
      <c r="F4281" s="9" t="s">
        <v>121</v>
      </c>
      <c r="G4281" s="9">
        <v>315</v>
      </c>
      <c r="H4281" s="5" t="s">
        <v>21</v>
      </c>
      <c r="I4281" s="5" t="s">
        <v>10699</v>
      </c>
      <c r="J4281" s="12" t="str">
        <f>HYPERLINK("https://www.boe.es/gazeta/dias/1808/03/29/pdfs/GMD-1808-27.pdf#page=11","Abrir facsímil")</f>
        <v>Abrir facsímil</v>
      </c>
      <c r="K4281" s="15" t="s">
        <v>23</v>
      </c>
    </row>
    <row r="4282" spans="1:11" ht="42" customHeight="1">
      <c r="A4282" s="4" t="s">
        <v>10700</v>
      </c>
      <c r="B4282" s="5" t="s">
        <v>10700</v>
      </c>
      <c r="C4282" s="5" t="s">
        <v>17</v>
      </c>
      <c r="D4282" s="5" t="s">
        <v>18</v>
      </c>
      <c r="E4282" s="5" t="s">
        <v>68</v>
      </c>
      <c r="F4282" s="9" t="s">
        <v>69</v>
      </c>
      <c r="G4282" s="9">
        <v>1339</v>
      </c>
      <c r="H4282" s="5" t="s">
        <v>21</v>
      </c>
      <c r="I4282" s="5" t="s">
        <v>10701</v>
      </c>
      <c r="J4282" s="12" t="str">
        <f>HYPERLINK("https://www.boe.es/gazeta/dias/1808/10/21/pdfs/GMD-1808-136.pdf#page=11","Abrir facsímil")</f>
        <v>Abrir facsímil</v>
      </c>
      <c r="K4282" s="15" t="s">
        <v>23</v>
      </c>
    </row>
    <row r="4283" spans="1:11" ht="42" customHeight="1">
      <c r="A4283" s="4" t="s">
        <v>10700</v>
      </c>
      <c r="B4283" s="5" t="s">
        <v>10700</v>
      </c>
      <c r="C4283" s="5" t="s">
        <v>94</v>
      </c>
      <c r="D4283" s="5" t="s">
        <v>95</v>
      </c>
      <c r="E4283" s="5" t="s">
        <v>73</v>
      </c>
      <c r="F4283" s="9" t="s">
        <v>1570</v>
      </c>
      <c r="G4283" s="9">
        <v>1478</v>
      </c>
      <c r="H4283" s="5" t="s">
        <v>21</v>
      </c>
      <c r="I4283" s="5" t="s">
        <v>10702</v>
      </c>
      <c r="J4283" s="12" t="str">
        <f>HYPERLINK("https://www.boe.es/gazeta/dias/1808/11/11/pdfs/GMD-C-1808-143.pdf#page=8","Abrir facsímil")</f>
        <v>Abrir facsímil</v>
      </c>
      <c r="K4283" s="15" t="s">
        <v>23</v>
      </c>
    </row>
    <row r="4284" spans="1:11" ht="42" customHeight="1">
      <c r="A4284" s="4" t="s">
        <v>10703</v>
      </c>
      <c r="B4284" s="5" t="s">
        <v>10703</v>
      </c>
      <c r="C4284" s="5" t="s">
        <v>26</v>
      </c>
      <c r="D4284" s="5" t="s">
        <v>27</v>
      </c>
      <c r="E4284" s="5" t="s">
        <v>197</v>
      </c>
      <c r="F4284" s="9" t="s">
        <v>198</v>
      </c>
      <c r="G4284" s="9" t="s">
        <v>117</v>
      </c>
      <c r="H4284" s="5" t="s">
        <v>21</v>
      </c>
      <c r="I4284" s="5" t="s">
        <v>10704</v>
      </c>
      <c r="J4284" s="12" t="str">
        <f>HYPERLINK("https://www.boe.es/gazeta/dias/1808/11/01/pdfs/GMD-D-1808-140.pdf#page=1","Abrir facsímil")</f>
        <v>Abrir facsímil</v>
      </c>
      <c r="K4284" s="15" t="s">
        <v>23</v>
      </c>
    </row>
    <row r="4285" spans="1:11" ht="42" customHeight="1">
      <c r="A4285" s="4" t="s">
        <v>10705</v>
      </c>
      <c r="B4285" s="5" t="s">
        <v>10705</v>
      </c>
      <c r="C4285" s="5" t="s">
        <v>33</v>
      </c>
      <c r="D4285" s="5" t="s">
        <v>34</v>
      </c>
      <c r="E4285" s="5" t="s">
        <v>125</v>
      </c>
      <c r="F4285" s="9" t="s">
        <v>126</v>
      </c>
      <c r="G4285" s="9" t="s">
        <v>106</v>
      </c>
      <c r="H4285" s="5" t="s">
        <v>21</v>
      </c>
      <c r="I4285" s="5" t="s">
        <v>10706</v>
      </c>
      <c r="J4285" s="12" t="str">
        <f>HYPERLINK("https://www.boe.es/gazeta/dias/1808/10/07/pdfs/GMD-C-1808-132.pdf#page=3","Abrir facsímil")</f>
        <v>Abrir facsímil</v>
      </c>
      <c r="K4285" s="15" t="s">
        <v>23</v>
      </c>
    </row>
    <row r="4286" spans="1:11" ht="42" customHeight="1">
      <c r="A4286" s="4" t="s">
        <v>10707</v>
      </c>
      <c r="B4286" s="5" t="s">
        <v>10707</v>
      </c>
      <c r="C4286" s="5" t="s">
        <v>33</v>
      </c>
      <c r="D4286" s="5" t="s">
        <v>34</v>
      </c>
      <c r="E4286" s="5" t="s">
        <v>35</v>
      </c>
      <c r="F4286" s="9" t="s">
        <v>36</v>
      </c>
      <c r="G4286" s="9" t="s">
        <v>814</v>
      </c>
      <c r="H4286" s="5" t="s">
        <v>21</v>
      </c>
      <c r="I4286" s="5" t="s">
        <v>10708</v>
      </c>
      <c r="J4286" s="12" t="str">
        <f>HYPERLINK("https://www.boe.es/gazeta/dias/1808/04/22/pdfs/GMD-C-1808-38.pdf#page=25","Abrir facsímil")</f>
        <v>Abrir facsímil</v>
      </c>
      <c r="K4286" s="15" t="s">
        <v>23</v>
      </c>
    </row>
    <row r="4287" spans="1:11" ht="42" customHeight="1">
      <c r="A4287" s="4" t="s">
        <v>10709</v>
      </c>
      <c r="B4287" s="5" t="s">
        <v>10709</v>
      </c>
      <c r="C4287" s="5" t="s">
        <v>33</v>
      </c>
      <c r="D4287" s="5" t="s">
        <v>34</v>
      </c>
      <c r="E4287" s="5" t="s">
        <v>68</v>
      </c>
      <c r="F4287" s="9" t="s">
        <v>309</v>
      </c>
      <c r="G4287" s="9" t="s">
        <v>106</v>
      </c>
      <c r="H4287" s="5" t="s">
        <v>21</v>
      </c>
      <c r="I4287" s="5" t="s">
        <v>10710</v>
      </c>
      <c r="J4287" s="12" t="str">
        <f>HYPERLINK("https://www.boe.es/gazeta/dias/1808/10/21/pdfs/GMD-D-1808-136.pdf#page=3","Abrir facsímil")</f>
        <v>Abrir facsímil</v>
      </c>
      <c r="K4287" s="15" t="s">
        <v>23</v>
      </c>
    </row>
    <row r="4288" spans="1:11" ht="42" customHeight="1">
      <c r="A4288" s="4" t="s">
        <v>10711</v>
      </c>
      <c r="B4288" s="5" t="s">
        <v>10711</v>
      </c>
      <c r="C4288" s="5" t="s">
        <v>33</v>
      </c>
      <c r="D4288" s="5" t="s">
        <v>34</v>
      </c>
      <c r="E4288" s="5" t="s">
        <v>391</v>
      </c>
      <c r="F4288" s="9" t="s">
        <v>588</v>
      </c>
      <c r="G4288" s="9" t="s">
        <v>106</v>
      </c>
      <c r="H4288" s="5" t="s">
        <v>21</v>
      </c>
      <c r="I4288" s="5" t="s">
        <v>10712</v>
      </c>
      <c r="J4288" s="12" t="str">
        <f>HYPERLINK("https://www.boe.es/gazeta/dias/1808/09/27/pdfs/GMD-C-1808-128.pdf#page=3","Abrir facsímil")</f>
        <v>Abrir facsímil</v>
      </c>
      <c r="K4288" s="15" t="s">
        <v>23</v>
      </c>
    </row>
    <row r="4289" spans="1:11" ht="42" customHeight="1">
      <c r="A4289" s="4" t="s">
        <v>10711</v>
      </c>
      <c r="B4289" s="5" t="s">
        <v>10711</v>
      </c>
      <c r="C4289" s="5" t="s">
        <v>33</v>
      </c>
      <c r="D4289" s="5" t="s">
        <v>34</v>
      </c>
      <c r="E4289" s="5" t="s">
        <v>125</v>
      </c>
      <c r="F4289" s="9" t="s">
        <v>126</v>
      </c>
      <c r="G4289" s="9" t="s">
        <v>106</v>
      </c>
      <c r="H4289" s="5" t="s">
        <v>21</v>
      </c>
      <c r="I4289" s="5" t="s">
        <v>10713</v>
      </c>
      <c r="J4289" s="12" t="str">
        <f>HYPERLINK("https://www.boe.es/gazeta/dias/1808/10/07/pdfs/GMD-C-1808-132.pdf#page=3","Abrir facsímil")</f>
        <v>Abrir facsímil</v>
      </c>
      <c r="K4289" s="15" t="s">
        <v>23</v>
      </c>
    </row>
    <row r="4290" spans="1:11" ht="42" customHeight="1">
      <c r="A4290" s="4" t="s">
        <v>10714</v>
      </c>
      <c r="B4290" s="5" t="s">
        <v>10714</v>
      </c>
      <c r="C4290" s="5" t="s">
        <v>17</v>
      </c>
      <c r="D4290" s="5" t="s">
        <v>18</v>
      </c>
      <c r="E4290" s="5" t="s">
        <v>919</v>
      </c>
      <c r="F4290" s="9" t="s">
        <v>920</v>
      </c>
      <c r="G4290" s="9">
        <v>493</v>
      </c>
      <c r="H4290" s="5" t="s">
        <v>21</v>
      </c>
      <c r="I4290" s="5" t="s">
        <v>10715</v>
      </c>
      <c r="J4290" s="12" t="str">
        <f>HYPERLINK("https://www.boe.es/gazeta/dias/1808/05/24/pdfs/GMD-1808-49.pdf#page=9","Abrir facsímil")</f>
        <v>Abrir facsímil</v>
      </c>
      <c r="K4290" s="15" t="s">
        <v>23</v>
      </c>
    </row>
    <row r="4291" spans="1:11" ht="42" customHeight="1">
      <c r="A4291" s="4" t="s">
        <v>10714</v>
      </c>
      <c r="B4291" s="5" t="s">
        <v>10714</v>
      </c>
      <c r="C4291" s="5" t="s">
        <v>17</v>
      </c>
      <c r="D4291" s="5" t="s">
        <v>18</v>
      </c>
      <c r="E4291" s="5" t="s">
        <v>3160</v>
      </c>
      <c r="F4291" s="9" t="s">
        <v>3161</v>
      </c>
      <c r="G4291" s="9">
        <v>571</v>
      </c>
      <c r="H4291" s="5" t="s">
        <v>21</v>
      </c>
      <c r="I4291" s="5" t="s">
        <v>10716</v>
      </c>
      <c r="J4291" s="12" t="str">
        <f>HYPERLINK("https://www.boe.es/gazeta/dias/1808/06/14/pdfs/GMD-1808-57.pdf#page=9","Abrir facsímil")</f>
        <v>Abrir facsímil</v>
      </c>
      <c r="K4291" s="15" t="s">
        <v>23</v>
      </c>
    </row>
    <row r="4292" spans="1:11" ht="42" customHeight="1">
      <c r="A4292" s="4" t="s">
        <v>10717</v>
      </c>
      <c r="B4292" s="5" t="s">
        <v>10717</v>
      </c>
      <c r="C4292" s="5" t="s">
        <v>33</v>
      </c>
      <c r="D4292" s="5" t="s">
        <v>34</v>
      </c>
      <c r="E4292" s="5" t="s">
        <v>153</v>
      </c>
      <c r="F4292" s="9" t="s">
        <v>154</v>
      </c>
      <c r="G4292" s="9" t="s">
        <v>199</v>
      </c>
      <c r="H4292" s="5" t="s">
        <v>21</v>
      </c>
      <c r="I4292" s="5" t="s">
        <v>10718</v>
      </c>
      <c r="J4292" s="12" t="str">
        <f>HYPERLINK("https://www.boe.es/gazeta/dias/1808/09/09/pdfs/GMD-C-1808-121.pdf#page=2","Abrir facsímil")</f>
        <v>Abrir facsímil</v>
      </c>
      <c r="K4292" s="15" t="s">
        <v>23</v>
      </c>
    </row>
    <row r="4293" spans="1:11" ht="42" customHeight="1">
      <c r="A4293" s="4" t="s">
        <v>10719</v>
      </c>
      <c r="B4293" s="5" t="s">
        <v>10720</v>
      </c>
      <c r="C4293" s="5" t="s">
        <v>33</v>
      </c>
      <c r="D4293" s="5" t="s">
        <v>34</v>
      </c>
      <c r="E4293" s="5" t="s">
        <v>35</v>
      </c>
      <c r="F4293" s="9" t="s">
        <v>36</v>
      </c>
      <c r="G4293" s="9" t="s">
        <v>4783</v>
      </c>
      <c r="H4293" s="5" t="s">
        <v>21</v>
      </c>
      <c r="I4293" s="5" t="s">
        <v>10721</v>
      </c>
      <c r="J4293" s="12" t="str">
        <f>HYPERLINK("https://www.boe.es/gazeta/dias/1808/04/22/pdfs/GMD-C-1808-38.pdf#page=36","Abrir facsímil")</f>
        <v>Abrir facsímil</v>
      </c>
      <c r="K4293" s="15" t="s">
        <v>23</v>
      </c>
    </row>
    <row r="4294" spans="1:11" ht="42" customHeight="1">
      <c r="A4294" s="4" t="s">
        <v>10722</v>
      </c>
      <c r="B4294" s="5" t="s">
        <v>10723</v>
      </c>
      <c r="C4294" s="5" t="s">
        <v>33</v>
      </c>
      <c r="D4294" s="5" t="s">
        <v>34</v>
      </c>
      <c r="E4294" s="5" t="s">
        <v>19</v>
      </c>
      <c r="F4294" s="9" t="s">
        <v>949</v>
      </c>
      <c r="G4294" s="9" t="s">
        <v>106</v>
      </c>
      <c r="H4294" s="5" t="s">
        <v>21</v>
      </c>
      <c r="I4294" s="5" t="s">
        <v>10724</v>
      </c>
      <c r="J4294" s="12" t="str">
        <f>HYPERLINK("https://www.boe.es/gazeta/dias/1808/09/30/pdfs/GMD-C-1808-130.pdf#page=3","Abrir facsímil")</f>
        <v>Abrir facsímil</v>
      </c>
      <c r="K4294" s="15" t="s">
        <v>23</v>
      </c>
    </row>
    <row r="4295" spans="1:11" ht="42" customHeight="1">
      <c r="A4295" s="4" t="s">
        <v>10725</v>
      </c>
      <c r="B4295" s="5" t="s">
        <v>10725</v>
      </c>
      <c r="C4295" s="5" t="s">
        <v>17</v>
      </c>
      <c r="D4295" s="5" t="s">
        <v>18</v>
      </c>
      <c r="E4295" s="5" t="s">
        <v>61</v>
      </c>
      <c r="F4295" s="9" t="s">
        <v>62</v>
      </c>
      <c r="G4295" s="9">
        <v>1285</v>
      </c>
      <c r="H4295" s="5" t="s">
        <v>21</v>
      </c>
      <c r="I4295" s="5" t="s">
        <v>10726</v>
      </c>
      <c r="J4295" s="12" t="str">
        <f>HYPERLINK("https://www.boe.es/gazeta/dias/1808/10/11/pdfs/GMD-1808-133.pdf#page=13","Abrir facsímil")</f>
        <v>Abrir facsímil</v>
      </c>
      <c r="K4295" s="15" t="s">
        <v>23</v>
      </c>
    </row>
    <row r="4296" spans="1:11" ht="42" customHeight="1">
      <c r="A4296" s="4" t="s">
        <v>10727</v>
      </c>
      <c r="B4296" s="5" t="s">
        <v>10727</v>
      </c>
      <c r="C4296" s="5" t="s">
        <v>33</v>
      </c>
      <c r="D4296" s="5" t="s">
        <v>34</v>
      </c>
      <c r="E4296" s="5" t="s">
        <v>35</v>
      </c>
      <c r="F4296" s="9" t="s">
        <v>36</v>
      </c>
      <c r="G4296" s="9" t="s">
        <v>2643</v>
      </c>
      <c r="H4296" s="5" t="s">
        <v>21</v>
      </c>
      <c r="I4296" s="5" t="s">
        <v>10728</v>
      </c>
      <c r="J4296" s="12" t="str">
        <f>HYPERLINK("https://www.boe.es/gazeta/dias/1808/04/22/pdfs/GMD-C-1808-38.pdf#page=17","Abrir facsímil")</f>
        <v>Abrir facsímil</v>
      </c>
      <c r="K4296" s="15" t="s">
        <v>23</v>
      </c>
    </row>
    <row r="4297" spans="1:11" ht="42" customHeight="1">
      <c r="A4297" s="4" t="s">
        <v>10729</v>
      </c>
      <c r="B4297" s="5" t="s">
        <v>10729</v>
      </c>
      <c r="C4297" s="5" t="s">
        <v>94</v>
      </c>
      <c r="D4297" s="5" t="s">
        <v>95</v>
      </c>
      <c r="E4297" s="5" t="s">
        <v>558</v>
      </c>
      <c r="F4297" s="9" t="s">
        <v>758</v>
      </c>
      <c r="G4297" s="9" t="s">
        <v>117</v>
      </c>
      <c r="H4297" s="5" t="s">
        <v>21</v>
      </c>
      <c r="I4297" s="5" t="s">
        <v>10730</v>
      </c>
      <c r="J4297" s="12" t="str">
        <f>HYPERLINK("https://www.boe.es/gazeta/dias/1808/11/25/pdfs/GMD-E-1808-147.pdf#page=1","Abrir facsímil")</f>
        <v>Abrir facsímil</v>
      </c>
      <c r="K4297" s="15" t="s">
        <v>23</v>
      </c>
    </row>
    <row r="4298" spans="1:11" ht="42" customHeight="1">
      <c r="A4298" s="4" t="s">
        <v>10731</v>
      </c>
      <c r="B4298" s="5" t="s">
        <v>10731</v>
      </c>
      <c r="C4298" s="5" t="s">
        <v>94</v>
      </c>
      <c r="D4298" s="5" t="s">
        <v>95</v>
      </c>
      <c r="E4298" s="5" t="s">
        <v>65</v>
      </c>
      <c r="F4298" s="9" t="s">
        <v>66</v>
      </c>
      <c r="G4298" s="9">
        <v>1307</v>
      </c>
      <c r="H4298" s="5" t="s">
        <v>21</v>
      </c>
      <c r="I4298" s="5" t="s">
        <v>10732</v>
      </c>
      <c r="J4298" s="12" t="str">
        <f>HYPERLINK("https://www.boe.es/gazeta/dias/1808/10/18/pdfs/GMD-1808-135.pdf#page=7","Abrir facsímil")</f>
        <v>Abrir facsímil</v>
      </c>
      <c r="K4298" s="15" t="s">
        <v>23</v>
      </c>
    </row>
    <row r="4299" spans="1:11" ht="42" customHeight="1">
      <c r="A4299" s="4" t="s">
        <v>10733</v>
      </c>
      <c r="B4299" s="5" t="s">
        <v>10733</v>
      </c>
      <c r="C4299" s="5" t="s">
        <v>94</v>
      </c>
      <c r="D4299" s="5" t="s">
        <v>95</v>
      </c>
      <c r="E4299" s="5" t="s">
        <v>185</v>
      </c>
      <c r="F4299" s="9" t="s">
        <v>186</v>
      </c>
      <c r="G4299" s="9">
        <v>1101</v>
      </c>
      <c r="H4299" s="5" t="s">
        <v>21</v>
      </c>
      <c r="I4299" s="5" t="s">
        <v>10734</v>
      </c>
      <c r="J4299" s="12" t="str">
        <f>HYPERLINK("https://www.boe.es/gazeta/dias/1808/08/30/pdfs/GMD-1808-118.pdf#page=7","Abrir facsímil")</f>
        <v>Abrir facsímil</v>
      </c>
      <c r="K4299" s="15" t="s">
        <v>23</v>
      </c>
    </row>
    <row r="4300" spans="1:11" ht="42" customHeight="1">
      <c r="A4300" s="4" t="s">
        <v>10733</v>
      </c>
      <c r="B4300" s="5" t="s">
        <v>10733</v>
      </c>
      <c r="C4300" s="5" t="s">
        <v>94</v>
      </c>
      <c r="D4300" s="5" t="s">
        <v>95</v>
      </c>
      <c r="E4300" s="5" t="s">
        <v>418</v>
      </c>
      <c r="F4300" s="9" t="s">
        <v>3832</v>
      </c>
      <c r="G4300" s="9">
        <v>228</v>
      </c>
      <c r="H4300" s="5" t="s">
        <v>21</v>
      </c>
      <c r="I4300" s="5" t="s">
        <v>10735</v>
      </c>
      <c r="J4300" s="12" t="str">
        <f>HYPERLINK("https://www.boe.es/gazeta/dias/1808/09/06/pdfs/GMS-1808-29.pdf#page=4","Abrir facsímil")</f>
        <v>Abrir facsímil</v>
      </c>
      <c r="K4300" s="15" t="s">
        <v>23</v>
      </c>
    </row>
    <row r="4301" spans="1:11" ht="42" customHeight="1">
      <c r="A4301" s="4" t="s">
        <v>10736</v>
      </c>
      <c r="B4301" s="5" t="s">
        <v>10736</v>
      </c>
      <c r="C4301" s="5" t="s">
        <v>94</v>
      </c>
      <c r="D4301" s="5" t="s">
        <v>95</v>
      </c>
      <c r="E4301" s="5" t="s">
        <v>269</v>
      </c>
      <c r="F4301" s="9" t="s">
        <v>270</v>
      </c>
      <c r="G4301" s="9">
        <v>69</v>
      </c>
      <c r="H4301" s="5" t="s">
        <v>21</v>
      </c>
      <c r="I4301" s="5" t="s">
        <v>10737</v>
      </c>
      <c r="J4301" s="12" t="str">
        <f>HYPERLINK("https://www.boe.es/gazeta/dias/1808/01/19/pdfs/GMD-1808-6.pdf#page=9","Abrir facsímil")</f>
        <v>Abrir facsímil</v>
      </c>
      <c r="K4301" s="15" t="s">
        <v>23</v>
      </c>
    </row>
    <row r="4302" spans="1:11" ht="42" customHeight="1">
      <c r="A4302" s="4" t="s">
        <v>10738</v>
      </c>
      <c r="B4302" s="5" t="s">
        <v>10738</v>
      </c>
      <c r="C4302" s="5" t="s">
        <v>33</v>
      </c>
      <c r="D4302" s="5" t="s">
        <v>34</v>
      </c>
      <c r="E4302" s="5" t="s">
        <v>363</v>
      </c>
      <c r="F4302" s="9" t="s">
        <v>364</v>
      </c>
      <c r="G4302" s="9" t="s">
        <v>75</v>
      </c>
      <c r="H4302" s="5" t="s">
        <v>21</v>
      </c>
      <c r="I4302" s="5" t="s">
        <v>10739</v>
      </c>
      <c r="J4302" s="12" t="str">
        <f>HYPERLINK("https://www.boe.es/gazeta/dias/1808/09/20/pdfs/GMD-C-1808-126.pdf#page=4","Abrir facsímil")</f>
        <v>Abrir facsímil</v>
      </c>
      <c r="K4302" s="15" t="s">
        <v>23</v>
      </c>
    </row>
    <row r="4303" spans="1:11" ht="42" customHeight="1">
      <c r="A4303" s="4" t="s">
        <v>10740</v>
      </c>
      <c r="B4303" s="5" t="s">
        <v>10740</v>
      </c>
      <c r="C4303" s="5" t="s">
        <v>41</v>
      </c>
      <c r="D4303" s="5" t="s">
        <v>42</v>
      </c>
      <c r="E4303" s="5" t="s">
        <v>478</v>
      </c>
      <c r="F4303" s="9" t="s">
        <v>479</v>
      </c>
      <c r="G4303" s="9">
        <v>244</v>
      </c>
      <c r="H4303" s="5" t="s">
        <v>21</v>
      </c>
      <c r="I4303" s="5" t="s">
        <v>10741</v>
      </c>
      <c r="J4303" s="12" t="str">
        <f>HYPERLINK("https://www.boe.es/gazeta/dias/1808/03/08/pdfs/GMD-1808-20.pdf#page=10","Abrir facsímil")</f>
        <v>Abrir facsímil</v>
      </c>
      <c r="K4303" s="15" t="s">
        <v>23</v>
      </c>
    </row>
    <row r="4304" spans="1:11" ht="42" customHeight="1">
      <c r="A4304" s="4" t="s">
        <v>10742</v>
      </c>
      <c r="B4304" s="5" t="s">
        <v>10742</v>
      </c>
      <c r="C4304" s="5" t="s">
        <v>41</v>
      </c>
      <c r="D4304" s="5" t="s">
        <v>42</v>
      </c>
      <c r="E4304" s="5" t="s">
        <v>125</v>
      </c>
      <c r="F4304" s="9" t="s">
        <v>126</v>
      </c>
      <c r="G4304" s="9" t="s">
        <v>75</v>
      </c>
      <c r="H4304" s="5" t="s">
        <v>21</v>
      </c>
      <c r="I4304" s="5" t="s">
        <v>10743</v>
      </c>
      <c r="J4304" s="12" t="str">
        <f>HYPERLINK("https://www.boe.es/gazeta/dias/1808/10/07/pdfs/GMD-C-1808-132.pdf#page=4","Abrir facsímil")</f>
        <v>Abrir facsímil</v>
      </c>
      <c r="K4304" s="15" t="s">
        <v>23</v>
      </c>
    </row>
    <row r="4305" spans="1:11" ht="42" customHeight="1">
      <c r="A4305" s="4" t="s">
        <v>10744</v>
      </c>
      <c r="B4305" s="5" t="s">
        <v>10744</v>
      </c>
      <c r="C4305" s="5" t="s">
        <v>17</v>
      </c>
      <c r="D4305" s="5" t="s">
        <v>18</v>
      </c>
      <c r="E4305" s="5" t="s">
        <v>54</v>
      </c>
      <c r="F4305" s="9" t="s">
        <v>55</v>
      </c>
      <c r="G4305" s="9">
        <v>1087</v>
      </c>
      <c r="H4305" s="5" t="s">
        <v>21</v>
      </c>
      <c r="I4305" s="5" t="s">
        <v>10745</v>
      </c>
      <c r="J4305" s="12" t="str">
        <f>HYPERLINK("https://www.boe.es/gazeta/dias/1808/08/26/pdfs/GMD-1808-117.pdf#page=9","Abrir facsímil")</f>
        <v>Abrir facsímil</v>
      </c>
      <c r="K4305" s="15" t="s">
        <v>23</v>
      </c>
    </row>
    <row r="4306" spans="1:11" ht="42" customHeight="1">
      <c r="A4306" s="4" t="s">
        <v>10746</v>
      </c>
      <c r="B4306" s="5" t="s">
        <v>10746</v>
      </c>
      <c r="C4306" s="5" t="s">
        <v>41</v>
      </c>
      <c r="D4306" s="5" t="s">
        <v>42</v>
      </c>
      <c r="E4306" s="5" t="s">
        <v>461</v>
      </c>
      <c r="F4306" s="9" t="s">
        <v>462</v>
      </c>
      <c r="G4306" s="9" t="s">
        <v>75</v>
      </c>
      <c r="H4306" s="5" t="s">
        <v>21</v>
      </c>
      <c r="I4306" s="5" t="s">
        <v>10747</v>
      </c>
      <c r="J4306" s="12" t="str">
        <f>HYPERLINK("https://www.boe.es/gazeta/dias/1808/11/08/pdfs/GMD-D-1808-142.pdf#page=4","Abrir facsímil")</f>
        <v>Abrir facsímil</v>
      </c>
      <c r="K4306" s="15" t="s">
        <v>23</v>
      </c>
    </row>
    <row r="4307" spans="1:11" ht="42" customHeight="1">
      <c r="A4307" s="4" t="s">
        <v>10748</v>
      </c>
      <c r="B4307" s="5" t="s">
        <v>10748</v>
      </c>
      <c r="C4307" s="5" t="s">
        <v>389</v>
      </c>
      <c r="D4307" s="5" t="s">
        <v>390</v>
      </c>
      <c r="E4307" s="5" t="s">
        <v>19</v>
      </c>
      <c r="F4307" s="9" t="s">
        <v>949</v>
      </c>
      <c r="G4307" s="9" t="s">
        <v>199</v>
      </c>
      <c r="H4307" s="5" t="s">
        <v>21</v>
      </c>
      <c r="I4307" s="5" t="s">
        <v>10749</v>
      </c>
      <c r="J4307" s="12" t="str">
        <f>HYPERLINK("https://www.boe.es/gazeta/dias/1808/09/30/pdfs/GMD-C-1808-130.pdf#page=2","Abrir facsímil")</f>
        <v>Abrir facsímil</v>
      </c>
      <c r="K4307" s="15" t="s">
        <v>23</v>
      </c>
    </row>
    <row r="4308" spans="1:11" ht="42" customHeight="1">
      <c r="A4308" s="4" t="s">
        <v>10750</v>
      </c>
      <c r="B4308" s="5" t="s">
        <v>10750</v>
      </c>
      <c r="C4308" s="5" t="s">
        <v>17</v>
      </c>
      <c r="D4308" s="5" t="s">
        <v>18</v>
      </c>
      <c r="E4308" s="5" t="s">
        <v>130</v>
      </c>
      <c r="F4308" s="9" t="s">
        <v>131</v>
      </c>
      <c r="G4308" s="9">
        <v>1602</v>
      </c>
      <c r="H4308" s="5" t="s">
        <v>21</v>
      </c>
      <c r="I4308" s="5" t="s">
        <v>10751</v>
      </c>
      <c r="J4308" s="12" t="str">
        <f>HYPERLINK("https://www.boe.es/gazeta/dias/1808/12/15/pdfs/GMD-1808-155.pdf#page=6","Abrir facsímil")</f>
        <v>Abrir facsímil</v>
      </c>
      <c r="K4308" s="15" t="s">
        <v>23</v>
      </c>
    </row>
    <row r="4309" spans="1:11" ht="42" customHeight="1">
      <c r="A4309" s="4" t="s">
        <v>10752</v>
      </c>
      <c r="B4309" s="5" t="s">
        <v>10753</v>
      </c>
      <c r="C4309" s="5" t="s">
        <v>260</v>
      </c>
      <c r="D4309" s="5" t="s">
        <v>42</v>
      </c>
      <c r="E4309" s="5" t="s">
        <v>19</v>
      </c>
      <c r="F4309" s="9" t="s">
        <v>949</v>
      </c>
      <c r="G4309" s="9" t="s">
        <v>75</v>
      </c>
      <c r="H4309" s="5" t="s">
        <v>21</v>
      </c>
      <c r="I4309" s="5" t="s">
        <v>10754</v>
      </c>
      <c r="J4309" s="12" t="str">
        <f>HYPERLINK("https://www.boe.es/gazeta/dias/1808/09/30/pdfs/GMD-C-1808-130.pdf#page=4","Abrir facsímil")</f>
        <v>Abrir facsímil</v>
      </c>
      <c r="K4309" s="15" t="s">
        <v>23</v>
      </c>
    </row>
    <row r="4310" spans="1:11" ht="42" customHeight="1">
      <c r="A4310" s="4" t="s">
        <v>10755</v>
      </c>
      <c r="B4310" s="5" t="s">
        <v>10755</v>
      </c>
      <c r="C4310" s="5" t="s">
        <v>94</v>
      </c>
      <c r="D4310" s="5" t="s">
        <v>95</v>
      </c>
      <c r="E4310" s="5" t="s">
        <v>1821</v>
      </c>
      <c r="F4310" s="9" t="s">
        <v>1874</v>
      </c>
      <c r="G4310" s="9">
        <v>630</v>
      </c>
      <c r="H4310" s="5" t="s">
        <v>21</v>
      </c>
      <c r="I4310" s="5" t="s">
        <v>10756</v>
      </c>
      <c r="J4310" s="12" t="str">
        <f>HYPERLINK("https://www.boe.es/gazeta/dias/1808/06/22/pdfs/GMD-1808-64.pdf#page=8","Abrir facsímil")</f>
        <v>Abrir facsímil</v>
      </c>
      <c r="K4310" s="15" t="s">
        <v>23</v>
      </c>
    </row>
    <row r="4311" spans="1:11" ht="42" customHeight="1">
      <c r="A4311" s="4" t="s">
        <v>10757</v>
      </c>
      <c r="B4311" s="5" t="s">
        <v>10757</v>
      </c>
      <c r="C4311" s="5" t="s">
        <v>41</v>
      </c>
      <c r="D4311" s="5" t="s">
        <v>42</v>
      </c>
      <c r="E4311" s="5" t="s">
        <v>1466</v>
      </c>
      <c r="F4311" s="9" t="s">
        <v>1467</v>
      </c>
      <c r="G4311" s="9">
        <v>55</v>
      </c>
      <c r="H4311" s="5" t="s">
        <v>21</v>
      </c>
      <c r="I4311" s="5" t="s">
        <v>10758</v>
      </c>
      <c r="J4311" s="12" t="str">
        <f>HYPERLINK("https://www.boe.es/gazeta/dias/1808/01/15/pdfs/GMD-1808-5.pdf#page=7","Abrir facsímil")</f>
        <v>Abrir facsímil</v>
      </c>
      <c r="K4311" s="15" t="s">
        <v>23</v>
      </c>
    </row>
    <row r="4312" spans="1:11" ht="42" customHeight="1">
      <c r="A4312" s="4" t="s">
        <v>10759</v>
      </c>
      <c r="B4312" s="5" t="s">
        <v>10759</v>
      </c>
      <c r="C4312" s="5" t="s">
        <v>33</v>
      </c>
      <c r="D4312" s="5" t="s">
        <v>34</v>
      </c>
      <c r="E4312" s="5" t="s">
        <v>391</v>
      </c>
      <c r="F4312" s="9" t="s">
        <v>588</v>
      </c>
      <c r="G4312" s="9" t="s">
        <v>117</v>
      </c>
      <c r="H4312" s="5" t="s">
        <v>21</v>
      </c>
      <c r="I4312" s="5" t="s">
        <v>10760</v>
      </c>
      <c r="J4312" s="12" t="str">
        <f>HYPERLINK("https://www.boe.es/gazeta/dias/1808/09/27/pdfs/GMD-C-1808-128.pdf#page=1","Abrir facsímil")</f>
        <v>Abrir facsímil</v>
      </c>
      <c r="K4312" s="15" t="s">
        <v>23</v>
      </c>
    </row>
    <row r="4313" spans="1:11" ht="42" customHeight="1">
      <c r="A4313" s="4" t="s">
        <v>10761</v>
      </c>
      <c r="B4313" s="5" t="s">
        <v>10761</v>
      </c>
      <c r="C4313" s="5" t="s">
        <v>17</v>
      </c>
      <c r="D4313" s="5" t="s">
        <v>18</v>
      </c>
      <c r="E4313" s="5" t="s">
        <v>19</v>
      </c>
      <c r="F4313" s="9" t="s">
        <v>59</v>
      </c>
      <c r="G4313" s="9">
        <v>1229</v>
      </c>
      <c r="H4313" s="5" t="s">
        <v>21</v>
      </c>
      <c r="I4313" s="5" t="s">
        <v>10762</v>
      </c>
      <c r="J4313" s="12" t="str">
        <f>HYPERLINK("https://www.boe.es/gazeta/dias/1808/09/30/pdfs/GMD-1808-130.pdf#page=9","Abrir facsímil")</f>
        <v>Abrir facsímil</v>
      </c>
      <c r="K4313" s="15" t="s">
        <v>23</v>
      </c>
    </row>
    <row r="4314" spans="1:11" ht="42" customHeight="1">
      <c r="A4314" s="4" t="s">
        <v>10763</v>
      </c>
      <c r="B4314" s="5" t="s">
        <v>10764</v>
      </c>
      <c r="C4314" s="5" t="s">
        <v>17</v>
      </c>
      <c r="D4314" s="5" t="s">
        <v>18</v>
      </c>
      <c r="E4314" s="5" t="s">
        <v>1194</v>
      </c>
      <c r="F4314" s="9" t="s">
        <v>1195</v>
      </c>
      <c r="G4314" s="9">
        <v>442</v>
      </c>
      <c r="H4314" s="5" t="s">
        <v>21</v>
      </c>
      <c r="I4314" s="5" t="s">
        <v>10765</v>
      </c>
      <c r="J4314" s="12" t="str">
        <f>HYPERLINK("https://www.boe.es/gazeta/dias/1808/05/10/pdfs/GMD-1808-45.pdf#page=2","Abrir facsímil")</f>
        <v>Abrir facsímil</v>
      </c>
      <c r="K4314" s="15" t="s">
        <v>23</v>
      </c>
    </row>
    <row r="4315" spans="1:11" ht="42" customHeight="1">
      <c r="A4315" s="4" t="s">
        <v>10763</v>
      </c>
      <c r="B4315" s="5" t="s">
        <v>10764</v>
      </c>
      <c r="C4315" s="5" t="s">
        <v>17</v>
      </c>
      <c r="D4315" s="5" t="s">
        <v>18</v>
      </c>
      <c r="E4315" s="5" t="s">
        <v>1671</v>
      </c>
      <c r="F4315" s="9" t="s">
        <v>1672</v>
      </c>
      <c r="G4315" s="9">
        <v>484</v>
      </c>
      <c r="H4315" s="5" t="s">
        <v>21</v>
      </c>
      <c r="I4315" s="5" t="s">
        <v>10766</v>
      </c>
      <c r="J4315" s="12" t="str">
        <f>HYPERLINK("https://www.boe.es/gazeta/dias/1808/05/20/pdfs/GMD-1808-48.pdf#page=12","Abrir facsímil")</f>
        <v>Abrir facsímil</v>
      </c>
      <c r="K4315" s="15" t="s">
        <v>23</v>
      </c>
    </row>
    <row r="4316" spans="1:11" ht="42" customHeight="1">
      <c r="A4316" s="4" t="s">
        <v>10763</v>
      </c>
      <c r="B4316" s="5" t="s">
        <v>10764</v>
      </c>
      <c r="C4316" s="5" t="s">
        <v>17</v>
      </c>
      <c r="D4316" s="5" t="s">
        <v>18</v>
      </c>
      <c r="E4316" s="5" t="s">
        <v>919</v>
      </c>
      <c r="F4316" s="9" t="s">
        <v>920</v>
      </c>
      <c r="G4316" s="9">
        <v>491</v>
      </c>
      <c r="H4316" s="5" t="s">
        <v>21</v>
      </c>
      <c r="I4316" s="5" t="s">
        <v>10767</v>
      </c>
      <c r="J4316" s="12" t="str">
        <f>HYPERLINK("https://www.boe.es/gazeta/dias/1808/05/24/pdfs/GMD-1808-49.pdf#page=7","Abrir facsímil")</f>
        <v>Abrir facsímil</v>
      </c>
      <c r="K4316" s="15" t="s">
        <v>23</v>
      </c>
    </row>
    <row r="4317" spans="1:11" ht="42" customHeight="1">
      <c r="A4317" s="4" t="s">
        <v>10763</v>
      </c>
      <c r="B4317" s="5" t="s">
        <v>10764</v>
      </c>
      <c r="C4317" s="5" t="s">
        <v>33</v>
      </c>
      <c r="D4317" s="5" t="s">
        <v>34</v>
      </c>
      <c r="E4317" s="5" t="s">
        <v>3791</v>
      </c>
      <c r="F4317" s="9" t="s">
        <v>8498</v>
      </c>
      <c r="G4317" s="9">
        <v>620</v>
      </c>
      <c r="H4317" s="5" t="s">
        <v>21</v>
      </c>
      <c r="I4317" s="5" t="s">
        <v>10768</v>
      </c>
      <c r="J4317" s="12" t="str">
        <f>HYPERLINK("https://www.boe.es/gazeta/dias/1808/06/21/pdfs/GMD-C-1808-63.pdf#page=2","Abrir facsímil")</f>
        <v>Abrir facsímil</v>
      </c>
      <c r="K4317" s="15" t="s">
        <v>23</v>
      </c>
    </row>
    <row r="4318" spans="1:11" ht="42" customHeight="1">
      <c r="A4318" s="4" t="s">
        <v>10763</v>
      </c>
      <c r="B4318" s="5" t="s">
        <v>10764</v>
      </c>
      <c r="C4318" s="5" t="s">
        <v>17</v>
      </c>
      <c r="D4318" s="5" t="s">
        <v>18</v>
      </c>
      <c r="E4318" s="5" t="s">
        <v>1182</v>
      </c>
      <c r="F4318" s="9" t="s">
        <v>1197</v>
      </c>
      <c r="G4318" s="9">
        <v>659</v>
      </c>
      <c r="H4318" s="5" t="s">
        <v>21</v>
      </c>
      <c r="I4318" s="5" t="s">
        <v>10769</v>
      </c>
      <c r="J4318" s="12" t="str">
        <f>HYPERLINK("https://www.boe.es/gazeta/dias/1808/06/26/pdfs/GMD-1808-68.pdf#page=5","Abrir facsímil")</f>
        <v>Abrir facsímil</v>
      </c>
      <c r="K4318" s="15" t="s">
        <v>23</v>
      </c>
    </row>
    <row r="4319" spans="1:11" ht="42" customHeight="1">
      <c r="A4319" s="4" t="s">
        <v>10763</v>
      </c>
      <c r="B4319" s="5" t="s">
        <v>10764</v>
      </c>
      <c r="C4319" s="5" t="s">
        <v>94</v>
      </c>
      <c r="D4319" s="5" t="s">
        <v>95</v>
      </c>
      <c r="E4319" s="5" t="s">
        <v>1702</v>
      </c>
      <c r="F4319" s="9" t="s">
        <v>3079</v>
      </c>
      <c r="G4319" s="9">
        <v>797</v>
      </c>
      <c r="H4319" s="5" t="s">
        <v>21</v>
      </c>
      <c r="I4319" s="5" t="s">
        <v>10770</v>
      </c>
      <c r="J4319" s="12" t="str">
        <f>HYPERLINK("https://www.boe.es/gazeta/dias/1808/07/13/pdfs/GMD-1808-85.pdf#page=7","Abrir facsímil")</f>
        <v>Abrir facsímil</v>
      </c>
      <c r="K4319" s="15" t="s">
        <v>23</v>
      </c>
    </row>
    <row r="4320" spans="1:11" ht="42" customHeight="1">
      <c r="A4320" s="4" t="s">
        <v>10763</v>
      </c>
      <c r="B4320" s="5" t="s">
        <v>10764</v>
      </c>
      <c r="C4320" s="5" t="s">
        <v>17</v>
      </c>
      <c r="D4320" s="5" t="s">
        <v>18</v>
      </c>
      <c r="E4320" s="5" t="s">
        <v>616</v>
      </c>
      <c r="F4320" s="9" t="s">
        <v>617</v>
      </c>
      <c r="G4320" s="9">
        <v>1044</v>
      </c>
      <c r="H4320" s="5" t="s">
        <v>21</v>
      </c>
      <c r="I4320" s="5" t="s">
        <v>10771</v>
      </c>
      <c r="J4320" s="12" t="str">
        <f>HYPERLINK("https://www.boe.es/gazeta/dias/1808/08/19/pdfs/GMD-1808-115.pdf#page=10","Abrir facsímil")</f>
        <v>Abrir facsímil</v>
      </c>
      <c r="K4320" s="15" t="s">
        <v>23</v>
      </c>
    </row>
    <row r="4321" spans="1:11" ht="42" customHeight="1">
      <c r="A4321" s="4" t="s">
        <v>10772</v>
      </c>
      <c r="B4321" s="5" t="s">
        <v>10772</v>
      </c>
      <c r="C4321" s="5" t="s">
        <v>33</v>
      </c>
      <c r="D4321" s="5" t="s">
        <v>34</v>
      </c>
      <c r="E4321" s="5" t="s">
        <v>558</v>
      </c>
      <c r="F4321" s="9" t="s">
        <v>758</v>
      </c>
      <c r="G4321" s="9" t="s">
        <v>106</v>
      </c>
      <c r="H4321" s="5" t="s">
        <v>21</v>
      </c>
      <c r="I4321" s="5" t="s">
        <v>10773</v>
      </c>
      <c r="J4321" s="12" t="str">
        <f>HYPERLINK("https://www.boe.es/gazeta/dias/1808/11/25/pdfs/GMD-E-1808-147.pdf#page=3","Abrir facsímil")</f>
        <v>Abrir facsímil</v>
      </c>
      <c r="K4321" s="15" t="s">
        <v>23</v>
      </c>
    </row>
    <row r="4322" spans="1:11" ht="42" customHeight="1">
      <c r="A4322" s="4" t="s">
        <v>10774</v>
      </c>
      <c r="B4322" s="5" t="s">
        <v>10774</v>
      </c>
      <c r="C4322" s="5" t="s">
        <v>94</v>
      </c>
      <c r="D4322" s="5" t="s">
        <v>95</v>
      </c>
      <c r="E4322" s="5" t="s">
        <v>238</v>
      </c>
      <c r="F4322" s="9" t="s">
        <v>239</v>
      </c>
      <c r="G4322" s="9">
        <v>35</v>
      </c>
      <c r="H4322" s="5" t="s">
        <v>21</v>
      </c>
      <c r="I4322" s="5" t="s">
        <v>10775</v>
      </c>
      <c r="J4322" s="12" t="str">
        <f>HYPERLINK("https://www.boe.es/gazeta/dias/1808/01/08/pdfs/GMD-1808-3.pdf#page=11","Abrir facsímil")</f>
        <v>Abrir facsímil</v>
      </c>
      <c r="K4322" s="15" t="s">
        <v>23</v>
      </c>
    </row>
    <row r="4323" spans="1:11" ht="42" customHeight="1">
      <c r="A4323" s="4" t="s">
        <v>10776</v>
      </c>
      <c r="B4323" s="5" t="s">
        <v>10777</v>
      </c>
      <c r="C4323" s="5" t="s">
        <v>33</v>
      </c>
      <c r="D4323" s="5" t="s">
        <v>34</v>
      </c>
      <c r="E4323" s="5" t="s">
        <v>35</v>
      </c>
      <c r="F4323" s="9" t="s">
        <v>36</v>
      </c>
      <c r="G4323" s="9" t="s">
        <v>924</v>
      </c>
      <c r="H4323" s="5" t="s">
        <v>21</v>
      </c>
      <c r="I4323" s="5" t="s">
        <v>10778</v>
      </c>
      <c r="J4323" s="12" t="str">
        <f>HYPERLINK("https://www.boe.es/gazeta/dias/1808/04/22/pdfs/GMD-C-1808-38.pdf#page=27","Abrir facsímil")</f>
        <v>Abrir facsímil</v>
      </c>
      <c r="K4323" s="15" t="s">
        <v>23</v>
      </c>
    </row>
    <row r="4324" spans="1:11" ht="42" customHeight="1">
      <c r="A4324" s="4" t="s">
        <v>10776</v>
      </c>
      <c r="B4324" s="5" t="s">
        <v>10777</v>
      </c>
      <c r="C4324" s="5" t="s">
        <v>17</v>
      </c>
      <c r="D4324" s="5" t="s">
        <v>18</v>
      </c>
      <c r="E4324" s="5" t="s">
        <v>363</v>
      </c>
      <c r="F4324" s="9" t="s">
        <v>1224</v>
      </c>
      <c r="G4324" s="9">
        <v>1188</v>
      </c>
      <c r="H4324" s="5" t="s">
        <v>21</v>
      </c>
      <c r="I4324" s="5" t="s">
        <v>10779</v>
      </c>
      <c r="J4324" s="12" t="str">
        <f>HYPERLINK("https://www.boe.es/gazeta/dias/1808/09/20/pdfs/GMD-1808-126.pdf#page=8","Abrir facsímil")</f>
        <v>Abrir facsímil</v>
      </c>
      <c r="K4324" s="15" t="s">
        <v>23</v>
      </c>
    </row>
    <row r="4325" spans="1:11" ht="42" customHeight="1">
      <c r="A4325" s="4" t="s">
        <v>10776</v>
      </c>
      <c r="B4325" s="5" t="s">
        <v>10777</v>
      </c>
      <c r="C4325" s="5" t="s">
        <v>17</v>
      </c>
      <c r="D4325" s="5" t="s">
        <v>18</v>
      </c>
      <c r="E4325" s="5" t="s">
        <v>719</v>
      </c>
      <c r="F4325" s="9" t="s">
        <v>720</v>
      </c>
      <c r="G4325" s="9">
        <v>1611</v>
      </c>
      <c r="H4325" s="5" t="s">
        <v>21</v>
      </c>
      <c r="I4325" s="5" t="s">
        <v>10780</v>
      </c>
      <c r="J4325" s="12" t="str">
        <f>HYPERLINK("https://www.boe.es/gazeta/dias/1808/12/16/pdfs/GMD-1808-156.pdf#page=3","Abrir facsímil")</f>
        <v>Abrir facsímil</v>
      </c>
      <c r="K4325" s="15" t="s">
        <v>23</v>
      </c>
    </row>
    <row r="4326" spans="1:11" ht="42" customHeight="1">
      <c r="A4326" s="4" t="s">
        <v>10781</v>
      </c>
      <c r="B4326" s="5" t="s">
        <v>10781</v>
      </c>
      <c r="C4326" s="5" t="s">
        <v>33</v>
      </c>
      <c r="D4326" s="5" t="s">
        <v>34</v>
      </c>
      <c r="E4326" s="5" t="s">
        <v>35</v>
      </c>
      <c r="F4326" s="9" t="s">
        <v>36</v>
      </c>
      <c r="G4326" s="9" t="s">
        <v>148</v>
      </c>
      <c r="H4326" s="5" t="s">
        <v>21</v>
      </c>
      <c r="I4326" s="5" t="s">
        <v>10782</v>
      </c>
      <c r="J4326" s="12" t="str">
        <f>HYPERLINK("https://www.boe.es/gazeta/dias/1808/04/22/pdfs/GMD-C-1808-38.pdf#page=38","Abrir facsímil")</f>
        <v>Abrir facsímil</v>
      </c>
      <c r="K4326" s="15" t="s">
        <v>23</v>
      </c>
    </row>
    <row r="4327" spans="1:11" ht="42" customHeight="1">
      <c r="A4327" s="4" t="s">
        <v>10783</v>
      </c>
      <c r="B4327" s="5" t="s">
        <v>10783</v>
      </c>
      <c r="C4327" s="5" t="s">
        <v>33</v>
      </c>
      <c r="D4327" s="5" t="s">
        <v>34</v>
      </c>
      <c r="E4327" s="5" t="s">
        <v>35</v>
      </c>
      <c r="F4327" s="9" t="s">
        <v>36</v>
      </c>
      <c r="G4327" s="9" t="s">
        <v>2643</v>
      </c>
      <c r="H4327" s="5" t="s">
        <v>21</v>
      </c>
      <c r="I4327" s="5" t="s">
        <v>10784</v>
      </c>
      <c r="J4327" s="12" t="str">
        <f>HYPERLINK("https://www.boe.es/gazeta/dias/1808/04/22/pdfs/GMD-C-1808-38.pdf#page=17","Abrir facsímil")</f>
        <v>Abrir facsímil</v>
      </c>
      <c r="K4327" s="15" t="s">
        <v>23</v>
      </c>
    </row>
    <row r="4328" spans="1:11" ht="42" customHeight="1">
      <c r="A4328" s="4" t="s">
        <v>10785</v>
      </c>
      <c r="B4328" s="5" t="s">
        <v>10785</v>
      </c>
      <c r="C4328" s="5" t="s">
        <v>94</v>
      </c>
      <c r="D4328" s="5" t="s">
        <v>95</v>
      </c>
      <c r="E4328" s="5" t="s">
        <v>210</v>
      </c>
      <c r="F4328" s="9" t="s">
        <v>211</v>
      </c>
      <c r="G4328" s="9">
        <v>253</v>
      </c>
      <c r="H4328" s="5" t="s">
        <v>21</v>
      </c>
      <c r="I4328" s="5" t="s">
        <v>10786</v>
      </c>
      <c r="J4328" s="12" t="str">
        <f>HYPERLINK("https://www.boe.es/gazeta/dias/1808/03/11/pdfs/GMD-1808-21.pdf#page=7","Abrir facsímil")</f>
        <v>Abrir facsímil</v>
      </c>
      <c r="K4328" s="15" t="s">
        <v>23</v>
      </c>
    </row>
    <row r="4329" spans="1:11" ht="42" customHeight="1">
      <c r="A4329" s="4" t="s">
        <v>10787</v>
      </c>
      <c r="B4329" s="5" t="s">
        <v>10787</v>
      </c>
      <c r="C4329" s="5" t="s">
        <v>33</v>
      </c>
      <c r="D4329" s="5" t="s">
        <v>34</v>
      </c>
      <c r="E4329" s="5" t="s">
        <v>558</v>
      </c>
      <c r="F4329" s="9" t="s">
        <v>758</v>
      </c>
      <c r="G4329" s="9" t="s">
        <v>117</v>
      </c>
      <c r="H4329" s="5" t="s">
        <v>21</v>
      </c>
      <c r="I4329" s="5" t="s">
        <v>10788</v>
      </c>
      <c r="J4329" s="12" t="str">
        <f>HYPERLINK("https://www.boe.es/gazeta/dias/1808/11/25/pdfs/GMD-E-1808-147.pdf#page=1","Abrir facsímil")</f>
        <v>Abrir facsímil</v>
      </c>
      <c r="K4329" s="15" t="s">
        <v>23</v>
      </c>
    </row>
    <row r="4330" spans="1:11" ht="42" customHeight="1">
      <c r="A4330" s="4" t="s">
        <v>10789</v>
      </c>
      <c r="B4330" s="5" t="s">
        <v>10789</v>
      </c>
      <c r="C4330" s="5" t="s">
        <v>41</v>
      </c>
      <c r="D4330" s="5" t="s">
        <v>42</v>
      </c>
      <c r="E4330" s="5" t="s">
        <v>28</v>
      </c>
      <c r="F4330" s="9" t="s">
        <v>29</v>
      </c>
      <c r="G4330" s="9">
        <v>1427</v>
      </c>
      <c r="H4330" s="5" t="s">
        <v>21</v>
      </c>
      <c r="I4330" s="5" t="s">
        <v>10790</v>
      </c>
      <c r="J4330" s="12" t="str">
        <f>HYPERLINK("https://www.boe.es/gazeta/dias/1808/11/04/pdfs/GMD-1808-141.pdf#page=9","Abrir facsímil")</f>
        <v>Abrir facsímil</v>
      </c>
      <c r="K4330" s="15" t="s">
        <v>23</v>
      </c>
    </row>
    <row r="4331" spans="1:11" ht="42" customHeight="1">
      <c r="A4331" s="4" t="s">
        <v>10789</v>
      </c>
      <c r="B4331" s="5" t="s">
        <v>10789</v>
      </c>
      <c r="C4331" s="5" t="s">
        <v>33</v>
      </c>
      <c r="D4331" s="5" t="s">
        <v>34</v>
      </c>
      <c r="E4331" s="5" t="s">
        <v>427</v>
      </c>
      <c r="F4331" s="9" t="s">
        <v>428</v>
      </c>
      <c r="G4331" s="9" t="s">
        <v>199</v>
      </c>
      <c r="H4331" s="5" t="s">
        <v>21</v>
      </c>
      <c r="I4331" s="5" t="s">
        <v>10791</v>
      </c>
      <c r="J4331" s="12" t="str">
        <f>HYPERLINK("https://www.boe.es/gazeta/dias/1808/11/22/pdfs/GMD-D-1808-146.pdf#page=2","Abrir facsímil")</f>
        <v>Abrir facsímil</v>
      </c>
      <c r="K4331" s="15" t="s">
        <v>23</v>
      </c>
    </row>
    <row r="4332" spans="1:11" ht="42" customHeight="1">
      <c r="A4332" s="4" t="s">
        <v>10792</v>
      </c>
      <c r="B4332" s="5" t="s">
        <v>10792</v>
      </c>
      <c r="C4332" s="5" t="s">
        <v>33</v>
      </c>
      <c r="D4332" s="5" t="s">
        <v>34</v>
      </c>
      <c r="E4332" s="5" t="s">
        <v>461</v>
      </c>
      <c r="F4332" s="9" t="s">
        <v>462</v>
      </c>
      <c r="G4332" s="9" t="s">
        <v>75</v>
      </c>
      <c r="H4332" s="5" t="s">
        <v>21</v>
      </c>
      <c r="I4332" s="5" t="s">
        <v>10793</v>
      </c>
      <c r="J4332" s="12" t="str">
        <f>HYPERLINK("https://www.boe.es/gazeta/dias/1808/11/08/pdfs/GMD-D-1808-142.pdf#page=4","Abrir facsímil")</f>
        <v>Abrir facsímil</v>
      </c>
      <c r="K4332" s="15" t="s">
        <v>23</v>
      </c>
    </row>
    <row r="4333" spans="1:11" ht="42" customHeight="1">
      <c r="A4333" s="4" t="s">
        <v>10794</v>
      </c>
      <c r="B4333" s="5" t="s">
        <v>10794</v>
      </c>
      <c r="C4333" s="5" t="s">
        <v>389</v>
      </c>
      <c r="D4333" s="5" t="s">
        <v>390</v>
      </c>
      <c r="E4333" s="5" t="s">
        <v>391</v>
      </c>
      <c r="F4333" s="9" t="s">
        <v>392</v>
      </c>
      <c r="G4333" s="9">
        <v>1216</v>
      </c>
      <c r="H4333" s="5" t="s">
        <v>21</v>
      </c>
      <c r="I4333" s="5" t="s">
        <v>10795</v>
      </c>
      <c r="J4333" s="12" t="str">
        <f>HYPERLINK("https://www.boe.es/gazeta/dias/1808/09/27/pdfs/GMD-1808-128.pdf#page=12","Abrir facsímil")</f>
        <v>Abrir facsímil</v>
      </c>
      <c r="K4333" s="15" t="s">
        <v>23</v>
      </c>
    </row>
    <row r="4334" spans="1:11" ht="42" customHeight="1">
      <c r="A4334" s="4" t="s">
        <v>10796</v>
      </c>
      <c r="B4334" s="5" t="s">
        <v>10797</v>
      </c>
      <c r="C4334" s="5" t="s">
        <v>41</v>
      </c>
      <c r="D4334" s="5" t="s">
        <v>42</v>
      </c>
      <c r="E4334" s="5" t="s">
        <v>870</v>
      </c>
      <c r="F4334" s="9" t="s">
        <v>871</v>
      </c>
      <c r="G4334" s="9">
        <v>586</v>
      </c>
      <c r="H4334" s="5" t="s">
        <v>21</v>
      </c>
      <c r="I4334" s="5" t="s">
        <v>10798</v>
      </c>
      <c r="J4334" s="12" t="str">
        <f>HYPERLINK("https://www.boe.es/gazeta/dias/1808/06/17/pdfs/GMD-1808-59.pdf#page=8","Abrir facsímil")</f>
        <v>Abrir facsímil</v>
      </c>
      <c r="K4334" s="15" t="s">
        <v>23</v>
      </c>
    </row>
    <row r="4335" spans="1:11" ht="42" customHeight="1">
      <c r="A4335" s="4" t="s">
        <v>10799</v>
      </c>
      <c r="B4335" s="5" t="s">
        <v>10799</v>
      </c>
      <c r="C4335" s="5" t="s">
        <v>17</v>
      </c>
      <c r="D4335" s="5" t="s">
        <v>18</v>
      </c>
      <c r="E4335" s="5" t="s">
        <v>3951</v>
      </c>
      <c r="F4335" s="9" t="s">
        <v>4218</v>
      </c>
      <c r="G4335" s="9">
        <v>471</v>
      </c>
      <c r="H4335" s="5" t="s">
        <v>21</v>
      </c>
      <c r="I4335" s="5" t="s">
        <v>10800</v>
      </c>
      <c r="J4335" s="12" t="str">
        <f>HYPERLINK("https://www.boe.es/gazeta/dias/1808/12/20/pdfs/GMS-1808-59.pdf#page=7","Abrir facsímil")</f>
        <v>Abrir facsímil</v>
      </c>
      <c r="K4335" s="15" t="s">
        <v>23</v>
      </c>
    </row>
    <row r="4336" spans="1:11" ht="42" customHeight="1">
      <c r="A4336" s="4" t="s">
        <v>10801</v>
      </c>
      <c r="B4336" s="5" t="s">
        <v>10801</v>
      </c>
      <c r="C4336" s="5" t="s">
        <v>260</v>
      </c>
      <c r="D4336" s="5" t="s">
        <v>42</v>
      </c>
      <c r="E4336" s="5" t="s">
        <v>210</v>
      </c>
      <c r="F4336" s="9" t="s">
        <v>211</v>
      </c>
      <c r="G4336" s="9">
        <v>254</v>
      </c>
      <c r="H4336" s="5" t="s">
        <v>21</v>
      </c>
      <c r="I4336" s="5" t="s">
        <v>10802</v>
      </c>
      <c r="J4336" s="12" t="str">
        <f>HYPERLINK("https://www.boe.es/gazeta/dias/1808/03/11/pdfs/GMD-1808-21.pdf#page=8","Abrir facsímil")</f>
        <v>Abrir facsímil</v>
      </c>
      <c r="K4336" s="15" t="s">
        <v>23</v>
      </c>
    </row>
    <row r="4337" spans="1:11" ht="42" customHeight="1">
      <c r="A4337" s="4" t="s">
        <v>10803</v>
      </c>
      <c r="B4337" s="5" t="s">
        <v>10803</v>
      </c>
      <c r="C4337" s="5" t="s">
        <v>642</v>
      </c>
      <c r="D4337" s="5" t="s">
        <v>643</v>
      </c>
      <c r="E4337" s="5" t="s">
        <v>4137</v>
      </c>
      <c r="F4337" s="9" t="s">
        <v>4138</v>
      </c>
      <c r="G4337" s="9">
        <v>560</v>
      </c>
      <c r="H4337" s="5" t="s">
        <v>21</v>
      </c>
      <c r="I4337" s="5" t="s">
        <v>10804</v>
      </c>
      <c r="J4337" s="12" t="str">
        <f>HYPERLINK("https://www.boe.es/gazeta/dias/1808/06/12/pdfs/GMD-1808-56E.pdf#page=2","Abrir facsímil")</f>
        <v>Abrir facsímil</v>
      </c>
      <c r="K4337" s="15" t="s">
        <v>23</v>
      </c>
    </row>
    <row r="4338" spans="1:11" ht="42" customHeight="1">
      <c r="A4338" s="4" t="s">
        <v>10805</v>
      </c>
      <c r="B4338" s="5" t="s">
        <v>10805</v>
      </c>
      <c r="C4338" s="5" t="s">
        <v>389</v>
      </c>
      <c r="D4338" s="5" t="s">
        <v>390</v>
      </c>
      <c r="E4338" s="5" t="s">
        <v>35</v>
      </c>
      <c r="F4338" s="9" t="s">
        <v>3452</v>
      </c>
      <c r="G4338" s="9">
        <v>404</v>
      </c>
      <c r="H4338" s="5" t="s">
        <v>21</v>
      </c>
      <c r="I4338" s="5" t="s">
        <v>10806</v>
      </c>
      <c r="J4338" s="12" t="str">
        <f>HYPERLINK("https://www.boe.es/gazeta/dias/1808/04/22/pdfs/GMD-1808-38.pdf#page=12","Abrir facsímil")</f>
        <v>Abrir facsímil</v>
      </c>
      <c r="K4338" s="15" t="s">
        <v>23</v>
      </c>
    </row>
    <row r="4339" spans="1:11" ht="42" customHeight="1">
      <c r="A4339" s="4" t="s">
        <v>10807</v>
      </c>
      <c r="B4339" s="5" t="s">
        <v>10807</v>
      </c>
      <c r="C4339" s="5" t="s">
        <v>260</v>
      </c>
      <c r="D4339" s="5" t="s">
        <v>42</v>
      </c>
      <c r="E4339" s="5" t="s">
        <v>1466</v>
      </c>
      <c r="F4339" s="9" t="s">
        <v>1467</v>
      </c>
      <c r="G4339" s="9">
        <v>59</v>
      </c>
      <c r="H4339" s="5" t="s">
        <v>21</v>
      </c>
      <c r="I4339" s="5" t="s">
        <v>10808</v>
      </c>
      <c r="J4339" s="12" t="str">
        <f>HYPERLINK("https://www.boe.es/gazeta/dias/1808/01/15/pdfs/GMD-1808-5.pdf#page=11","Abrir facsímil")</f>
        <v>Abrir facsímil</v>
      </c>
      <c r="K4339" s="15" t="s">
        <v>23</v>
      </c>
    </row>
    <row r="4340" spans="1:11" ht="42" customHeight="1">
      <c r="A4340" s="4" t="s">
        <v>10809</v>
      </c>
      <c r="B4340" s="5" t="s">
        <v>10810</v>
      </c>
      <c r="C4340" s="5" t="s">
        <v>33</v>
      </c>
      <c r="D4340" s="5" t="s">
        <v>34</v>
      </c>
      <c r="E4340" s="5" t="s">
        <v>35</v>
      </c>
      <c r="F4340" s="9" t="s">
        <v>36</v>
      </c>
      <c r="G4340" s="9" t="s">
        <v>47</v>
      </c>
      <c r="H4340" s="5" t="s">
        <v>21</v>
      </c>
      <c r="I4340" s="5" t="s">
        <v>10811</v>
      </c>
      <c r="J4340" s="12" t="str">
        <f>HYPERLINK("https://www.boe.es/gazeta/dias/1808/04/22/pdfs/GMD-C-1808-38.pdf#page=13","Abrir facsímil")</f>
        <v>Abrir facsímil</v>
      </c>
      <c r="K4340" s="15" t="s">
        <v>23</v>
      </c>
    </row>
    <row r="4341" spans="1:11" ht="42" customHeight="1">
      <c r="A4341" s="4" t="s">
        <v>10812</v>
      </c>
      <c r="B4341" s="5" t="s">
        <v>10812</v>
      </c>
      <c r="C4341" s="5" t="s">
        <v>389</v>
      </c>
      <c r="D4341" s="5" t="s">
        <v>390</v>
      </c>
      <c r="E4341" s="5" t="s">
        <v>35</v>
      </c>
      <c r="F4341" s="9" t="s">
        <v>36</v>
      </c>
      <c r="G4341" s="9" t="s">
        <v>75</v>
      </c>
      <c r="H4341" s="5" t="s">
        <v>21</v>
      </c>
      <c r="I4341" s="5" t="s">
        <v>10813</v>
      </c>
      <c r="J4341" s="12" t="str">
        <f>HYPERLINK("https://www.boe.es/gazeta/dias/1808/04/22/pdfs/GMD-C-1808-38.pdf#page=4","Abrir facsímil")</f>
        <v>Abrir facsímil</v>
      </c>
      <c r="K4341" s="15" t="s">
        <v>23</v>
      </c>
    </row>
    <row r="4342" spans="1:11" ht="42" customHeight="1">
      <c r="A4342" s="4" t="s">
        <v>10814</v>
      </c>
      <c r="B4342" s="5" t="s">
        <v>10814</v>
      </c>
      <c r="C4342" s="5" t="s">
        <v>33</v>
      </c>
      <c r="D4342" s="5" t="s">
        <v>34</v>
      </c>
      <c r="E4342" s="5" t="s">
        <v>334</v>
      </c>
      <c r="F4342" s="9" t="s">
        <v>335</v>
      </c>
      <c r="G4342" s="9">
        <v>1259</v>
      </c>
      <c r="H4342" s="5" t="s">
        <v>21</v>
      </c>
      <c r="I4342" s="5" t="s">
        <v>10815</v>
      </c>
      <c r="J4342" s="12" t="str">
        <f>HYPERLINK("https://www.boe.es/gazeta/dias/1808/10/04/pdfs/GMD-C-1808-131.pdf#page=11","Abrir facsímil")</f>
        <v>Abrir facsímil</v>
      </c>
      <c r="K4342" s="15" t="s">
        <v>23</v>
      </c>
    </row>
    <row r="4343" spans="1:11" ht="42" customHeight="1">
      <c r="A4343" s="4" t="s">
        <v>10816</v>
      </c>
      <c r="B4343" s="5" t="s">
        <v>10816</v>
      </c>
      <c r="C4343" s="5" t="s">
        <v>33</v>
      </c>
      <c r="D4343" s="5" t="s">
        <v>34</v>
      </c>
      <c r="E4343" s="5" t="s">
        <v>35</v>
      </c>
      <c r="F4343" s="9" t="s">
        <v>36</v>
      </c>
      <c r="G4343" s="9" t="s">
        <v>924</v>
      </c>
      <c r="H4343" s="5" t="s">
        <v>21</v>
      </c>
      <c r="I4343" s="5" t="s">
        <v>10817</v>
      </c>
      <c r="J4343" s="12" t="str">
        <f>HYPERLINK("https://www.boe.es/gazeta/dias/1808/04/22/pdfs/GMD-C-1808-38.pdf#page=27","Abrir facsímil")</f>
        <v>Abrir facsímil</v>
      </c>
      <c r="K4343" s="15" t="s">
        <v>23</v>
      </c>
    </row>
    <row r="4344" spans="1:11" ht="42" customHeight="1">
      <c r="A4344" s="4" t="s">
        <v>10818</v>
      </c>
      <c r="B4344" s="5" t="s">
        <v>10818</v>
      </c>
      <c r="C4344" s="5" t="s">
        <v>17</v>
      </c>
      <c r="D4344" s="5" t="s">
        <v>18</v>
      </c>
      <c r="E4344" s="5" t="s">
        <v>1194</v>
      </c>
      <c r="F4344" s="9" t="s">
        <v>1195</v>
      </c>
      <c r="G4344" s="9">
        <v>448</v>
      </c>
      <c r="H4344" s="5" t="s">
        <v>21</v>
      </c>
      <c r="I4344" s="5" t="s">
        <v>10819</v>
      </c>
      <c r="J4344" s="12" t="str">
        <f>HYPERLINK("https://www.boe.es/gazeta/dias/1808/05/10/pdfs/GMD-1808-45.pdf#page=8","Abrir facsímil")</f>
        <v>Abrir facsímil</v>
      </c>
      <c r="K4344" s="15" t="s">
        <v>23</v>
      </c>
    </row>
    <row r="4345" spans="1:11" ht="42" customHeight="1">
      <c r="A4345" s="4" t="s">
        <v>10820</v>
      </c>
      <c r="B4345" s="5" t="s">
        <v>10820</v>
      </c>
      <c r="C4345" s="5" t="s">
        <v>41</v>
      </c>
      <c r="D4345" s="5" t="s">
        <v>42</v>
      </c>
      <c r="E4345" s="5" t="s">
        <v>35</v>
      </c>
      <c r="F4345" s="9" t="s">
        <v>36</v>
      </c>
      <c r="G4345" s="9" t="s">
        <v>818</v>
      </c>
      <c r="H4345" s="5" t="s">
        <v>21</v>
      </c>
      <c r="I4345" s="5" t="s">
        <v>10821</v>
      </c>
      <c r="J4345" s="12" t="str">
        <f>HYPERLINK("https://www.boe.es/gazeta/dias/1808/04/22/pdfs/GMD-C-1808-38.pdf#page=7","Abrir facsímil")</f>
        <v>Abrir facsímil</v>
      </c>
      <c r="K4345" s="15" t="s">
        <v>23</v>
      </c>
    </row>
    <row r="4346" spans="1:11" ht="42" customHeight="1">
      <c r="A4346" s="4" t="s">
        <v>10822</v>
      </c>
      <c r="B4346" s="5" t="s">
        <v>10823</v>
      </c>
      <c r="C4346" s="5" t="s">
        <v>33</v>
      </c>
      <c r="D4346" s="5" t="s">
        <v>34</v>
      </c>
      <c r="E4346" s="5" t="s">
        <v>153</v>
      </c>
      <c r="F4346" s="9" t="s">
        <v>154</v>
      </c>
      <c r="G4346" s="9" t="s">
        <v>199</v>
      </c>
      <c r="H4346" s="5" t="s">
        <v>21</v>
      </c>
      <c r="I4346" s="5" t="s">
        <v>10824</v>
      </c>
      <c r="J4346" s="12" t="str">
        <f>HYPERLINK("https://www.boe.es/gazeta/dias/1808/09/09/pdfs/GMD-C-1808-121.pdf#page=2","Abrir facsímil")</f>
        <v>Abrir facsímil</v>
      </c>
      <c r="K4346" s="15" t="s">
        <v>23</v>
      </c>
    </row>
    <row r="4347" spans="1:11" ht="42" customHeight="1">
      <c r="A4347" s="4" t="s">
        <v>10825</v>
      </c>
      <c r="B4347" s="5" t="s">
        <v>10825</v>
      </c>
      <c r="C4347" s="5" t="s">
        <v>94</v>
      </c>
      <c r="D4347" s="5" t="s">
        <v>95</v>
      </c>
      <c r="E4347" s="5" t="s">
        <v>197</v>
      </c>
      <c r="F4347" s="9" t="s">
        <v>198</v>
      </c>
      <c r="G4347" s="9" t="s">
        <v>117</v>
      </c>
      <c r="H4347" s="5" t="s">
        <v>21</v>
      </c>
      <c r="I4347" s="5" t="s">
        <v>10826</v>
      </c>
      <c r="J4347" s="12" t="str">
        <f>HYPERLINK("https://www.boe.es/gazeta/dias/1808/11/01/pdfs/GMD-D-1808-140.pdf#page=1","Abrir facsímil")</f>
        <v>Abrir facsímil</v>
      </c>
      <c r="K4347" s="15" t="s">
        <v>23</v>
      </c>
    </row>
    <row r="4348" spans="1:11" ht="42" customHeight="1">
      <c r="A4348" s="4" t="s">
        <v>10827</v>
      </c>
      <c r="B4348" s="5" t="s">
        <v>10827</v>
      </c>
      <c r="C4348" s="5" t="s">
        <v>33</v>
      </c>
      <c r="D4348" s="5" t="s">
        <v>34</v>
      </c>
      <c r="E4348" s="5" t="s">
        <v>19</v>
      </c>
      <c r="F4348" s="9" t="s">
        <v>949</v>
      </c>
      <c r="G4348" s="9" t="s">
        <v>106</v>
      </c>
      <c r="H4348" s="5" t="s">
        <v>21</v>
      </c>
      <c r="I4348" s="5" t="s">
        <v>10828</v>
      </c>
      <c r="J4348" s="12" t="str">
        <f>HYPERLINK("https://www.boe.es/gazeta/dias/1808/09/30/pdfs/GMD-C-1808-130.pdf#page=3","Abrir facsímil")</f>
        <v>Abrir facsímil</v>
      </c>
      <c r="K4348" s="15" t="s">
        <v>23</v>
      </c>
    </row>
    <row r="4349" spans="1:11" ht="42" customHeight="1">
      <c r="A4349" s="4" t="s">
        <v>10829</v>
      </c>
      <c r="B4349" s="5" t="s">
        <v>10829</v>
      </c>
      <c r="C4349" s="5" t="s">
        <v>17</v>
      </c>
      <c r="D4349" s="5" t="s">
        <v>18</v>
      </c>
      <c r="E4349" s="5" t="s">
        <v>3365</v>
      </c>
      <c r="F4349" s="9" t="s">
        <v>3366</v>
      </c>
      <c r="G4349" s="9">
        <v>121</v>
      </c>
      <c r="H4349" s="5" t="s">
        <v>21</v>
      </c>
      <c r="I4349" s="5" t="s">
        <v>10830</v>
      </c>
      <c r="J4349" s="12" t="str">
        <f>HYPERLINK("https://www.boe.es/gazeta/dias/1808/07/23/pdfs/GMS-1808-16.pdf#page=1","Abrir facsímil")</f>
        <v>Abrir facsímil</v>
      </c>
      <c r="K4349" s="15" t="s">
        <v>23</v>
      </c>
    </row>
    <row r="4350" spans="1:11" ht="42" customHeight="1">
      <c r="A4350" s="4" t="s">
        <v>10831</v>
      </c>
      <c r="B4350" s="5" t="s">
        <v>10832</v>
      </c>
      <c r="C4350" s="5" t="s">
        <v>33</v>
      </c>
      <c r="D4350" s="5" t="s">
        <v>34</v>
      </c>
      <c r="E4350" s="5" t="s">
        <v>35</v>
      </c>
      <c r="F4350" s="9" t="s">
        <v>36</v>
      </c>
      <c r="G4350" s="9" t="s">
        <v>1006</v>
      </c>
      <c r="H4350" s="5" t="s">
        <v>21</v>
      </c>
      <c r="I4350" s="5" t="s">
        <v>10833</v>
      </c>
      <c r="J4350" s="12" t="str">
        <f>HYPERLINK("https://www.boe.es/gazeta/dias/1808/04/22/pdfs/GMD-C-1808-38.pdf#page=46","Abrir facsímil")</f>
        <v>Abrir facsímil</v>
      </c>
      <c r="K4350" s="15" t="s">
        <v>23</v>
      </c>
    </row>
    <row r="4351" spans="1:11" ht="42" customHeight="1">
      <c r="A4351" s="4" t="s">
        <v>10834</v>
      </c>
      <c r="B4351" s="5" t="s">
        <v>10834</v>
      </c>
      <c r="C4351" s="5" t="s">
        <v>94</v>
      </c>
      <c r="D4351" s="5" t="s">
        <v>95</v>
      </c>
      <c r="E4351" s="5" t="s">
        <v>877</v>
      </c>
      <c r="F4351" s="9" t="s">
        <v>878</v>
      </c>
      <c r="G4351" s="9">
        <v>118</v>
      </c>
      <c r="H4351" s="5" t="s">
        <v>21</v>
      </c>
      <c r="I4351" s="5" t="s">
        <v>10835</v>
      </c>
      <c r="J4351" s="12" t="str">
        <f>HYPERLINK("https://www.boe.es/gazeta/dias/1808/02/02/pdfs/GMD-1808-10.pdf#page=10","Abrir facsímil")</f>
        <v>Abrir facsímil</v>
      </c>
      <c r="K4351" s="15" t="s">
        <v>23</v>
      </c>
    </row>
    <row r="4352" spans="1:11" ht="42" customHeight="1">
      <c r="A4352" s="4" t="s">
        <v>10836</v>
      </c>
      <c r="B4352" s="5" t="s">
        <v>10836</v>
      </c>
      <c r="C4352" s="5" t="s">
        <v>17</v>
      </c>
      <c r="D4352" s="5" t="s">
        <v>18</v>
      </c>
      <c r="E4352" s="5" t="s">
        <v>19</v>
      </c>
      <c r="F4352" s="9" t="s">
        <v>59</v>
      </c>
      <c r="G4352" s="9">
        <v>1231</v>
      </c>
      <c r="H4352" s="5" t="s">
        <v>21</v>
      </c>
      <c r="I4352" s="5" t="s">
        <v>10837</v>
      </c>
      <c r="J4352" s="12" t="str">
        <f>HYPERLINK("https://www.boe.es/gazeta/dias/1808/09/30/pdfs/GMD-1808-130.pdf#page=11","Abrir facsímil")</f>
        <v>Abrir facsímil</v>
      </c>
      <c r="K4352" s="15" t="s">
        <v>23</v>
      </c>
    </row>
    <row r="4353" spans="1:11" ht="42" customHeight="1">
      <c r="A4353" s="4" t="s">
        <v>10838</v>
      </c>
      <c r="B4353" s="5" t="s">
        <v>10839</v>
      </c>
      <c r="C4353" s="5" t="s">
        <v>33</v>
      </c>
      <c r="D4353" s="5" t="s">
        <v>34</v>
      </c>
      <c r="E4353" s="5" t="s">
        <v>35</v>
      </c>
      <c r="F4353" s="9" t="s">
        <v>36</v>
      </c>
      <c r="G4353" s="9" t="s">
        <v>1128</v>
      </c>
      <c r="H4353" s="5" t="s">
        <v>21</v>
      </c>
      <c r="I4353" s="5" t="s">
        <v>10840</v>
      </c>
      <c r="J4353" s="12" t="str">
        <f>HYPERLINK("https://www.boe.es/gazeta/dias/1808/04/22/pdfs/GMD-C-1808-38.pdf#page=11","Abrir facsímil")</f>
        <v>Abrir facsímil</v>
      </c>
      <c r="K4353" s="15" t="s">
        <v>23</v>
      </c>
    </row>
    <row r="4354" spans="1:11" ht="42" customHeight="1">
      <c r="A4354" s="4" t="s">
        <v>10841</v>
      </c>
      <c r="B4354" s="5" t="s">
        <v>10841</v>
      </c>
      <c r="C4354" s="5" t="s">
        <v>41</v>
      </c>
      <c r="D4354" s="5" t="s">
        <v>42</v>
      </c>
      <c r="E4354" s="5" t="s">
        <v>508</v>
      </c>
      <c r="F4354" s="9" t="s">
        <v>509</v>
      </c>
      <c r="G4354" s="9">
        <v>1019</v>
      </c>
      <c r="H4354" s="5" t="s">
        <v>21</v>
      </c>
      <c r="I4354" s="5" t="s">
        <v>10842</v>
      </c>
      <c r="J4354" s="12" t="str">
        <f>HYPERLINK("https://www.boe.es/gazeta/dias/1808/08/16/pdfs/GMD-1808-113.pdf#page=11","Abrir facsímil")</f>
        <v>Abrir facsímil</v>
      </c>
      <c r="K4354" s="15" t="s">
        <v>23</v>
      </c>
    </row>
    <row r="4355" spans="1:11" ht="42" customHeight="1">
      <c r="A4355" s="4" t="s">
        <v>10841</v>
      </c>
      <c r="B4355" s="5" t="s">
        <v>10841</v>
      </c>
      <c r="C4355" s="5" t="s">
        <v>33</v>
      </c>
      <c r="D4355" s="5" t="s">
        <v>34</v>
      </c>
      <c r="E4355" s="5" t="s">
        <v>89</v>
      </c>
      <c r="F4355" s="9" t="s">
        <v>563</v>
      </c>
      <c r="G4355" s="9" t="s">
        <v>117</v>
      </c>
      <c r="H4355" s="5" t="s">
        <v>21</v>
      </c>
      <c r="I4355" s="5" t="s">
        <v>10843</v>
      </c>
      <c r="J4355" s="12" t="str">
        <f>HYPERLINK("https://www.boe.es/gazeta/dias/1808/10/25/pdfs/GMD-D-1808-137.pdf#page=1","Abrir facsímil")</f>
        <v>Abrir facsímil</v>
      </c>
      <c r="K4355" s="15" t="s">
        <v>23</v>
      </c>
    </row>
    <row r="4356" spans="1:11" ht="42" customHeight="1">
      <c r="A4356" s="4" t="s">
        <v>10844</v>
      </c>
      <c r="B4356" s="5" t="s">
        <v>10844</v>
      </c>
      <c r="C4356" s="5" t="s">
        <v>26</v>
      </c>
      <c r="D4356" s="5" t="s">
        <v>27</v>
      </c>
      <c r="E4356" s="5" t="s">
        <v>65</v>
      </c>
      <c r="F4356" s="9" t="s">
        <v>105</v>
      </c>
      <c r="G4356" s="9" t="s">
        <v>199</v>
      </c>
      <c r="H4356" s="5" t="s">
        <v>21</v>
      </c>
      <c r="I4356" s="5" t="s">
        <v>10845</v>
      </c>
      <c r="J4356" s="12" t="str">
        <f>HYPERLINK("https://www.boe.es/gazeta/dias/1808/10/18/pdfs/GMD-D-1808-135.pdf#page=2","Abrir facsímil")</f>
        <v>Abrir facsímil</v>
      </c>
      <c r="K4356" s="15" t="s">
        <v>23</v>
      </c>
    </row>
    <row r="4357" spans="1:11" ht="42" customHeight="1">
      <c r="A4357" s="4" t="s">
        <v>10846</v>
      </c>
      <c r="B4357" s="5" t="s">
        <v>10846</v>
      </c>
      <c r="C4357" s="5" t="s">
        <v>33</v>
      </c>
      <c r="D4357" s="5" t="s">
        <v>34</v>
      </c>
      <c r="E4357" s="5" t="s">
        <v>35</v>
      </c>
      <c r="F4357" s="9" t="s">
        <v>36</v>
      </c>
      <c r="G4357" s="9" t="s">
        <v>80</v>
      </c>
      <c r="H4357" s="5" t="s">
        <v>21</v>
      </c>
      <c r="I4357" s="5" t="s">
        <v>10847</v>
      </c>
      <c r="J4357" s="12" t="str">
        <f>HYPERLINK("https://www.boe.es/gazeta/dias/1808/04/22/pdfs/GMD-C-1808-38.pdf#page=18","Abrir facsímil")</f>
        <v>Abrir facsímil</v>
      </c>
      <c r="K4357" s="15" t="s">
        <v>23</v>
      </c>
    </row>
    <row r="4358" spans="1:11" ht="42" customHeight="1">
      <c r="A4358" s="4" t="s">
        <v>10848</v>
      </c>
      <c r="B4358" s="5" t="s">
        <v>10848</v>
      </c>
      <c r="C4358" s="5" t="s">
        <v>33</v>
      </c>
      <c r="D4358" s="5" t="s">
        <v>34</v>
      </c>
      <c r="E4358" s="5" t="s">
        <v>35</v>
      </c>
      <c r="F4358" s="9" t="s">
        <v>36</v>
      </c>
      <c r="G4358" s="9" t="s">
        <v>443</v>
      </c>
      <c r="H4358" s="5" t="s">
        <v>21</v>
      </c>
      <c r="I4358" s="5" t="s">
        <v>10849</v>
      </c>
      <c r="J4358" s="12" t="str">
        <f>HYPERLINK("https://www.boe.es/gazeta/dias/1808/04/22/pdfs/GMD-C-1808-38.pdf#page=16","Abrir facsímil")</f>
        <v>Abrir facsímil</v>
      </c>
      <c r="K4358" s="15" t="s">
        <v>23</v>
      </c>
    </row>
    <row r="4359" spans="1:11" ht="42" customHeight="1">
      <c r="A4359" s="4" t="s">
        <v>10850</v>
      </c>
      <c r="B4359" s="5" t="s">
        <v>10850</v>
      </c>
      <c r="C4359" s="5" t="s">
        <v>41</v>
      </c>
      <c r="D4359" s="5" t="s">
        <v>42</v>
      </c>
      <c r="E4359" s="5" t="s">
        <v>180</v>
      </c>
      <c r="F4359" s="9" t="s">
        <v>768</v>
      </c>
      <c r="G4359" s="9" t="s">
        <v>106</v>
      </c>
      <c r="H4359" s="5" t="s">
        <v>21</v>
      </c>
      <c r="I4359" s="5" t="s">
        <v>10851</v>
      </c>
      <c r="J4359" s="12" t="str">
        <f>HYPERLINK("https://www.boe.es/gazeta/dias/1808/11/15/pdfs/GMD-D-1808-144.pdf#page=3","Abrir facsímil")</f>
        <v>Abrir facsímil</v>
      </c>
      <c r="K4359" s="15" t="s">
        <v>23</v>
      </c>
    </row>
    <row r="4360" spans="1:11" ht="42" customHeight="1">
      <c r="A4360" s="4" t="s">
        <v>10852</v>
      </c>
      <c r="B4360" s="5" t="s">
        <v>10852</v>
      </c>
      <c r="C4360" s="5" t="s">
        <v>33</v>
      </c>
      <c r="D4360" s="5" t="s">
        <v>34</v>
      </c>
      <c r="E4360" s="5" t="s">
        <v>110</v>
      </c>
      <c r="F4360" s="9" t="s">
        <v>828</v>
      </c>
      <c r="G4360" s="9" t="s">
        <v>106</v>
      </c>
      <c r="H4360" s="5" t="s">
        <v>21</v>
      </c>
      <c r="I4360" s="5" t="s">
        <v>10853</v>
      </c>
      <c r="J4360" s="12" t="str">
        <f>HYPERLINK("https://www.boe.es/gazeta/dias/1808/10/28/pdfs/GMD-D-1808-138.pdf#page=3","Abrir facsímil")</f>
        <v>Abrir facsímil</v>
      </c>
      <c r="K4360" s="15" t="s">
        <v>23</v>
      </c>
    </row>
    <row r="4361" spans="1:11" ht="42" customHeight="1">
      <c r="A4361" s="4" t="s">
        <v>10854</v>
      </c>
      <c r="B4361" s="5" t="s">
        <v>10854</v>
      </c>
      <c r="C4361" s="5" t="s">
        <v>17</v>
      </c>
      <c r="D4361" s="5" t="s">
        <v>18</v>
      </c>
      <c r="E4361" s="5" t="s">
        <v>264</v>
      </c>
      <c r="F4361" s="9" t="s">
        <v>2256</v>
      </c>
      <c r="G4361" s="9">
        <v>1557</v>
      </c>
      <c r="H4361" s="5" t="s">
        <v>21</v>
      </c>
      <c r="I4361" s="5" t="s">
        <v>10855</v>
      </c>
      <c r="J4361" s="12" t="str">
        <f>HYPERLINK("https://www.boe.es/gazeta/dias/1808/11/29/pdfs/GMD-1808-148.pdf#page=3","Abrir facsímil")</f>
        <v>Abrir facsímil</v>
      </c>
      <c r="K4361" s="15" t="s">
        <v>23</v>
      </c>
    </row>
    <row r="4362" spans="1:11" ht="42" customHeight="1">
      <c r="A4362" s="4" t="s">
        <v>10856</v>
      </c>
      <c r="B4362" s="5" t="s">
        <v>10856</v>
      </c>
      <c r="C4362" s="5" t="s">
        <v>33</v>
      </c>
      <c r="D4362" s="5" t="s">
        <v>34</v>
      </c>
      <c r="E4362" s="5" t="s">
        <v>35</v>
      </c>
      <c r="F4362" s="9" t="s">
        <v>36</v>
      </c>
      <c r="G4362" s="9" t="s">
        <v>47</v>
      </c>
      <c r="H4362" s="5" t="s">
        <v>21</v>
      </c>
      <c r="I4362" s="5" t="s">
        <v>10857</v>
      </c>
      <c r="J4362" s="12" t="str">
        <f>HYPERLINK("https://www.boe.es/gazeta/dias/1808/04/22/pdfs/GMD-C-1808-38.pdf#page=13","Abrir facsímil")</f>
        <v>Abrir facsímil</v>
      </c>
      <c r="K4362" s="15" t="s">
        <v>23</v>
      </c>
    </row>
    <row r="4363" spans="1:11" ht="42" customHeight="1">
      <c r="A4363" s="4" t="s">
        <v>10858</v>
      </c>
      <c r="B4363" s="5" t="s">
        <v>10858</v>
      </c>
      <c r="C4363" s="5" t="s">
        <v>17</v>
      </c>
      <c r="D4363" s="5" t="s">
        <v>18</v>
      </c>
      <c r="E4363" s="5" t="s">
        <v>61</v>
      </c>
      <c r="F4363" s="9" t="s">
        <v>62</v>
      </c>
      <c r="G4363" s="9">
        <v>1285</v>
      </c>
      <c r="H4363" s="5" t="s">
        <v>21</v>
      </c>
      <c r="I4363" s="5" t="s">
        <v>10859</v>
      </c>
      <c r="J4363" s="12" t="str">
        <f>HYPERLINK("https://www.boe.es/gazeta/dias/1808/10/11/pdfs/GMD-1808-133.pdf#page=13","Abrir facsímil")</f>
        <v>Abrir facsímil</v>
      </c>
      <c r="K4363" s="15" t="s">
        <v>23</v>
      </c>
    </row>
    <row r="4364" spans="1:11" ht="42" customHeight="1">
      <c r="A4364" s="4" t="s">
        <v>10860</v>
      </c>
      <c r="B4364" s="5" t="s">
        <v>10860</v>
      </c>
      <c r="C4364" s="5" t="s">
        <v>33</v>
      </c>
      <c r="D4364" s="5" t="s">
        <v>34</v>
      </c>
      <c r="E4364" s="5" t="s">
        <v>180</v>
      </c>
      <c r="F4364" s="9" t="s">
        <v>768</v>
      </c>
      <c r="G4364" s="9" t="s">
        <v>75</v>
      </c>
      <c r="H4364" s="5" t="s">
        <v>21</v>
      </c>
      <c r="I4364" s="5" t="s">
        <v>10861</v>
      </c>
      <c r="J4364" s="12" t="str">
        <f>HYPERLINK("https://www.boe.es/gazeta/dias/1808/11/15/pdfs/GMD-D-1808-144.pdf#page=4","Abrir facsímil")</f>
        <v>Abrir facsímil</v>
      </c>
      <c r="K4364" s="15" t="s">
        <v>23</v>
      </c>
    </row>
    <row r="4365" spans="1:11" ht="42" customHeight="1">
      <c r="A4365" s="4" t="s">
        <v>10862</v>
      </c>
      <c r="B4365" s="5" t="s">
        <v>10862</v>
      </c>
      <c r="C4365" s="5" t="s">
        <v>94</v>
      </c>
      <c r="D4365" s="5" t="s">
        <v>95</v>
      </c>
      <c r="E4365" s="5" t="s">
        <v>493</v>
      </c>
      <c r="F4365" s="9" t="s">
        <v>494</v>
      </c>
      <c r="G4365" s="9">
        <v>46</v>
      </c>
      <c r="H4365" s="5" t="s">
        <v>21</v>
      </c>
      <c r="I4365" s="5" t="s">
        <v>10863</v>
      </c>
      <c r="J4365" s="12" t="str">
        <f>HYPERLINK("https://www.boe.es/gazeta/dias/1808/01/12/pdfs/GMD-1808-4.pdf#page=10","Abrir facsímil")</f>
        <v>Abrir facsímil</v>
      </c>
      <c r="K4365" s="15" t="s">
        <v>23</v>
      </c>
    </row>
    <row r="4366" spans="1:11" ht="42" customHeight="1">
      <c r="A4366" s="4" t="s">
        <v>10864</v>
      </c>
      <c r="B4366" s="5" t="s">
        <v>10864</v>
      </c>
      <c r="C4366" s="5" t="s">
        <v>33</v>
      </c>
      <c r="D4366" s="5" t="s">
        <v>34</v>
      </c>
      <c r="E4366" s="5" t="s">
        <v>456</v>
      </c>
      <c r="F4366" s="9" t="s">
        <v>748</v>
      </c>
      <c r="G4366" s="9" t="s">
        <v>106</v>
      </c>
      <c r="H4366" s="5" t="s">
        <v>21</v>
      </c>
      <c r="I4366" s="5" t="s">
        <v>10865</v>
      </c>
      <c r="J4366" s="12" t="str">
        <f>HYPERLINK("https://www.boe.es/gazeta/dias/1808/10/14/pdfs/GMD-C-1808-134.pdf#page=3","Abrir facsímil")</f>
        <v>Abrir facsímil</v>
      </c>
      <c r="K4366" s="15" t="s">
        <v>23</v>
      </c>
    </row>
    <row r="4367" spans="1:11" ht="42" customHeight="1">
      <c r="A4367" s="4" t="s">
        <v>10866</v>
      </c>
      <c r="B4367" s="5" t="s">
        <v>10866</v>
      </c>
      <c r="C4367" s="5" t="s">
        <v>17</v>
      </c>
      <c r="D4367" s="5" t="s">
        <v>18</v>
      </c>
      <c r="E4367" s="5" t="s">
        <v>663</v>
      </c>
      <c r="F4367" s="9" t="s">
        <v>664</v>
      </c>
      <c r="G4367" s="9">
        <v>208</v>
      </c>
      <c r="H4367" s="5" t="s">
        <v>21</v>
      </c>
      <c r="I4367" s="5" t="s">
        <v>10867</v>
      </c>
      <c r="J4367" s="12" t="str">
        <f>HYPERLINK("https://www.boe.es/gazeta/dias/1808/02/26/pdfs/GMD-1808-17.pdf#page=10","Abrir facsímil")</f>
        <v>Abrir facsímil</v>
      </c>
      <c r="K4367" s="15" t="s">
        <v>23</v>
      </c>
    </row>
    <row r="4368" spans="1:11" ht="42" customHeight="1">
      <c r="A4368" s="4" t="s">
        <v>10868</v>
      </c>
      <c r="B4368" s="5" t="s">
        <v>10869</v>
      </c>
      <c r="C4368" s="5" t="s">
        <v>33</v>
      </c>
      <c r="D4368" s="5" t="s">
        <v>34</v>
      </c>
      <c r="E4368" s="5" t="s">
        <v>115</v>
      </c>
      <c r="F4368" s="9" t="s">
        <v>116</v>
      </c>
      <c r="G4368" s="9" t="s">
        <v>199</v>
      </c>
      <c r="H4368" s="5" t="s">
        <v>21</v>
      </c>
      <c r="I4368" s="5" t="s">
        <v>10870</v>
      </c>
      <c r="J4368" s="12" t="str">
        <f>HYPERLINK("https://www.boe.es/gazeta/dias/1808/09/16/pdfs/GMD-C-1808-125.pdf#page=2","Abrir facsímil")</f>
        <v>Abrir facsímil</v>
      </c>
      <c r="K4368" s="15" t="s">
        <v>23</v>
      </c>
    </row>
    <row r="4369" spans="1:11" ht="42" customHeight="1">
      <c r="A4369" s="4" t="s">
        <v>10871</v>
      </c>
      <c r="B4369" s="5" t="s">
        <v>10871</v>
      </c>
      <c r="C4369" s="5" t="s">
        <v>17</v>
      </c>
      <c r="D4369" s="5" t="s">
        <v>18</v>
      </c>
      <c r="E4369" s="5" t="s">
        <v>2598</v>
      </c>
      <c r="F4369" s="9" t="s">
        <v>2599</v>
      </c>
      <c r="G4369" s="9">
        <v>950</v>
      </c>
      <c r="H4369" s="5" t="s">
        <v>21</v>
      </c>
      <c r="I4369" s="5" t="s">
        <v>10872</v>
      </c>
      <c r="J4369" s="12" t="str">
        <f>HYPERLINK("https://www.boe.es/gazeta/dias/1808/08/01/pdfs/GMD-1808-104.pdf#page=8","Abrir facsímil")</f>
        <v>Abrir facsímil</v>
      </c>
      <c r="K4369" s="15" t="s">
        <v>23</v>
      </c>
    </row>
    <row r="4370" spans="1:11" ht="42" customHeight="1">
      <c r="A4370" s="4" t="s">
        <v>10873</v>
      </c>
      <c r="B4370" s="5" t="s">
        <v>10873</v>
      </c>
      <c r="C4370" s="5" t="s">
        <v>94</v>
      </c>
      <c r="D4370" s="5" t="s">
        <v>95</v>
      </c>
      <c r="E4370" s="5" t="s">
        <v>572</v>
      </c>
      <c r="F4370" s="9" t="s">
        <v>573</v>
      </c>
      <c r="G4370" s="9">
        <v>20</v>
      </c>
      <c r="H4370" s="5" t="s">
        <v>21</v>
      </c>
      <c r="I4370" s="5" t="s">
        <v>10874</v>
      </c>
      <c r="J4370" s="12" t="str">
        <f>HYPERLINK("https://www.boe.es/gazeta/dias/1808/01/05/pdfs/GMD-1808-2.pdf#page=8","Abrir facsímil")</f>
        <v>Abrir facsímil</v>
      </c>
      <c r="K4370" s="15" t="s">
        <v>23</v>
      </c>
    </row>
    <row r="4371" spans="1:11" ht="42" customHeight="1">
      <c r="A4371" s="4" t="s">
        <v>10873</v>
      </c>
      <c r="B4371" s="5" t="s">
        <v>10873</v>
      </c>
      <c r="C4371" s="5" t="s">
        <v>33</v>
      </c>
      <c r="D4371" s="5" t="s">
        <v>34</v>
      </c>
      <c r="E4371" s="5" t="s">
        <v>139</v>
      </c>
      <c r="F4371" s="9" t="s">
        <v>1089</v>
      </c>
      <c r="G4371" s="9" t="s">
        <v>199</v>
      </c>
      <c r="H4371" s="5" t="s">
        <v>21</v>
      </c>
      <c r="I4371" s="5" t="s">
        <v>10875</v>
      </c>
      <c r="J4371" s="12" t="str">
        <f>HYPERLINK("https://www.boe.es/gazeta/dias/1808/09/23/pdfs/GMD-C-1808-127.pdf#page=2","Abrir facsímil")</f>
        <v>Abrir facsímil</v>
      </c>
      <c r="K4371" s="15" t="s">
        <v>23</v>
      </c>
    </row>
    <row r="4372" spans="1:11" ht="42" customHeight="1">
      <c r="A4372" s="4" t="s">
        <v>10873</v>
      </c>
      <c r="B4372" s="5" t="s">
        <v>10873</v>
      </c>
      <c r="C4372" s="5" t="s">
        <v>41</v>
      </c>
      <c r="D4372" s="5" t="s">
        <v>42</v>
      </c>
      <c r="E4372" s="5" t="s">
        <v>61</v>
      </c>
      <c r="F4372" s="9" t="s">
        <v>62</v>
      </c>
      <c r="G4372" s="9">
        <v>1287</v>
      </c>
      <c r="H4372" s="5" t="s">
        <v>21</v>
      </c>
      <c r="I4372" s="5" t="s">
        <v>10876</v>
      </c>
      <c r="J4372" s="12" t="str">
        <f>HYPERLINK("https://www.boe.es/gazeta/dias/1808/10/11/pdfs/GMD-1808-133.pdf#page=15","Abrir facsímil")</f>
        <v>Abrir facsímil</v>
      </c>
      <c r="K4372" s="15" t="s">
        <v>23</v>
      </c>
    </row>
    <row r="4373" spans="1:11" ht="42" customHeight="1">
      <c r="A4373" s="4" t="s">
        <v>10873</v>
      </c>
      <c r="B4373" s="5" t="s">
        <v>10873</v>
      </c>
      <c r="C4373" s="5" t="s">
        <v>33</v>
      </c>
      <c r="D4373" s="5" t="s">
        <v>34</v>
      </c>
      <c r="E4373" s="5" t="s">
        <v>110</v>
      </c>
      <c r="F4373" s="9" t="s">
        <v>828</v>
      </c>
      <c r="G4373" s="9" t="s">
        <v>106</v>
      </c>
      <c r="H4373" s="5" t="s">
        <v>21</v>
      </c>
      <c r="I4373" s="5" t="s">
        <v>10877</v>
      </c>
      <c r="J4373" s="12" t="str">
        <f>HYPERLINK("https://www.boe.es/gazeta/dias/1808/10/28/pdfs/GMD-D-1808-138.pdf#page=3","Abrir facsímil")</f>
        <v>Abrir facsímil</v>
      </c>
      <c r="K4373" s="15" t="s">
        <v>23</v>
      </c>
    </row>
    <row r="4374" spans="1:11" ht="42" customHeight="1">
      <c r="A4374" s="4" t="s">
        <v>10873</v>
      </c>
      <c r="B4374" s="5" t="s">
        <v>10873</v>
      </c>
      <c r="C4374" s="5" t="s">
        <v>17</v>
      </c>
      <c r="D4374" s="5" t="s">
        <v>18</v>
      </c>
      <c r="E4374" s="5" t="s">
        <v>558</v>
      </c>
      <c r="F4374" s="9" t="s">
        <v>559</v>
      </c>
      <c r="G4374" s="9">
        <v>1545</v>
      </c>
      <c r="H4374" s="5" t="s">
        <v>21</v>
      </c>
      <c r="I4374" s="5" t="s">
        <v>10878</v>
      </c>
      <c r="J4374" s="12" t="str">
        <f>HYPERLINK("https://www.boe.es/gazeta/dias/1808/11/25/pdfs/GMD-1808-147.pdf#page=11","Abrir facsímil")</f>
        <v>Abrir facsímil</v>
      </c>
      <c r="K4374" s="15" t="s">
        <v>23</v>
      </c>
    </row>
    <row r="4375" spans="1:11" ht="42" customHeight="1">
      <c r="A4375" s="4" t="s">
        <v>10879</v>
      </c>
      <c r="B4375" s="5" t="s">
        <v>10879</v>
      </c>
      <c r="C4375" s="5" t="s">
        <v>94</v>
      </c>
      <c r="D4375" s="5" t="s">
        <v>95</v>
      </c>
      <c r="E4375" s="5" t="s">
        <v>493</v>
      </c>
      <c r="F4375" s="9" t="s">
        <v>494</v>
      </c>
      <c r="G4375" s="9">
        <v>44</v>
      </c>
      <c r="H4375" s="5" t="s">
        <v>21</v>
      </c>
      <c r="I4375" s="5" t="s">
        <v>10880</v>
      </c>
      <c r="J4375" s="12" t="str">
        <f>HYPERLINK("https://www.boe.es/gazeta/dias/1808/01/12/pdfs/GMD-1808-4.pdf#page=8","Abrir facsímil")</f>
        <v>Abrir facsímil</v>
      </c>
      <c r="K4375" s="15" t="s">
        <v>23</v>
      </c>
    </row>
    <row r="4376" spans="1:11" ht="42" customHeight="1">
      <c r="A4376" s="4" t="s">
        <v>10881</v>
      </c>
      <c r="B4376" s="5" t="s">
        <v>10881</v>
      </c>
      <c r="C4376" s="5" t="s">
        <v>33</v>
      </c>
      <c r="D4376" s="5" t="s">
        <v>34</v>
      </c>
      <c r="E4376" s="5" t="s">
        <v>35</v>
      </c>
      <c r="F4376" s="9" t="s">
        <v>36</v>
      </c>
      <c r="G4376" s="9" t="s">
        <v>655</v>
      </c>
      <c r="H4376" s="5" t="s">
        <v>21</v>
      </c>
      <c r="I4376" s="5" t="s">
        <v>10882</v>
      </c>
      <c r="J4376" s="12" t="str">
        <f>HYPERLINK("https://www.boe.es/gazeta/dias/1808/04/22/pdfs/GMD-C-1808-38.pdf#page=43","Abrir facsímil")</f>
        <v>Abrir facsímil</v>
      </c>
      <c r="K4376" s="15" t="s">
        <v>23</v>
      </c>
    </row>
    <row r="4377" spans="1:11" ht="42" customHeight="1">
      <c r="A4377" s="4" t="s">
        <v>10883</v>
      </c>
      <c r="B4377" s="5" t="s">
        <v>10884</v>
      </c>
      <c r="C4377" s="5" t="s">
        <v>260</v>
      </c>
      <c r="D4377" s="5" t="s">
        <v>42</v>
      </c>
      <c r="E4377" s="5" t="s">
        <v>339</v>
      </c>
      <c r="F4377" s="9" t="s">
        <v>340</v>
      </c>
      <c r="G4377" s="9">
        <v>81</v>
      </c>
      <c r="H4377" s="5" t="s">
        <v>21</v>
      </c>
      <c r="I4377" s="5" t="s">
        <v>10885</v>
      </c>
      <c r="J4377" s="12" t="str">
        <f>HYPERLINK("https://www.boe.es/gazeta/dias/1808/01/22/pdfs/GMD-1808-7.pdf#page=9","Abrir facsímil")</f>
        <v>Abrir facsímil</v>
      </c>
      <c r="K4377" s="15" t="s">
        <v>23</v>
      </c>
    </row>
    <row r="4378" spans="1:11" ht="42" customHeight="1">
      <c r="A4378" s="4" t="s">
        <v>10886</v>
      </c>
      <c r="B4378" s="5" t="s">
        <v>10887</v>
      </c>
      <c r="C4378" s="5" t="s">
        <v>41</v>
      </c>
      <c r="D4378" s="5" t="s">
        <v>42</v>
      </c>
      <c r="E4378" s="5" t="s">
        <v>96</v>
      </c>
      <c r="F4378" s="9" t="s">
        <v>97</v>
      </c>
      <c r="G4378" s="9">
        <v>267</v>
      </c>
      <c r="H4378" s="5" t="s">
        <v>21</v>
      </c>
      <c r="I4378" s="5" t="s">
        <v>10888</v>
      </c>
      <c r="J4378" s="12" t="str">
        <f>HYPERLINK("https://www.boe.es/gazeta/dias/1808/03/15/pdfs/GMD-1808-22.pdf#page=9","Abrir facsímil")</f>
        <v>Abrir facsímil</v>
      </c>
      <c r="K4378" s="15" t="s">
        <v>23</v>
      </c>
    </row>
    <row r="4379" spans="1:11" ht="42" customHeight="1">
      <c r="A4379" s="4" t="s">
        <v>10889</v>
      </c>
      <c r="B4379" s="5" t="s">
        <v>10889</v>
      </c>
      <c r="C4379" s="5" t="s">
        <v>33</v>
      </c>
      <c r="D4379" s="5" t="s">
        <v>34</v>
      </c>
      <c r="E4379" s="5" t="s">
        <v>115</v>
      </c>
      <c r="F4379" s="9" t="s">
        <v>116</v>
      </c>
      <c r="G4379" s="9" t="s">
        <v>199</v>
      </c>
      <c r="H4379" s="5" t="s">
        <v>21</v>
      </c>
      <c r="I4379" s="5" t="s">
        <v>10890</v>
      </c>
      <c r="J4379" s="12" t="str">
        <f>HYPERLINK("https://www.boe.es/gazeta/dias/1808/09/16/pdfs/GMD-C-1808-125.pdf#page=2","Abrir facsímil")</f>
        <v>Abrir facsímil</v>
      </c>
      <c r="K4379" s="15" t="s">
        <v>23</v>
      </c>
    </row>
    <row r="4380" spans="1:11" ht="42" customHeight="1">
      <c r="A4380" s="4" t="s">
        <v>10889</v>
      </c>
      <c r="B4380" s="5" t="s">
        <v>10889</v>
      </c>
      <c r="C4380" s="5" t="s">
        <v>17</v>
      </c>
      <c r="D4380" s="5" t="s">
        <v>18</v>
      </c>
      <c r="E4380" s="5" t="s">
        <v>719</v>
      </c>
      <c r="F4380" s="9" t="s">
        <v>720</v>
      </c>
      <c r="G4380" s="9">
        <v>1609</v>
      </c>
      <c r="H4380" s="5" t="s">
        <v>21</v>
      </c>
      <c r="I4380" s="5" t="s">
        <v>10891</v>
      </c>
      <c r="J4380" s="12" t="str">
        <f>HYPERLINK("https://www.boe.es/gazeta/dias/1808/12/16/pdfs/GMD-1808-156.pdf#page=1","Abrir facsímil")</f>
        <v>Abrir facsímil</v>
      </c>
      <c r="K4380" s="15" t="s">
        <v>23</v>
      </c>
    </row>
    <row r="4381" spans="1:11" ht="42" customHeight="1">
      <c r="A4381" s="4" t="s">
        <v>10892</v>
      </c>
      <c r="B4381" s="5" t="s">
        <v>10892</v>
      </c>
      <c r="C4381" s="5" t="s">
        <v>33</v>
      </c>
      <c r="D4381" s="5" t="s">
        <v>34</v>
      </c>
      <c r="E4381" s="5" t="s">
        <v>334</v>
      </c>
      <c r="F4381" s="9" t="s">
        <v>335</v>
      </c>
      <c r="G4381" s="9">
        <v>1250</v>
      </c>
      <c r="H4381" s="5" t="s">
        <v>21</v>
      </c>
      <c r="I4381" s="5" t="s">
        <v>10893</v>
      </c>
      <c r="J4381" s="12" t="str">
        <f>HYPERLINK("https://www.boe.es/gazeta/dias/1808/10/04/pdfs/GMD-C-1808-131.pdf#page=2","Abrir facsímil")</f>
        <v>Abrir facsímil</v>
      </c>
      <c r="K4381" s="15" t="s">
        <v>23</v>
      </c>
    </row>
    <row r="4382" spans="1:11" ht="42" customHeight="1">
      <c r="A4382" s="4" t="s">
        <v>10894</v>
      </c>
      <c r="B4382" s="5" t="s">
        <v>10894</v>
      </c>
      <c r="C4382" s="5" t="s">
        <v>33</v>
      </c>
      <c r="D4382" s="5" t="s">
        <v>34</v>
      </c>
      <c r="E4382" s="5" t="s">
        <v>35</v>
      </c>
      <c r="F4382" s="9" t="s">
        <v>36</v>
      </c>
      <c r="G4382" s="9" t="s">
        <v>75</v>
      </c>
      <c r="H4382" s="5" t="s">
        <v>21</v>
      </c>
      <c r="I4382" s="5" t="s">
        <v>10895</v>
      </c>
      <c r="J4382" s="12" t="str">
        <f>HYPERLINK("https://www.boe.es/gazeta/dias/1808/04/22/pdfs/GMD-C-1808-38.pdf#page=4","Abrir facsímil")</f>
        <v>Abrir facsímil</v>
      </c>
      <c r="K4382" s="15" t="s">
        <v>23</v>
      </c>
    </row>
    <row r="4383" spans="1:11" ht="42" customHeight="1">
      <c r="A4383" s="4" t="s">
        <v>10896</v>
      </c>
      <c r="B4383" s="5" t="s">
        <v>10897</v>
      </c>
      <c r="C4383" s="5" t="s">
        <v>33</v>
      </c>
      <c r="D4383" s="5" t="s">
        <v>34</v>
      </c>
      <c r="E4383" s="5" t="s">
        <v>35</v>
      </c>
      <c r="F4383" s="9" t="s">
        <v>36</v>
      </c>
      <c r="G4383" s="9" t="s">
        <v>4783</v>
      </c>
      <c r="H4383" s="5" t="s">
        <v>21</v>
      </c>
      <c r="I4383" s="5" t="s">
        <v>10898</v>
      </c>
      <c r="J4383" s="12" t="str">
        <f>HYPERLINK("https://www.boe.es/gazeta/dias/1808/04/22/pdfs/GMD-C-1808-38.pdf#page=36","Abrir facsímil")</f>
        <v>Abrir facsímil</v>
      </c>
      <c r="K4383" s="15" t="s">
        <v>23</v>
      </c>
    </row>
    <row r="4384" spans="1:11" ht="42" customHeight="1">
      <c r="A4384" s="4" t="s">
        <v>10899</v>
      </c>
      <c r="B4384" s="5" t="s">
        <v>10900</v>
      </c>
      <c r="C4384" s="5" t="s">
        <v>33</v>
      </c>
      <c r="D4384" s="5" t="s">
        <v>34</v>
      </c>
      <c r="E4384" s="5" t="s">
        <v>35</v>
      </c>
      <c r="F4384" s="9" t="s">
        <v>36</v>
      </c>
      <c r="G4384" s="9" t="s">
        <v>443</v>
      </c>
      <c r="H4384" s="5" t="s">
        <v>21</v>
      </c>
      <c r="I4384" s="5" t="s">
        <v>10901</v>
      </c>
      <c r="J4384" s="12" t="str">
        <f>HYPERLINK("https://www.boe.es/gazeta/dias/1808/04/22/pdfs/GMD-C-1808-38.pdf#page=16","Abrir facsímil")</f>
        <v>Abrir facsímil</v>
      </c>
      <c r="K4384" s="15" t="s">
        <v>23</v>
      </c>
    </row>
    <row r="4385" spans="1:11" ht="42" customHeight="1">
      <c r="A4385" s="4" t="s">
        <v>10899</v>
      </c>
      <c r="B4385" s="5" t="s">
        <v>10900</v>
      </c>
      <c r="C4385" s="5" t="s">
        <v>33</v>
      </c>
      <c r="D4385" s="5" t="s">
        <v>34</v>
      </c>
      <c r="E4385" s="5" t="s">
        <v>35</v>
      </c>
      <c r="F4385" s="9" t="s">
        <v>36</v>
      </c>
      <c r="G4385" s="9" t="s">
        <v>924</v>
      </c>
      <c r="H4385" s="5" t="s">
        <v>21</v>
      </c>
      <c r="I4385" s="5" t="s">
        <v>10902</v>
      </c>
      <c r="J4385" s="12" t="str">
        <f>HYPERLINK("https://www.boe.es/gazeta/dias/1808/04/22/pdfs/GMD-C-1808-38.pdf#page=27","Abrir facsímil")</f>
        <v>Abrir facsímil</v>
      </c>
      <c r="K4385" s="15" t="s">
        <v>23</v>
      </c>
    </row>
    <row r="4386" spans="1:11" ht="42" customHeight="1">
      <c r="A4386" s="4" t="s">
        <v>10903</v>
      </c>
      <c r="B4386" s="5" t="s">
        <v>10904</v>
      </c>
      <c r="C4386" s="5" t="s">
        <v>41</v>
      </c>
      <c r="D4386" s="5" t="s">
        <v>42</v>
      </c>
      <c r="E4386" s="5" t="s">
        <v>110</v>
      </c>
      <c r="F4386" s="9" t="s">
        <v>828</v>
      </c>
      <c r="G4386" s="9" t="s">
        <v>117</v>
      </c>
      <c r="H4386" s="5" t="s">
        <v>21</v>
      </c>
      <c r="I4386" s="5" t="s">
        <v>10905</v>
      </c>
      <c r="J4386" s="12" t="str">
        <f>HYPERLINK("https://www.boe.es/gazeta/dias/1808/10/28/pdfs/GMD-D-1808-138.pdf#page=1","Abrir facsímil")</f>
        <v>Abrir facsímil</v>
      </c>
      <c r="K4386" s="15" t="s">
        <v>23</v>
      </c>
    </row>
    <row r="4387" spans="1:11" ht="42" customHeight="1">
      <c r="A4387" s="4" t="s">
        <v>10906</v>
      </c>
      <c r="B4387" s="5" t="s">
        <v>10906</v>
      </c>
      <c r="C4387" s="5" t="s">
        <v>17</v>
      </c>
      <c r="D4387" s="5" t="s">
        <v>18</v>
      </c>
      <c r="E4387" s="5" t="s">
        <v>1361</v>
      </c>
      <c r="F4387" s="9" t="s">
        <v>1362</v>
      </c>
      <c r="G4387" s="9">
        <v>472</v>
      </c>
      <c r="H4387" s="5" t="s">
        <v>21</v>
      </c>
      <c r="I4387" s="5" t="s">
        <v>10907</v>
      </c>
      <c r="J4387" s="12" t="str">
        <f>HYPERLINK("https://www.boe.es/gazeta/dias/1808/05/17/pdfs/GMD-1808-47.pdf#page=12","Abrir facsímil")</f>
        <v>Abrir facsímil</v>
      </c>
      <c r="K4387" s="15" t="s">
        <v>23</v>
      </c>
    </row>
    <row r="4388" spans="1:11" ht="42" customHeight="1">
      <c r="A4388" s="4" t="s">
        <v>10906</v>
      </c>
      <c r="B4388" s="5" t="s">
        <v>10906</v>
      </c>
      <c r="C4388" s="5" t="s">
        <v>94</v>
      </c>
      <c r="D4388" s="5" t="s">
        <v>95</v>
      </c>
      <c r="E4388" s="5" t="s">
        <v>256</v>
      </c>
      <c r="F4388" s="9" t="s">
        <v>257</v>
      </c>
      <c r="G4388" s="9">
        <v>528</v>
      </c>
      <c r="H4388" s="5" t="s">
        <v>21</v>
      </c>
      <c r="I4388" s="5" t="s">
        <v>10908</v>
      </c>
      <c r="J4388" s="12" t="str">
        <f>HYPERLINK("https://www.boe.es/gazeta/dias/1808/06/03/pdfs/GMD-1808-53.pdf#page=6","Abrir facsímil")</f>
        <v>Abrir facsímil</v>
      </c>
      <c r="K4388" s="15" t="s">
        <v>23</v>
      </c>
    </row>
    <row r="4389" spans="1:11" ht="42" customHeight="1">
      <c r="A4389" s="4" t="s">
        <v>10906</v>
      </c>
      <c r="B4389" s="5" t="s">
        <v>10906</v>
      </c>
      <c r="C4389" s="5" t="s">
        <v>94</v>
      </c>
      <c r="D4389" s="5" t="s">
        <v>95</v>
      </c>
      <c r="E4389" s="5" t="s">
        <v>1702</v>
      </c>
      <c r="F4389" s="9" t="s">
        <v>3079</v>
      </c>
      <c r="G4389" s="9">
        <v>797</v>
      </c>
      <c r="H4389" s="5" t="s">
        <v>21</v>
      </c>
      <c r="I4389" s="5" t="s">
        <v>10909</v>
      </c>
      <c r="J4389" s="12" t="str">
        <f>HYPERLINK("https://www.boe.es/gazeta/dias/1808/07/13/pdfs/GMD-1808-85.pdf#page=7","Abrir facsímil")</f>
        <v>Abrir facsímil</v>
      </c>
      <c r="K4389" s="15" t="s">
        <v>23</v>
      </c>
    </row>
    <row r="4390" spans="1:11" ht="42" customHeight="1">
      <c r="A4390" s="4" t="s">
        <v>10906</v>
      </c>
      <c r="B4390" s="5" t="s">
        <v>10906</v>
      </c>
      <c r="C4390" s="5" t="s">
        <v>94</v>
      </c>
      <c r="D4390" s="5" t="s">
        <v>95</v>
      </c>
      <c r="E4390" s="5" t="s">
        <v>634</v>
      </c>
      <c r="F4390" s="9" t="s">
        <v>635</v>
      </c>
      <c r="G4390" s="9">
        <v>912</v>
      </c>
      <c r="H4390" s="5" t="s">
        <v>21</v>
      </c>
      <c r="I4390" s="5" t="s">
        <v>10910</v>
      </c>
      <c r="J4390" s="12" t="str">
        <f>HYPERLINK("https://www.boe.es/gazeta/dias/1808/07/28/pdfs/GMD-1808-100.pdf#page=2","Abrir facsímil")</f>
        <v>Abrir facsímil</v>
      </c>
      <c r="K4390" s="15" t="s">
        <v>23</v>
      </c>
    </row>
    <row r="4391" spans="1:11" ht="42" customHeight="1">
      <c r="A4391" s="4" t="s">
        <v>10906</v>
      </c>
      <c r="B4391" s="5" t="s">
        <v>10906</v>
      </c>
      <c r="C4391" s="5" t="s">
        <v>17</v>
      </c>
      <c r="D4391" s="5" t="s">
        <v>18</v>
      </c>
      <c r="E4391" s="5" t="s">
        <v>1371</v>
      </c>
      <c r="F4391" s="9" t="s">
        <v>1372</v>
      </c>
      <c r="G4391" s="9">
        <v>1674</v>
      </c>
      <c r="H4391" s="5" t="s">
        <v>21</v>
      </c>
      <c r="I4391" s="5" t="s">
        <v>10911</v>
      </c>
      <c r="J4391" s="12" t="str">
        <f>HYPERLINK("https://www.boe.es/gazeta/dias/1808/12/24/pdfs/GMD-1808-164.pdf#page=8","Abrir facsímil")</f>
        <v>Abrir facsímil</v>
      </c>
      <c r="K4391" s="15" t="s">
        <v>23</v>
      </c>
    </row>
    <row r="4392" spans="1:11" ht="42" customHeight="1">
      <c r="A4392" s="4" t="s">
        <v>10912</v>
      </c>
      <c r="B4392" s="5" t="s">
        <v>10913</v>
      </c>
      <c r="C4392" s="5" t="s">
        <v>33</v>
      </c>
      <c r="D4392" s="5" t="s">
        <v>34</v>
      </c>
      <c r="E4392" s="5" t="s">
        <v>35</v>
      </c>
      <c r="F4392" s="9" t="s">
        <v>36</v>
      </c>
      <c r="G4392" s="9" t="s">
        <v>4783</v>
      </c>
      <c r="H4392" s="5" t="s">
        <v>21</v>
      </c>
      <c r="I4392" s="5" t="s">
        <v>10914</v>
      </c>
      <c r="J4392" s="12" t="str">
        <f>HYPERLINK("https://www.boe.es/gazeta/dias/1808/04/22/pdfs/GMD-C-1808-38.pdf#page=36","Abrir facsímil")</f>
        <v>Abrir facsímil</v>
      </c>
      <c r="K4392" s="15" t="s">
        <v>23</v>
      </c>
    </row>
    <row r="4393" spans="1:11" ht="42" customHeight="1">
      <c r="A4393" s="4" t="s">
        <v>10915</v>
      </c>
      <c r="B4393" s="5" t="s">
        <v>10916</v>
      </c>
      <c r="C4393" s="5" t="s">
        <v>33</v>
      </c>
      <c r="D4393" s="5" t="s">
        <v>34</v>
      </c>
      <c r="E4393" s="5" t="s">
        <v>35</v>
      </c>
      <c r="F4393" s="9" t="s">
        <v>36</v>
      </c>
      <c r="G4393" s="9" t="s">
        <v>837</v>
      </c>
      <c r="H4393" s="5" t="s">
        <v>21</v>
      </c>
      <c r="I4393" s="5" t="s">
        <v>10917</v>
      </c>
      <c r="J4393" s="12" t="str">
        <f>HYPERLINK("https://www.boe.es/gazeta/dias/1808/04/22/pdfs/GMD-C-1808-38.pdf#page=10","Abrir facsímil")</f>
        <v>Abrir facsímil</v>
      </c>
      <c r="K4393" s="15" t="s">
        <v>23</v>
      </c>
    </row>
    <row r="4394" spans="1:11" ht="42" customHeight="1">
      <c r="A4394" s="4" t="s">
        <v>10918</v>
      </c>
      <c r="B4394" s="5" t="s">
        <v>10919</v>
      </c>
      <c r="C4394" s="5" t="s">
        <v>33</v>
      </c>
      <c r="D4394" s="5" t="s">
        <v>34</v>
      </c>
      <c r="E4394" s="5" t="s">
        <v>19</v>
      </c>
      <c r="F4394" s="9" t="s">
        <v>949</v>
      </c>
      <c r="G4394" s="9" t="s">
        <v>117</v>
      </c>
      <c r="H4394" s="5" t="s">
        <v>21</v>
      </c>
      <c r="I4394" s="5" t="s">
        <v>10920</v>
      </c>
      <c r="J4394" s="12" t="str">
        <f>HYPERLINK("https://www.boe.es/gazeta/dias/1808/09/30/pdfs/GMD-C-1808-130.pdf#page=1","Abrir facsímil")</f>
        <v>Abrir facsímil</v>
      </c>
      <c r="K4394" s="15" t="s">
        <v>23</v>
      </c>
    </row>
    <row r="4395" spans="1:11" ht="42" customHeight="1">
      <c r="A4395" s="4" t="s">
        <v>10921</v>
      </c>
      <c r="B4395" s="5" t="s">
        <v>10921</v>
      </c>
      <c r="C4395" s="5" t="s">
        <v>94</v>
      </c>
      <c r="D4395" s="5" t="s">
        <v>95</v>
      </c>
      <c r="E4395" s="5" t="s">
        <v>28</v>
      </c>
      <c r="F4395" s="9" t="s">
        <v>29</v>
      </c>
      <c r="G4395" s="9">
        <v>1428</v>
      </c>
      <c r="H4395" s="5" t="s">
        <v>21</v>
      </c>
      <c r="I4395" s="5" t="s">
        <v>10922</v>
      </c>
      <c r="J4395" s="12" t="str">
        <f>HYPERLINK("https://www.boe.es/gazeta/dias/1808/11/04/pdfs/GMD-1808-141.pdf#page=10","Abrir facsímil")</f>
        <v>Abrir facsímil</v>
      </c>
      <c r="K4395" s="15" t="s">
        <v>23</v>
      </c>
    </row>
    <row r="4396" spans="1:11" ht="42" customHeight="1">
      <c r="A4396" s="4" t="s">
        <v>10923</v>
      </c>
      <c r="B4396" s="5" t="s">
        <v>10923</v>
      </c>
      <c r="C4396" s="5" t="s">
        <v>17</v>
      </c>
      <c r="D4396" s="5" t="s">
        <v>18</v>
      </c>
      <c r="E4396" s="5" t="s">
        <v>508</v>
      </c>
      <c r="F4396" s="9" t="s">
        <v>5993</v>
      </c>
      <c r="G4396" s="9">
        <v>182</v>
      </c>
      <c r="H4396" s="5" t="s">
        <v>21</v>
      </c>
      <c r="I4396" s="5" t="s">
        <v>10924</v>
      </c>
      <c r="J4396" s="12" t="str">
        <f>HYPERLINK("https://www.boe.es/gazeta/dias/1808/08/16/pdfs/GMS-1808-23.pdf#page=6","Abrir facsímil")</f>
        <v>Abrir facsímil</v>
      </c>
      <c r="K4396" s="15" t="s">
        <v>23</v>
      </c>
    </row>
    <row r="4397" spans="1:11" ht="42" customHeight="1">
      <c r="A4397" s="4" t="s">
        <v>10925</v>
      </c>
      <c r="B4397" s="5" t="s">
        <v>10925</v>
      </c>
      <c r="C4397" s="5" t="s">
        <v>33</v>
      </c>
      <c r="D4397" s="5" t="s">
        <v>34</v>
      </c>
      <c r="E4397" s="5" t="s">
        <v>35</v>
      </c>
      <c r="F4397" s="9" t="s">
        <v>36</v>
      </c>
      <c r="G4397" s="9" t="s">
        <v>106</v>
      </c>
      <c r="H4397" s="5" t="s">
        <v>21</v>
      </c>
      <c r="I4397" s="5" t="s">
        <v>10926</v>
      </c>
      <c r="J4397" s="12" t="str">
        <f>HYPERLINK("https://www.boe.es/gazeta/dias/1808/04/22/pdfs/GMD-C-1808-38.pdf#page=3","Abrir facsímil")</f>
        <v>Abrir facsímil</v>
      </c>
      <c r="K4397" s="15" t="s">
        <v>23</v>
      </c>
    </row>
    <row r="4398" spans="1:11" ht="42" customHeight="1">
      <c r="A4398" s="4" t="s">
        <v>10927</v>
      </c>
      <c r="B4398" s="5" t="s">
        <v>10927</v>
      </c>
      <c r="C4398" s="5" t="s">
        <v>41</v>
      </c>
      <c r="D4398" s="5" t="s">
        <v>42</v>
      </c>
      <c r="E4398" s="5" t="s">
        <v>35</v>
      </c>
      <c r="F4398" s="9" t="s">
        <v>36</v>
      </c>
      <c r="G4398" s="9" t="s">
        <v>1128</v>
      </c>
      <c r="H4398" s="5" t="s">
        <v>21</v>
      </c>
      <c r="I4398" s="5" t="s">
        <v>10928</v>
      </c>
      <c r="J4398" s="12" t="str">
        <f>HYPERLINK("https://www.boe.es/gazeta/dias/1808/04/22/pdfs/GMD-C-1808-38.pdf#page=11","Abrir facsímil")</f>
        <v>Abrir facsímil</v>
      </c>
      <c r="K4398" s="15" t="s">
        <v>23</v>
      </c>
    </row>
    <row r="4399" spans="1:11" ht="42" customHeight="1">
      <c r="A4399" s="4" t="s">
        <v>10929</v>
      </c>
      <c r="B4399" s="5" t="s">
        <v>10930</v>
      </c>
      <c r="C4399" s="5" t="s">
        <v>33</v>
      </c>
      <c r="D4399" s="5" t="s">
        <v>34</v>
      </c>
      <c r="E4399" s="5" t="s">
        <v>35</v>
      </c>
      <c r="F4399" s="9" t="s">
        <v>36</v>
      </c>
      <c r="G4399" s="9" t="s">
        <v>299</v>
      </c>
      <c r="H4399" s="5" t="s">
        <v>21</v>
      </c>
      <c r="I4399" s="5" t="s">
        <v>10931</v>
      </c>
      <c r="J4399" s="12" t="str">
        <f>HYPERLINK("https://www.boe.es/gazeta/dias/1808/04/22/pdfs/GMD-C-1808-38.pdf#page=14","Abrir facsímil")</f>
        <v>Abrir facsímil</v>
      </c>
      <c r="K4399" s="15" t="s">
        <v>23</v>
      </c>
    </row>
    <row r="4400" spans="1:11" ht="42" customHeight="1">
      <c r="A4400" s="4" t="s">
        <v>10932</v>
      </c>
      <c r="B4400" s="5" t="s">
        <v>10932</v>
      </c>
      <c r="C4400" s="5" t="s">
        <v>17</v>
      </c>
      <c r="D4400" s="5" t="s">
        <v>18</v>
      </c>
      <c r="E4400" s="5" t="s">
        <v>51</v>
      </c>
      <c r="F4400" s="9" t="s">
        <v>52</v>
      </c>
      <c r="G4400" s="9">
        <v>990</v>
      </c>
      <c r="H4400" s="5" t="s">
        <v>21</v>
      </c>
      <c r="I4400" s="5" t="s">
        <v>10933</v>
      </c>
      <c r="J4400" s="12" t="str">
        <f>HYPERLINK("https://www.boe.es/gazeta/dias/1808/08/09/pdfs/GMD-1808-111.pdf#page=6","Abrir facsímil")</f>
        <v>Abrir facsímil</v>
      </c>
      <c r="K4400" s="15" t="s">
        <v>23</v>
      </c>
    </row>
    <row r="4401" spans="1:11" ht="42" customHeight="1">
      <c r="A4401" s="4" t="s">
        <v>10934</v>
      </c>
      <c r="B4401" s="5" t="s">
        <v>10934</v>
      </c>
      <c r="C4401" s="5" t="s">
        <v>41</v>
      </c>
      <c r="D4401" s="5" t="s">
        <v>42</v>
      </c>
      <c r="E4401" s="5" t="s">
        <v>2159</v>
      </c>
      <c r="F4401" s="9" t="s">
        <v>2160</v>
      </c>
      <c r="G4401" s="9">
        <v>183</v>
      </c>
      <c r="H4401" s="5" t="s">
        <v>21</v>
      </c>
      <c r="I4401" s="5" t="s">
        <v>10935</v>
      </c>
      <c r="J4401" s="12" t="str">
        <f>HYPERLINK("https://www.boe.es/gazeta/dias/1808/02/19/pdfs/GMD-1808-15.pdf#page=13","Abrir facsímil")</f>
        <v>Abrir facsímil</v>
      </c>
      <c r="K4401" s="15" t="s">
        <v>23</v>
      </c>
    </row>
    <row r="4402" spans="1:11" ht="42" customHeight="1">
      <c r="A4402" s="4" t="s">
        <v>10936</v>
      </c>
      <c r="B4402" s="5" t="s">
        <v>10937</v>
      </c>
      <c r="C4402" s="5" t="s">
        <v>41</v>
      </c>
      <c r="D4402" s="5" t="s">
        <v>42</v>
      </c>
      <c r="E4402" s="5" t="s">
        <v>65</v>
      </c>
      <c r="F4402" s="9" t="s">
        <v>105</v>
      </c>
      <c r="G4402" s="9" t="s">
        <v>75</v>
      </c>
      <c r="H4402" s="5" t="s">
        <v>21</v>
      </c>
      <c r="I4402" s="5" t="s">
        <v>10938</v>
      </c>
      <c r="J4402" s="12" t="str">
        <f>HYPERLINK("https://www.boe.es/gazeta/dias/1808/10/18/pdfs/GMD-D-1808-135.pdf#page=4","Abrir facsímil")</f>
        <v>Abrir facsímil</v>
      </c>
      <c r="K4402" s="15" t="s">
        <v>23</v>
      </c>
    </row>
    <row r="4403" spans="1:11" ht="42" customHeight="1">
      <c r="A4403" s="4" t="s">
        <v>10939</v>
      </c>
      <c r="B4403" s="5" t="s">
        <v>10939</v>
      </c>
      <c r="C4403" s="5" t="s">
        <v>33</v>
      </c>
      <c r="D4403" s="5" t="s">
        <v>34</v>
      </c>
      <c r="E4403" s="5" t="s">
        <v>35</v>
      </c>
      <c r="F4403" s="9" t="s">
        <v>36</v>
      </c>
      <c r="G4403" s="9" t="s">
        <v>299</v>
      </c>
      <c r="H4403" s="5" t="s">
        <v>21</v>
      </c>
      <c r="I4403" s="5" t="s">
        <v>10940</v>
      </c>
      <c r="J4403" s="12" t="str">
        <f>HYPERLINK("https://www.boe.es/gazeta/dias/1808/04/22/pdfs/GMD-C-1808-38.pdf#page=14","Abrir facsímil")</f>
        <v>Abrir facsímil</v>
      </c>
      <c r="K4403" s="15" t="s">
        <v>23</v>
      </c>
    </row>
    <row r="4404" spans="1:11" ht="42" customHeight="1">
      <c r="A4404" s="4" t="s">
        <v>10939</v>
      </c>
      <c r="B4404" s="5" t="s">
        <v>10939</v>
      </c>
      <c r="C4404" s="5" t="s">
        <v>33</v>
      </c>
      <c r="D4404" s="5" t="s">
        <v>34</v>
      </c>
      <c r="E4404" s="5" t="s">
        <v>35</v>
      </c>
      <c r="F4404" s="9" t="s">
        <v>36</v>
      </c>
      <c r="G4404" s="9" t="s">
        <v>924</v>
      </c>
      <c r="H4404" s="5" t="s">
        <v>21</v>
      </c>
      <c r="I4404" s="5" t="s">
        <v>10941</v>
      </c>
      <c r="J4404" s="12" t="str">
        <f>HYPERLINK("https://www.boe.es/gazeta/dias/1808/04/22/pdfs/GMD-C-1808-38.pdf#page=27","Abrir facsímil")</f>
        <v>Abrir facsímil</v>
      </c>
      <c r="K4404" s="15" t="s">
        <v>23</v>
      </c>
    </row>
    <row r="4405" spans="1:11" ht="42" customHeight="1">
      <c r="A4405" s="4" t="s">
        <v>10942</v>
      </c>
      <c r="B4405" s="5" t="s">
        <v>10942</v>
      </c>
      <c r="C4405" s="5" t="s">
        <v>33</v>
      </c>
      <c r="D4405" s="5" t="s">
        <v>34</v>
      </c>
      <c r="E4405" s="5" t="s">
        <v>68</v>
      </c>
      <c r="F4405" s="9" t="s">
        <v>309</v>
      </c>
      <c r="G4405" s="9" t="s">
        <v>199</v>
      </c>
      <c r="H4405" s="5" t="s">
        <v>21</v>
      </c>
      <c r="I4405" s="5" t="s">
        <v>10943</v>
      </c>
      <c r="J4405" s="12" t="str">
        <f>HYPERLINK("https://www.boe.es/gazeta/dias/1808/10/21/pdfs/GMD-D-1808-136.pdf#page=2","Abrir facsímil")</f>
        <v>Abrir facsímil</v>
      </c>
      <c r="K4405" s="15" t="s">
        <v>23</v>
      </c>
    </row>
    <row r="4406" spans="1:11" ht="42" customHeight="1">
      <c r="A4406" s="4" t="s">
        <v>10944</v>
      </c>
      <c r="B4406" s="5" t="s">
        <v>10944</v>
      </c>
      <c r="C4406" s="5" t="s">
        <v>33</v>
      </c>
      <c r="D4406" s="5" t="s">
        <v>34</v>
      </c>
      <c r="E4406" s="5" t="s">
        <v>197</v>
      </c>
      <c r="F4406" s="9" t="s">
        <v>198</v>
      </c>
      <c r="G4406" s="9" t="s">
        <v>75</v>
      </c>
      <c r="H4406" s="5" t="s">
        <v>21</v>
      </c>
      <c r="I4406" s="5" t="s">
        <v>10945</v>
      </c>
      <c r="J4406" s="12" t="str">
        <f>HYPERLINK("https://www.boe.es/gazeta/dias/1808/11/01/pdfs/GMD-D-1808-140.pdf#page=4","Abrir facsímil")</f>
        <v>Abrir facsímil</v>
      </c>
      <c r="K4406" s="15" t="s">
        <v>23</v>
      </c>
    </row>
    <row r="4407" spans="1:11" ht="42" customHeight="1">
      <c r="A4407" s="4" t="s">
        <v>10946</v>
      </c>
      <c r="B4407" s="5" t="s">
        <v>10946</v>
      </c>
      <c r="C4407" s="5" t="s">
        <v>17</v>
      </c>
      <c r="D4407" s="5" t="s">
        <v>18</v>
      </c>
      <c r="E4407" s="5" t="s">
        <v>73</v>
      </c>
      <c r="F4407" s="9" t="s">
        <v>581</v>
      </c>
      <c r="G4407" s="9">
        <v>1470</v>
      </c>
      <c r="H4407" s="5" t="s">
        <v>21</v>
      </c>
      <c r="I4407" s="5" t="s">
        <v>10947</v>
      </c>
      <c r="J4407" s="12" t="str">
        <f>HYPERLINK("https://www.boe.es/gazeta/dias/1808/11/11/pdfs/GMD-1808-143.pdf#page=12","Abrir facsímil")</f>
        <v>Abrir facsímil</v>
      </c>
      <c r="K4407" s="15" t="s">
        <v>23</v>
      </c>
    </row>
    <row r="4408" spans="1:11" ht="42" customHeight="1">
      <c r="A4408" s="4" t="s">
        <v>10948</v>
      </c>
      <c r="B4408" s="5" t="s">
        <v>10948</v>
      </c>
      <c r="C4408" s="5" t="s">
        <v>17</v>
      </c>
      <c r="D4408" s="5" t="s">
        <v>18</v>
      </c>
      <c r="E4408" s="5" t="s">
        <v>3235</v>
      </c>
      <c r="F4408" s="9" t="s">
        <v>3236</v>
      </c>
      <c r="G4408" s="9">
        <v>23</v>
      </c>
      <c r="H4408" s="5" t="s">
        <v>21</v>
      </c>
      <c r="I4408" s="5" t="s">
        <v>10949</v>
      </c>
      <c r="J4408" s="12" t="str">
        <f>HYPERLINK("https://www.boe.es/gazeta/dias/1808/06/08/pdfs/GMS-1808-3.pdf#page=7","Abrir facsímil")</f>
        <v>Abrir facsímil</v>
      </c>
      <c r="K4408" s="15" t="s">
        <v>23</v>
      </c>
    </row>
    <row r="4409" spans="1:11" ht="42" customHeight="1">
      <c r="A4409" s="4" t="s">
        <v>10948</v>
      </c>
      <c r="B4409" s="5" t="s">
        <v>10948</v>
      </c>
      <c r="C4409" s="5" t="s">
        <v>17</v>
      </c>
      <c r="D4409" s="5" t="s">
        <v>18</v>
      </c>
      <c r="E4409" s="5" t="s">
        <v>616</v>
      </c>
      <c r="F4409" s="9" t="s">
        <v>617</v>
      </c>
      <c r="G4409" s="9">
        <v>1040</v>
      </c>
      <c r="H4409" s="5" t="s">
        <v>21</v>
      </c>
      <c r="I4409" s="5" t="s">
        <v>10950</v>
      </c>
      <c r="J4409" s="12" t="str">
        <f>HYPERLINK("https://www.boe.es/gazeta/dias/1808/08/19/pdfs/GMD-1808-115.pdf#page=6","Abrir facsímil")</f>
        <v>Abrir facsímil</v>
      </c>
      <c r="K4409" s="15" t="s">
        <v>23</v>
      </c>
    </row>
    <row r="4410" spans="1:11" ht="42" customHeight="1">
      <c r="A4410" s="4" t="s">
        <v>10948</v>
      </c>
      <c r="B4410" s="5" t="s">
        <v>10948</v>
      </c>
      <c r="C4410" s="5" t="s">
        <v>389</v>
      </c>
      <c r="D4410" s="5" t="s">
        <v>390</v>
      </c>
      <c r="E4410" s="5" t="s">
        <v>7774</v>
      </c>
      <c r="F4410" s="9" t="s">
        <v>7775</v>
      </c>
      <c r="G4410" s="9">
        <v>1397</v>
      </c>
      <c r="H4410" s="5" t="s">
        <v>21</v>
      </c>
      <c r="I4410" s="5" t="s">
        <v>10951</v>
      </c>
      <c r="J4410" s="12" t="str">
        <f>HYPERLINK("https://www.boe.es/gazeta/dias/1808/10/30/pdfs/GMD-1808-139E.pdf#page=3","Abrir facsímil")</f>
        <v>Abrir facsímil</v>
      </c>
      <c r="K4410" s="15" t="s">
        <v>23</v>
      </c>
    </row>
    <row r="4411" spans="1:11" ht="42" customHeight="1">
      <c r="A4411" s="4" t="s">
        <v>10948</v>
      </c>
      <c r="B4411" s="5" t="s">
        <v>10948</v>
      </c>
      <c r="C4411" s="5" t="s">
        <v>17</v>
      </c>
      <c r="D4411" s="5" t="s">
        <v>18</v>
      </c>
      <c r="E4411" s="5" t="s">
        <v>166</v>
      </c>
      <c r="F4411" s="9" t="s">
        <v>356</v>
      </c>
      <c r="G4411" s="9">
        <v>1506</v>
      </c>
      <c r="H4411" s="5" t="s">
        <v>21</v>
      </c>
      <c r="I4411" s="5" t="s">
        <v>10952</v>
      </c>
      <c r="J4411" s="12" t="str">
        <f>HYPERLINK("https://www.boe.es/gazeta/dias/1808/11/18/pdfs/GMD-1808-145.pdf#page=4","Abrir facsímil")</f>
        <v>Abrir facsímil</v>
      </c>
      <c r="K4411" s="15" t="s">
        <v>23</v>
      </c>
    </row>
    <row r="4412" spans="1:11" ht="42" customHeight="1">
      <c r="A4412" s="4" t="s">
        <v>10953</v>
      </c>
      <c r="B4412" s="5" t="s">
        <v>10953</v>
      </c>
      <c r="C4412" s="5" t="s">
        <v>642</v>
      </c>
      <c r="D4412" s="5" t="s">
        <v>643</v>
      </c>
      <c r="E4412" s="5" t="s">
        <v>658</v>
      </c>
      <c r="F4412" s="9" t="s">
        <v>659</v>
      </c>
      <c r="G4412" s="9">
        <v>1033</v>
      </c>
      <c r="H4412" s="5" t="s">
        <v>21</v>
      </c>
      <c r="I4412" s="5" t="s">
        <v>10954</v>
      </c>
      <c r="J4412" s="12" t="str">
        <f>HYPERLINK("https://www.boe.es/gazeta/dias/1808/08/18/pdfs/GMD-1808-114E.pdf#page=1","Abrir facsímil")</f>
        <v>Abrir facsímil</v>
      </c>
      <c r="K4412" s="15" t="s">
        <v>23</v>
      </c>
    </row>
    <row r="4413" spans="1:11" ht="42" customHeight="1">
      <c r="A4413" s="4" t="s">
        <v>10953</v>
      </c>
      <c r="B4413" s="5" t="s">
        <v>10953</v>
      </c>
      <c r="C4413" s="5" t="s">
        <v>94</v>
      </c>
      <c r="D4413" s="5" t="s">
        <v>95</v>
      </c>
      <c r="E4413" s="5" t="s">
        <v>7774</v>
      </c>
      <c r="F4413" s="9" t="s">
        <v>7775</v>
      </c>
      <c r="G4413" s="9">
        <v>1395</v>
      </c>
      <c r="H4413" s="5" t="s">
        <v>21</v>
      </c>
      <c r="I4413" s="5" t="s">
        <v>10955</v>
      </c>
      <c r="J4413" s="12" t="str">
        <f>HYPERLINK("https://www.boe.es/gazeta/dias/1808/10/30/pdfs/GMD-1808-139E.pdf#page=1","Abrir facsímil")</f>
        <v>Abrir facsímil</v>
      </c>
      <c r="K4413" s="15" t="s">
        <v>23</v>
      </c>
    </row>
    <row r="4414" spans="1:11" ht="42" customHeight="1">
      <c r="A4414" s="4" t="s">
        <v>10956</v>
      </c>
      <c r="B4414" s="5" t="s">
        <v>10956</v>
      </c>
      <c r="C4414" s="5" t="s">
        <v>17</v>
      </c>
      <c r="D4414" s="5" t="s">
        <v>18</v>
      </c>
      <c r="E4414" s="5" t="s">
        <v>456</v>
      </c>
      <c r="F4414" s="9" t="s">
        <v>457</v>
      </c>
      <c r="G4414" s="9">
        <v>1298</v>
      </c>
      <c r="H4414" s="5" t="s">
        <v>21</v>
      </c>
      <c r="I4414" s="5" t="s">
        <v>10957</v>
      </c>
      <c r="J4414" s="12" t="str">
        <f>HYPERLINK("https://www.boe.es/gazeta/dias/1808/10/14/pdfs/GMD-1808-134.pdf#page=10","Abrir facsímil")</f>
        <v>Abrir facsímil</v>
      </c>
      <c r="K4414" s="15" t="s">
        <v>23</v>
      </c>
    </row>
    <row r="4415" spans="1:11" ht="42" customHeight="1">
      <c r="A4415" s="4" t="s">
        <v>10956</v>
      </c>
      <c r="B4415" s="5" t="s">
        <v>10956</v>
      </c>
      <c r="C4415" s="5" t="s">
        <v>33</v>
      </c>
      <c r="D4415" s="5" t="s">
        <v>34</v>
      </c>
      <c r="E4415" s="5" t="s">
        <v>461</v>
      </c>
      <c r="F4415" s="9" t="s">
        <v>1404</v>
      </c>
      <c r="G4415" s="9">
        <v>1451</v>
      </c>
      <c r="H4415" s="5" t="s">
        <v>21</v>
      </c>
      <c r="I4415" s="5" t="s">
        <v>10958</v>
      </c>
      <c r="J4415" s="12" t="str">
        <f>HYPERLINK("https://www.boe.es/gazeta/dias/1808/11/08/pdfs/GMD-C-1808-142.pdf#page=1","Abrir facsímil")</f>
        <v>Abrir facsímil</v>
      </c>
      <c r="K4415" s="15" t="s">
        <v>23</v>
      </c>
    </row>
    <row r="4416" spans="1:11" ht="42" customHeight="1">
      <c r="A4416" s="4" t="s">
        <v>10959</v>
      </c>
      <c r="B4416" s="5" t="s">
        <v>10959</v>
      </c>
      <c r="C4416" s="5" t="s">
        <v>94</v>
      </c>
      <c r="D4416" s="5" t="s">
        <v>95</v>
      </c>
      <c r="E4416" s="5" t="s">
        <v>68</v>
      </c>
      <c r="F4416" s="9" t="s">
        <v>849</v>
      </c>
      <c r="G4416" s="9">
        <v>1349</v>
      </c>
      <c r="H4416" s="5" t="s">
        <v>21</v>
      </c>
      <c r="I4416" s="5" t="s">
        <v>10960</v>
      </c>
      <c r="J4416" s="12" t="str">
        <f>HYPERLINK("https://www.boe.es/gazeta/dias/1808/10/21/pdfs/GMD-C-1808-136.pdf#page=9","Abrir facsímil")</f>
        <v>Abrir facsímil</v>
      </c>
      <c r="K4416" s="15" t="s">
        <v>23</v>
      </c>
    </row>
    <row r="4417" spans="1:11" ht="42" customHeight="1">
      <c r="A4417" s="4" t="s">
        <v>10961</v>
      </c>
      <c r="B4417" s="5" t="s">
        <v>10961</v>
      </c>
      <c r="C4417" s="5" t="s">
        <v>33</v>
      </c>
      <c r="D4417" s="5" t="s">
        <v>34</v>
      </c>
      <c r="E4417" s="5" t="s">
        <v>35</v>
      </c>
      <c r="F4417" s="9" t="s">
        <v>36</v>
      </c>
      <c r="G4417" s="9" t="s">
        <v>279</v>
      </c>
      <c r="H4417" s="5" t="s">
        <v>21</v>
      </c>
      <c r="I4417" s="5" t="s">
        <v>10962</v>
      </c>
      <c r="J4417" s="12" t="str">
        <f>HYPERLINK("https://www.boe.es/gazeta/dias/1808/04/22/pdfs/GMD-C-1808-38.pdf#page=44","Abrir facsímil")</f>
        <v>Abrir facsímil</v>
      </c>
      <c r="K4417" s="15" t="s">
        <v>23</v>
      </c>
    </row>
    <row r="4418" spans="1:11" ht="42" customHeight="1">
      <c r="A4418" s="4" t="s">
        <v>10963</v>
      </c>
      <c r="B4418" s="5" t="s">
        <v>10963</v>
      </c>
      <c r="C4418" s="5" t="s">
        <v>17</v>
      </c>
      <c r="D4418" s="5" t="s">
        <v>18</v>
      </c>
      <c r="E4418" s="5" t="s">
        <v>89</v>
      </c>
      <c r="F4418" s="9" t="s">
        <v>90</v>
      </c>
      <c r="G4418" s="9">
        <v>1363</v>
      </c>
      <c r="H4418" s="5" t="s">
        <v>21</v>
      </c>
      <c r="I4418" s="5" t="s">
        <v>10964</v>
      </c>
      <c r="J4418" s="12" t="str">
        <f>HYPERLINK("https://www.boe.es/gazeta/dias/1808/10/25/pdfs/GMD-1808-137.pdf#page=11","Abrir facsímil")</f>
        <v>Abrir facsímil</v>
      </c>
      <c r="K4418" s="15" t="s">
        <v>23</v>
      </c>
    </row>
    <row r="4419" spans="1:11" ht="42" customHeight="1">
      <c r="A4419" s="4" t="s">
        <v>10965</v>
      </c>
      <c r="B4419" s="5" t="s">
        <v>10965</v>
      </c>
      <c r="C4419" s="5" t="s">
        <v>33</v>
      </c>
      <c r="D4419" s="5" t="s">
        <v>34</v>
      </c>
      <c r="E4419" s="5" t="s">
        <v>427</v>
      </c>
      <c r="F4419" s="9" t="s">
        <v>428</v>
      </c>
      <c r="G4419" s="9" t="s">
        <v>199</v>
      </c>
      <c r="H4419" s="5" t="s">
        <v>21</v>
      </c>
      <c r="I4419" s="5" t="s">
        <v>10966</v>
      </c>
      <c r="J4419" s="12" t="str">
        <f>HYPERLINK("https://www.boe.es/gazeta/dias/1808/11/22/pdfs/GMD-D-1808-146.pdf#page=2","Abrir facsímil")</f>
        <v>Abrir facsímil</v>
      </c>
      <c r="K4419" s="15" t="s">
        <v>23</v>
      </c>
    </row>
    <row r="4420" spans="1:11" ht="42" customHeight="1">
      <c r="A4420" s="4" t="s">
        <v>10967</v>
      </c>
      <c r="B4420" s="5" t="s">
        <v>10967</v>
      </c>
      <c r="C4420" s="5" t="s">
        <v>33</v>
      </c>
      <c r="D4420" s="5" t="s">
        <v>34</v>
      </c>
      <c r="E4420" s="5" t="s">
        <v>35</v>
      </c>
      <c r="F4420" s="9" t="s">
        <v>36</v>
      </c>
      <c r="G4420" s="9" t="s">
        <v>1178</v>
      </c>
      <c r="H4420" s="5" t="s">
        <v>21</v>
      </c>
      <c r="I4420" s="5" t="s">
        <v>10968</v>
      </c>
      <c r="J4420" s="12" t="str">
        <f>HYPERLINK("https://www.boe.es/gazeta/dias/1808/04/22/pdfs/GMD-C-1808-38.pdf#page=9","Abrir facsímil")</f>
        <v>Abrir facsímil</v>
      </c>
      <c r="K4420" s="15" t="s">
        <v>23</v>
      </c>
    </row>
    <row r="4421" spans="1:11" ht="42" customHeight="1">
      <c r="A4421" s="4" t="s">
        <v>10969</v>
      </c>
      <c r="B4421" s="5" t="s">
        <v>10969</v>
      </c>
      <c r="C4421" s="5" t="s">
        <v>33</v>
      </c>
      <c r="D4421" s="5" t="s">
        <v>34</v>
      </c>
      <c r="E4421" s="5" t="s">
        <v>35</v>
      </c>
      <c r="F4421" s="9" t="s">
        <v>36</v>
      </c>
      <c r="G4421" s="9" t="s">
        <v>106</v>
      </c>
      <c r="H4421" s="5" t="s">
        <v>21</v>
      </c>
      <c r="I4421" s="5" t="s">
        <v>10970</v>
      </c>
      <c r="J4421" s="12" t="str">
        <f>HYPERLINK("https://www.boe.es/gazeta/dias/1808/04/22/pdfs/GMD-C-1808-38.pdf#page=3","Abrir facsímil")</f>
        <v>Abrir facsímil</v>
      </c>
      <c r="K4421" s="15" t="s">
        <v>23</v>
      </c>
    </row>
    <row r="4422" spans="1:11" ht="42" customHeight="1">
      <c r="A4422" s="4" t="s">
        <v>10971</v>
      </c>
      <c r="B4422" s="5" t="s">
        <v>10971</v>
      </c>
      <c r="C4422" s="5" t="s">
        <v>33</v>
      </c>
      <c r="D4422" s="5" t="s">
        <v>34</v>
      </c>
      <c r="E4422" s="5" t="s">
        <v>35</v>
      </c>
      <c r="F4422" s="9" t="s">
        <v>36</v>
      </c>
      <c r="G4422" s="9" t="s">
        <v>199</v>
      </c>
      <c r="H4422" s="5" t="s">
        <v>21</v>
      </c>
      <c r="I4422" s="5" t="s">
        <v>10972</v>
      </c>
      <c r="J4422" s="12" t="str">
        <f>HYPERLINK("https://www.boe.es/gazeta/dias/1808/04/22/pdfs/GMD-C-1808-38.pdf#page=2","Abrir facsímil")</f>
        <v>Abrir facsímil</v>
      </c>
      <c r="K4422" s="15" t="s">
        <v>23</v>
      </c>
    </row>
    <row r="4423" spans="1:11" ht="42" customHeight="1">
      <c r="A4423" s="4" t="s">
        <v>10973</v>
      </c>
      <c r="B4423" s="5" t="s">
        <v>10973</v>
      </c>
      <c r="C4423" s="5" t="s">
        <v>389</v>
      </c>
      <c r="D4423" s="5" t="s">
        <v>390</v>
      </c>
      <c r="E4423" s="5" t="s">
        <v>2281</v>
      </c>
      <c r="F4423" s="9" t="s">
        <v>2282</v>
      </c>
      <c r="G4423" s="9">
        <v>424</v>
      </c>
      <c r="H4423" s="5" t="s">
        <v>21</v>
      </c>
      <c r="I4423" s="5" t="s">
        <v>10974</v>
      </c>
      <c r="J4423" s="12" t="str">
        <f>HYPERLINK("https://www.boe.es/gazeta/dias/1808/04/29/pdfs/GMD-1808-42.pdf#page=8","Abrir facsímil")</f>
        <v>Abrir facsímil</v>
      </c>
      <c r="K4423" s="15" t="s">
        <v>23</v>
      </c>
    </row>
    <row r="4424" spans="1:11" ht="42" customHeight="1">
      <c r="A4424" s="4" t="s">
        <v>10971</v>
      </c>
      <c r="B4424" s="5" t="s">
        <v>10971</v>
      </c>
      <c r="C4424" s="5" t="s">
        <v>41</v>
      </c>
      <c r="D4424" s="5" t="s">
        <v>42</v>
      </c>
      <c r="E4424" s="5" t="s">
        <v>110</v>
      </c>
      <c r="F4424" s="9" t="s">
        <v>828</v>
      </c>
      <c r="G4424" s="9" t="s">
        <v>199</v>
      </c>
      <c r="H4424" s="5" t="s">
        <v>21</v>
      </c>
      <c r="I4424" s="5" t="s">
        <v>10975</v>
      </c>
      <c r="J4424" s="12" t="str">
        <f>HYPERLINK("https://www.boe.es/gazeta/dias/1808/10/28/pdfs/GMD-D-1808-138.pdf#page=2","Abrir facsímil")</f>
        <v>Abrir facsímil</v>
      </c>
      <c r="K4424" s="15" t="s">
        <v>23</v>
      </c>
    </row>
    <row r="4425" spans="1:11" ht="42" customHeight="1">
      <c r="A4425" s="4" t="s">
        <v>10976</v>
      </c>
      <c r="B4425" s="5" t="s">
        <v>10976</v>
      </c>
      <c r="C4425" s="5" t="s">
        <v>94</v>
      </c>
      <c r="D4425" s="5" t="s">
        <v>95</v>
      </c>
      <c r="E4425" s="5" t="s">
        <v>215</v>
      </c>
      <c r="F4425" s="9" t="s">
        <v>216</v>
      </c>
      <c r="G4425" s="9">
        <v>300</v>
      </c>
      <c r="H4425" s="5" t="s">
        <v>21</v>
      </c>
      <c r="I4425" s="5" t="s">
        <v>10977</v>
      </c>
      <c r="J4425" s="12" t="str">
        <f>HYPERLINK("https://www.boe.es/gazeta/dias/1808/03/25/pdfs/GMD-1808-25.pdf#page=10","Abrir facsímil")</f>
        <v>Abrir facsímil</v>
      </c>
      <c r="K4425" s="15" t="s">
        <v>23</v>
      </c>
    </row>
    <row r="4426" spans="1:11" ht="42" customHeight="1">
      <c r="A4426" s="4" t="s">
        <v>10978</v>
      </c>
      <c r="B4426" s="5" t="s">
        <v>10979</v>
      </c>
      <c r="C4426" s="5" t="s">
        <v>41</v>
      </c>
      <c r="D4426" s="5" t="s">
        <v>42</v>
      </c>
      <c r="E4426" s="5" t="s">
        <v>19</v>
      </c>
      <c r="F4426" s="9" t="s">
        <v>59</v>
      </c>
      <c r="G4426" s="9">
        <v>1230</v>
      </c>
      <c r="H4426" s="5" t="s">
        <v>21</v>
      </c>
      <c r="I4426" s="5" t="s">
        <v>10980</v>
      </c>
      <c r="J4426" s="12" t="str">
        <f>HYPERLINK("https://www.boe.es/gazeta/dias/1808/09/30/pdfs/GMD-1808-130.pdf#page=10","Abrir facsímil")</f>
        <v>Abrir facsímil</v>
      </c>
      <c r="K4426" s="15" t="s">
        <v>23</v>
      </c>
    </row>
    <row r="4427" spans="1:11" ht="42" customHeight="1">
      <c r="A4427" s="4" t="s">
        <v>10981</v>
      </c>
      <c r="B4427" s="5" t="s">
        <v>10981</v>
      </c>
      <c r="C4427" s="5" t="s">
        <v>41</v>
      </c>
      <c r="D4427" s="5" t="s">
        <v>42</v>
      </c>
      <c r="E4427" s="5" t="s">
        <v>110</v>
      </c>
      <c r="F4427" s="9" t="s">
        <v>828</v>
      </c>
      <c r="G4427" s="9" t="s">
        <v>199</v>
      </c>
      <c r="H4427" s="5" t="s">
        <v>21</v>
      </c>
      <c r="I4427" s="5" t="s">
        <v>10982</v>
      </c>
      <c r="J4427" s="12" t="str">
        <f>HYPERLINK("https://www.boe.es/gazeta/dias/1808/10/28/pdfs/GMD-D-1808-138.pdf#page=2","Abrir facsímil")</f>
        <v>Abrir facsímil</v>
      </c>
      <c r="K4427" s="15" t="s">
        <v>23</v>
      </c>
    </row>
    <row r="4428" spans="1:11" ht="42" customHeight="1">
      <c r="A4428" s="4" t="s">
        <v>10983</v>
      </c>
      <c r="B4428" s="5" t="s">
        <v>10983</v>
      </c>
      <c r="C4428" s="5" t="s">
        <v>33</v>
      </c>
      <c r="D4428" s="5" t="s">
        <v>34</v>
      </c>
      <c r="E4428" s="5" t="s">
        <v>35</v>
      </c>
      <c r="F4428" s="9" t="s">
        <v>36</v>
      </c>
      <c r="G4428" s="9" t="s">
        <v>80</v>
      </c>
      <c r="H4428" s="5" t="s">
        <v>21</v>
      </c>
      <c r="I4428" s="5" t="s">
        <v>10984</v>
      </c>
      <c r="J4428" s="12" t="str">
        <f>HYPERLINK("https://www.boe.es/gazeta/dias/1808/04/22/pdfs/GMD-C-1808-38.pdf#page=18","Abrir facsímil")</f>
        <v>Abrir facsímil</v>
      </c>
      <c r="K4428" s="15" t="s">
        <v>23</v>
      </c>
    </row>
    <row r="4429" spans="1:11" ht="42" customHeight="1">
      <c r="A4429" s="4" t="s">
        <v>10985</v>
      </c>
      <c r="B4429" s="5" t="s">
        <v>10985</v>
      </c>
      <c r="C4429" s="5" t="s">
        <v>41</v>
      </c>
      <c r="D4429" s="5" t="s">
        <v>42</v>
      </c>
      <c r="E4429" s="5" t="s">
        <v>61</v>
      </c>
      <c r="F4429" s="9" t="s">
        <v>62</v>
      </c>
      <c r="G4429" s="9">
        <v>1284</v>
      </c>
      <c r="H4429" s="5" t="s">
        <v>21</v>
      </c>
      <c r="I4429" s="5" t="s">
        <v>10986</v>
      </c>
      <c r="J4429" s="12" t="str">
        <f>HYPERLINK("https://www.boe.es/gazeta/dias/1808/10/11/pdfs/GMD-1808-133.pdf#page=12","Abrir facsímil")</f>
        <v>Abrir facsímil</v>
      </c>
      <c r="K4429" s="15" t="s">
        <v>23</v>
      </c>
    </row>
    <row r="4430" spans="1:11" ht="42" customHeight="1">
      <c r="A4430" s="4" t="s">
        <v>10987</v>
      </c>
      <c r="B4430" s="5" t="s">
        <v>10987</v>
      </c>
      <c r="C4430" s="5" t="s">
        <v>41</v>
      </c>
      <c r="D4430" s="5" t="s">
        <v>42</v>
      </c>
      <c r="E4430" s="5" t="s">
        <v>35</v>
      </c>
      <c r="F4430" s="9" t="s">
        <v>36</v>
      </c>
      <c r="G4430" s="9" t="s">
        <v>277</v>
      </c>
      <c r="H4430" s="5" t="s">
        <v>21</v>
      </c>
      <c r="I4430" s="5" t="s">
        <v>10988</v>
      </c>
      <c r="J4430" s="12" t="str">
        <f>HYPERLINK("https://www.boe.es/gazeta/dias/1808/04/22/pdfs/GMD-C-1808-38.pdf#page=34","Abrir facsímil")</f>
        <v>Abrir facsímil</v>
      </c>
      <c r="K4430" s="15" t="s">
        <v>23</v>
      </c>
    </row>
    <row r="4431" spans="1:11" ht="42" customHeight="1">
      <c r="A4431" s="4" t="s">
        <v>10989</v>
      </c>
      <c r="B4431" s="5" t="s">
        <v>10989</v>
      </c>
      <c r="C4431" s="5" t="s">
        <v>94</v>
      </c>
      <c r="D4431" s="5" t="s">
        <v>95</v>
      </c>
      <c r="E4431" s="5" t="s">
        <v>35</v>
      </c>
      <c r="F4431" s="9" t="s">
        <v>36</v>
      </c>
      <c r="G4431" s="9" t="s">
        <v>498</v>
      </c>
      <c r="H4431" s="5" t="s">
        <v>21</v>
      </c>
      <c r="I4431" s="5" t="s">
        <v>10990</v>
      </c>
      <c r="J4431" s="12" t="str">
        <f>HYPERLINK("https://www.boe.es/gazeta/dias/1808/04/22/pdfs/GMD-C-1808-38.pdf#page=22","Abrir facsímil")</f>
        <v>Abrir facsímil</v>
      </c>
      <c r="K4431" s="15" t="s">
        <v>23</v>
      </c>
    </row>
    <row r="4432" spans="1:11" ht="42" customHeight="1">
      <c r="A4432" s="4" t="s">
        <v>10991</v>
      </c>
      <c r="B4432" s="5" t="s">
        <v>10991</v>
      </c>
      <c r="C4432" s="5" t="s">
        <v>33</v>
      </c>
      <c r="D4432" s="5" t="s">
        <v>34</v>
      </c>
      <c r="E4432" s="5" t="s">
        <v>35</v>
      </c>
      <c r="F4432" s="9" t="s">
        <v>36</v>
      </c>
      <c r="G4432" s="9" t="s">
        <v>47</v>
      </c>
      <c r="H4432" s="5" t="s">
        <v>21</v>
      </c>
      <c r="I4432" s="5" t="s">
        <v>10992</v>
      </c>
      <c r="J4432" s="12" t="str">
        <f>HYPERLINK("https://www.boe.es/gazeta/dias/1808/04/22/pdfs/GMD-C-1808-38.pdf#page=13","Abrir facsímil")</f>
        <v>Abrir facsímil</v>
      </c>
      <c r="K4432" s="15" t="s">
        <v>23</v>
      </c>
    </row>
    <row r="4433" spans="1:11" ht="42" customHeight="1">
      <c r="A4433" s="4" t="s">
        <v>10993</v>
      </c>
      <c r="B4433" s="5" t="s">
        <v>10993</v>
      </c>
      <c r="C4433" s="5" t="s">
        <v>17</v>
      </c>
      <c r="D4433" s="5" t="s">
        <v>18</v>
      </c>
      <c r="E4433" s="5" t="s">
        <v>139</v>
      </c>
      <c r="F4433" s="9" t="s">
        <v>140</v>
      </c>
      <c r="G4433" s="9">
        <v>1204</v>
      </c>
      <c r="H4433" s="5" t="s">
        <v>21</v>
      </c>
      <c r="I4433" s="5" t="s">
        <v>10994</v>
      </c>
      <c r="J4433" s="12" t="str">
        <f>HYPERLINK("https://www.boe.es/gazeta/dias/1808/09/23/pdfs/GMD-1808-127.pdf#page=12","Abrir facsímil")</f>
        <v>Abrir facsímil</v>
      </c>
      <c r="K4433" s="15" t="s">
        <v>23</v>
      </c>
    </row>
    <row r="4434" spans="1:11" ht="42" customHeight="1">
      <c r="A4434" s="4" t="s">
        <v>10995</v>
      </c>
      <c r="B4434" s="5" t="s">
        <v>10995</v>
      </c>
      <c r="C4434" s="5" t="s">
        <v>33</v>
      </c>
      <c r="D4434" s="5" t="s">
        <v>34</v>
      </c>
      <c r="E4434" s="5" t="s">
        <v>115</v>
      </c>
      <c r="F4434" s="9" t="s">
        <v>116</v>
      </c>
      <c r="G4434" s="9" t="s">
        <v>117</v>
      </c>
      <c r="H4434" s="5" t="s">
        <v>21</v>
      </c>
      <c r="I4434" s="5" t="s">
        <v>10996</v>
      </c>
      <c r="J4434" s="12" t="str">
        <f>HYPERLINK("https://www.boe.es/gazeta/dias/1808/09/16/pdfs/GMD-C-1808-125.pdf#page=1","Abrir facsímil")</f>
        <v>Abrir facsímil</v>
      </c>
      <c r="K4434" s="15" t="s">
        <v>23</v>
      </c>
    </row>
    <row r="4435" spans="1:11" ht="42" customHeight="1">
      <c r="A4435" s="4" t="s">
        <v>10997</v>
      </c>
      <c r="B4435" s="5" t="s">
        <v>10997</v>
      </c>
      <c r="C4435" s="5" t="s">
        <v>94</v>
      </c>
      <c r="D4435" s="5" t="s">
        <v>95</v>
      </c>
      <c r="E4435" s="5" t="s">
        <v>269</v>
      </c>
      <c r="F4435" s="9" t="s">
        <v>270</v>
      </c>
      <c r="G4435" s="9">
        <v>69</v>
      </c>
      <c r="H4435" s="5" t="s">
        <v>21</v>
      </c>
      <c r="I4435" s="5" t="s">
        <v>10998</v>
      </c>
      <c r="J4435" s="12" t="str">
        <f>HYPERLINK("https://www.boe.es/gazeta/dias/1808/01/19/pdfs/GMD-1808-6.pdf#page=9","Abrir facsímil")</f>
        <v>Abrir facsímil</v>
      </c>
      <c r="K4435" s="15" t="s">
        <v>23</v>
      </c>
    </row>
    <row r="4436" spans="1:11" ht="42" customHeight="1">
      <c r="A4436" s="4" t="s">
        <v>10999</v>
      </c>
      <c r="B4436" s="5" t="s">
        <v>10999</v>
      </c>
      <c r="C4436" s="5" t="s">
        <v>17</v>
      </c>
      <c r="D4436" s="5" t="s">
        <v>18</v>
      </c>
      <c r="E4436" s="5" t="s">
        <v>96</v>
      </c>
      <c r="F4436" s="9" t="s">
        <v>97</v>
      </c>
      <c r="G4436" s="9">
        <v>266</v>
      </c>
      <c r="H4436" s="5" t="s">
        <v>21</v>
      </c>
      <c r="I4436" s="5" t="s">
        <v>11000</v>
      </c>
      <c r="J4436" s="12" t="str">
        <f>HYPERLINK("https://www.boe.es/gazeta/dias/1808/03/15/pdfs/GMD-1808-22.pdf#page=8","Abrir facsímil")</f>
        <v>Abrir facsímil</v>
      </c>
      <c r="K4436" s="15" t="s">
        <v>23</v>
      </c>
    </row>
    <row r="4437" spans="1:11" ht="42" customHeight="1">
      <c r="A4437" s="4" t="s">
        <v>11001</v>
      </c>
      <c r="B4437" s="5" t="s">
        <v>11002</v>
      </c>
      <c r="C4437" s="5" t="s">
        <v>17</v>
      </c>
      <c r="D4437" s="5" t="s">
        <v>18</v>
      </c>
      <c r="E4437" s="5" t="s">
        <v>616</v>
      </c>
      <c r="F4437" s="9" t="s">
        <v>617</v>
      </c>
      <c r="G4437" s="9">
        <v>1041</v>
      </c>
      <c r="H4437" s="5" t="s">
        <v>21</v>
      </c>
      <c r="I4437" s="5" t="s">
        <v>11003</v>
      </c>
      <c r="J4437" s="12" t="str">
        <f>HYPERLINK("https://www.boe.es/gazeta/dias/1808/08/19/pdfs/GMD-1808-115.pdf#page=7","Abrir facsímil")</f>
        <v>Abrir facsímil</v>
      </c>
      <c r="K4437" s="15" t="s">
        <v>23</v>
      </c>
    </row>
    <row r="4438" spans="1:11" ht="42" customHeight="1">
      <c r="A4438" s="4" t="s">
        <v>11004</v>
      </c>
      <c r="B4438" s="5" t="s">
        <v>11005</v>
      </c>
      <c r="C4438" s="5" t="s">
        <v>642</v>
      </c>
      <c r="D4438" s="5" t="s">
        <v>643</v>
      </c>
      <c r="E4438" s="5" t="s">
        <v>644</v>
      </c>
      <c r="F4438" s="9" t="s">
        <v>645</v>
      </c>
      <c r="G4438" s="9">
        <v>320</v>
      </c>
      <c r="H4438" s="5" t="s">
        <v>21</v>
      </c>
      <c r="I4438" s="5" t="s">
        <v>11006</v>
      </c>
      <c r="J4438" s="12" t="str">
        <f>HYPERLINK("https://www.boe.es/gazeta/dias/1808/03/31/pdfs/GMD-1808-28E.pdf#page=4","Abrir facsímil")</f>
        <v>Abrir facsímil</v>
      </c>
      <c r="K4438" s="15" t="s">
        <v>23</v>
      </c>
    </row>
    <row r="4439" spans="1:11" ht="42" customHeight="1">
      <c r="A4439" s="4" t="s">
        <v>11004</v>
      </c>
      <c r="B4439" s="5" t="s">
        <v>11005</v>
      </c>
      <c r="C4439" s="5" t="s">
        <v>642</v>
      </c>
      <c r="D4439" s="5" t="s">
        <v>643</v>
      </c>
      <c r="E4439" s="5" t="s">
        <v>644</v>
      </c>
      <c r="F4439" s="9" t="s">
        <v>645</v>
      </c>
      <c r="G4439" s="9">
        <v>322</v>
      </c>
      <c r="H4439" s="5" t="s">
        <v>21</v>
      </c>
      <c r="I4439" s="5" t="s">
        <v>11007</v>
      </c>
      <c r="J4439" s="12" t="str">
        <f>HYPERLINK("https://www.boe.es/gazeta/dias/1808/03/31/pdfs/GMD-1808-28E.pdf#page=6","Abrir facsímil")</f>
        <v>Abrir facsímil</v>
      </c>
      <c r="K4439" s="15" t="s">
        <v>23</v>
      </c>
    </row>
    <row r="4440" spans="1:11" ht="42" customHeight="1">
      <c r="A4440" s="4" t="s">
        <v>11004</v>
      </c>
      <c r="B4440" s="5" t="s">
        <v>11005</v>
      </c>
      <c r="C4440" s="5" t="s">
        <v>17</v>
      </c>
      <c r="D4440" s="5" t="s">
        <v>18</v>
      </c>
      <c r="E4440" s="5" t="s">
        <v>245</v>
      </c>
      <c r="F4440" s="9" t="s">
        <v>246</v>
      </c>
      <c r="G4440" s="9">
        <v>541</v>
      </c>
      <c r="H4440" s="5" t="s">
        <v>21</v>
      </c>
      <c r="I4440" s="5" t="s">
        <v>11008</v>
      </c>
      <c r="J4440" s="12" t="str">
        <f>HYPERLINK("https://www.boe.es/gazeta/dias/1808/06/07/pdfs/GMD-1808-54.pdf#page=7","Abrir facsímil")</f>
        <v>Abrir facsímil</v>
      </c>
      <c r="K4440" s="15" t="s">
        <v>23</v>
      </c>
    </row>
    <row r="4441" spans="1:11" ht="42" customHeight="1">
      <c r="A4441" s="4" t="s">
        <v>11009</v>
      </c>
      <c r="B4441" s="5" t="s">
        <v>11010</v>
      </c>
      <c r="C4441" s="5" t="s">
        <v>33</v>
      </c>
      <c r="D4441" s="5" t="s">
        <v>34</v>
      </c>
      <c r="E4441" s="5" t="s">
        <v>35</v>
      </c>
      <c r="F4441" s="9" t="s">
        <v>36</v>
      </c>
      <c r="G4441" s="9" t="s">
        <v>43</v>
      </c>
      <c r="H4441" s="5" t="s">
        <v>21</v>
      </c>
      <c r="I4441" s="5" t="s">
        <v>11011</v>
      </c>
      <c r="J4441" s="12" t="str">
        <f>HYPERLINK("https://www.boe.es/gazeta/dias/1808/04/22/pdfs/GMD-C-1808-38.pdf#page=30","Abrir facsímil")</f>
        <v>Abrir facsímil</v>
      </c>
      <c r="K4441" s="15" t="s">
        <v>23</v>
      </c>
    </row>
    <row r="4442" spans="1:11" ht="42" customHeight="1">
      <c r="A4442" s="4" t="s">
        <v>11012</v>
      </c>
      <c r="B4442" s="5" t="s">
        <v>11013</v>
      </c>
      <c r="C4442" s="5" t="s">
        <v>33</v>
      </c>
      <c r="D4442" s="5" t="s">
        <v>34</v>
      </c>
      <c r="E4442" s="5" t="s">
        <v>35</v>
      </c>
      <c r="F4442" s="9" t="s">
        <v>36</v>
      </c>
      <c r="G4442" s="9" t="s">
        <v>37</v>
      </c>
      <c r="H4442" s="5" t="s">
        <v>21</v>
      </c>
      <c r="I4442" s="5" t="s">
        <v>11014</v>
      </c>
      <c r="J4442" s="12" t="str">
        <f>HYPERLINK("https://www.boe.es/gazeta/dias/1808/04/22/pdfs/GMD-C-1808-38.pdf#page=33","Abrir facsímil")</f>
        <v>Abrir facsímil</v>
      </c>
      <c r="K4442" s="15" t="s">
        <v>23</v>
      </c>
    </row>
    <row r="4443" spans="1:11" ht="42" customHeight="1">
      <c r="A4443" s="4" t="s">
        <v>11015</v>
      </c>
      <c r="B4443" s="5" t="s">
        <v>11015</v>
      </c>
      <c r="C4443" s="5" t="s">
        <v>94</v>
      </c>
      <c r="D4443" s="5" t="s">
        <v>95</v>
      </c>
      <c r="E4443" s="5" t="s">
        <v>548</v>
      </c>
      <c r="F4443" s="9" t="s">
        <v>549</v>
      </c>
      <c r="G4443" s="9">
        <v>276</v>
      </c>
      <c r="H4443" s="5" t="s">
        <v>21</v>
      </c>
      <c r="I4443" s="5" t="s">
        <v>11016</v>
      </c>
      <c r="J4443" s="12" t="str">
        <f>HYPERLINK("https://www.boe.es/gazeta/dias/1808/03/18/pdfs/GMD-1808-23.pdf#page=6","Abrir facsímil")</f>
        <v>Abrir facsímil</v>
      </c>
      <c r="K4443" s="15" t="s">
        <v>23</v>
      </c>
    </row>
    <row r="4444" spans="1:11" ht="42" customHeight="1">
      <c r="A4444" s="4" t="s">
        <v>11017</v>
      </c>
      <c r="B4444" s="5" t="s">
        <v>11017</v>
      </c>
      <c r="C4444" s="5" t="s">
        <v>33</v>
      </c>
      <c r="D4444" s="5" t="s">
        <v>34</v>
      </c>
      <c r="E4444" s="5" t="s">
        <v>110</v>
      </c>
      <c r="F4444" s="9" t="s">
        <v>828</v>
      </c>
      <c r="G4444" s="9" t="s">
        <v>75</v>
      </c>
      <c r="H4444" s="5" t="s">
        <v>21</v>
      </c>
      <c r="I4444" s="5" t="s">
        <v>11018</v>
      </c>
      <c r="J4444" s="12" t="str">
        <f>HYPERLINK("https://www.boe.es/gazeta/dias/1808/10/28/pdfs/GMD-D-1808-138.pdf#page=4","Abrir facsímil")</f>
        <v>Abrir facsímil</v>
      </c>
      <c r="K4444" s="15" t="s">
        <v>23</v>
      </c>
    </row>
    <row r="4445" spans="1:11" ht="42" customHeight="1">
      <c r="A4445" s="4" t="s">
        <v>11019</v>
      </c>
      <c r="B4445" s="5" t="s">
        <v>11019</v>
      </c>
      <c r="C4445" s="5" t="s">
        <v>17</v>
      </c>
      <c r="D4445" s="5" t="s">
        <v>18</v>
      </c>
      <c r="E4445" s="5" t="s">
        <v>210</v>
      </c>
      <c r="F4445" s="9" t="s">
        <v>211</v>
      </c>
      <c r="G4445" s="9">
        <v>256</v>
      </c>
      <c r="H4445" s="5" t="s">
        <v>21</v>
      </c>
      <c r="I4445" s="5" t="s">
        <v>11020</v>
      </c>
      <c r="J4445" s="12" t="str">
        <f>HYPERLINK("https://www.boe.es/gazeta/dias/1808/03/11/pdfs/GMD-1808-21.pdf#page=10","Abrir facsímil")</f>
        <v>Abrir facsímil</v>
      </c>
      <c r="K4445" s="15" t="s">
        <v>23</v>
      </c>
    </row>
    <row r="4446" spans="1:11" ht="42" customHeight="1">
      <c r="A4446" s="4" t="s">
        <v>11019</v>
      </c>
      <c r="B4446" s="5" t="s">
        <v>11019</v>
      </c>
      <c r="C4446" s="5" t="s">
        <v>33</v>
      </c>
      <c r="D4446" s="5" t="s">
        <v>34</v>
      </c>
      <c r="E4446" s="5" t="s">
        <v>19</v>
      </c>
      <c r="F4446" s="9" t="s">
        <v>949</v>
      </c>
      <c r="G4446" s="9" t="s">
        <v>106</v>
      </c>
      <c r="H4446" s="5" t="s">
        <v>21</v>
      </c>
      <c r="I4446" s="5" t="s">
        <v>11021</v>
      </c>
      <c r="J4446" s="12" t="str">
        <f>HYPERLINK("https://www.boe.es/gazeta/dias/1808/09/30/pdfs/GMD-C-1808-130.pdf#page=3","Abrir facsímil")</f>
        <v>Abrir facsímil</v>
      </c>
      <c r="K4446" s="15" t="s">
        <v>23</v>
      </c>
    </row>
    <row r="4447" spans="1:11" ht="42" customHeight="1">
      <c r="A4447" s="4" t="s">
        <v>11022</v>
      </c>
      <c r="B4447" s="5" t="s">
        <v>11022</v>
      </c>
      <c r="C4447" s="5" t="s">
        <v>33</v>
      </c>
      <c r="D4447" s="5" t="s">
        <v>34</v>
      </c>
      <c r="E4447" s="5" t="s">
        <v>19</v>
      </c>
      <c r="F4447" s="9" t="s">
        <v>949</v>
      </c>
      <c r="G4447" s="9" t="s">
        <v>106</v>
      </c>
      <c r="H4447" s="5" t="s">
        <v>21</v>
      </c>
      <c r="I4447" s="5" t="s">
        <v>11023</v>
      </c>
      <c r="J4447" s="12" t="str">
        <f>HYPERLINK("https://www.boe.es/gazeta/dias/1808/09/30/pdfs/GMD-C-1808-130.pdf#page=3","Abrir facsímil")</f>
        <v>Abrir facsímil</v>
      </c>
      <c r="K4447" s="15" t="s">
        <v>23</v>
      </c>
    </row>
    <row r="4448" spans="1:11" ht="42" customHeight="1">
      <c r="A4448" s="4" t="s">
        <v>11024</v>
      </c>
      <c r="B4448" s="5" t="s">
        <v>11024</v>
      </c>
      <c r="C4448" s="5" t="s">
        <v>17</v>
      </c>
      <c r="D4448" s="5" t="s">
        <v>18</v>
      </c>
      <c r="E4448" s="5" t="s">
        <v>558</v>
      </c>
      <c r="F4448" s="9" t="s">
        <v>559</v>
      </c>
      <c r="G4448" s="9">
        <v>1544</v>
      </c>
      <c r="H4448" s="5" t="s">
        <v>21</v>
      </c>
      <c r="I4448" s="5" t="s">
        <v>11025</v>
      </c>
      <c r="J4448" s="12" t="str">
        <f>HYPERLINK("https://www.boe.es/gazeta/dias/1808/11/25/pdfs/GMD-1808-147.pdf#page=10","Abrir facsímil")</f>
        <v>Abrir facsímil</v>
      </c>
      <c r="K4448" s="15" t="s">
        <v>23</v>
      </c>
    </row>
    <row r="4449" spans="1:11" ht="42" customHeight="1">
      <c r="A4449" s="4" t="s">
        <v>11026</v>
      </c>
      <c r="B4449" s="5" t="s">
        <v>11026</v>
      </c>
      <c r="C4449" s="5" t="s">
        <v>17</v>
      </c>
      <c r="D4449" s="5" t="s">
        <v>18</v>
      </c>
      <c r="E4449" s="5" t="s">
        <v>919</v>
      </c>
      <c r="F4449" s="9" t="s">
        <v>920</v>
      </c>
      <c r="G4449" s="9">
        <v>494</v>
      </c>
      <c r="H4449" s="5" t="s">
        <v>21</v>
      </c>
      <c r="I4449" s="5" t="s">
        <v>11027</v>
      </c>
      <c r="J4449" s="12" t="str">
        <f>HYPERLINK("https://www.boe.es/gazeta/dias/1808/05/24/pdfs/GMD-1808-49.pdf#page=10","Abrir facsímil")</f>
        <v>Abrir facsímil</v>
      </c>
      <c r="K4449" s="15" t="s">
        <v>23</v>
      </c>
    </row>
    <row r="4450" spans="1:11" ht="42" customHeight="1">
      <c r="A4450" s="4" t="s">
        <v>11028</v>
      </c>
      <c r="B4450" s="5" t="s">
        <v>11028</v>
      </c>
      <c r="C4450" s="5" t="s">
        <v>17</v>
      </c>
      <c r="D4450" s="5" t="s">
        <v>18</v>
      </c>
      <c r="E4450" s="5" t="s">
        <v>120</v>
      </c>
      <c r="F4450" s="9" t="s">
        <v>121</v>
      </c>
      <c r="G4450" s="9">
        <v>315</v>
      </c>
      <c r="H4450" s="5" t="s">
        <v>21</v>
      </c>
      <c r="I4450" s="5" t="s">
        <v>11029</v>
      </c>
      <c r="J4450" s="12" t="str">
        <f>HYPERLINK("https://www.boe.es/gazeta/dias/1808/03/29/pdfs/GMD-1808-27.pdf#page=11","Abrir facsímil")</f>
        <v>Abrir facsímil</v>
      </c>
      <c r="K4450" s="15" t="s">
        <v>23</v>
      </c>
    </row>
    <row r="4451" spans="1:11" ht="42" customHeight="1">
      <c r="A4451" s="4" t="s">
        <v>11030</v>
      </c>
      <c r="B4451" s="5" t="s">
        <v>11030</v>
      </c>
      <c r="C4451" s="5" t="s">
        <v>17</v>
      </c>
      <c r="D4451" s="5" t="s">
        <v>18</v>
      </c>
      <c r="E4451" s="5" t="s">
        <v>2177</v>
      </c>
      <c r="F4451" s="9" t="s">
        <v>2178</v>
      </c>
      <c r="G4451" s="9">
        <v>726</v>
      </c>
      <c r="H4451" s="5" t="s">
        <v>21</v>
      </c>
      <c r="I4451" s="5" t="s">
        <v>11031</v>
      </c>
      <c r="J4451" s="12" t="str">
        <f>HYPERLINK("https://www.boe.es/gazeta/dias/1808/07/04/pdfs/GMD-1808-76.pdf#page=8","Abrir facsímil")</f>
        <v>Abrir facsímil</v>
      </c>
      <c r="K4451" s="15" t="s">
        <v>23</v>
      </c>
    </row>
    <row r="4452" spans="1:11" ht="42" customHeight="1">
      <c r="A4452" s="4" t="s">
        <v>11032</v>
      </c>
      <c r="B4452" s="5" t="s">
        <v>11032</v>
      </c>
      <c r="C4452" s="5" t="s">
        <v>94</v>
      </c>
      <c r="D4452" s="5" t="s">
        <v>95</v>
      </c>
      <c r="E4452" s="5" t="s">
        <v>54</v>
      </c>
      <c r="F4452" s="9" t="s">
        <v>55</v>
      </c>
      <c r="G4452" s="9">
        <v>1088</v>
      </c>
      <c r="H4452" s="5" t="s">
        <v>21</v>
      </c>
      <c r="I4452" s="5" t="s">
        <v>11033</v>
      </c>
      <c r="J4452" s="12" t="str">
        <f>HYPERLINK("https://www.boe.es/gazeta/dias/1808/08/26/pdfs/GMD-1808-117.pdf#page=10","Abrir facsímil")</f>
        <v>Abrir facsímil</v>
      </c>
      <c r="K4452" s="15" t="s">
        <v>23</v>
      </c>
    </row>
    <row r="4453" spans="1:11" ht="42" customHeight="1">
      <c r="A4453" s="4" t="s">
        <v>11034</v>
      </c>
      <c r="B4453" s="5" t="s">
        <v>11034</v>
      </c>
      <c r="C4453" s="5" t="s">
        <v>33</v>
      </c>
      <c r="D4453" s="5" t="s">
        <v>34</v>
      </c>
      <c r="E4453" s="5" t="s">
        <v>264</v>
      </c>
      <c r="F4453" s="9" t="s">
        <v>318</v>
      </c>
      <c r="G4453" s="9" t="s">
        <v>117</v>
      </c>
      <c r="H4453" s="5" t="s">
        <v>21</v>
      </c>
      <c r="I4453" s="5" t="s">
        <v>11035</v>
      </c>
      <c r="J4453" s="12" t="str">
        <f>HYPERLINK("https://www.boe.es/gazeta/dias/1808/11/29/pdfs/GMD-C-1808-148.pdf#page=1","Abrir facsímil")</f>
        <v>Abrir facsímil</v>
      </c>
      <c r="K4453" s="15" t="s">
        <v>23</v>
      </c>
    </row>
    <row r="4454" spans="1:11" ht="42" customHeight="1">
      <c r="A4454" s="4" t="s">
        <v>11036</v>
      </c>
      <c r="B4454" s="5" t="s">
        <v>11037</v>
      </c>
      <c r="C4454" s="5" t="s">
        <v>33</v>
      </c>
      <c r="D4454" s="5" t="s">
        <v>34</v>
      </c>
      <c r="E4454" s="5" t="s">
        <v>456</v>
      </c>
      <c r="F4454" s="9" t="s">
        <v>748</v>
      </c>
      <c r="G4454" s="9" t="s">
        <v>199</v>
      </c>
      <c r="H4454" s="5" t="s">
        <v>21</v>
      </c>
      <c r="I4454" s="5" t="s">
        <v>11038</v>
      </c>
      <c r="J4454" s="12" t="str">
        <f>HYPERLINK("https://www.boe.es/gazeta/dias/1808/10/14/pdfs/GMD-C-1808-134.pdf#page=2","Abrir facsímil")</f>
        <v>Abrir facsímil</v>
      </c>
      <c r="K4454" s="15" t="s">
        <v>23</v>
      </c>
    </row>
    <row r="4455" spans="1:11" ht="42" customHeight="1">
      <c r="A4455" s="4" t="s">
        <v>11039</v>
      </c>
      <c r="B4455" s="5" t="s">
        <v>11039</v>
      </c>
      <c r="C4455" s="5" t="s">
        <v>94</v>
      </c>
      <c r="D4455" s="5" t="s">
        <v>95</v>
      </c>
      <c r="E4455" s="5" t="s">
        <v>877</v>
      </c>
      <c r="F4455" s="9" t="s">
        <v>878</v>
      </c>
      <c r="G4455" s="9">
        <v>118</v>
      </c>
      <c r="H4455" s="5" t="s">
        <v>21</v>
      </c>
      <c r="I4455" s="5" t="s">
        <v>11040</v>
      </c>
      <c r="J4455" s="12" t="str">
        <f>HYPERLINK("https://www.boe.es/gazeta/dias/1808/02/02/pdfs/GMD-1808-10.pdf#page=10","Abrir facsímil")</f>
        <v>Abrir facsímil</v>
      </c>
      <c r="K4455" s="15" t="s">
        <v>23</v>
      </c>
    </row>
    <row r="4456" spans="1:11" ht="42" customHeight="1">
      <c r="A4456" s="4" t="s">
        <v>11041</v>
      </c>
      <c r="B4456" s="5" t="s">
        <v>11041</v>
      </c>
      <c r="C4456" s="5" t="s">
        <v>33</v>
      </c>
      <c r="D4456" s="5" t="s">
        <v>34</v>
      </c>
      <c r="E4456" s="5" t="s">
        <v>35</v>
      </c>
      <c r="F4456" s="9" t="s">
        <v>36</v>
      </c>
      <c r="G4456" s="9" t="s">
        <v>324</v>
      </c>
      <c r="H4456" s="5" t="s">
        <v>21</v>
      </c>
      <c r="I4456" s="5" t="s">
        <v>11042</v>
      </c>
      <c r="J4456" s="12" t="str">
        <f>HYPERLINK("https://www.boe.es/gazeta/dias/1808/04/22/pdfs/GMD-C-1808-38.pdf#page=24","Abrir facsímil")</f>
        <v>Abrir facsímil</v>
      </c>
      <c r="K4456" s="15" t="s">
        <v>23</v>
      </c>
    </row>
    <row r="4457" spans="1:11" ht="42" customHeight="1">
      <c r="A4457" s="4" t="s">
        <v>11041</v>
      </c>
      <c r="B4457" s="5" t="s">
        <v>11041</v>
      </c>
      <c r="C4457" s="5" t="s">
        <v>33</v>
      </c>
      <c r="D4457" s="5" t="s">
        <v>34</v>
      </c>
      <c r="E4457" s="5" t="s">
        <v>35</v>
      </c>
      <c r="F4457" s="9" t="s">
        <v>36</v>
      </c>
      <c r="G4457" s="9" t="s">
        <v>75</v>
      </c>
      <c r="H4457" s="5" t="s">
        <v>21</v>
      </c>
      <c r="I4457" s="5" t="s">
        <v>11043</v>
      </c>
      <c r="J4457" s="12" t="str">
        <f>HYPERLINK("https://www.boe.es/gazeta/dias/1808/04/22/pdfs/GMD-C-1808-38.pdf#page=4","Abrir facsímil")</f>
        <v>Abrir facsímil</v>
      </c>
      <c r="K4457" s="15" t="s">
        <v>23</v>
      </c>
    </row>
    <row r="4458" spans="1:11" ht="42" customHeight="1">
      <c r="A4458" s="4" t="s">
        <v>11044</v>
      </c>
      <c r="B4458" s="5" t="s">
        <v>11044</v>
      </c>
      <c r="C4458" s="5" t="s">
        <v>260</v>
      </c>
      <c r="D4458" s="5" t="s">
        <v>42</v>
      </c>
      <c r="E4458" s="5" t="s">
        <v>96</v>
      </c>
      <c r="F4458" s="9" t="s">
        <v>97</v>
      </c>
      <c r="G4458" s="9">
        <v>266</v>
      </c>
      <c r="H4458" s="5" t="s">
        <v>21</v>
      </c>
      <c r="I4458" s="5" t="s">
        <v>11045</v>
      </c>
      <c r="J4458" s="12" t="str">
        <f>HYPERLINK("https://www.boe.es/gazeta/dias/1808/03/15/pdfs/GMD-1808-22.pdf#page=8","Abrir facsímil")</f>
        <v>Abrir facsímil</v>
      </c>
      <c r="K4458" s="15" t="s">
        <v>23</v>
      </c>
    </row>
    <row r="4459" spans="1:11" ht="42" customHeight="1">
      <c r="A4459" s="4" t="s">
        <v>11046</v>
      </c>
      <c r="B4459" s="5" t="s">
        <v>11046</v>
      </c>
      <c r="C4459" s="5" t="s">
        <v>94</v>
      </c>
      <c r="D4459" s="5" t="s">
        <v>95</v>
      </c>
      <c r="E4459" s="5" t="s">
        <v>153</v>
      </c>
      <c r="F4459" s="9" t="s">
        <v>1185</v>
      </c>
      <c r="G4459" s="9">
        <v>1146</v>
      </c>
      <c r="H4459" s="5" t="s">
        <v>21</v>
      </c>
      <c r="I4459" s="5" t="s">
        <v>11047</v>
      </c>
      <c r="J4459" s="12" t="str">
        <f>HYPERLINK("https://www.boe.es/gazeta/dias/1808/09/09/pdfs/GMD-1808-121.pdf#page=4","Abrir facsímil")</f>
        <v>Abrir facsímil</v>
      </c>
      <c r="K4459" s="15" t="s">
        <v>23</v>
      </c>
    </row>
    <row r="4460" spans="1:11" ht="42" customHeight="1">
      <c r="A4460" s="4" t="s">
        <v>11048</v>
      </c>
      <c r="B4460" s="5" t="s">
        <v>11048</v>
      </c>
      <c r="C4460" s="5" t="s">
        <v>33</v>
      </c>
      <c r="D4460" s="5" t="s">
        <v>34</v>
      </c>
      <c r="E4460" s="5" t="s">
        <v>35</v>
      </c>
      <c r="F4460" s="9" t="s">
        <v>36</v>
      </c>
      <c r="G4460" s="9" t="s">
        <v>80</v>
      </c>
      <c r="H4460" s="5" t="s">
        <v>21</v>
      </c>
      <c r="I4460" s="5" t="s">
        <v>11049</v>
      </c>
      <c r="J4460" s="12" t="str">
        <f>HYPERLINK("https://www.boe.es/gazeta/dias/1808/04/22/pdfs/GMD-C-1808-38.pdf#page=18","Abrir facsímil")</f>
        <v>Abrir facsímil</v>
      </c>
      <c r="K4460" s="15" t="s">
        <v>23</v>
      </c>
    </row>
    <row r="4461" spans="1:11" ht="42" customHeight="1">
      <c r="A4461" s="4" t="s">
        <v>11048</v>
      </c>
      <c r="B4461" s="5" t="s">
        <v>11048</v>
      </c>
      <c r="C4461" s="5" t="s">
        <v>33</v>
      </c>
      <c r="D4461" s="5" t="s">
        <v>34</v>
      </c>
      <c r="E4461" s="5" t="s">
        <v>35</v>
      </c>
      <c r="F4461" s="9" t="s">
        <v>36</v>
      </c>
      <c r="G4461" s="9" t="s">
        <v>313</v>
      </c>
      <c r="H4461" s="5" t="s">
        <v>21</v>
      </c>
      <c r="I4461" s="5" t="s">
        <v>11050</v>
      </c>
      <c r="J4461" s="12" t="str">
        <f>HYPERLINK("https://www.boe.es/gazeta/dias/1808/04/22/pdfs/GMD-C-1808-38.pdf#page=29","Abrir facsímil")</f>
        <v>Abrir facsímil</v>
      </c>
      <c r="K4461" s="15" t="s">
        <v>23</v>
      </c>
    </row>
    <row r="4462" spans="1:11" ht="42" customHeight="1">
      <c r="A4462" s="4" t="s">
        <v>11051</v>
      </c>
      <c r="B4462" s="5" t="s">
        <v>11051</v>
      </c>
      <c r="C4462" s="5" t="s">
        <v>94</v>
      </c>
      <c r="D4462" s="5" t="s">
        <v>95</v>
      </c>
      <c r="E4462" s="5" t="s">
        <v>2555</v>
      </c>
      <c r="F4462" s="9" t="s">
        <v>2556</v>
      </c>
      <c r="G4462" s="9">
        <v>130</v>
      </c>
      <c r="H4462" s="5" t="s">
        <v>21</v>
      </c>
      <c r="I4462" s="5" t="s">
        <v>11052</v>
      </c>
      <c r="J4462" s="12" t="str">
        <f>HYPERLINK("https://www.boe.es/gazeta/dias/1808/02/05/pdfs/GMD-1808-11.pdf#page=10","Abrir facsímil")</f>
        <v>Abrir facsímil</v>
      </c>
      <c r="K4462" s="15" t="s">
        <v>23</v>
      </c>
    </row>
    <row r="4463" spans="1:11" ht="42" customHeight="1">
      <c r="A4463" s="4" t="s">
        <v>11053</v>
      </c>
      <c r="B4463" s="5" t="s">
        <v>11054</v>
      </c>
      <c r="C4463" s="5" t="s">
        <v>33</v>
      </c>
      <c r="D4463" s="5" t="s">
        <v>34</v>
      </c>
      <c r="E4463" s="5" t="s">
        <v>456</v>
      </c>
      <c r="F4463" s="9" t="s">
        <v>748</v>
      </c>
      <c r="G4463" s="9" t="s">
        <v>75</v>
      </c>
      <c r="H4463" s="5" t="s">
        <v>21</v>
      </c>
      <c r="I4463" s="5" t="s">
        <v>11055</v>
      </c>
      <c r="J4463" s="12" t="str">
        <f>HYPERLINK("https://www.boe.es/gazeta/dias/1808/10/14/pdfs/GMD-C-1808-134.pdf#page=4","Abrir facsímil")</f>
        <v>Abrir facsímil</v>
      </c>
      <c r="K4463" s="15" t="s">
        <v>23</v>
      </c>
    </row>
    <row r="4464" spans="1:11" ht="42" customHeight="1">
      <c r="A4464" s="4" t="s">
        <v>11056</v>
      </c>
      <c r="B4464" s="5" t="s">
        <v>11056</v>
      </c>
      <c r="C4464" s="5" t="s">
        <v>41</v>
      </c>
      <c r="D4464" s="5" t="s">
        <v>42</v>
      </c>
      <c r="E4464" s="5" t="s">
        <v>35</v>
      </c>
      <c r="F4464" s="9" t="s">
        <v>36</v>
      </c>
      <c r="G4464" s="9" t="s">
        <v>43</v>
      </c>
      <c r="H4464" s="5" t="s">
        <v>21</v>
      </c>
      <c r="I4464" s="5" t="s">
        <v>11057</v>
      </c>
      <c r="J4464" s="12" t="str">
        <f>HYPERLINK("https://www.boe.es/gazeta/dias/1808/04/22/pdfs/GMD-C-1808-38.pdf#page=30","Abrir facsímil")</f>
        <v>Abrir facsímil</v>
      </c>
      <c r="K4464" s="15" t="s">
        <v>23</v>
      </c>
    </row>
    <row r="4465" spans="1:11" ht="42" customHeight="1">
      <c r="A4465" s="4" t="s">
        <v>11058</v>
      </c>
      <c r="B4465" s="5" t="s">
        <v>11058</v>
      </c>
      <c r="C4465" s="5" t="s">
        <v>33</v>
      </c>
      <c r="D4465" s="5" t="s">
        <v>34</v>
      </c>
      <c r="E4465" s="5" t="s">
        <v>35</v>
      </c>
      <c r="F4465" s="9" t="s">
        <v>36</v>
      </c>
      <c r="G4465" s="9" t="s">
        <v>1128</v>
      </c>
      <c r="H4465" s="5" t="s">
        <v>21</v>
      </c>
      <c r="I4465" s="5" t="s">
        <v>11059</v>
      </c>
      <c r="J4465" s="12" t="str">
        <f>HYPERLINK("https://www.boe.es/gazeta/dias/1808/04/22/pdfs/GMD-C-1808-38.pdf#page=11","Abrir facsímil")</f>
        <v>Abrir facsímil</v>
      </c>
      <c r="K4465" s="15" t="s">
        <v>23</v>
      </c>
    </row>
    <row r="4466" spans="1:11" ht="42" customHeight="1">
      <c r="A4466" s="4" t="s">
        <v>11060</v>
      </c>
      <c r="B4466" s="5" t="s">
        <v>11060</v>
      </c>
      <c r="C4466" s="5" t="s">
        <v>33</v>
      </c>
      <c r="D4466" s="5" t="s">
        <v>34</v>
      </c>
      <c r="E4466" s="5" t="s">
        <v>35</v>
      </c>
      <c r="F4466" s="9" t="s">
        <v>36</v>
      </c>
      <c r="G4466" s="9" t="s">
        <v>47</v>
      </c>
      <c r="H4466" s="5" t="s">
        <v>21</v>
      </c>
      <c r="I4466" s="5" t="s">
        <v>11061</v>
      </c>
      <c r="J4466" s="12" t="str">
        <f>HYPERLINK("https://www.boe.es/gazeta/dias/1808/04/22/pdfs/GMD-C-1808-38.pdf#page=13","Abrir facsímil")</f>
        <v>Abrir facsímil</v>
      </c>
      <c r="K4466" s="15" t="s">
        <v>23</v>
      </c>
    </row>
    <row r="4467" spans="1:11" ht="42" customHeight="1">
      <c r="A4467" s="4" t="s">
        <v>11062</v>
      </c>
      <c r="B4467" s="5" t="s">
        <v>11062</v>
      </c>
      <c r="C4467" s="5" t="s">
        <v>94</v>
      </c>
      <c r="D4467" s="5" t="s">
        <v>95</v>
      </c>
      <c r="E4467" s="5" t="s">
        <v>54</v>
      </c>
      <c r="F4467" s="9" t="s">
        <v>55</v>
      </c>
      <c r="G4467" s="9">
        <v>1087</v>
      </c>
      <c r="H4467" s="5" t="s">
        <v>21</v>
      </c>
      <c r="I4467" s="5" t="s">
        <v>11063</v>
      </c>
      <c r="J4467" s="12" t="str">
        <f>HYPERLINK("https://www.boe.es/gazeta/dias/1808/08/26/pdfs/GMD-1808-117.pdf#page=9","Abrir facsímil")</f>
        <v>Abrir facsímil</v>
      </c>
      <c r="K4467" s="15" t="s">
        <v>23</v>
      </c>
    </row>
    <row r="4468" spans="1:11" ht="42" customHeight="1">
      <c r="A4468" s="4" t="s">
        <v>11062</v>
      </c>
      <c r="B4468" s="5" t="s">
        <v>11062</v>
      </c>
      <c r="C4468" s="5" t="s">
        <v>94</v>
      </c>
      <c r="D4468" s="5" t="s">
        <v>95</v>
      </c>
      <c r="E4468" s="5" t="s">
        <v>54</v>
      </c>
      <c r="F4468" s="9" t="s">
        <v>55</v>
      </c>
      <c r="G4468" s="9">
        <v>1089</v>
      </c>
      <c r="H4468" s="5" t="s">
        <v>21</v>
      </c>
      <c r="I4468" s="5" t="s">
        <v>11064</v>
      </c>
      <c r="J4468" s="12" t="str">
        <f>HYPERLINK("https://www.boe.es/gazeta/dias/1808/08/26/pdfs/GMD-1808-117.pdf#page=11","Abrir facsímil")</f>
        <v>Abrir facsímil</v>
      </c>
      <c r="K4468" s="15" t="s">
        <v>23</v>
      </c>
    </row>
    <row r="4469" spans="1:11" ht="42" customHeight="1">
      <c r="A4469" s="4" t="s">
        <v>11065</v>
      </c>
      <c r="B4469" s="5" t="s">
        <v>11065</v>
      </c>
      <c r="C4469" s="5" t="s">
        <v>33</v>
      </c>
      <c r="D4469" s="5" t="s">
        <v>34</v>
      </c>
      <c r="E4469" s="5" t="s">
        <v>28</v>
      </c>
      <c r="F4469" s="9" t="s">
        <v>446</v>
      </c>
      <c r="G4469" s="9" t="s">
        <v>199</v>
      </c>
      <c r="H4469" s="5" t="s">
        <v>21</v>
      </c>
      <c r="I4469" s="5" t="s">
        <v>11066</v>
      </c>
      <c r="J4469" s="12" t="str">
        <f>HYPERLINK("https://www.boe.es/gazeta/dias/1808/11/04/pdfs/GMD-D-1808-141.pdf#page=2","Abrir facsímil")</f>
        <v>Abrir facsímil</v>
      </c>
      <c r="K4469" s="15" t="s">
        <v>23</v>
      </c>
    </row>
    <row r="4470" spans="1:11" ht="42" customHeight="1">
      <c r="A4470" s="4" t="s">
        <v>11067</v>
      </c>
      <c r="B4470" s="5" t="s">
        <v>11067</v>
      </c>
      <c r="C4470" s="5" t="s">
        <v>41</v>
      </c>
      <c r="D4470" s="5" t="s">
        <v>42</v>
      </c>
      <c r="E4470" s="5" t="s">
        <v>456</v>
      </c>
      <c r="F4470" s="9" t="s">
        <v>748</v>
      </c>
      <c r="G4470" s="9" t="s">
        <v>117</v>
      </c>
      <c r="H4470" s="5" t="s">
        <v>21</v>
      </c>
      <c r="I4470" s="5" t="s">
        <v>11068</v>
      </c>
      <c r="J4470" s="12" t="str">
        <f>HYPERLINK("https://www.boe.es/gazeta/dias/1808/10/14/pdfs/GMD-C-1808-134.pdf#page=1","Abrir facsímil")</f>
        <v>Abrir facsímil</v>
      </c>
      <c r="K4470" s="15" t="s">
        <v>23</v>
      </c>
    </row>
    <row r="4471" spans="1:11" ht="42" customHeight="1">
      <c r="A4471" s="4" t="s">
        <v>11069</v>
      </c>
      <c r="B4471" s="5" t="s">
        <v>11069</v>
      </c>
      <c r="C4471" s="5" t="s">
        <v>17</v>
      </c>
      <c r="D4471" s="5" t="s">
        <v>18</v>
      </c>
      <c r="E4471" s="5" t="s">
        <v>427</v>
      </c>
      <c r="F4471" s="9" t="s">
        <v>1802</v>
      </c>
      <c r="G4471" s="9">
        <v>1523</v>
      </c>
      <c r="H4471" s="5" t="s">
        <v>21</v>
      </c>
      <c r="I4471" s="5" t="s">
        <v>11070</v>
      </c>
      <c r="J4471" s="12" t="str">
        <f>HYPERLINK("https://www.boe.es/gazeta/dias/1808/11/22/pdfs/GMD-1808-146.pdf#page=9","Abrir facsímil")</f>
        <v>Abrir facsímil</v>
      </c>
      <c r="K4471" s="15" t="s">
        <v>23</v>
      </c>
    </row>
    <row r="4472" spans="1:11" ht="42" customHeight="1">
      <c r="A4472" s="4" t="s">
        <v>11071</v>
      </c>
      <c r="B4472" s="5" t="s">
        <v>11071</v>
      </c>
      <c r="C4472" s="5" t="s">
        <v>17</v>
      </c>
      <c r="D4472" s="5" t="s">
        <v>18</v>
      </c>
      <c r="E4472" s="5" t="s">
        <v>19</v>
      </c>
      <c r="F4472" s="9" t="s">
        <v>59</v>
      </c>
      <c r="G4472" s="9">
        <v>1230</v>
      </c>
      <c r="H4472" s="5" t="s">
        <v>21</v>
      </c>
      <c r="I4472" s="5" t="s">
        <v>11072</v>
      </c>
      <c r="J4472" s="12" t="str">
        <f>HYPERLINK("https://www.boe.es/gazeta/dias/1808/09/30/pdfs/GMD-1808-130.pdf#page=10","Abrir facsímil")</f>
        <v>Abrir facsímil</v>
      </c>
      <c r="K4472" s="15" t="s">
        <v>23</v>
      </c>
    </row>
    <row r="4473" spans="1:11" ht="42" customHeight="1">
      <c r="A4473" s="4" t="s">
        <v>11073</v>
      </c>
      <c r="B4473" s="5" t="s">
        <v>11073</v>
      </c>
      <c r="C4473" s="5" t="s">
        <v>41</v>
      </c>
      <c r="D4473" s="5" t="s">
        <v>42</v>
      </c>
      <c r="E4473" s="5" t="s">
        <v>210</v>
      </c>
      <c r="F4473" s="9" t="s">
        <v>211</v>
      </c>
      <c r="G4473" s="9">
        <v>255</v>
      </c>
      <c r="H4473" s="5" t="s">
        <v>21</v>
      </c>
      <c r="I4473" s="5" t="s">
        <v>11074</v>
      </c>
      <c r="J4473" s="12" t="str">
        <f>HYPERLINK("https://www.boe.es/gazeta/dias/1808/03/11/pdfs/GMD-1808-21.pdf#page=9","Abrir facsímil")</f>
        <v>Abrir facsímil</v>
      </c>
      <c r="K4473" s="15" t="s">
        <v>23</v>
      </c>
    </row>
    <row r="4474" spans="1:11" ht="42" customHeight="1">
      <c r="A4474" s="4" t="s">
        <v>11073</v>
      </c>
      <c r="B4474" s="5" t="s">
        <v>11073</v>
      </c>
      <c r="C4474" s="5" t="s">
        <v>17</v>
      </c>
      <c r="D4474" s="5" t="s">
        <v>18</v>
      </c>
      <c r="E4474" s="5" t="s">
        <v>68</v>
      </c>
      <c r="F4474" s="9" t="s">
        <v>69</v>
      </c>
      <c r="G4474" s="9">
        <v>1339</v>
      </c>
      <c r="H4474" s="5" t="s">
        <v>21</v>
      </c>
      <c r="I4474" s="5" t="s">
        <v>11075</v>
      </c>
      <c r="J4474" s="12" t="str">
        <f>HYPERLINK("https://www.boe.es/gazeta/dias/1808/10/21/pdfs/GMD-1808-136.pdf#page=11","Abrir facsímil")</f>
        <v>Abrir facsímil</v>
      </c>
      <c r="K4474" s="15" t="s">
        <v>23</v>
      </c>
    </row>
    <row r="4475" spans="1:11" ht="42" customHeight="1">
      <c r="A4475" s="4" t="s">
        <v>11073</v>
      </c>
      <c r="B4475" s="5" t="s">
        <v>11073</v>
      </c>
      <c r="C4475" s="5" t="s">
        <v>41</v>
      </c>
      <c r="D4475" s="5" t="s">
        <v>42</v>
      </c>
      <c r="E4475" s="5" t="s">
        <v>110</v>
      </c>
      <c r="F4475" s="9" t="s">
        <v>111</v>
      </c>
      <c r="G4475" s="9">
        <v>1384</v>
      </c>
      <c r="H4475" s="5" t="s">
        <v>21</v>
      </c>
      <c r="I4475" s="5" t="s">
        <v>11076</v>
      </c>
      <c r="J4475" s="12" t="str">
        <f>HYPERLINK("https://www.boe.es/gazeta/dias/1808/10/28/pdfs/GMD-1808-138.pdf#page=10","Abrir facsímil")</f>
        <v>Abrir facsímil</v>
      </c>
      <c r="K4475" s="15" t="s">
        <v>23</v>
      </c>
    </row>
    <row r="4476" spans="1:11" ht="42" customHeight="1">
      <c r="A4476" s="4" t="s">
        <v>11077</v>
      </c>
      <c r="B4476" s="5" t="s">
        <v>11077</v>
      </c>
      <c r="C4476" s="5" t="s">
        <v>94</v>
      </c>
      <c r="D4476" s="5" t="s">
        <v>95</v>
      </c>
      <c r="E4476" s="5" t="s">
        <v>210</v>
      </c>
      <c r="F4476" s="9" t="s">
        <v>211</v>
      </c>
      <c r="G4476" s="9">
        <v>254</v>
      </c>
      <c r="H4476" s="5" t="s">
        <v>21</v>
      </c>
      <c r="I4476" s="5" t="s">
        <v>11078</v>
      </c>
      <c r="J4476" s="12" t="str">
        <f>HYPERLINK("https://www.boe.es/gazeta/dias/1808/03/11/pdfs/GMD-1808-21.pdf#page=8","Abrir facsímil")</f>
        <v>Abrir facsímil</v>
      </c>
      <c r="K4476" s="15" t="s">
        <v>23</v>
      </c>
    </row>
    <row r="4477" spans="1:11" ht="42" customHeight="1">
      <c r="A4477" s="4" t="s">
        <v>11079</v>
      </c>
      <c r="B4477" s="5" t="s">
        <v>11079</v>
      </c>
      <c r="C4477" s="5" t="s">
        <v>41</v>
      </c>
      <c r="D4477" s="5" t="s">
        <v>42</v>
      </c>
      <c r="E4477" s="5" t="s">
        <v>73</v>
      </c>
      <c r="F4477" s="9" t="s">
        <v>74</v>
      </c>
      <c r="G4477" s="9" t="s">
        <v>106</v>
      </c>
      <c r="H4477" s="5" t="s">
        <v>21</v>
      </c>
      <c r="I4477" s="5" t="s">
        <v>11080</v>
      </c>
      <c r="J4477" s="12" t="str">
        <f>HYPERLINK("https://www.boe.es/gazeta/dias/1808/11/11/pdfs/GMD-D-1808-143.pdf#page=3","Abrir facsímil")</f>
        <v>Abrir facsímil</v>
      </c>
      <c r="K4477" s="15" t="s">
        <v>23</v>
      </c>
    </row>
    <row r="4478" spans="1:11" ht="42" customHeight="1">
      <c r="A4478" s="4" t="s">
        <v>11081</v>
      </c>
      <c r="B4478" s="5" t="s">
        <v>11081</v>
      </c>
      <c r="C4478" s="5" t="s">
        <v>17</v>
      </c>
      <c r="D4478" s="5" t="s">
        <v>18</v>
      </c>
      <c r="E4478" s="5" t="s">
        <v>558</v>
      </c>
      <c r="F4478" s="9" t="s">
        <v>559</v>
      </c>
      <c r="G4478" s="9">
        <v>1543</v>
      </c>
      <c r="H4478" s="5" t="s">
        <v>21</v>
      </c>
      <c r="I4478" s="5" t="s">
        <v>11082</v>
      </c>
      <c r="J4478" s="12" t="str">
        <f>HYPERLINK("https://www.boe.es/gazeta/dias/1808/11/25/pdfs/GMD-1808-147.pdf#page=9","Abrir facsímil")</f>
        <v>Abrir facsímil</v>
      </c>
      <c r="K4478" s="15" t="s">
        <v>23</v>
      </c>
    </row>
    <row r="4479" spans="1:11" ht="42" customHeight="1">
      <c r="A4479" s="4" t="s">
        <v>11083</v>
      </c>
      <c r="B4479" s="5" t="s">
        <v>11083</v>
      </c>
      <c r="C4479" s="5" t="s">
        <v>94</v>
      </c>
      <c r="D4479" s="5" t="s">
        <v>95</v>
      </c>
      <c r="E4479" s="5" t="s">
        <v>68</v>
      </c>
      <c r="F4479" s="9" t="s">
        <v>849</v>
      </c>
      <c r="G4479" s="9">
        <v>1342</v>
      </c>
      <c r="H4479" s="5" t="s">
        <v>21</v>
      </c>
      <c r="I4479" s="5" t="s">
        <v>11084</v>
      </c>
      <c r="J4479" s="12" t="str">
        <f>HYPERLINK("https://www.boe.es/gazeta/dias/1808/10/21/pdfs/GMD-C-1808-136.pdf#page=2","Abrir facsímil")</f>
        <v>Abrir facsímil</v>
      </c>
      <c r="K4479" s="15" t="s">
        <v>23</v>
      </c>
    </row>
    <row r="4480" spans="1:11" ht="42" customHeight="1">
      <c r="A4480" s="4" t="s">
        <v>11085</v>
      </c>
      <c r="B4480" s="5" t="s">
        <v>11085</v>
      </c>
      <c r="C4480" s="5" t="s">
        <v>389</v>
      </c>
      <c r="D4480" s="5" t="s">
        <v>390</v>
      </c>
      <c r="E4480" s="5" t="s">
        <v>1385</v>
      </c>
      <c r="F4480" s="9" t="s">
        <v>1386</v>
      </c>
      <c r="G4480" s="9">
        <v>233</v>
      </c>
      <c r="H4480" s="5" t="s">
        <v>21</v>
      </c>
      <c r="I4480" s="5" t="s">
        <v>11086</v>
      </c>
      <c r="J4480" s="12" t="str">
        <f>HYPERLINK("https://www.boe.es/gazeta/dias/1808/03/04/pdfs/GMD-1808-19.pdf#page=11","Abrir facsímil")</f>
        <v>Abrir facsímil</v>
      </c>
      <c r="K4480" s="15" t="s">
        <v>23</v>
      </c>
    </row>
    <row r="4481" spans="1:11" ht="42" customHeight="1">
      <c r="A4481" s="4" t="s">
        <v>11087</v>
      </c>
      <c r="B4481" s="5" t="s">
        <v>11087</v>
      </c>
      <c r="C4481" s="5" t="s">
        <v>17</v>
      </c>
      <c r="D4481" s="5" t="s">
        <v>18</v>
      </c>
      <c r="E4481" s="5" t="s">
        <v>339</v>
      </c>
      <c r="F4481" s="9" t="s">
        <v>340</v>
      </c>
      <c r="G4481" s="9">
        <v>80</v>
      </c>
      <c r="H4481" s="5" t="s">
        <v>21</v>
      </c>
      <c r="I4481" s="5" t="s">
        <v>11088</v>
      </c>
      <c r="J4481" s="12" t="str">
        <f>HYPERLINK("https://www.boe.es/gazeta/dias/1808/01/22/pdfs/GMD-1808-7.pdf#page=8","Abrir facsímil")</f>
        <v>Abrir facsímil</v>
      </c>
      <c r="K4481" s="15" t="s">
        <v>23</v>
      </c>
    </row>
    <row r="4482" spans="1:11" ht="42" customHeight="1">
      <c r="A4482" s="4" t="s">
        <v>11089</v>
      </c>
      <c r="B4482" s="5" t="s">
        <v>11089</v>
      </c>
      <c r="C4482" s="5" t="s">
        <v>33</v>
      </c>
      <c r="D4482" s="5" t="s">
        <v>34</v>
      </c>
      <c r="E4482" s="5" t="s">
        <v>19</v>
      </c>
      <c r="F4482" s="9" t="s">
        <v>949</v>
      </c>
      <c r="G4482" s="9" t="s">
        <v>199</v>
      </c>
      <c r="H4482" s="5" t="s">
        <v>21</v>
      </c>
      <c r="I4482" s="5" t="s">
        <v>11090</v>
      </c>
      <c r="J4482" s="12" t="str">
        <f>HYPERLINK("https://www.boe.es/gazeta/dias/1808/09/30/pdfs/GMD-C-1808-130.pdf#page=2","Abrir facsímil")</f>
        <v>Abrir facsímil</v>
      </c>
      <c r="K4482" s="15" t="s">
        <v>23</v>
      </c>
    </row>
    <row r="4483" spans="1:11" ht="42" customHeight="1">
      <c r="A4483" s="4" t="s">
        <v>11091</v>
      </c>
      <c r="B4483" s="5" t="s">
        <v>11091</v>
      </c>
      <c r="C4483" s="5" t="s">
        <v>41</v>
      </c>
      <c r="D4483" s="5" t="s">
        <v>42</v>
      </c>
      <c r="E4483" s="5" t="s">
        <v>180</v>
      </c>
      <c r="F4483" s="9" t="s">
        <v>768</v>
      </c>
      <c r="G4483" s="9" t="s">
        <v>75</v>
      </c>
      <c r="H4483" s="5" t="s">
        <v>21</v>
      </c>
      <c r="I4483" s="5" t="s">
        <v>11092</v>
      </c>
      <c r="J4483" s="12" t="str">
        <f>HYPERLINK("https://www.boe.es/gazeta/dias/1808/11/15/pdfs/GMD-D-1808-144.pdf#page=4","Abrir facsímil")</f>
        <v>Abrir facsímil</v>
      </c>
      <c r="K4483" s="15" t="s">
        <v>23</v>
      </c>
    </row>
    <row r="4484" spans="1:11" ht="42" customHeight="1">
      <c r="A4484" s="4" t="s">
        <v>11091</v>
      </c>
      <c r="B4484" s="5" t="s">
        <v>11091</v>
      </c>
      <c r="C4484" s="5" t="s">
        <v>17</v>
      </c>
      <c r="D4484" s="5" t="s">
        <v>18</v>
      </c>
      <c r="E4484" s="5" t="s">
        <v>558</v>
      </c>
      <c r="F4484" s="9" t="s">
        <v>559</v>
      </c>
      <c r="G4484" s="9">
        <v>1544</v>
      </c>
      <c r="H4484" s="5" t="s">
        <v>21</v>
      </c>
      <c r="I4484" s="5" t="s">
        <v>11093</v>
      </c>
      <c r="J4484" s="12" t="str">
        <f>HYPERLINK("https://www.boe.es/gazeta/dias/1808/11/25/pdfs/GMD-1808-147.pdf#page=10","Abrir facsímil")</f>
        <v>Abrir facsímil</v>
      </c>
      <c r="K4484" s="15" t="s">
        <v>23</v>
      </c>
    </row>
    <row r="4485" spans="1:11" ht="42" customHeight="1">
      <c r="A4485" s="4" t="s">
        <v>11091</v>
      </c>
      <c r="B4485" s="5" t="s">
        <v>11091</v>
      </c>
      <c r="C4485" s="5" t="s">
        <v>33</v>
      </c>
      <c r="D4485" s="5" t="s">
        <v>34</v>
      </c>
      <c r="E4485" s="5" t="s">
        <v>558</v>
      </c>
      <c r="F4485" s="9" t="s">
        <v>758</v>
      </c>
      <c r="G4485" s="9" t="s">
        <v>106</v>
      </c>
      <c r="H4485" s="5" t="s">
        <v>21</v>
      </c>
      <c r="I4485" s="5" t="s">
        <v>11094</v>
      </c>
      <c r="J4485" s="12" t="str">
        <f>HYPERLINK("https://www.boe.es/gazeta/dias/1808/11/25/pdfs/GMD-E-1808-147.pdf#page=3","Abrir facsímil")</f>
        <v>Abrir facsímil</v>
      </c>
      <c r="K4485" s="15" t="s">
        <v>23</v>
      </c>
    </row>
    <row r="4486" spans="1:11" ht="42" customHeight="1">
      <c r="A4486" s="4" t="s">
        <v>11095</v>
      </c>
      <c r="B4486" s="5" t="s">
        <v>11095</v>
      </c>
      <c r="C4486" s="5" t="s">
        <v>41</v>
      </c>
      <c r="D4486" s="5" t="s">
        <v>42</v>
      </c>
      <c r="E4486" s="5" t="s">
        <v>153</v>
      </c>
      <c r="F4486" s="9" t="s">
        <v>154</v>
      </c>
      <c r="G4486" s="9" t="s">
        <v>75</v>
      </c>
      <c r="H4486" s="5" t="s">
        <v>21</v>
      </c>
      <c r="I4486" s="5" t="s">
        <v>11096</v>
      </c>
      <c r="J4486" s="12" t="str">
        <f>HYPERLINK("https://www.boe.es/gazeta/dias/1808/09/09/pdfs/GMD-C-1808-121.pdf#page=4","Abrir facsímil")</f>
        <v>Abrir facsímil</v>
      </c>
      <c r="K4486" s="15" t="s">
        <v>23</v>
      </c>
    </row>
    <row r="4487" spans="1:11" ht="42" customHeight="1">
      <c r="A4487" s="4" t="s">
        <v>11097</v>
      </c>
      <c r="B4487" s="5" t="s">
        <v>11097</v>
      </c>
      <c r="C4487" s="5" t="s">
        <v>33</v>
      </c>
      <c r="D4487" s="5" t="s">
        <v>34</v>
      </c>
      <c r="E4487" s="5" t="s">
        <v>153</v>
      </c>
      <c r="F4487" s="9" t="s">
        <v>154</v>
      </c>
      <c r="G4487" s="9" t="s">
        <v>106</v>
      </c>
      <c r="H4487" s="5" t="s">
        <v>21</v>
      </c>
      <c r="I4487" s="5" t="s">
        <v>11098</v>
      </c>
      <c r="J4487" s="12" t="str">
        <f>HYPERLINK("https://www.boe.es/gazeta/dias/1808/09/09/pdfs/GMD-C-1808-121.pdf#page=3","Abrir facsímil")</f>
        <v>Abrir facsímil</v>
      </c>
      <c r="K4487" s="15" t="s">
        <v>23</v>
      </c>
    </row>
    <row r="4488" spans="1:11" ht="42" customHeight="1">
      <c r="A4488" s="4" t="s">
        <v>11099</v>
      </c>
      <c r="B4488" s="5" t="s">
        <v>11099</v>
      </c>
      <c r="C4488" s="5" t="s">
        <v>33</v>
      </c>
      <c r="D4488" s="5" t="s">
        <v>34</v>
      </c>
      <c r="E4488" s="5" t="s">
        <v>35</v>
      </c>
      <c r="F4488" s="9" t="s">
        <v>36</v>
      </c>
      <c r="G4488" s="9" t="s">
        <v>837</v>
      </c>
      <c r="H4488" s="5" t="s">
        <v>21</v>
      </c>
      <c r="I4488" s="5" t="s">
        <v>11100</v>
      </c>
      <c r="J4488" s="12" t="str">
        <f>HYPERLINK("https://www.boe.es/gazeta/dias/1808/04/22/pdfs/GMD-C-1808-38.pdf#page=10","Abrir facsímil")</f>
        <v>Abrir facsímil</v>
      </c>
      <c r="K4488" s="15" t="s">
        <v>23</v>
      </c>
    </row>
    <row r="4489" spans="1:11" ht="42" customHeight="1">
      <c r="A4489" s="4" t="s">
        <v>11099</v>
      </c>
      <c r="B4489" s="5" t="s">
        <v>11099</v>
      </c>
      <c r="C4489" s="5" t="s">
        <v>33</v>
      </c>
      <c r="D4489" s="5" t="s">
        <v>34</v>
      </c>
      <c r="E4489" s="5" t="s">
        <v>35</v>
      </c>
      <c r="F4489" s="9" t="s">
        <v>36</v>
      </c>
      <c r="G4489" s="9" t="s">
        <v>443</v>
      </c>
      <c r="H4489" s="5" t="s">
        <v>21</v>
      </c>
      <c r="I4489" s="5" t="s">
        <v>11101</v>
      </c>
      <c r="J4489" s="12" t="str">
        <f>HYPERLINK("https://www.boe.es/gazeta/dias/1808/04/22/pdfs/GMD-C-1808-38.pdf#page=16","Abrir facsímil")</f>
        <v>Abrir facsímil</v>
      </c>
      <c r="K4489" s="15" t="s">
        <v>23</v>
      </c>
    </row>
    <row r="4490" spans="1:11" ht="42" customHeight="1">
      <c r="A4490" s="4" t="s">
        <v>11102</v>
      </c>
      <c r="B4490" s="5" t="s">
        <v>11102</v>
      </c>
      <c r="C4490" s="5" t="s">
        <v>17</v>
      </c>
      <c r="D4490" s="5" t="s">
        <v>18</v>
      </c>
      <c r="E4490" s="5" t="s">
        <v>130</v>
      </c>
      <c r="F4490" s="9" t="s">
        <v>131</v>
      </c>
      <c r="G4490" s="9">
        <v>1602</v>
      </c>
      <c r="H4490" s="5" t="s">
        <v>21</v>
      </c>
      <c r="I4490" s="5" t="s">
        <v>11103</v>
      </c>
      <c r="J4490" s="12" t="str">
        <f>HYPERLINK("https://www.boe.es/gazeta/dias/1808/12/15/pdfs/GMD-1808-155.pdf#page=6","Abrir facsímil")</f>
        <v>Abrir facsímil</v>
      </c>
      <c r="K4490" s="15" t="s">
        <v>23</v>
      </c>
    </row>
    <row r="4491" spans="1:11" ht="42" customHeight="1">
      <c r="A4491" s="4" t="s">
        <v>11104</v>
      </c>
      <c r="B4491" s="5" t="s">
        <v>11104</v>
      </c>
      <c r="C4491" s="5" t="s">
        <v>41</v>
      </c>
      <c r="D4491" s="5" t="s">
        <v>42</v>
      </c>
      <c r="E4491" s="5" t="s">
        <v>1210</v>
      </c>
      <c r="F4491" s="9" t="s">
        <v>1211</v>
      </c>
      <c r="G4491" s="9">
        <v>460</v>
      </c>
      <c r="H4491" s="5" t="s">
        <v>21</v>
      </c>
      <c r="I4491" s="5" t="s">
        <v>11105</v>
      </c>
      <c r="J4491" s="12" t="str">
        <f>HYPERLINK("https://www.boe.es/gazeta/dias/1808/05/13/pdfs/GMD-1808-46.pdf#page=12","Abrir facsímil")</f>
        <v>Abrir facsímil</v>
      </c>
      <c r="K4491" s="15" t="s">
        <v>23</v>
      </c>
    </row>
    <row r="4492" spans="1:11" ht="42" customHeight="1">
      <c r="A4492" s="4" t="s">
        <v>11106</v>
      </c>
      <c r="B4492" s="5" t="s">
        <v>11106</v>
      </c>
      <c r="C4492" s="5" t="s">
        <v>17</v>
      </c>
      <c r="D4492" s="5" t="s">
        <v>18</v>
      </c>
      <c r="E4492" s="5" t="s">
        <v>65</v>
      </c>
      <c r="F4492" s="9" t="s">
        <v>66</v>
      </c>
      <c r="G4492" s="9">
        <v>1310</v>
      </c>
      <c r="H4492" s="5" t="s">
        <v>21</v>
      </c>
      <c r="I4492" s="5" t="s">
        <v>11107</v>
      </c>
      <c r="J4492" s="12" t="str">
        <f>HYPERLINK("https://www.boe.es/gazeta/dias/1808/10/18/pdfs/GMD-1808-135.pdf#page=10","Abrir facsímil")</f>
        <v>Abrir facsímil</v>
      </c>
      <c r="K4492" s="15" t="s">
        <v>23</v>
      </c>
    </row>
    <row r="4493" spans="1:11" ht="42" customHeight="1">
      <c r="A4493" s="4" t="s">
        <v>11108</v>
      </c>
      <c r="B4493" s="5" t="s">
        <v>11108</v>
      </c>
      <c r="C4493" s="5" t="s">
        <v>389</v>
      </c>
      <c r="D4493" s="5" t="s">
        <v>390</v>
      </c>
      <c r="E4493" s="5" t="s">
        <v>139</v>
      </c>
      <c r="F4493" s="9" t="s">
        <v>1089</v>
      </c>
      <c r="G4493" s="9" t="s">
        <v>199</v>
      </c>
      <c r="H4493" s="5" t="s">
        <v>21</v>
      </c>
      <c r="I4493" s="5" t="s">
        <v>11109</v>
      </c>
      <c r="J4493" s="12" t="str">
        <f>HYPERLINK("https://www.boe.es/gazeta/dias/1808/09/23/pdfs/GMD-C-1808-127.pdf#page=2","Abrir facsímil")</f>
        <v>Abrir facsímil</v>
      </c>
      <c r="K4493" s="15" t="s">
        <v>23</v>
      </c>
    </row>
    <row r="4494" spans="1:11" ht="42" customHeight="1">
      <c r="A4494" s="4" t="s">
        <v>11110</v>
      </c>
      <c r="B4494" s="5" t="s">
        <v>11110</v>
      </c>
      <c r="C4494" s="5" t="s">
        <v>101</v>
      </c>
      <c r="D4494" s="5" t="s">
        <v>102</v>
      </c>
      <c r="E4494" s="5" t="s">
        <v>225</v>
      </c>
      <c r="F4494" s="9" t="s">
        <v>226</v>
      </c>
      <c r="G4494" s="9">
        <v>604</v>
      </c>
      <c r="H4494" s="5" t="s">
        <v>21</v>
      </c>
      <c r="I4494" s="5" t="s">
        <v>11111</v>
      </c>
      <c r="J4494" s="12" t="str">
        <f>HYPERLINK("https://www.boe.es/gazeta/dias/1808/06/20/pdfs/GMD-1808-62.pdf#page=2","Abrir facsímil")</f>
        <v>Abrir facsímil</v>
      </c>
      <c r="K4494" s="15" t="s">
        <v>23</v>
      </c>
    </row>
    <row r="4495" spans="1:11" ht="42" customHeight="1">
      <c r="A4495" s="4" t="s">
        <v>11112</v>
      </c>
      <c r="B4495" s="5" t="s">
        <v>11112</v>
      </c>
      <c r="C4495" s="5" t="s">
        <v>17</v>
      </c>
      <c r="D4495" s="5" t="s">
        <v>18</v>
      </c>
      <c r="E4495" s="5" t="s">
        <v>61</v>
      </c>
      <c r="F4495" s="9" t="s">
        <v>62</v>
      </c>
      <c r="G4495" s="9">
        <v>1284</v>
      </c>
      <c r="H4495" s="5" t="s">
        <v>21</v>
      </c>
      <c r="I4495" s="5" t="s">
        <v>11113</v>
      </c>
      <c r="J4495" s="12" t="str">
        <f>HYPERLINK("https://www.boe.es/gazeta/dias/1808/10/11/pdfs/GMD-1808-133.pdf#page=12","Abrir facsímil")</f>
        <v>Abrir facsímil</v>
      </c>
      <c r="K4495" s="15" t="s">
        <v>23</v>
      </c>
    </row>
    <row r="4496" spans="1:11" ht="42" customHeight="1">
      <c r="A4496" s="4" t="s">
        <v>11114</v>
      </c>
      <c r="B4496" s="5" t="s">
        <v>11114</v>
      </c>
      <c r="C4496" s="5" t="s">
        <v>33</v>
      </c>
      <c r="D4496" s="5" t="s">
        <v>34</v>
      </c>
      <c r="E4496" s="5" t="s">
        <v>153</v>
      </c>
      <c r="F4496" s="9" t="s">
        <v>154</v>
      </c>
      <c r="G4496" s="9" t="s">
        <v>199</v>
      </c>
      <c r="H4496" s="5" t="s">
        <v>21</v>
      </c>
      <c r="I4496" s="5" t="s">
        <v>11115</v>
      </c>
      <c r="J4496" s="12" t="str">
        <f>HYPERLINK("https://www.boe.es/gazeta/dias/1808/09/09/pdfs/GMD-C-1808-121.pdf#page=2","Abrir facsímil")</f>
        <v>Abrir facsímil</v>
      </c>
      <c r="K4496" s="15" t="s">
        <v>23</v>
      </c>
    </row>
    <row r="4497" spans="1:11" ht="42" customHeight="1">
      <c r="A4497" s="4" t="s">
        <v>11116</v>
      </c>
      <c r="B4497" s="5" t="s">
        <v>11116</v>
      </c>
      <c r="C4497" s="5" t="s">
        <v>33</v>
      </c>
      <c r="D4497" s="5" t="s">
        <v>34</v>
      </c>
      <c r="E4497" s="5" t="s">
        <v>35</v>
      </c>
      <c r="F4497" s="9" t="s">
        <v>36</v>
      </c>
      <c r="G4497" s="9" t="s">
        <v>199</v>
      </c>
      <c r="H4497" s="5" t="s">
        <v>21</v>
      </c>
      <c r="I4497" s="5" t="s">
        <v>11117</v>
      </c>
      <c r="J4497" s="12" t="str">
        <f>HYPERLINK("https://www.boe.es/gazeta/dias/1808/04/22/pdfs/GMD-C-1808-38.pdf#page=2","Abrir facsímil")</f>
        <v>Abrir facsímil</v>
      </c>
      <c r="K4497" s="15" t="s">
        <v>23</v>
      </c>
    </row>
    <row r="4498" spans="1:11" ht="42" customHeight="1">
      <c r="A4498" s="4" t="s">
        <v>11116</v>
      </c>
      <c r="B4498" s="5" t="s">
        <v>11116</v>
      </c>
      <c r="C4498" s="5" t="s">
        <v>33</v>
      </c>
      <c r="D4498" s="5" t="s">
        <v>34</v>
      </c>
      <c r="E4498" s="5" t="s">
        <v>35</v>
      </c>
      <c r="F4498" s="9" t="s">
        <v>36</v>
      </c>
      <c r="G4498" s="9" t="s">
        <v>924</v>
      </c>
      <c r="H4498" s="5" t="s">
        <v>21</v>
      </c>
      <c r="I4498" s="5" t="s">
        <v>11118</v>
      </c>
      <c r="J4498" s="12" t="str">
        <f>HYPERLINK("https://www.boe.es/gazeta/dias/1808/04/22/pdfs/GMD-C-1808-38.pdf#page=27","Abrir facsímil")</f>
        <v>Abrir facsímil</v>
      </c>
      <c r="K4498" s="15" t="s">
        <v>23</v>
      </c>
    </row>
    <row r="4499" spans="1:11" ht="42" customHeight="1">
      <c r="A4499" s="4" t="s">
        <v>11116</v>
      </c>
      <c r="B4499" s="5" t="s">
        <v>11116</v>
      </c>
      <c r="C4499" s="5" t="s">
        <v>33</v>
      </c>
      <c r="D4499" s="5" t="s">
        <v>34</v>
      </c>
      <c r="E4499" s="5" t="s">
        <v>35</v>
      </c>
      <c r="F4499" s="9" t="s">
        <v>36</v>
      </c>
      <c r="G4499" s="9" t="s">
        <v>162</v>
      </c>
      <c r="H4499" s="5" t="s">
        <v>21</v>
      </c>
      <c r="I4499" s="5" t="s">
        <v>11119</v>
      </c>
      <c r="J4499" s="12" t="str">
        <f>HYPERLINK("https://www.boe.es/gazeta/dias/1808/04/22/pdfs/GMD-C-1808-38.pdf#page=31","Abrir facsímil")</f>
        <v>Abrir facsímil</v>
      </c>
      <c r="K4499" s="15" t="s">
        <v>23</v>
      </c>
    </row>
    <row r="4500" spans="1:11" ht="42" customHeight="1">
      <c r="A4500" s="4" t="s">
        <v>11116</v>
      </c>
      <c r="B4500" s="5" t="s">
        <v>11116</v>
      </c>
      <c r="C4500" s="5" t="s">
        <v>33</v>
      </c>
      <c r="D4500" s="5" t="s">
        <v>34</v>
      </c>
      <c r="E4500" s="5" t="s">
        <v>35</v>
      </c>
      <c r="F4500" s="9" t="s">
        <v>36</v>
      </c>
      <c r="G4500" s="9" t="s">
        <v>1075</v>
      </c>
      <c r="H4500" s="5" t="s">
        <v>21</v>
      </c>
      <c r="I4500" s="5" t="s">
        <v>11120</v>
      </c>
      <c r="J4500" s="12" t="str">
        <f>HYPERLINK("https://www.boe.es/gazeta/dias/1808/04/22/pdfs/GMD-C-1808-38.pdf#page=32","Abrir facsímil")</f>
        <v>Abrir facsímil</v>
      </c>
      <c r="K4500" s="15" t="s">
        <v>23</v>
      </c>
    </row>
    <row r="4501" spans="1:11" ht="42" customHeight="1">
      <c r="A4501" s="4" t="s">
        <v>11116</v>
      </c>
      <c r="B4501" s="5" t="s">
        <v>11116</v>
      </c>
      <c r="C4501" s="5" t="s">
        <v>33</v>
      </c>
      <c r="D4501" s="5" t="s">
        <v>34</v>
      </c>
      <c r="E4501" s="5" t="s">
        <v>35</v>
      </c>
      <c r="F4501" s="9" t="s">
        <v>36</v>
      </c>
      <c r="G4501" s="9" t="s">
        <v>501</v>
      </c>
      <c r="H4501" s="5" t="s">
        <v>21</v>
      </c>
      <c r="I4501" s="5" t="s">
        <v>11121</v>
      </c>
      <c r="J4501" s="12" t="str">
        <f>HYPERLINK("https://www.boe.es/gazeta/dias/1808/04/22/pdfs/GMD-C-1808-38.pdf#page=5","Abrir facsímil")</f>
        <v>Abrir facsímil</v>
      </c>
      <c r="K4501" s="15" t="s">
        <v>23</v>
      </c>
    </row>
    <row r="4502" spans="1:11" ht="42" customHeight="1">
      <c r="A4502" s="4" t="s">
        <v>11122</v>
      </c>
      <c r="B4502" s="5" t="s">
        <v>11122</v>
      </c>
      <c r="C4502" s="5" t="s">
        <v>17</v>
      </c>
      <c r="D4502" s="5" t="s">
        <v>18</v>
      </c>
      <c r="E4502" s="5" t="s">
        <v>203</v>
      </c>
      <c r="F4502" s="9" t="s">
        <v>204</v>
      </c>
      <c r="G4502" s="9">
        <v>141</v>
      </c>
      <c r="H4502" s="5" t="s">
        <v>21</v>
      </c>
      <c r="I4502" s="5" t="s">
        <v>11123</v>
      </c>
      <c r="J4502" s="12" t="str">
        <f>HYPERLINK("https://www.boe.es/gazeta/dias/1808/02/09/pdfs/GMD-1808-12.pdf#page=9","Abrir facsímil")</f>
        <v>Abrir facsímil</v>
      </c>
      <c r="K4502" s="15" t="s">
        <v>23</v>
      </c>
    </row>
    <row r="4503" spans="1:11" ht="42" customHeight="1">
      <c r="A4503" s="4" t="s">
        <v>11124</v>
      </c>
      <c r="B4503" s="5" t="s">
        <v>11124</v>
      </c>
      <c r="C4503" s="5" t="s">
        <v>94</v>
      </c>
      <c r="D4503" s="5" t="s">
        <v>95</v>
      </c>
      <c r="E4503" s="5" t="s">
        <v>68</v>
      </c>
      <c r="F4503" s="9" t="s">
        <v>849</v>
      </c>
      <c r="G4503" s="9">
        <v>1349</v>
      </c>
      <c r="H4503" s="5" t="s">
        <v>21</v>
      </c>
      <c r="I4503" s="5" t="s">
        <v>11125</v>
      </c>
      <c r="J4503" s="12" t="str">
        <f>HYPERLINK("https://www.boe.es/gazeta/dias/1808/10/21/pdfs/GMD-C-1808-136.pdf#page=9","Abrir facsímil")</f>
        <v>Abrir facsímil</v>
      </c>
      <c r="K4503" s="15" t="s">
        <v>23</v>
      </c>
    </row>
    <row r="4504" spans="1:11" ht="42" customHeight="1">
      <c r="A4504" s="4" t="s">
        <v>11126</v>
      </c>
      <c r="B4504" s="5" t="s">
        <v>11127</v>
      </c>
      <c r="C4504" s="5" t="s">
        <v>41</v>
      </c>
      <c r="D4504" s="5" t="s">
        <v>42</v>
      </c>
      <c r="E4504" s="5" t="s">
        <v>391</v>
      </c>
      <c r="F4504" s="9" t="s">
        <v>392</v>
      </c>
      <c r="G4504" s="9">
        <v>1214</v>
      </c>
      <c r="H4504" s="5" t="s">
        <v>21</v>
      </c>
      <c r="I4504" s="5" t="s">
        <v>11128</v>
      </c>
      <c r="J4504" s="12" t="str">
        <f>HYPERLINK("https://www.boe.es/gazeta/dias/1808/09/27/pdfs/GMD-1808-128.pdf#page=10","Abrir facsímil")</f>
        <v>Abrir facsímil</v>
      </c>
      <c r="K4504" s="15" t="s">
        <v>23</v>
      </c>
    </row>
    <row r="4505" spans="1:11" ht="42" customHeight="1">
      <c r="A4505" s="4" t="s">
        <v>11129</v>
      </c>
      <c r="B4505" s="5" t="s">
        <v>11129</v>
      </c>
      <c r="C4505" s="5" t="s">
        <v>94</v>
      </c>
      <c r="D4505" s="5" t="s">
        <v>95</v>
      </c>
      <c r="E4505" s="5" t="s">
        <v>54</v>
      </c>
      <c r="F4505" s="9" t="s">
        <v>55</v>
      </c>
      <c r="G4505" s="9">
        <v>1089</v>
      </c>
      <c r="H4505" s="5" t="s">
        <v>21</v>
      </c>
      <c r="I4505" s="5" t="s">
        <v>11130</v>
      </c>
      <c r="J4505" s="12" t="str">
        <f>HYPERLINK("https://www.boe.es/gazeta/dias/1808/08/26/pdfs/GMD-1808-117.pdf#page=11","Abrir facsímil")</f>
        <v>Abrir facsímil</v>
      </c>
      <c r="K4505" s="15" t="s">
        <v>23</v>
      </c>
    </row>
    <row r="4506" spans="1:11" ht="42" customHeight="1">
      <c r="A4506" s="4" t="s">
        <v>11131</v>
      </c>
      <c r="B4506" s="5" t="s">
        <v>11131</v>
      </c>
      <c r="C4506" s="5" t="s">
        <v>41</v>
      </c>
      <c r="D4506" s="5" t="s">
        <v>42</v>
      </c>
      <c r="E4506" s="5" t="s">
        <v>51</v>
      </c>
      <c r="F4506" s="9" t="s">
        <v>52</v>
      </c>
      <c r="G4506" s="9">
        <v>987</v>
      </c>
      <c r="H4506" s="5" t="s">
        <v>21</v>
      </c>
      <c r="I4506" s="5" t="s">
        <v>11132</v>
      </c>
      <c r="J4506" s="12" t="str">
        <f>HYPERLINK("https://www.boe.es/gazeta/dias/1808/08/09/pdfs/GMD-1808-111.pdf#page=3","Abrir facsímil")</f>
        <v>Abrir facsímil</v>
      </c>
      <c r="K4506" s="15" t="s">
        <v>23</v>
      </c>
    </row>
    <row r="4507" spans="1:11" ht="42" customHeight="1">
      <c r="A4507" s="4" t="s">
        <v>11131</v>
      </c>
      <c r="B4507" s="5" t="s">
        <v>11131</v>
      </c>
      <c r="C4507" s="5" t="s">
        <v>642</v>
      </c>
      <c r="D4507" s="5" t="s">
        <v>643</v>
      </c>
      <c r="E4507" s="5" t="s">
        <v>2867</v>
      </c>
      <c r="F4507" s="9" t="s">
        <v>2868</v>
      </c>
      <c r="G4507" s="9">
        <v>1151</v>
      </c>
      <c r="H4507" s="5" t="s">
        <v>21</v>
      </c>
      <c r="I4507" s="5" t="s">
        <v>11133</v>
      </c>
      <c r="J4507" s="12" t="str">
        <f>HYPERLINK("https://www.boe.es/gazeta/dias/1808/09/10/pdfs/GMD-1808-122E.pdf#page=1","Abrir facsímil")</f>
        <v>Abrir facsímil</v>
      </c>
      <c r="K4507" s="15" t="s">
        <v>23</v>
      </c>
    </row>
    <row r="4508" spans="1:11" ht="42" customHeight="1">
      <c r="A4508" s="4" t="s">
        <v>11131</v>
      </c>
      <c r="B4508" s="5" t="s">
        <v>11131</v>
      </c>
      <c r="C4508" s="5" t="s">
        <v>642</v>
      </c>
      <c r="D4508" s="5" t="s">
        <v>643</v>
      </c>
      <c r="E4508" s="5" t="s">
        <v>293</v>
      </c>
      <c r="F4508" s="9" t="s">
        <v>294</v>
      </c>
      <c r="G4508" s="9">
        <v>1168</v>
      </c>
      <c r="H4508" s="5" t="s">
        <v>21</v>
      </c>
      <c r="I4508" s="5" t="s">
        <v>11134</v>
      </c>
      <c r="J4508" s="12" t="str">
        <f>HYPERLINK("https://www.boe.es/gazeta/dias/1808/09/14/pdfs/GMD-1808-124E.pdf#page=4","Abrir facsímil")</f>
        <v>Abrir facsímil</v>
      </c>
      <c r="K4508" s="15" t="s">
        <v>23</v>
      </c>
    </row>
    <row r="4509" spans="1:11" ht="42" customHeight="1">
      <c r="A4509" s="4" t="s">
        <v>11131</v>
      </c>
      <c r="B4509" s="5" t="s">
        <v>11131</v>
      </c>
      <c r="C4509" s="5" t="s">
        <v>17</v>
      </c>
      <c r="D4509" s="5" t="s">
        <v>18</v>
      </c>
      <c r="E4509" s="5" t="s">
        <v>391</v>
      </c>
      <c r="F4509" s="9" t="s">
        <v>392</v>
      </c>
      <c r="G4509" s="9">
        <v>1209</v>
      </c>
      <c r="H4509" s="5" t="s">
        <v>21</v>
      </c>
      <c r="I4509" s="5" t="s">
        <v>11135</v>
      </c>
      <c r="J4509" s="12" t="str">
        <f>HYPERLINK("https://www.boe.es/gazeta/dias/1808/09/27/pdfs/GMD-1808-128.pdf#page=5","Abrir facsímil")</f>
        <v>Abrir facsímil</v>
      </c>
      <c r="K4509" s="15" t="s">
        <v>23</v>
      </c>
    </row>
    <row r="4510" spans="1:11" ht="42" customHeight="1">
      <c r="A4510" s="4" t="s">
        <v>11131</v>
      </c>
      <c r="B4510" s="5" t="s">
        <v>11131</v>
      </c>
      <c r="C4510" s="5" t="s">
        <v>17</v>
      </c>
      <c r="D4510" s="5" t="s">
        <v>18</v>
      </c>
      <c r="E4510" s="5" t="s">
        <v>125</v>
      </c>
      <c r="F4510" s="9" t="s">
        <v>397</v>
      </c>
      <c r="G4510" s="9">
        <v>1266</v>
      </c>
      <c r="H4510" s="5" t="s">
        <v>21</v>
      </c>
      <c r="I4510" s="5" t="s">
        <v>11136</v>
      </c>
      <c r="J4510" s="12" t="str">
        <f>HYPERLINK("https://www.boe.es/gazeta/dias/1808/10/07/pdfs/GMD-1808-132.pdf#page=6","Abrir facsímil")</f>
        <v>Abrir facsímil</v>
      </c>
      <c r="K4510" s="15" t="s">
        <v>23</v>
      </c>
    </row>
    <row r="4511" spans="1:11" ht="42" customHeight="1">
      <c r="A4511" s="4" t="s">
        <v>11137</v>
      </c>
      <c r="B4511" s="5" t="s">
        <v>11138</v>
      </c>
      <c r="C4511" s="5" t="s">
        <v>33</v>
      </c>
      <c r="D4511" s="5" t="s">
        <v>34</v>
      </c>
      <c r="E4511" s="5" t="s">
        <v>197</v>
      </c>
      <c r="F4511" s="9" t="s">
        <v>198</v>
      </c>
      <c r="G4511" s="9" t="s">
        <v>117</v>
      </c>
      <c r="H4511" s="5" t="s">
        <v>21</v>
      </c>
      <c r="I4511" s="5" t="s">
        <v>11139</v>
      </c>
      <c r="J4511" s="12" t="str">
        <f>HYPERLINK("https://www.boe.es/gazeta/dias/1808/11/01/pdfs/GMD-D-1808-140.pdf#page=1","Abrir facsímil")</f>
        <v>Abrir facsímil</v>
      </c>
      <c r="K4511" s="15" t="s">
        <v>23</v>
      </c>
    </row>
    <row r="4512" spans="1:11" ht="42" customHeight="1">
      <c r="A4512" s="4" t="s">
        <v>11140</v>
      </c>
      <c r="B4512" s="5" t="s">
        <v>11140</v>
      </c>
      <c r="C4512" s="5" t="s">
        <v>41</v>
      </c>
      <c r="D4512" s="5" t="s">
        <v>42</v>
      </c>
      <c r="E4512" s="5" t="s">
        <v>35</v>
      </c>
      <c r="F4512" s="9" t="s">
        <v>36</v>
      </c>
      <c r="G4512" s="9" t="s">
        <v>279</v>
      </c>
      <c r="H4512" s="5" t="s">
        <v>21</v>
      </c>
      <c r="I4512" s="5" t="s">
        <v>11141</v>
      </c>
      <c r="J4512" s="12" t="str">
        <f>HYPERLINK("https://www.boe.es/gazeta/dias/1808/04/22/pdfs/GMD-C-1808-38.pdf#page=44","Abrir facsímil")</f>
        <v>Abrir facsímil</v>
      </c>
      <c r="K4512" s="15" t="s">
        <v>23</v>
      </c>
    </row>
    <row r="4513" spans="1:11" ht="42" customHeight="1">
      <c r="A4513" s="4" t="s">
        <v>11142</v>
      </c>
      <c r="B4513" s="5" t="s">
        <v>11142</v>
      </c>
      <c r="C4513" s="5" t="s">
        <v>33</v>
      </c>
      <c r="D4513" s="5" t="s">
        <v>34</v>
      </c>
      <c r="E4513" s="5" t="s">
        <v>35</v>
      </c>
      <c r="F4513" s="9" t="s">
        <v>36</v>
      </c>
      <c r="G4513" s="9" t="s">
        <v>1075</v>
      </c>
      <c r="H4513" s="5" t="s">
        <v>21</v>
      </c>
      <c r="I4513" s="5" t="s">
        <v>11143</v>
      </c>
      <c r="J4513" s="12" t="str">
        <f>HYPERLINK("https://www.boe.es/gazeta/dias/1808/04/22/pdfs/GMD-C-1808-38.pdf#page=32","Abrir facsímil")</f>
        <v>Abrir facsímil</v>
      </c>
      <c r="K4513" s="15" t="s">
        <v>23</v>
      </c>
    </row>
    <row r="4514" spans="1:11" ht="42" customHeight="1">
      <c r="A4514" s="4" t="s">
        <v>11142</v>
      </c>
      <c r="B4514" s="5" t="s">
        <v>11142</v>
      </c>
      <c r="C4514" s="5" t="s">
        <v>33</v>
      </c>
      <c r="D4514" s="5" t="s">
        <v>34</v>
      </c>
      <c r="E4514" s="5" t="s">
        <v>35</v>
      </c>
      <c r="F4514" s="9" t="s">
        <v>36</v>
      </c>
      <c r="G4514" s="9" t="s">
        <v>1294</v>
      </c>
      <c r="H4514" s="5" t="s">
        <v>21</v>
      </c>
      <c r="I4514" s="5" t="s">
        <v>11144</v>
      </c>
      <c r="J4514" s="12" t="str">
        <f>HYPERLINK("https://www.boe.es/gazeta/dias/1808/04/22/pdfs/GMD-C-1808-38.pdf#page=8","Abrir facsímil")</f>
        <v>Abrir facsímil</v>
      </c>
      <c r="K4514" s="15" t="s">
        <v>23</v>
      </c>
    </row>
    <row r="4515" spans="1:11" ht="42" customHeight="1">
      <c r="A4515" s="4" t="s">
        <v>11145</v>
      </c>
      <c r="B4515" s="5" t="s">
        <v>11145</v>
      </c>
      <c r="C4515" s="5" t="s">
        <v>17</v>
      </c>
      <c r="D4515" s="5" t="s">
        <v>18</v>
      </c>
      <c r="E4515" s="5" t="s">
        <v>8875</v>
      </c>
      <c r="F4515" s="9" t="s">
        <v>8876</v>
      </c>
      <c r="G4515" s="9">
        <v>881</v>
      </c>
      <c r="H4515" s="5" t="s">
        <v>21</v>
      </c>
      <c r="I4515" s="5" t="s">
        <v>11146</v>
      </c>
      <c r="J4515" s="12" t="str">
        <f>HYPERLINK("https://www.boe.es/gazeta/dias/1808/07/24/pdfs/GMD-1808-96.pdf#page=3","Abrir facsímil")</f>
        <v>Abrir facsímil</v>
      </c>
      <c r="K4515" s="15" t="s">
        <v>23</v>
      </c>
    </row>
    <row r="4516" spans="1:11" ht="42" customHeight="1">
      <c r="A4516" s="4" t="s">
        <v>11145</v>
      </c>
      <c r="B4516" s="5" t="s">
        <v>11145</v>
      </c>
      <c r="C4516" s="5" t="s">
        <v>41</v>
      </c>
      <c r="D4516" s="5" t="s">
        <v>42</v>
      </c>
      <c r="E4516" s="5" t="s">
        <v>2143</v>
      </c>
      <c r="F4516" s="9" t="s">
        <v>2144</v>
      </c>
      <c r="G4516" s="9">
        <v>1218</v>
      </c>
      <c r="H4516" s="5" t="s">
        <v>21</v>
      </c>
      <c r="I4516" s="5" t="s">
        <v>11147</v>
      </c>
      <c r="J4516" s="12" t="str">
        <f>HYPERLINK("https://www.boe.es/gazeta/dias/1808/09/29/pdfs/GMD-1808-129E.pdf#page=2","Abrir facsímil")</f>
        <v>Abrir facsímil</v>
      </c>
      <c r="K4516" s="15" t="s">
        <v>23</v>
      </c>
    </row>
    <row r="4517" spans="1:11" ht="42" customHeight="1">
      <c r="A4517" s="4" t="s">
        <v>11148</v>
      </c>
      <c r="B4517" s="5" t="s">
        <v>11148</v>
      </c>
      <c r="C4517" s="5" t="s">
        <v>17</v>
      </c>
      <c r="D4517" s="5" t="s">
        <v>18</v>
      </c>
      <c r="E4517" s="5" t="s">
        <v>65</v>
      </c>
      <c r="F4517" s="9" t="s">
        <v>66</v>
      </c>
      <c r="G4517" s="9">
        <v>1307</v>
      </c>
      <c r="H4517" s="5" t="s">
        <v>21</v>
      </c>
      <c r="I4517" s="5" t="s">
        <v>11149</v>
      </c>
      <c r="J4517" s="12" t="str">
        <f>HYPERLINK("https://www.boe.es/gazeta/dias/1808/10/18/pdfs/GMD-1808-135.pdf#page=7","Abrir facsímil")</f>
        <v>Abrir facsímil</v>
      </c>
      <c r="K4517" s="15" t="s">
        <v>23</v>
      </c>
    </row>
    <row r="4518" spans="1:11" ht="42" customHeight="1">
      <c r="A4518" s="4" t="s">
        <v>11145</v>
      </c>
      <c r="B4518" s="5" t="s">
        <v>11145</v>
      </c>
      <c r="C4518" s="5" t="s">
        <v>41</v>
      </c>
      <c r="D4518" s="5" t="s">
        <v>42</v>
      </c>
      <c r="E4518" s="5" t="s">
        <v>65</v>
      </c>
      <c r="F4518" s="9" t="s">
        <v>66</v>
      </c>
      <c r="G4518" s="9">
        <v>1315</v>
      </c>
      <c r="H4518" s="5" t="s">
        <v>21</v>
      </c>
      <c r="I4518" s="5" t="s">
        <v>11150</v>
      </c>
      <c r="J4518" s="12" t="str">
        <f>HYPERLINK("https://www.boe.es/gazeta/dias/1808/10/18/pdfs/GMD-1808-135.pdf#page=15","Abrir facsímil")</f>
        <v>Abrir facsímil</v>
      </c>
      <c r="K4518" s="15" t="s">
        <v>23</v>
      </c>
    </row>
    <row r="4519" spans="1:11" ht="42" customHeight="1">
      <c r="A4519" s="4" t="s">
        <v>11145</v>
      </c>
      <c r="B4519" s="5" t="s">
        <v>11145</v>
      </c>
      <c r="C4519" s="5" t="s">
        <v>17</v>
      </c>
      <c r="D4519" s="5" t="s">
        <v>18</v>
      </c>
      <c r="E4519" s="5" t="s">
        <v>28</v>
      </c>
      <c r="F4519" s="9" t="s">
        <v>29</v>
      </c>
      <c r="G4519" s="9">
        <v>1428</v>
      </c>
      <c r="H4519" s="5" t="s">
        <v>21</v>
      </c>
      <c r="I4519" s="5" t="s">
        <v>11151</v>
      </c>
      <c r="J4519" s="12" t="str">
        <f>HYPERLINK("https://www.boe.es/gazeta/dias/1808/11/04/pdfs/GMD-1808-141.pdf#page=10","Abrir facsímil")</f>
        <v>Abrir facsímil</v>
      </c>
      <c r="K4519" s="15" t="s">
        <v>23</v>
      </c>
    </row>
    <row r="4520" spans="1:11" ht="42" customHeight="1">
      <c r="A4520" s="4" t="s">
        <v>11152</v>
      </c>
      <c r="B4520" s="5" t="s">
        <v>11152</v>
      </c>
      <c r="C4520" s="5" t="s">
        <v>33</v>
      </c>
      <c r="D4520" s="5" t="s">
        <v>34</v>
      </c>
      <c r="E4520" s="5" t="s">
        <v>28</v>
      </c>
      <c r="F4520" s="9" t="s">
        <v>446</v>
      </c>
      <c r="G4520" s="9" t="s">
        <v>106</v>
      </c>
      <c r="H4520" s="5" t="s">
        <v>21</v>
      </c>
      <c r="I4520" s="5" t="s">
        <v>11153</v>
      </c>
      <c r="J4520" s="12" t="str">
        <f>HYPERLINK("https://www.boe.es/gazeta/dias/1808/11/04/pdfs/GMD-D-1808-141.pdf#page=3","Abrir facsímil")</f>
        <v>Abrir facsímil</v>
      </c>
      <c r="K4520" s="15" t="s">
        <v>23</v>
      </c>
    </row>
    <row r="4521" spans="1:11" ht="42" customHeight="1">
      <c r="A4521" s="4" t="s">
        <v>11154</v>
      </c>
      <c r="B4521" s="5" t="s">
        <v>11154</v>
      </c>
      <c r="C4521" s="5" t="s">
        <v>17</v>
      </c>
      <c r="D4521" s="5" t="s">
        <v>18</v>
      </c>
      <c r="E4521" s="5" t="s">
        <v>68</v>
      </c>
      <c r="F4521" s="9" t="s">
        <v>69</v>
      </c>
      <c r="G4521" s="9">
        <v>1339</v>
      </c>
      <c r="H4521" s="5" t="s">
        <v>21</v>
      </c>
      <c r="I4521" s="5" t="s">
        <v>11155</v>
      </c>
      <c r="J4521" s="12" t="str">
        <f>HYPERLINK("https://www.boe.es/gazeta/dias/1808/10/21/pdfs/GMD-1808-136.pdf#page=11","Abrir facsímil")</f>
        <v>Abrir facsímil</v>
      </c>
      <c r="K4521" s="15" t="s">
        <v>23</v>
      </c>
    </row>
    <row r="4522" spans="1:11" ht="42" customHeight="1">
      <c r="A4522" s="4" t="s">
        <v>11156</v>
      </c>
      <c r="B4522" s="5" t="s">
        <v>11156</v>
      </c>
      <c r="C4522" s="5" t="s">
        <v>33</v>
      </c>
      <c r="D4522" s="5" t="s">
        <v>34</v>
      </c>
      <c r="E4522" s="5" t="s">
        <v>35</v>
      </c>
      <c r="F4522" s="9" t="s">
        <v>36</v>
      </c>
      <c r="G4522" s="9" t="s">
        <v>37</v>
      </c>
      <c r="H4522" s="5" t="s">
        <v>21</v>
      </c>
      <c r="I4522" s="5" t="s">
        <v>11157</v>
      </c>
      <c r="J4522" s="12" t="str">
        <f>HYPERLINK("https://www.boe.es/gazeta/dias/1808/04/22/pdfs/GMD-C-1808-38.pdf#page=33","Abrir facsímil")</f>
        <v>Abrir facsímil</v>
      </c>
      <c r="K4522" s="15" t="s">
        <v>23</v>
      </c>
    </row>
    <row r="4523" spans="1:11" ht="42" customHeight="1">
      <c r="A4523" s="4" t="s">
        <v>11156</v>
      </c>
      <c r="B4523" s="5" t="s">
        <v>11156</v>
      </c>
      <c r="C4523" s="5" t="s">
        <v>17</v>
      </c>
      <c r="D4523" s="5" t="s">
        <v>18</v>
      </c>
      <c r="E4523" s="5" t="s">
        <v>558</v>
      </c>
      <c r="F4523" s="9" t="s">
        <v>559</v>
      </c>
      <c r="G4523" s="9">
        <v>1545</v>
      </c>
      <c r="H4523" s="5" t="s">
        <v>21</v>
      </c>
      <c r="I4523" s="5" t="s">
        <v>11158</v>
      </c>
      <c r="J4523" s="12" t="str">
        <f>HYPERLINK("https://www.boe.es/gazeta/dias/1808/11/25/pdfs/GMD-1808-147.pdf#page=11","Abrir facsímil")</f>
        <v>Abrir facsímil</v>
      </c>
      <c r="K4523" s="15" t="s">
        <v>23</v>
      </c>
    </row>
    <row r="4524" spans="1:11" ht="42" customHeight="1">
      <c r="A4524" s="4" t="s">
        <v>11159</v>
      </c>
      <c r="B4524" s="5" t="s">
        <v>11159</v>
      </c>
      <c r="C4524" s="5" t="s">
        <v>17</v>
      </c>
      <c r="D4524" s="5" t="s">
        <v>18</v>
      </c>
      <c r="E4524" s="5" t="s">
        <v>558</v>
      </c>
      <c r="F4524" s="9" t="s">
        <v>559</v>
      </c>
      <c r="G4524" s="9">
        <v>1544</v>
      </c>
      <c r="H4524" s="5" t="s">
        <v>21</v>
      </c>
      <c r="I4524" s="5" t="s">
        <v>11160</v>
      </c>
      <c r="J4524" s="12" t="str">
        <f>HYPERLINK("https://www.boe.es/gazeta/dias/1808/11/25/pdfs/GMD-1808-147.pdf#page=10","Abrir facsímil")</f>
        <v>Abrir facsímil</v>
      </c>
      <c r="K4524" s="15" t="s">
        <v>23</v>
      </c>
    </row>
    <row r="4525" spans="1:11" ht="42" customHeight="1">
      <c r="A4525" s="4" t="s">
        <v>11161</v>
      </c>
      <c r="B4525" s="5" t="s">
        <v>11162</v>
      </c>
      <c r="C4525" s="5" t="s">
        <v>41</v>
      </c>
      <c r="D4525" s="5" t="s">
        <v>42</v>
      </c>
      <c r="E4525" s="5" t="s">
        <v>2159</v>
      </c>
      <c r="F4525" s="9" t="s">
        <v>2160</v>
      </c>
      <c r="G4525" s="9">
        <v>185</v>
      </c>
      <c r="H4525" s="5" t="s">
        <v>21</v>
      </c>
      <c r="I4525" s="5" t="s">
        <v>11163</v>
      </c>
      <c r="J4525" s="12" t="str">
        <f>HYPERLINK("https://www.boe.es/gazeta/dias/1808/02/19/pdfs/GMD-1808-15.pdf#page=15","Abrir facsímil")</f>
        <v>Abrir facsímil</v>
      </c>
      <c r="K4525" s="15" t="s">
        <v>23</v>
      </c>
    </row>
    <row r="4526" spans="1:11" ht="42" customHeight="1">
      <c r="A4526" s="4" t="s">
        <v>11161</v>
      </c>
      <c r="B4526" s="5" t="s">
        <v>11162</v>
      </c>
      <c r="C4526" s="5" t="s">
        <v>41</v>
      </c>
      <c r="D4526" s="5" t="s">
        <v>42</v>
      </c>
      <c r="E4526" s="5" t="s">
        <v>96</v>
      </c>
      <c r="F4526" s="9" t="s">
        <v>97</v>
      </c>
      <c r="G4526" s="9">
        <v>267</v>
      </c>
      <c r="H4526" s="5" t="s">
        <v>21</v>
      </c>
      <c r="I4526" s="5" t="s">
        <v>11164</v>
      </c>
      <c r="J4526" s="12" t="str">
        <f>HYPERLINK("https://www.boe.es/gazeta/dias/1808/03/15/pdfs/GMD-1808-22.pdf#page=9","Abrir facsímil")</f>
        <v>Abrir facsímil</v>
      </c>
      <c r="K4526" s="15" t="s">
        <v>23</v>
      </c>
    </row>
    <row r="4527" spans="1:11" ht="42" customHeight="1">
      <c r="A4527" s="4" t="s">
        <v>11165</v>
      </c>
      <c r="B4527" s="5" t="s">
        <v>11165</v>
      </c>
      <c r="C4527" s="5" t="s">
        <v>17</v>
      </c>
      <c r="D4527" s="5" t="s">
        <v>18</v>
      </c>
      <c r="E4527" s="5" t="s">
        <v>197</v>
      </c>
      <c r="F4527" s="9" t="s">
        <v>857</v>
      </c>
      <c r="G4527" s="9">
        <v>356</v>
      </c>
      <c r="H4527" s="5" t="s">
        <v>21</v>
      </c>
      <c r="I4527" s="5" t="s">
        <v>11166</v>
      </c>
      <c r="J4527" s="12" t="str">
        <f>HYPERLINK("https://www.boe.es/gazeta/dias/1808/11/01/pdfs/GMS-1808-45.pdf#page=4","Abrir facsímil")</f>
        <v>Abrir facsímil</v>
      </c>
      <c r="K4527" s="15" t="s">
        <v>23</v>
      </c>
    </row>
    <row r="4528" spans="1:11" ht="42" customHeight="1">
      <c r="A4528" s="4" t="s">
        <v>11167</v>
      </c>
      <c r="B4528" s="5" t="s">
        <v>11167</v>
      </c>
      <c r="C4528" s="5" t="s">
        <v>17</v>
      </c>
      <c r="D4528" s="5" t="s">
        <v>18</v>
      </c>
      <c r="E4528" s="5" t="s">
        <v>215</v>
      </c>
      <c r="F4528" s="9" t="s">
        <v>216</v>
      </c>
      <c r="G4528" s="9">
        <v>299</v>
      </c>
      <c r="H4528" s="5" t="s">
        <v>21</v>
      </c>
      <c r="I4528" s="5" t="s">
        <v>11168</v>
      </c>
      <c r="J4528" s="12" t="str">
        <f>HYPERLINK("https://www.boe.es/gazeta/dias/1808/03/25/pdfs/GMD-1808-25.pdf#page=9","Abrir facsímil")</f>
        <v>Abrir facsímil</v>
      </c>
      <c r="K4528" s="15" t="s">
        <v>23</v>
      </c>
    </row>
    <row r="4529" spans="1:11" ht="42" customHeight="1">
      <c r="A4529" s="4" t="s">
        <v>11169</v>
      </c>
      <c r="B4529" s="5" t="s">
        <v>11169</v>
      </c>
      <c r="C4529" s="5" t="s">
        <v>17</v>
      </c>
      <c r="D4529" s="5" t="s">
        <v>18</v>
      </c>
      <c r="E4529" s="5" t="s">
        <v>968</v>
      </c>
      <c r="F4529" s="9" t="s">
        <v>969</v>
      </c>
      <c r="G4529" s="9">
        <v>899</v>
      </c>
      <c r="H4529" s="5" t="s">
        <v>21</v>
      </c>
      <c r="I4529" s="5" t="s">
        <v>11170</v>
      </c>
      <c r="J4529" s="12" t="str">
        <f>HYPERLINK("https://www.boe.es/gazeta/dias/1808/07/26/pdfs/GMD-1808-98.pdf#page=5","Abrir facsímil")</f>
        <v>Abrir facsímil</v>
      </c>
      <c r="K4529" s="15" t="s">
        <v>23</v>
      </c>
    </row>
    <row r="4530" spans="1:11" ht="42" customHeight="1">
      <c r="A4530" s="4" t="s">
        <v>11169</v>
      </c>
      <c r="B4530" s="5" t="s">
        <v>11169</v>
      </c>
      <c r="C4530" s="5" t="s">
        <v>17</v>
      </c>
      <c r="D4530" s="5" t="s">
        <v>18</v>
      </c>
      <c r="E4530" s="5" t="s">
        <v>65</v>
      </c>
      <c r="F4530" s="9" t="s">
        <v>66</v>
      </c>
      <c r="G4530" s="9">
        <v>1311</v>
      </c>
      <c r="H4530" s="5" t="s">
        <v>21</v>
      </c>
      <c r="I4530" s="5" t="s">
        <v>11171</v>
      </c>
      <c r="J4530" s="12" t="str">
        <f>HYPERLINK("https://www.boe.es/gazeta/dias/1808/10/18/pdfs/GMD-1808-135.pdf#page=11","Abrir facsímil")</f>
        <v>Abrir facsímil</v>
      </c>
      <c r="K4530" s="15" t="s">
        <v>23</v>
      </c>
    </row>
    <row r="4531" spans="1:11" ht="42" customHeight="1">
      <c r="A4531" s="4" t="s">
        <v>11172</v>
      </c>
      <c r="B4531" s="5" t="s">
        <v>11172</v>
      </c>
      <c r="C4531" s="5" t="s">
        <v>17</v>
      </c>
      <c r="D4531" s="5" t="s">
        <v>18</v>
      </c>
      <c r="E4531" s="5" t="s">
        <v>663</v>
      </c>
      <c r="F4531" s="9" t="s">
        <v>664</v>
      </c>
      <c r="G4531" s="9">
        <v>207</v>
      </c>
      <c r="H4531" s="5" t="s">
        <v>21</v>
      </c>
      <c r="I4531" s="5" t="s">
        <v>11173</v>
      </c>
      <c r="J4531" s="12" t="str">
        <f>HYPERLINK("https://www.boe.es/gazeta/dias/1808/02/26/pdfs/GMD-1808-17.pdf#page=9","Abrir facsímil")</f>
        <v>Abrir facsímil</v>
      </c>
      <c r="K4531" s="15" t="s">
        <v>23</v>
      </c>
    </row>
    <row r="4532" spans="1:11" ht="42" customHeight="1">
      <c r="A4532" s="4" t="s">
        <v>11174</v>
      </c>
      <c r="B4532" s="5" t="s">
        <v>11174</v>
      </c>
      <c r="C4532" s="5" t="s">
        <v>94</v>
      </c>
      <c r="D4532" s="5" t="s">
        <v>95</v>
      </c>
      <c r="E4532" s="5" t="s">
        <v>363</v>
      </c>
      <c r="F4532" s="9" t="s">
        <v>364</v>
      </c>
      <c r="G4532" s="9" t="s">
        <v>106</v>
      </c>
      <c r="H4532" s="5" t="s">
        <v>21</v>
      </c>
      <c r="I4532" s="5" t="s">
        <v>11175</v>
      </c>
      <c r="J4532" s="12" t="str">
        <f>HYPERLINK("https://www.boe.es/gazeta/dias/1808/09/20/pdfs/GMD-C-1808-126.pdf#page=3","Abrir facsímil")</f>
        <v>Abrir facsímil</v>
      </c>
      <c r="K4532" s="15" t="s">
        <v>23</v>
      </c>
    </row>
    <row r="4533" spans="1:11" ht="42" customHeight="1">
      <c r="A4533" s="4" t="s">
        <v>11176</v>
      </c>
      <c r="B4533" s="5" t="s">
        <v>11176</v>
      </c>
      <c r="C4533" s="5" t="s">
        <v>94</v>
      </c>
      <c r="D4533" s="5" t="s">
        <v>95</v>
      </c>
      <c r="E4533" s="5" t="s">
        <v>368</v>
      </c>
      <c r="F4533" s="9" t="s">
        <v>369</v>
      </c>
      <c r="G4533" s="9">
        <v>167</v>
      </c>
      <c r="H4533" s="5" t="s">
        <v>21</v>
      </c>
      <c r="I4533" s="5" t="s">
        <v>11177</v>
      </c>
      <c r="J4533" s="12" t="str">
        <f>HYPERLINK("https://www.boe.es/gazeta/dias/1808/02/16/pdfs/GMD-1808-14.pdf#page=9","Abrir facsímil")</f>
        <v>Abrir facsímil</v>
      </c>
      <c r="K4533" s="15" t="s">
        <v>23</v>
      </c>
    </row>
    <row r="4534" spans="1:11" ht="42" customHeight="1">
      <c r="A4534" s="4" t="s">
        <v>11178</v>
      </c>
      <c r="B4534" s="5" t="s">
        <v>11178</v>
      </c>
      <c r="C4534" s="5" t="s">
        <v>94</v>
      </c>
      <c r="D4534" s="5" t="s">
        <v>95</v>
      </c>
      <c r="E4534" s="5" t="s">
        <v>68</v>
      </c>
      <c r="F4534" s="9" t="s">
        <v>849</v>
      </c>
      <c r="G4534" s="9">
        <v>1342</v>
      </c>
      <c r="H4534" s="5" t="s">
        <v>21</v>
      </c>
      <c r="I4534" s="5" t="s">
        <v>11179</v>
      </c>
      <c r="J4534" s="12" t="str">
        <f>HYPERLINK("https://www.boe.es/gazeta/dias/1808/10/21/pdfs/GMD-C-1808-136.pdf#page=2","Abrir facsímil")</f>
        <v>Abrir facsímil</v>
      </c>
      <c r="K4534" s="15" t="s">
        <v>23</v>
      </c>
    </row>
    <row r="4535" spans="1:11" ht="42" customHeight="1">
      <c r="A4535" s="4" t="s">
        <v>11180</v>
      </c>
      <c r="B4535" s="5" t="s">
        <v>11180</v>
      </c>
      <c r="C4535" s="5" t="s">
        <v>33</v>
      </c>
      <c r="D4535" s="5" t="s">
        <v>34</v>
      </c>
      <c r="E4535" s="5" t="s">
        <v>35</v>
      </c>
      <c r="F4535" s="9" t="s">
        <v>36</v>
      </c>
      <c r="G4535" s="9" t="s">
        <v>1294</v>
      </c>
      <c r="H4535" s="5" t="s">
        <v>21</v>
      </c>
      <c r="I4535" s="5" t="s">
        <v>11181</v>
      </c>
      <c r="J4535" s="12" t="str">
        <f>HYPERLINK("https://www.boe.es/gazeta/dias/1808/04/22/pdfs/GMD-C-1808-38.pdf#page=8","Abrir facsímil")</f>
        <v>Abrir facsímil</v>
      </c>
      <c r="K4535" s="15" t="s">
        <v>23</v>
      </c>
    </row>
    <row r="4536" spans="1:11" ht="42" customHeight="1">
      <c r="A4536" s="4" t="s">
        <v>11182</v>
      </c>
      <c r="B4536" s="5" t="s">
        <v>11183</v>
      </c>
      <c r="C4536" s="5" t="s">
        <v>33</v>
      </c>
      <c r="D4536" s="5" t="s">
        <v>34</v>
      </c>
      <c r="E4536" s="5" t="s">
        <v>35</v>
      </c>
      <c r="F4536" s="9" t="s">
        <v>36</v>
      </c>
      <c r="G4536" s="9" t="s">
        <v>47</v>
      </c>
      <c r="H4536" s="5" t="s">
        <v>21</v>
      </c>
      <c r="I4536" s="5" t="s">
        <v>11184</v>
      </c>
      <c r="J4536" s="12" t="str">
        <f>HYPERLINK("https://www.boe.es/gazeta/dias/1808/04/22/pdfs/GMD-C-1808-38.pdf#page=13","Abrir facsímil")</f>
        <v>Abrir facsímil</v>
      </c>
      <c r="K4536" s="15" t="s">
        <v>23</v>
      </c>
    </row>
    <row r="4537" spans="1:11" ht="42" customHeight="1">
      <c r="A4537" s="4" t="s">
        <v>11185</v>
      </c>
      <c r="B4537" s="5" t="s">
        <v>11186</v>
      </c>
      <c r="C4537" s="5" t="s">
        <v>41</v>
      </c>
      <c r="D4537" s="5" t="s">
        <v>42</v>
      </c>
      <c r="E4537" s="5" t="s">
        <v>478</v>
      </c>
      <c r="F4537" s="9" t="s">
        <v>479</v>
      </c>
      <c r="G4537" s="9">
        <v>243</v>
      </c>
      <c r="H4537" s="5" t="s">
        <v>21</v>
      </c>
      <c r="I4537" s="5" t="s">
        <v>11187</v>
      </c>
      <c r="J4537" s="12" t="str">
        <f>HYPERLINK("https://www.boe.es/gazeta/dias/1808/03/08/pdfs/GMD-1808-20.pdf#page=9","Abrir facsímil")</f>
        <v>Abrir facsímil</v>
      </c>
      <c r="K4537" s="15" t="s">
        <v>23</v>
      </c>
    </row>
    <row r="4538" spans="1:11" ht="42" customHeight="1">
      <c r="A4538" s="4" t="s">
        <v>11188</v>
      </c>
      <c r="B4538" s="5" t="s">
        <v>11188</v>
      </c>
      <c r="C4538" s="5" t="s">
        <v>17</v>
      </c>
      <c r="D4538" s="5" t="s">
        <v>18</v>
      </c>
      <c r="E4538" s="5" t="s">
        <v>572</v>
      </c>
      <c r="F4538" s="9" t="s">
        <v>573</v>
      </c>
      <c r="G4538" s="9">
        <v>21</v>
      </c>
      <c r="H4538" s="5" t="s">
        <v>21</v>
      </c>
      <c r="I4538" s="5" t="s">
        <v>11189</v>
      </c>
      <c r="J4538" s="12" t="str">
        <f>HYPERLINK("https://www.boe.es/gazeta/dias/1808/01/05/pdfs/GMD-1808-2.pdf#page=9","Abrir facsímil")</f>
        <v>Abrir facsímil</v>
      </c>
      <c r="K4538" s="15" t="s">
        <v>23</v>
      </c>
    </row>
    <row r="4539" spans="1:11" ht="42" customHeight="1">
      <c r="A4539" s="4" t="s">
        <v>11190</v>
      </c>
      <c r="B4539" s="5" t="s">
        <v>11190</v>
      </c>
      <c r="C4539" s="5" t="s">
        <v>17</v>
      </c>
      <c r="D4539" s="5" t="s">
        <v>18</v>
      </c>
      <c r="E4539" s="5" t="s">
        <v>203</v>
      </c>
      <c r="F4539" s="9" t="s">
        <v>204</v>
      </c>
      <c r="G4539" s="9">
        <v>143</v>
      </c>
      <c r="H4539" s="5" t="s">
        <v>21</v>
      </c>
      <c r="I4539" s="5" t="s">
        <v>11191</v>
      </c>
      <c r="J4539" s="12" t="str">
        <f>HYPERLINK("https://www.boe.es/gazeta/dias/1808/02/09/pdfs/GMD-1808-12.pdf#page=11","Abrir facsímil")</f>
        <v>Abrir facsímil</v>
      </c>
      <c r="K4539" s="15" t="s">
        <v>23</v>
      </c>
    </row>
    <row r="4540" spans="1:11" ht="42" customHeight="1">
      <c r="A4540" s="4" t="s">
        <v>11192</v>
      </c>
      <c r="B4540" s="5" t="s">
        <v>11192</v>
      </c>
      <c r="C4540" s="5" t="s">
        <v>94</v>
      </c>
      <c r="D4540" s="5" t="s">
        <v>95</v>
      </c>
      <c r="E4540" s="5" t="s">
        <v>215</v>
      </c>
      <c r="F4540" s="9" t="s">
        <v>216</v>
      </c>
      <c r="G4540" s="9">
        <v>300</v>
      </c>
      <c r="H4540" s="5" t="s">
        <v>21</v>
      </c>
      <c r="I4540" s="5" t="s">
        <v>11193</v>
      </c>
      <c r="J4540" s="12" t="str">
        <f>HYPERLINK("https://www.boe.es/gazeta/dias/1808/03/25/pdfs/GMD-1808-25.pdf#page=10","Abrir facsímil")</f>
        <v>Abrir facsímil</v>
      </c>
      <c r="K4540" s="15" t="s">
        <v>23</v>
      </c>
    </row>
    <row r="4541" spans="1:11" ht="42" customHeight="1">
      <c r="A4541" s="4" t="s">
        <v>11194</v>
      </c>
      <c r="B4541" s="5" t="s">
        <v>11194</v>
      </c>
      <c r="C4541" s="5" t="s">
        <v>389</v>
      </c>
      <c r="D4541" s="5" t="s">
        <v>390</v>
      </c>
      <c r="E4541" s="5" t="s">
        <v>269</v>
      </c>
      <c r="F4541" s="9" t="s">
        <v>270</v>
      </c>
      <c r="G4541" s="9">
        <v>71</v>
      </c>
      <c r="H4541" s="5" t="s">
        <v>21</v>
      </c>
      <c r="I4541" s="5" t="s">
        <v>11195</v>
      </c>
      <c r="J4541" s="12" t="str">
        <f>HYPERLINK("https://www.boe.es/gazeta/dias/1808/01/19/pdfs/GMD-1808-6.pdf#page=11","Abrir facsímil")</f>
        <v>Abrir facsímil</v>
      </c>
      <c r="K4541" s="15" t="s">
        <v>23</v>
      </c>
    </row>
    <row r="4542" spans="1:11" ht="42" customHeight="1">
      <c r="A4542" s="4" t="s">
        <v>11196</v>
      </c>
      <c r="B4542" s="5" t="s">
        <v>11196</v>
      </c>
      <c r="C4542" s="5" t="s">
        <v>389</v>
      </c>
      <c r="D4542" s="5" t="s">
        <v>390</v>
      </c>
      <c r="E4542" s="5" t="s">
        <v>269</v>
      </c>
      <c r="F4542" s="9" t="s">
        <v>270</v>
      </c>
      <c r="G4542" s="9">
        <v>72</v>
      </c>
      <c r="H4542" s="5" t="s">
        <v>21</v>
      </c>
      <c r="I4542" s="5" t="s">
        <v>11197</v>
      </c>
      <c r="J4542" s="12" t="str">
        <f>HYPERLINK("https://www.boe.es/gazeta/dias/1808/01/19/pdfs/GMD-1808-6.pdf#page=12","Abrir facsímil")</f>
        <v>Abrir facsímil</v>
      </c>
      <c r="K4542" s="15" t="s">
        <v>23</v>
      </c>
    </row>
    <row r="4543" spans="1:11" ht="42" customHeight="1">
      <c r="A4543" s="4" t="s">
        <v>11198</v>
      </c>
      <c r="B4543" s="5" t="s">
        <v>11198</v>
      </c>
      <c r="C4543" s="5" t="s">
        <v>41</v>
      </c>
      <c r="D4543" s="5" t="s">
        <v>42</v>
      </c>
      <c r="E4543" s="5" t="s">
        <v>89</v>
      </c>
      <c r="F4543" s="9" t="s">
        <v>90</v>
      </c>
      <c r="G4543" s="9">
        <v>1359</v>
      </c>
      <c r="H4543" s="5" t="s">
        <v>21</v>
      </c>
      <c r="I4543" s="5" t="s">
        <v>11199</v>
      </c>
      <c r="J4543" s="12" t="str">
        <f>HYPERLINK("https://www.boe.es/gazeta/dias/1808/10/25/pdfs/GMD-1808-137.pdf#page=7","Abrir facsímil")</f>
        <v>Abrir facsímil</v>
      </c>
      <c r="K4543" s="15" t="s">
        <v>23</v>
      </c>
    </row>
    <row r="4544" spans="1:11" ht="42" customHeight="1">
      <c r="A4544" s="4" t="s">
        <v>11198</v>
      </c>
      <c r="B4544" s="5" t="s">
        <v>11198</v>
      </c>
      <c r="C4544" s="5" t="s">
        <v>94</v>
      </c>
      <c r="D4544" s="5" t="s">
        <v>95</v>
      </c>
      <c r="E4544" s="5" t="s">
        <v>73</v>
      </c>
      <c r="F4544" s="9" t="s">
        <v>1570</v>
      </c>
      <c r="G4544" s="9">
        <v>1475</v>
      </c>
      <c r="H4544" s="5" t="s">
        <v>21</v>
      </c>
      <c r="I4544" s="5" t="s">
        <v>11200</v>
      </c>
      <c r="J4544" s="12" t="str">
        <f>HYPERLINK("https://www.boe.es/gazeta/dias/1808/11/11/pdfs/GMD-C-1808-143.pdf#page=5","Abrir facsímil")</f>
        <v>Abrir facsímil</v>
      </c>
      <c r="K4544" s="15" t="s">
        <v>23</v>
      </c>
    </row>
    <row r="4545" spans="1:11" ht="42" customHeight="1">
      <c r="A4545" s="4" t="s">
        <v>11198</v>
      </c>
      <c r="B4545" s="5" t="s">
        <v>11198</v>
      </c>
      <c r="C4545" s="5" t="s">
        <v>33</v>
      </c>
      <c r="D4545" s="5" t="s">
        <v>34</v>
      </c>
      <c r="E4545" s="5" t="s">
        <v>73</v>
      </c>
      <c r="F4545" s="9" t="s">
        <v>1570</v>
      </c>
      <c r="G4545" s="9">
        <v>1478</v>
      </c>
      <c r="H4545" s="5" t="s">
        <v>21</v>
      </c>
      <c r="I4545" s="5" t="s">
        <v>11201</v>
      </c>
      <c r="J4545" s="12" t="str">
        <f>HYPERLINK("https://www.boe.es/gazeta/dias/1808/11/11/pdfs/GMD-C-1808-143.pdf#page=8","Abrir facsímil")</f>
        <v>Abrir facsímil</v>
      </c>
      <c r="K4545" s="15" t="s">
        <v>23</v>
      </c>
    </row>
    <row r="4546" spans="1:11" ht="42" customHeight="1">
      <c r="A4546" s="4" t="s">
        <v>11198</v>
      </c>
      <c r="B4546" s="5" t="s">
        <v>11198</v>
      </c>
      <c r="C4546" s="5" t="s">
        <v>94</v>
      </c>
      <c r="D4546" s="5" t="s">
        <v>95</v>
      </c>
      <c r="E4546" s="5" t="s">
        <v>73</v>
      </c>
      <c r="F4546" s="9" t="s">
        <v>1570</v>
      </c>
      <c r="G4546" s="9">
        <v>1480</v>
      </c>
      <c r="H4546" s="5" t="s">
        <v>21</v>
      </c>
      <c r="I4546" s="5" t="s">
        <v>11202</v>
      </c>
      <c r="J4546" s="12" t="str">
        <f>HYPERLINK("https://www.boe.es/gazeta/dias/1808/11/11/pdfs/GMD-C-1808-143.pdf#page=10","Abrir facsímil")</f>
        <v>Abrir facsímil</v>
      </c>
      <c r="K4546" s="15" t="s">
        <v>23</v>
      </c>
    </row>
    <row r="4547" spans="1:11" ht="42" customHeight="1">
      <c r="A4547" s="4" t="s">
        <v>11198</v>
      </c>
      <c r="B4547" s="5" t="s">
        <v>11198</v>
      </c>
      <c r="C4547" s="5" t="s">
        <v>94</v>
      </c>
      <c r="D4547" s="5" t="s">
        <v>95</v>
      </c>
      <c r="E4547" s="5" t="s">
        <v>73</v>
      </c>
      <c r="F4547" s="9" t="s">
        <v>1570</v>
      </c>
      <c r="G4547" s="9">
        <v>1481</v>
      </c>
      <c r="H4547" s="5" t="s">
        <v>21</v>
      </c>
      <c r="I4547" s="5" t="s">
        <v>11203</v>
      </c>
      <c r="J4547" s="12" t="str">
        <f>HYPERLINK("https://www.boe.es/gazeta/dias/1808/11/11/pdfs/GMD-C-1808-143.pdf#page=11","Abrir facsímil")</f>
        <v>Abrir facsímil</v>
      </c>
      <c r="K4547" s="15" t="s">
        <v>23</v>
      </c>
    </row>
    <row r="4548" spans="1:11" ht="42" customHeight="1">
      <c r="A4548" s="4" t="s">
        <v>11204</v>
      </c>
      <c r="B4548" s="5" t="s">
        <v>11204</v>
      </c>
      <c r="C4548" s="5" t="s">
        <v>17</v>
      </c>
      <c r="D4548" s="5" t="s">
        <v>18</v>
      </c>
      <c r="E4548" s="5" t="s">
        <v>68</v>
      </c>
      <c r="F4548" s="9" t="s">
        <v>69</v>
      </c>
      <c r="G4548" s="9">
        <v>1338</v>
      </c>
      <c r="H4548" s="5" t="s">
        <v>21</v>
      </c>
      <c r="I4548" s="5" t="s">
        <v>11205</v>
      </c>
      <c r="J4548" s="12" t="str">
        <f>HYPERLINK("https://www.boe.es/gazeta/dias/1808/10/21/pdfs/GMD-1808-136.pdf#page=10","Abrir facsímil")</f>
        <v>Abrir facsímil</v>
      </c>
      <c r="K4548" s="15" t="s">
        <v>23</v>
      </c>
    </row>
    <row r="4549" spans="1:11" ht="42" customHeight="1">
      <c r="A4549" s="4" t="s">
        <v>11206</v>
      </c>
      <c r="B4549" s="5" t="s">
        <v>11206</v>
      </c>
      <c r="C4549" s="5" t="s">
        <v>33</v>
      </c>
      <c r="D4549" s="5" t="s">
        <v>34</v>
      </c>
      <c r="E4549" s="5" t="s">
        <v>73</v>
      </c>
      <c r="F4549" s="9" t="s">
        <v>1570</v>
      </c>
      <c r="G4549" s="9">
        <v>1484</v>
      </c>
      <c r="H4549" s="5" t="s">
        <v>21</v>
      </c>
      <c r="I4549" s="5" t="s">
        <v>11207</v>
      </c>
      <c r="J4549" s="12" t="str">
        <f>HYPERLINK("https://www.boe.es/gazeta/dias/1808/11/11/pdfs/GMD-C-1808-143.pdf#page=14","Abrir facsímil")</f>
        <v>Abrir facsímil</v>
      </c>
      <c r="K4549" s="15" t="s">
        <v>23</v>
      </c>
    </row>
    <row r="4550" spans="1:11" ht="42" customHeight="1">
      <c r="A4550" s="4" t="s">
        <v>11208</v>
      </c>
      <c r="B4550" s="5" t="s">
        <v>11208</v>
      </c>
      <c r="C4550" s="5" t="s">
        <v>94</v>
      </c>
      <c r="D4550" s="5" t="s">
        <v>95</v>
      </c>
      <c r="E4550" s="5" t="s">
        <v>68</v>
      </c>
      <c r="F4550" s="9" t="s">
        <v>309</v>
      </c>
      <c r="G4550" s="9" t="s">
        <v>106</v>
      </c>
      <c r="H4550" s="5" t="s">
        <v>21</v>
      </c>
      <c r="I4550" s="5" t="s">
        <v>11209</v>
      </c>
      <c r="J4550" s="12" t="str">
        <f>HYPERLINK("https://www.boe.es/gazeta/dias/1808/10/21/pdfs/GMD-D-1808-136.pdf#page=3","Abrir facsímil")</f>
        <v>Abrir facsímil</v>
      </c>
      <c r="K4550" s="15" t="s">
        <v>23</v>
      </c>
    </row>
    <row r="4551" spans="1:11" ht="42" customHeight="1">
      <c r="A4551" s="4" t="s">
        <v>11210</v>
      </c>
      <c r="B4551" s="5" t="s">
        <v>11210</v>
      </c>
      <c r="C4551" s="5" t="s">
        <v>41</v>
      </c>
      <c r="D4551" s="5" t="s">
        <v>42</v>
      </c>
      <c r="E4551" s="5" t="s">
        <v>35</v>
      </c>
      <c r="F4551" s="9" t="s">
        <v>36</v>
      </c>
      <c r="G4551" s="9" t="s">
        <v>277</v>
      </c>
      <c r="H4551" s="5" t="s">
        <v>21</v>
      </c>
      <c r="I4551" s="5" t="s">
        <v>11211</v>
      </c>
      <c r="J4551" s="12" t="str">
        <f>HYPERLINK("https://www.boe.es/gazeta/dias/1808/04/22/pdfs/GMD-C-1808-38.pdf#page=34","Abrir facsímil")</f>
        <v>Abrir facsímil</v>
      </c>
      <c r="K4551" s="15" t="s">
        <v>23</v>
      </c>
    </row>
    <row r="4552" spans="1:11" ht="42" customHeight="1">
      <c r="A4552" s="4" t="s">
        <v>11212</v>
      </c>
      <c r="B4552" s="5" t="s">
        <v>11212</v>
      </c>
      <c r="C4552" s="5" t="s">
        <v>17</v>
      </c>
      <c r="D4552" s="5" t="s">
        <v>18</v>
      </c>
      <c r="E4552" s="5" t="s">
        <v>334</v>
      </c>
      <c r="F4552" s="9" t="s">
        <v>1814</v>
      </c>
      <c r="G4552" s="9">
        <v>1245</v>
      </c>
      <c r="H4552" s="5" t="s">
        <v>21</v>
      </c>
      <c r="I4552" s="5" t="s">
        <v>11213</v>
      </c>
      <c r="J4552" s="12" t="str">
        <f>HYPERLINK("https://www.boe.es/gazeta/dias/1808/10/04/pdfs/GMD-1808-131.pdf#page=13","Abrir facsímil")</f>
        <v>Abrir facsímil</v>
      </c>
      <c r="K4552" s="15" t="s">
        <v>23</v>
      </c>
    </row>
    <row r="4553" spans="1:11" ht="42" customHeight="1">
      <c r="A4553" s="4" t="s">
        <v>11214</v>
      </c>
      <c r="B4553" s="5" t="s">
        <v>11214</v>
      </c>
      <c r="C4553" s="5" t="s">
        <v>33</v>
      </c>
      <c r="D4553" s="5" t="s">
        <v>34</v>
      </c>
      <c r="E4553" s="5" t="s">
        <v>73</v>
      </c>
      <c r="F4553" s="9" t="s">
        <v>1570</v>
      </c>
      <c r="G4553" s="9">
        <v>1476</v>
      </c>
      <c r="H4553" s="5" t="s">
        <v>21</v>
      </c>
      <c r="I4553" s="5" t="s">
        <v>11215</v>
      </c>
      <c r="J4553" s="12" t="str">
        <f>HYPERLINK("https://www.boe.es/gazeta/dias/1808/11/11/pdfs/GMD-C-1808-143.pdf#page=6","Abrir facsímil")</f>
        <v>Abrir facsímil</v>
      </c>
      <c r="K4553" s="15" t="s">
        <v>23</v>
      </c>
    </row>
    <row r="4554" spans="1:11" ht="42" customHeight="1">
      <c r="A4554" s="4" t="s">
        <v>11214</v>
      </c>
      <c r="B4554" s="5" t="s">
        <v>11214</v>
      </c>
      <c r="C4554" s="5" t="s">
        <v>33</v>
      </c>
      <c r="D4554" s="5" t="s">
        <v>34</v>
      </c>
      <c r="E4554" s="5" t="s">
        <v>73</v>
      </c>
      <c r="F4554" s="9" t="s">
        <v>1570</v>
      </c>
      <c r="G4554" s="9">
        <v>1478</v>
      </c>
      <c r="H4554" s="5" t="s">
        <v>21</v>
      </c>
      <c r="I4554" s="5" t="s">
        <v>11216</v>
      </c>
      <c r="J4554" s="12" t="str">
        <f>HYPERLINK("https://www.boe.es/gazeta/dias/1808/11/11/pdfs/GMD-C-1808-143.pdf#page=8","Abrir facsímil")</f>
        <v>Abrir facsímil</v>
      </c>
      <c r="K4554" s="15" t="s">
        <v>23</v>
      </c>
    </row>
    <row r="4555" spans="1:11" ht="42" customHeight="1">
      <c r="A4555" s="4" t="s">
        <v>11217</v>
      </c>
      <c r="B4555" s="5" t="s">
        <v>11217</v>
      </c>
      <c r="C4555" s="5" t="s">
        <v>33</v>
      </c>
      <c r="D4555" s="5" t="s">
        <v>34</v>
      </c>
      <c r="E4555" s="5" t="s">
        <v>35</v>
      </c>
      <c r="F4555" s="9" t="s">
        <v>36</v>
      </c>
      <c r="G4555" s="9" t="s">
        <v>279</v>
      </c>
      <c r="H4555" s="5" t="s">
        <v>21</v>
      </c>
      <c r="I4555" s="5" t="s">
        <v>11218</v>
      </c>
      <c r="J4555" s="12" t="str">
        <f>HYPERLINK("https://www.boe.es/gazeta/dias/1808/04/22/pdfs/GMD-C-1808-38.pdf#page=44","Abrir facsímil")</f>
        <v>Abrir facsímil</v>
      </c>
      <c r="K4555" s="15" t="s">
        <v>23</v>
      </c>
    </row>
    <row r="4556" spans="1:11" ht="42" customHeight="1">
      <c r="A4556" s="4" t="s">
        <v>11219</v>
      </c>
      <c r="B4556" s="5" t="s">
        <v>11219</v>
      </c>
      <c r="C4556" s="5" t="s">
        <v>17</v>
      </c>
      <c r="D4556" s="5" t="s">
        <v>18</v>
      </c>
      <c r="E4556" s="5" t="s">
        <v>130</v>
      </c>
      <c r="F4556" s="9" t="s">
        <v>131</v>
      </c>
      <c r="G4556" s="9">
        <v>1602</v>
      </c>
      <c r="H4556" s="5" t="s">
        <v>21</v>
      </c>
      <c r="I4556" s="5" t="s">
        <v>11220</v>
      </c>
      <c r="J4556" s="12" t="str">
        <f>HYPERLINK("https://www.boe.es/gazeta/dias/1808/12/15/pdfs/GMD-1808-155.pdf#page=6","Abrir facsímil")</f>
        <v>Abrir facsímil</v>
      </c>
      <c r="K4556" s="15" t="s">
        <v>23</v>
      </c>
    </row>
    <row r="4557" spans="1:11" ht="42" customHeight="1">
      <c r="A4557" s="4" t="s">
        <v>11221</v>
      </c>
      <c r="B4557" s="5" t="s">
        <v>11221</v>
      </c>
      <c r="C4557" s="5" t="s">
        <v>41</v>
      </c>
      <c r="D4557" s="5" t="s">
        <v>42</v>
      </c>
      <c r="E4557" s="5" t="s">
        <v>28</v>
      </c>
      <c r="F4557" s="9" t="s">
        <v>446</v>
      </c>
      <c r="G4557" s="9" t="s">
        <v>106</v>
      </c>
      <c r="H4557" s="5" t="s">
        <v>21</v>
      </c>
      <c r="I4557" s="5" t="s">
        <v>11222</v>
      </c>
      <c r="J4557" s="12" t="str">
        <f>HYPERLINK("https://www.boe.es/gazeta/dias/1808/11/04/pdfs/GMD-D-1808-141.pdf#page=3","Abrir facsímil")</f>
        <v>Abrir facsímil</v>
      </c>
      <c r="K4557" s="15" t="s">
        <v>23</v>
      </c>
    </row>
    <row r="4558" spans="1:11" ht="42" customHeight="1">
      <c r="A4558" s="4" t="s">
        <v>11223</v>
      </c>
      <c r="B4558" s="5" t="s">
        <v>11223</v>
      </c>
      <c r="C4558" s="5" t="s">
        <v>94</v>
      </c>
      <c r="D4558" s="5" t="s">
        <v>95</v>
      </c>
      <c r="E4558" s="5" t="s">
        <v>363</v>
      </c>
      <c r="F4558" s="9" t="s">
        <v>364</v>
      </c>
      <c r="G4558" s="9" t="s">
        <v>106</v>
      </c>
      <c r="H4558" s="5" t="s">
        <v>21</v>
      </c>
      <c r="I4558" s="5" t="s">
        <v>11224</v>
      </c>
      <c r="J4558" s="12" t="str">
        <f>HYPERLINK("https://www.boe.es/gazeta/dias/1808/09/20/pdfs/GMD-C-1808-126.pdf#page=3","Abrir facsímil")</f>
        <v>Abrir facsímil</v>
      </c>
      <c r="K4558" s="15" t="s">
        <v>23</v>
      </c>
    </row>
    <row r="4559" spans="1:11" ht="42" customHeight="1">
      <c r="A4559" s="4" t="s">
        <v>11223</v>
      </c>
      <c r="B4559" s="5" t="s">
        <v>11223</v>
      </c>
      <c r="C4559" s="5" t="s">
        <v>94</v>
      </c>
      <c r="D4559" s="5" t="s">
        <v>95</v>
      </c>
      <c r="E4559" s="5" t="s">
        <v>65</v>
      </c>
      <c r="F4559" s="9" t="s">
        <v>66</v>
      </c>
      <c r="G4559" s="9">
        <v>1307</v>
      </c>
      <c r="H4559" s="5" t="s">
        <v>21</v>
      </c>
      <c r="I4559" s="5" t="s">
        <v>11225</v>
      </c>
      <c r="J4559" s="12" t="str">
        <f>HYPERLINK("https://www.boe.es/gazeta/dias/1808/10/18/pdfs/GMD-1808-135.pdf#page=7","Abrir facsímil")</f>
        <v>Abrir facsímil</v>
      </c>
      <c r="K4559" s="15" t="s">
        <v>23</v>
      </c>
    </row>
    <row r="4560" spans="1:11" ht="42" customHeight="1">
      <c r="A4560" s="4" t="s">
        <v>11223</v>
      </c>
      <c r="B4560" s="5" t="s">
        <v>11223</v>
      </c>
      <c r="C4560" s="5" t="s">
        <v>33</v>
      </c>
      <c r="D4560" s="5" t="s">
        <v>34</v>
      </c>
      <c r="E4560" s="5" t="s">
        <v>110</v>
      </c>
      <c r="F4560" s="9" t="s">
        <v>828</v>
      </c>
      <c r="G4560" s="9" t="s">
        <v>75</v>
      </c>
      <c r="H4560" s="5" t="s">
        <v>21</v>
      </c>
      <c r="I4560" s="5" t="s">
        <v>11226</v>
      </c>
      <c r="J4560" s="12" t="str">
        <f>HYPERLINK("https://www.boe.es/gazeta/dias/1808/10/28/pdfs/GMD-D-1808-138.pdf#page=4","Abrir facsímil")</f>
        <v>Abrir facsímil</v>
      </c>
      <c r="K4560" s="15" t="s">
        <v>23</v>
      </c>
    </row>
    <row r="4561" spans="1:11" ht="42" customHeight="1">
      <c r="A4561" s="4" t="s">
        <v>11223</v>
      </c>
      <c r="B4561" s="5" t="s">
        <v>11223</v>
      </c>
      <c r="C4561" s="5" t="s">
        <v>33</v>
      </c>
      <c r="D4561" s="5" t="s">
        <v>34</v>
      </c>
      <c r="E4561" s="5" t="s">
        <v>197</v>
      </c>
      <c r="F4561" s="9" t="s">
        <v>198</v>
      </c>
      <c r="G4561" s="9" t="s">
        <v>75</v>
      </c>
      <c r="H4561" s="5" t="s">
        <v>21</v>
      </c>
      <c r="I4561" s="5" t="s">
        <v>11227</v>
      </c>
      <c r="J4561" s="12" t="str">
        <f>HYPERLINK("https://www.boe.es/gazeta/dias/1808/11/01/pdfs/GMD-D-1808-140.pdf#page=4","Abrir facsímil")</f>
        <v>Abrir facsímil</v>
      </c>
      <c r="K4561" s="15" t="s">
        <v>23</v>
      </c>
    </row>
    <row r="4562" spans="1:11" ht="42" customHeight="1">
      <c r="A4562" s="4" t="s">
        <v>11228</v>
      </c>
      <c r="B4562" s="5" t="s">
        <v>11228</v>
      </c>
      <c r="C4562" s="5" t="s">
        <v>94</v>
      </c>
      <c r="D4562" s="5" t="s">
        <v>95</v>
      </c>
      <c r="E4562" s="5" t="s">
        <v>68</v>
      </c>
      <c r="F4562" s="9" t="s">
        <v>849</v>
      </c>
      <c r="G4562" s="9">
        <v>1344</v>
      </c>
      <c r="H4562" s="5" t="s">
        <v>21</v>
      </c>
      <c r="I4562" s="5" t="s">
        <v>11229</v>
      </c>
      <c r="J4562" s="12" t="str">
        <f>HYPERLINK("https://www.boe.es/gazeta/dias/1808/10/21/pdfs/GMD-C-1808-136.pdf#page=4","Abrir facsímil")</f>
        <v>Abrir facsímil</v>
      </c>
      <c r="K4562" s="15" t="s">
        <v>23</v>
      </c>
    </row>
    <row r="4563" spans="1:11" ht="42" customHeight="1">
      <c r="A4563" s="4" t="s">
        <v>11230</v>
      </c>
      <c r="B4563" s="5" t="s">
        <v>11230</v>
      </c>
      <c r="C4563" s="5" t="s">
        <v>33</v>
      </c>
      <c r="D4563" s="5" t="s">
        <v>34</v>
      </c>
      <c r="E4563" s="5" t="s">
        <v>35</v>
      </c>
      <c r="F4563" s="9" t="s">
        <v>36</v>
      </c>
      <c r="G4563" s="9" t="s">
        <v>313</v>
      </c>
      <c r="H4563" s="5" t="s">
        <v>21</v>
      </c>
      <c r="I4563" s="5" t="s">
        <v>11231</v>
      </c>
      <c r="J4563" s="12" t="str">
        <f>HYPERLINK("https://www.boe.es/gazeta/dias/1808/04/22/pdfs/GMD-C-1808-38.pdf#page=29","Abrir facsímil")</f>
        <v>Abrir facsímil</v>
      </c>
      <c r="K4563" s="15" t="s">
        <v>23</v>
      </c>
    </row>
    <row r="4564" spans="1:11" ht="42" customHeight="1">
      <c r="A4564" s="4" t="s">
        <v>11232</v>
      </c>
      <c r="B4564" s="5" t="s">
        <v>11232</v>
      </c>
      <c r="C4564" s="5" t="s">
        <v>41</v>
      </c>
      <c r="D4564" s="5" t="s">
        <v>42</v>
      </c>
      <c r="E4564" s="5" t="s">
        <v>35</v>
      </c>
      <c r="F4564" s="9" t="s">
        <v>36</v>
      </c>
      <c r="G4564" s="9" t="s">
        <v>837</v>
      </c>
      <c r="H4564" s="5" t="s">
        <v>21</v>
      </c>
      <c r="I4564" s="5" t="s">
        <v>11233</v>
      </c>
      <c r="J4564" s="12" t="str">
        <f>HYPERLINK("https://www.boe.es/gazeta/dias/1808/04/22/pdfs/GMD-C-1808-38.pdf#page=10","Abrir facsímil")</f>
        <v>Abrir facsímil</v>
      </c>
      <c r="K4564" s="15" t="s">
        <v>23</v>
      </c>
    </row>
    <row r="4565" spans="1:11" ht="42" customHeight="1">
      <c r="A4565" s="4" t="s">
        <v>11232</v>
      </c>
      <c r="B4565" s="5" t="s">
        <v>11232</v>
      </c>
      <c r="C4565" s="5" t="s">
        <v>33</v>
      </c>
      <c r="D4565" s="5" t="s">
        <v>34</v>
      </c>
      <c r="E4565" s="5" t="s">
        <v>35</v>
      </c>
      <c r="F4565" s="9" t="s">
        <v>36</v>
      </c>
      <c r="G4565" s="9" t="s">
        <v>80</v>
      </c>
      <c r="H4565" s="5" t="s">
        <v>21</v>
      </c>
      <c r="I4565" s="5" t="s">
        <v>11234</v>
      </c>
      <c r="J4565" s="12" t="str">
        <f>HYPERLINK("https://www.boe.es/gazeta/dias/1808/04/22/pdfs/GMD-C-1808-38.pdf#page=18","Abrir facsímil")</f>
        <v>Abrir facsímil</v>
      </c>
      <c r="K4565" s="15" t="s">
        <v>23</v>
      </c>
    </row>
    <row r="4566" spans="1:11" ht="42" customHeight="1">
      <c r="A4566" s="4" t="s">
        <v>11232</v>
      </c>
      <c r="B4566" s="5" t="s">
        <v>11232</v>
      </c>
      <c r="C4566" s="5" t="s">
        <v>33</v>
      </c>
      <c r="D4566" s="5" t="s">
        <v>34</v>
      </c>
      <c r="E4566" s="5" t="s">
        <v>35</v>
      </c>
      <c r="F4566" s="9" t="s">
        <v>36</v>
      </c>
      <c r="G4566" s="9" t="s">
        <v>814</v>
      </c>
      <c r="H4566" s="5" t="s">
        <v>21</v>
      </c>
      <c r="I4566" s="5" t="s">
        <v>11235</v>
      </c>
      <c r="J4566" s="12" t="str">
        <f>HYPERLINK("https://www.boe.es/gazeta/dias/1808/04/22/pdfs/GMD-C-1808-38.pdf#page=25","Abrir facsímil")</f>
        <v>Abrir facsímil</v>
      </c>
      <c r="K4566" s="15" t="s">
        <v>23</v>
      </c>
    </row>
    <row r="4567" spans="1:11" ht="42" customHeight="1">
      <c r="A4567" s="4" t="s">
        <v>11236</v>
      </c>
      <c r="B4567" s="5" t="s">
        <v>11236</v>
      </c>
      <c r="C4567" s="5" t="s">
        <v>33</v>
      </c>
      <c r="D4567" s="5" t="s">
        <v>34</v>
      </c>
      <c r="E4567" s="5" t="s">
        <v>35</v>
      </c>
      <c r="F4567" s="9" t="s">
        <v>36</v>
      </c>
      <c r="G4567" s="9" t="s">
        <v>956</v>
      </c>
      <c r="H4567" s="5" t="s">
        <v>21</v>
      </c>
      <c r="I4567" s="5" t="s">
        <v>11237</v>
      </c>
      <c r="J4567" s="12" t="str">
        <f>HYPERLINK("https://www.boe.es/gazeta/dias/1808/04/22/pdfs/GMD-C-1808-38.pdf#page=41","Abrir facsímil")</f>
        <v>Abrir facsímil</v>
      </c>
      <c r="K4567" s="15" t="s">
        <v>23</v>
      </c>
    </row>
    <row r="4568" spans="1:11" ht="42" customHeight="1">
      <c r="A4568" s="4" t="s">
        <v>11238</v>
      </c>
      <c r="B4568" s="5" t="s">
        <v>11238</v>
      </c>
      <c r="C4568" s="5" t="s">
        <v>94</v>
      </c>
      <c r="D4568" s="5" t="s">
        <v>95</v>
      </c>
      <c r="E4568" s="5" t="s">
        <v>644</v>
      </c>
      <c r="F4568" s="9" t="s">
        <v>645</v>
      </c>
      <c r="G4568" s="9">
        <v>322</v>
      </c>
      <c r="H4568" s="5" t="s">
        <v>21</v>
      </c>
      <c r="I4568" s="5" t="s">
        <v>11239</v>
      </c>
      <c r="J4568" s="12" t="str">
        <f>HYPERLINK("https://www.boe.es/gazeta/dias/1808/03/31/pdfs/GMD-1808-28E.pdf#page=6","Abrir facsímil")</f>
        <v>Abrir facsímil</v>
      </c>
      <c r="K4568" s="15" t="s">
        <v>23</v>
      </c>
    </row>
    <row r="4569" spans="1:11" ht="42" customHeight="1">
      <c r="A4569" s="4" t="s">
        <v>11240</v>
      </c>
      <c r="B4569" s="5" t="s">
        <v>11240</v>
      </c>
      <c r="C4569" s="5" t="s">
        <v>642</v>
      </c>
      <c r="D4569" s="5" t="s">
        <v>643</v>
      </c>
      <c r="E4569" s="5" t="s">
        <v>644</v>
      </c>
      <c r="F4569" s="9" t="s">
        <v>645</v>
      </c>
      <c r="G4569" s="9">
        <v>322</v>
      </c>
      <c r="H4569" s="5" t="s">
        <v>21</v>
      </c>
      <c r="I4569" s="5" t="s">
        <v>11241</v>
      </c>
      <c r="J4569" s="12" t="str">
        <f>HYPERLINK("https://www.boe.es/gazeta/dias/1808/03/31/pdfs/GMD-1808-28E.pdf#page=6","Abrir facsímil")</f>
        <v>Abrir facsímil</v>
      </c>
      <c r="K4569" s="15" t="s">
        <v>23</v>
      </c>
    </row>
    <row r="4570" spans="1:11" ht="42" customHeight="1">
      <c r="A4570" s="4" t="s">
        <v>11242</v>
      </c>
      <c r="B4570" s="5" t="s">
        <v>11242</v>
      </c>
      <c r="C4570" s="5" t="s">
        <v>389</v>
      </c>
      <c r="D4570" s="5" t="s">
        <v>390</v>
      </c>
      <c r="E4570" s="5" t="s">
        <v>1085</v>
      </c>
      <c r="F4570" s="9" t="s">
        <v>1086</v>
      </c>
      <c r="G4570" s="9">
        <v>108</v>
      </c>
      <c r="H4570" s="5" t="s">
        <v>21</v>
      </c>
      <c r="I4570" s="5" t="s">
        <v>11243</v>
      </c>
      <c r="J4570" s="12" t="str">
        <f>HYPERLINK("https://www.boe.es/gazeta/dias/1808/01/29/pdfs/GMD-1808-9.pdf#page=12","Abrir facsímil")</f>
        <v>Abrir facsímil</v>
      </c>
      <c r="K4570" s="15" t="s">
        <v>23</v>
      </c>
    </row>
    <row r="4571" spans="1:11" ht="42" customHeight="1">
      <c r="A4571" s="4" t="s">
        <v>11244</v>
      </c>
      <c r="B4571" s="5" t="s">
        <v>11244</v>
      </c>
      <c r="C4571" s="5" t="s">
        <v>41</v>
      </c>
      <c r="D4571" s="5" t="s">
        <v>42</v>
      </c>
      <c r="E4571" s="5" t="s">
        <v>19</v>
      </c>
      <c r="F4571" s="9" t="s">
        <v>949</v>
      </c>
      <c r="G4571" s="9" t="s">
        <v>75</v>
      </c>
      <c r="H4571" s="5" t="s">
        <v>21</v>
      </c>
      <c r="I4571" s="5" t="s">
        <v>11245</v>
      </c>
      <c r="J4571" s="12" t="str">
        <f>HYPERLINK("https://www.boe.es/gazeta/dias/1808/09/30/pdfs/GMD-C-1808-130.pdf#page=4","Abrir facsímil")</f>
        <v>Abrir facsímil</v>
      </c>
      <c r="K4571" s="15" t="s">
        <v>23</v>
      </c>
    </row>
    <row r="4572" spans="1:11" ht="42" customHeight="1">
      <c r="A4572" s="4" t="s">
        <v>11246</v>
      </c>
      <c r="B4572" s="5" t="s">
        <v>11246</v>
      </c>
      <c r="C4572" s="5" t="s">
        <v>41</v>
      </c>
      <c r="D4572" s="5" t="s">
        <v>42</v>
      </c>
      <c r="E4572" s="5" t="s">
        <v>427</v>
      </c>
      <c r="F4572" s="9" t="s">
        <v>428</v>
      </c>
      <c r="G4572" s="9" t="s">
        <v>117</v>
      </c>
      <c r="H4572" s="5" t="s">
        <v>21</v>
      </c>
      <c r="I4572" s="5" t="s">
        <v>11247</v>
      </c>
      <c r="J4572" s="12" t="str">
        <f>HYPERLINK("https://www.boe.es/gazeta/dias/1808/11/22/pdfs/GMD-D-1808-146.pdf#page=1","Abrir facsímil")</f>
        <v>Abrir facsímil</v>
      </c>
      <c r="K4572" s="15" t="s">
        <v>23</v>
      </c>
    </row>
    <row r="4573" spans="1:11" ht="42" customHeight="1">
      <c r="A4573" s="4" t="s">
        <v>11248</v>
      </c>
      <c r="B4573" s="5" t="s">
        <v>11248</v>
      </c>
      <c r="C4573" s="5" t="s">
        <v>33</v>
      </c>
      <c r="D4573" s="5" t="s">
        <v>34</v>
      </c>
      <c r="E4573" s="5" t="s">
        <v>68</v>
      </c>
      <c r="F4573" s="9" t="s">
        <v>849</v>
      </c>
      <c r="G4573" s="9">
        <v>1348</v>
      </c>
      <c r="H4573" s="5" t="s">
        <v>21</v>
      </c>
      <c r="I4573" s="5" t="s">
        <v>11249</v>
      </c>
      <c r="J4573" s="12" t="str">
        <f>HYPERLINK("https://www.boe.es/gazeta/dias/1808/10/21/pdfs/GMD-C-1808-136.pdf#page=8","Abrir facsímil")</f>
        <v>Abrir facsímil</v>
      </c>
      <c r="K4573" s="15" t="s">
        <v>23</v>
      </c>
    </row>
    <row r="4574" spans="1:11" ht="42" customHeight="1">
      <c r="A4574" s="4" t="s">
        <v>11250</v>
      </c>
      <c r="B4574" s="5" t="s">
        <v>11250</v>
      </c>
      <c r="C4574" s="5" t="s">
        <v>94</v>
      </c>
      <c r="D4574" s="5" t="s">
        <v>95</v>
      </c>
      <c r="E4574" s="5" t="s">
        <v>238</v>
      </c>
      <c r="F4574" s="9" t="s">
        <v>239</v>
      </c>
      <c r="G4574" s="9">
        <v>35</v>
      </c>
      <c r="H4574" s="5" t="s">
        <v>21</v>
      </c>
      <c r="I4574" s="5" t="s">
        <v>11251</v>
      </c>
      <c r="J4574" s="12" t="str">
        <f>HYPERLINK("https://www.boe.es/gazeta/dias/1808/01/08/pdfs/GMD-1808-3.pdf#page=11","Abrir facsímil")</f>
        <v>Abrir facsímil</v>
      </c>
      <c r="K4574" s="15" t="s">
        <v>23</v>
      </c>
    </row>
    <row r="4575" spans="1:11" ht="42" customHeight="1">
      <c r="A4575" s="4" t="s">
        <v>11252</v>
      </c>
      <c r="B4575" s="5" t="s">
        <v>11252</v>
      </c>
      <c r="C4575" s="5" t="s">
        <v>17</v>
      </c>
      <c r="D4575" s="5" t="s">
        <v>18</v>
      </c>
      <c r="E4575" s="5" t="s">
        <v>363</v>
      </c>
      <c r="F4575" s="9" t="s">
        <v>3718</v>
      </c>
      <c r="G4575" s="9">
        <v>264</v>
      </c>
      <c r="H4575" s="5" t="s">
        <v>21</v>
      </c>
      <c r="I4575" s="5" t="s">
        <v>11253</v>
      </c>
      <c r="J4575" s="12" t="str">
        <f>HYPERLINK("https://www.boe.es/gazeta/dias/1808/09/20/pdfs/GMS-1808-33.pdf#page=8","Abrir facsímil")</f>
        <v>Abrir facsímil</v>
      </c>
      <c r="K4575" s="15" t="s">
        <v>23</v>
      </c>
    </row>
    <row r="4576" spans="1:11" ht="42" customHeight="1">
      <c r="A4576" s="4" t="s">
        <v>11254</v>
      </c>
      <c r="B4576" s="5" t="s">
        <v>11254</v>
      </c>
      <c r="C4576" s="5" t="s">
        <v>33</v>
      </c>
      <c r="D4576" s="5" t="s">
        <v>34</v>
      </c>
      <c r="E4576" s="5" t="s">
        <v>35</v>
      </c>
      <c r="F4576" s="9" t="s">
        <v>36</v>
      </c>
      <c r="G4576" s="9" t="s">
        <v>322</v>
      </c>
      <c r="H4576" s="5" t="s">
        <v>21</v>
      </c>
      <c r="I4576" s="5" t="s">
        <v>11255</v>
      </c>
      <c r="J4576" s="12" t="str">
        <f>HYPERLINK("https://www.boe.es/gazeta/dias/1808/04/22/pdfs/GMD-C-1808-38.pdf#page=15","Abrir facsímil")</f>
        <v>Abrir facsímil</v>
      </c>
      <c r="K4576" s="15" t="s">
        <v>23</v>
      </c>
    </row>
    <row r="4577" spans="1:11" ht="42" customHeight="1">
      <c r="A4577" s="4" t="s">
        <v>11256</v>
      </c>
      <c r="B4577" s="5" t="s">
        <v>11256</v>
      </c>
      <c r="C4577" s="5" t="s">
        <v>33</v>
      </c>
      <c r="D4577" s="5" t="s">
        <v>34</v>
      </c>
      <c r="E4577" s="5" t="s">
        <v>35</v>
      </c>
      <c r="F4577" s="9" t="s">
        <v>36</v>
      </c>
      <c r="G4577" s="9" t="s">
        <v>322</v>
      </c>
      <c r="H4577" s="5" t="s">
        <v>21</v>
      </c>
      <c r="I4577" s="5" t="s">
        <v>11257</v>
      </c>
      <c r="J4577" s="12" t="str">
        <f>HYPERLINK("https://www.boe.es/gazeta/dias/1808/04/22/pdfs/GMD-C-1808-38.pdf#page=15","Abrir facsímil")</f>
        <v>Abrir facsímil</v>
      </c>
      <c r="K4577" s="15" t="s">
        <v>23</v>
      </c>
    </row>
    <row r="4578" spans="1:11" ht="42" customHeight="1">
      <c r="A4578" s="4" t="s">
        <v>11258</v>
      </c>
      <c r="B4578" s="5" t="s">
        <v>11258</v>
      </c>
      <c r="C4578" s="5" t="s">
        <v>17</v>
      </c>
      <c r="D4578" s="5" t="s">
        <v>18</v>
      </c>
      <c r="E4578" s="5" t="s">
        <v>427</v>
      </c>
      <c r="F4578" s="9" t="s">
        <v>1802</v>
      </c>
      <c r="G4578" s="9">
        <v>1519</v>
      </c>
      <c r="H4578" s="5" t="s">
        <v>21</v>
      </c>
      <c r="I4578" s="5" t="s">
        <v>11259</v>
      </c>
      <c r="J4578" s="12" t="str">
        <f>HYPERLINK("https://www.boe.es/gazeta/dias/1808/11/22/pdfs/GMD-1808-146.pdf#page=5","Abrir facsímil")</f>
        <v>Abrir facsímil</v>
      </c>
      <c r="K4578" s="15" t="s">
        <v>23</v>
      </c>
    </row>
    <row r="4579" spans="1:11" ht="42" customHeight="1">
      <c r="A4579" s="4" t="s">
        <v>11260</v>
      </c>
      <c r="B4579" s="5" t="s">
        <v>11260</v>
      </c>
      <c r="C4579" s="5" t="s">
        <v>41</v>
      </c>
      <c r="D4579" s="5" t="s">
        <v>42</v>
      </c>
      <c r="E4579" s="5" t="s">
        <v>558</v>
      </c>
      <c r="F4579" s="9" t="s">
        <v>758</v>
      </c>
      <c r="G4579" s="9" t="s">
        <v>199</v>
      </c>
      <c r="H4579" s="5" t="s">
        <v>21</v>
      </c>
      <c r="I4579" s="5" t="s">
        <v>11261</v>
      </c>
      <c r="J4579" s="12" t="str">
        <f>HYPERLINK("https://www.boe.es/gazeta/dias/1808/11/25/pdfs/GMD-E-1808-147.pdf#page=2","Abrir facsímil")</f>
        <v>Abrir facsímil</v>
      </c>
      <c r="K4579" s="15" t="s">
        <v>23</v>
      </c>
    </row>
    <row r="4580" spans="1:11" ht="42" customHeight="1">
      <c r="A4580" s="4" t="s">
        <v>11262</v>
      </c>
      <c r="B4580" s="5" t="s">
        <v>11262</v>
      </c>
      <c r="C4580" s="5" t="s">
        <v>33</v>
      </c>
      <c r="D4580" s="5" t="s">
        <v>34</v>
      </c>
      <c r="E4580" s="5" t="s">
        <v>65</v>
      </c>
      <c r="F4580" s="9" t="s">
        <v>105</v>
      </c>
      <c r="G4580" s="9" t="s">
        <v>199</v>
      </c>
      <c r="H4580" s="5" t="s">
        <v>21</v>
      </c>
      <c r="I4580" s="5" t="s">
        <v>11263</v>
      </c>
      <c r="J4580" s="12" t="str">
        <f>HYPERLINK("https://www.boe.es/gazeta/dias/1808/10/18/pdfs/GMD-D-1808-135.pdf#page=2","Abrir facsímil")</f>
        <v>Abrir facsímil</v>
      </c>
      <c r="K4580" s="15" t="s">
        <v>23</v>
      </c>
    </row>
    <row r="4581" spans="1:11" ht="42" customHeight="1">
      <c r="A4581" s="4" t="s">
        <v>11262</v>
      </c>
      <c r="B4581" s="5" t="s">
        <v>11262</v>
      </c>
      <c r="C4581" s="5" t="s">
        <v>17</v>
      </c>
      <c r="D4581" s="5" t="s">
        <v>18</v>
      </c>
      <c r="E4581" s="5" t="s">
        <v>130</v>
      </c>
      <c r="F4581" s="9" t="s">
        <v>131</v>
      </c>
      <c r="G4581" s="9">
        <v>1604</v>
      </c>
      <c r="H4581" s="5" t="s">
        <v>21</v>
      </c>
      <c r="I4581" s="5" t="s">
        <v>11264</v>
      </c>
      <c r="J4581" s="12" t="str">
        <f>HYPERLINK("https://www.boe.es/gazeta/dias/1808/12/15/pdfs/GMD-1808-155.pdf#page=8","Abrir facsímil")</f>
        <v>Abrir facsímil</v>
      </c>
      <c r="K4581" s="15" t="s">
        <v>23</v>
      </c>
    </row>
    <row r="4582" spans="1:11" ht="42" customHeight="1">
      <c r="A4582" s="4" t="s">
        <v>11265</v>
      </c>
      <c r="B4582" s="5" t="s">
        <v>11265</v>
      </c>
      <c r="C4582" s="5" t="s">
        <v>17</v>
      </c>
      <c r="D4582" s="5" t="s">
        <v>18</v>
      </c>
      <c r="E4582" s="5" t="s">
        <v>130</v>
      </c>
      <c r="F4582" s="9" t="s">
        <v>131</v>
      </c>
      <c r="G4582" s="9">
        <v>1604</v>
      </c>
      <c r="H4582" s="5" t="s">
        <v>21</v>
      </c>
      <c r="I4582" s="5" t="s">
        <v>11266</v>
      </c>
      <c r="J4582" s="12" t="str">
        <f>HYPERLINK("https://www.boe.es/gazeta/dias/1808/12/15/pdfs/GMD-1808-155.pdf#page=8","Abrir facsímil")</f>
        <v>Abrir facsímil</v>
      </c>
      <c r="K4582" s="15" t="s">
        <v>23</v>
      </c>
    </row>
    <row r="4583" spans="1:11" ht="42" customHeight="1">
      <c r="A4583" s="4" t="s">
        <v>11267</v>
      </c>
      <c r="B4583" s="5" t="s">
        <v>11267</v>
      </c>
      <c r="C4583" s="5" t="s">
        <v>17</v>
      </c>
      <c r="D4583" s="5" t="s">
        <v>18</v>
      </c>
      <c r="E4583" s="5" t="s">
        <v>125</v>
      </c>
      <c r="F4583" s="9" t="s">
        <v>397</v>
      </c>
      <c r="G4583" s="9">
        <v>1270</v>
      </c>
      <c r="H4583" s="5" t="s">
        <v>21</v>
      </c>
      <c r="I4583" s="5" t="s">
        <v>11268</v>
      </c>
      <c r="J4583" s="12" t="str">
        <f>HYPERLINK("https://www.boe.es/gazeta/dias/1808/10/07/pdfs/GMD-1808-132.pdf#page=10","Abrir facsímil")</f>
        <v>Abrir facsímil</v>
      </c>
      <c r="K4583" s="15" t="s">
        <v>23</v>
      </c>
    </row>
    <row r="4584" spans="1:11" ht="42" customHeight="1">
      <c r="A4584" s="4" t="s">
        <v>11269</v>
      </c>
      <c r="B4584" s="5" t="s">
        <v>11269</v>
      </c>
      <c r="C4584" s="5" t="s">
        <v>33</v>
      </c>
      <c r="D4584" s="5" t="s">
        <v>34</v>
      </c>
      <c r="E4584" s="5" t="s">
        <v>35</v>
      </c>
      <c r="F4584" s="9" t="s">
        <v>36</v>
      </c>
      <c r="G4584" s="9" t="s">
        <v>47</v>
      </c>
      <c r="H4584" s="5" t="s">
        <v>21</v>
      </c>
      <c r="I4584" s="5" t="s">
        <v>11270</v>
      </c>
      <c r="J4584" s="12" t="str">
        <f>HYPERLINK("https://www.boe.es/gazeta/dias/1808/04/22/pdfs/GMD-C-1808-38.pdf#page=13","Abrir facsímil")</f>
        <v>Abrir facsímil</v>
      </c>
      <c r="K4584" s="15" t="s">
        <v>23</v>
      </c>
    </row>
    <row r="4585" spans="1:11" ht="42" customHeight="1">
      <c r="A4585" s="4" t="s">
        <v>11269</v>
      </c>
      <c r="B4585" s="5" t="s">
        <v>11269</v>
      </c>
      <c r="C4585" s="5" t="s">
        <v>33</v>
      </c>
      <c r="D4585" s="5" t="s">
        <v>34</v>
      </c>
      <c r="E4585" s="5" t="s">
        <v>35</v>
      </c>
      <c r="F4585" s="9" t="s">
        <v>36</v>
      </c>
      <c r="G4585" s="9" t="s">
        <v>924</v>
      </c>
      <c r="H4585" s="5" t="s">
        <v>21</v>
      </c>
      <c r="I4585" s="5" t="s">
        <v>11271</v>
      </c>
      <c r="J4585" s="12" t="str">
        <f>HYPERLINK("https://www.boe.es/gazeta/dias/1808/04/22/pdfs/GMD-C-1808-38.pdf#page=27","Abrir facsímil")</f>
        <v>Abrir facsímil</v>
      </c>
      <c r="K4585" s="15" t="s">
        <v>23</v>
      </c>
    </row>
    <row r="4586" spans="1:11" ht="42" customHeight="1">
      <c r="A4586" s="4" t="s">
        <v>11272</v>
      </c>
      <c r="B4586" s="5" t="s">
        <v>11272</v>
      </c>
      <c r="C4586" s="5" t="s">
        <v>260</v>
      </c>
      <c r="D4586" s="5" t="s">
        <v>42</v>
      </c>
      <c r="E4586" s="5" t="s">
        <v>1385</v>
      </c>
      <c r="F4586" s="9" t="s">
        <v>1386</v>
      </c>
      <c r="G4586" s="9">
        <v>233</v>
      </c>
      <c r="H4586" s="5" t="s">
        <v>21</v>
      </c>
      <c r="I4586" s="5" t="s">
        <v>11273</v>
      </c>
      <c r="J4586" s="12" t="str">
        <f>HYPERLINK("https://www.boe.es/gazeta/dias/1808/03/04/pdfs/GMD-1808-19.pdf#page=11","Abrir facsímil")</f>
        <v>Abrir facsímil</v>
      </c>
      <c r="K4586" s="15" t="s">
        <v>23</v>
      </c>
    </row>
    <row r="4587" spans="1:11" ht="42" customHeight="1">
      <c r="A4587" s="4" t="s">
        <v>11274</v>
      </c>
      <c r="B4587" s="5" t="s">
        <v>11274</v>
      </c>
      <c r="C4587" s="5" t="s">
        <v>94</v>
      </c>
      <c r="D4587" s="5" t="s">
        <v>95</v>
      </c>
      <c r="E4587" s="5" t="s">
        <v>478</v>
      </c>
      <c r="F4587" s="9" t="s">
        <v>479</v>
      </c>
      <c r="G4587" s="9">
        <v>241</v>
      </c>
      <c r="H4587" s="5" t="s">
        <v>21</v>
      </c>
      <c r="I4587" s="5" t="s">
        <v>11275</v>
      </c>
      <c r="J4587" s="12" t="str">
        <f>HYPERLINK("https://www.boe.es/gazeta/dias/1808/03/08/pdfs/GMD-1808-20.pdf#page=7","Abrir facsímil")</f>
        <v>Abrir facsímil</v>
      </c>
      <c r="K4587" s="15" t="s">
        <v>23</v>
      </c>
    </row>
    <row r="4588" spans="1:11" ht="42" customHeight="1">
      <c r="A4588" s="4" t="s">
        <v>11276</v>
      </c>
      <c r="B4588" s="5" t="s">
        <v>11276</v>
      </c>
      <c r="C4588" s="5" t="s">
        <v>94</v>
      </c>
      <c r="D4588" s="5" t="s">
        <v>95</v>
      </c>
      <c r="E4588" s="5" t="s">
        <v>210</v>
      </c>
      <c r="F4588" s="9" t="s">
        <v>211</v>
      </c>
      <c r="G4588" s="9">
        <v>254</v>
      </c>
      <c r="H4588" s="5" t="s">
        <v>21</v>
      </c>
      <c r="I4588" s="5" t="s">
        <v>11277</v>
      </c>
      <c r="J4588" s="12" t="str">
        <f>HYPERLINK("https://www.boe.es/gazeta/dias/1808/03/11/pdfs/GMD-1808-21.pdf#page=8","Abrir facsímil")</f>
        <v>Abrir facsímil</v>
      </c>
      <c r="K4588" s="15" t="s">
        <v>23</v>
      </c>
    </row>
    <row r="4589" spans="1:11" ht="42" customHeight="1">
      <c r="A4589" s="4" t="s">
        <v>11278</v>
      </c>
      <c r="B4589" s="5" t="s">
        <v>11278</v>
      </c>
      <c r="C4589" s="5" t="s">
        <v>41</v>
      </c>
      <c r="D4589" s="5" t="s">
        <v>42</v>
      </c>
      <c r="E4589" s="5" t="s">
        <v>35</v>
      </c>
      <c r="F4589" s="9" t="s">
        <v>36</v>
      </c>
      <c r="G4589" s="9" t="s">
        <v>1294</v>
      </c>
      <c r="H4589" s="5" t="s">
        <v>21</v>
      </c>
      <c r="I4589" s="5" t="s">
        <v>11279</v>
      </c>
      <c r="J4589" s="12" t="str">
        <f>HYPERLINK("https://www.boe.es/gazeta/dias/1808/04/22/pdfs/GMD-C-1808-38.pdf#page=8","Abrir facsímil")</f>
        <v>Abrir facsímil</v>
      </c>
      <c r="K4589" s="15" t="s">
        <v>23</v>
      </c>
    </row>
    <row r="4590" spans="1:11" ht="42" customHeight="1">
      <c r="A4590" s="4" t="s">
        <v>11280</v>
      </c>
      <c r="B4590" s="5" t="s">
        <v>11280</v>
      </c>
      <c r="C4590" s="5" t="s">
        <v>33</v>
      </c>
      <c r="D4590" s="5" t="s">
        <v>34</v>
      </c>
      <c r="E4590" s="5" t="s">
        <v>35</v>
      </c>
      <c r="F4590" s="9" t="s">
        <v>36</v>
      </c>
      <c r="G4590" s="9" t="s">
        <v>106</v>
      </c>
      <c r="H4590" s="5" t="s">
        <v>21</v>
      </c>
      <c r="I4590" s="5" t="s">
        <v>11281</v>
      </c>
      <c r="J4590" s="12" t="str">
        <f>HYPERLINK("https://www.boe.es/gazeta/dias/1808/04/22/pdfs/GMD-C-1808-38.pdf#page=3","Abrir facsímil")</f>
        <v>Abrir facsímil</v>
      </c>
      <c r="K4590" s="15" t="s">
        <v>23</v>
      </c>
    </row>
    <row r="4591" spans="1:11" ht="42" customHeight="1">
      <c r="A4591" s="4" t="s">
        <v>11282</v>
      </c>
      <c r="B4591" s="5" t="s">
        <v>11282</v>
      </c>
      <c r="C4591" s="5" t="s">
        <v>33</v>
      </c>
      <c r="D4591" s="5" t="s">
        <v>34</v>
      </c>
      <c r="E4591" s="5" t="s">
        <v>166</v>
      </c>
      <c r="F4591" s="9" t="s">
        <v>400</v>
      </c>
      <c r="G4591" s="9" t="s">
        <v>75</v>
      </c>
      <c r="H4591" s="5" t="s">
        <v>21</v>
      </c>
      <c r="I4591" s="5" t="s">
        <v>11283</v>
      </c>
      <c r="J4591" s="12" t="str">
        <f>HYPERLINK("https://www.boe.es/gazeta/dias/1808/11/18/pdfs/D00069-00072.pdf#page=4","Abrir facsímil")</f>
        <v>Abrir facsímil</v>
      </c>
      <c r="K4591" s="15" t="s">
        <v>23</v>
      </c>
    </row>
    <row r="4592" spans="1:11" ht="42" customHeight="1">
      <c r="A4592" s="4" t="s">
        <v>11284</v>
      </c>
      <c r="B4592" s="5" t="s">
        <v>11284</v>
      </c>
      <c r="C4592" s="5" t="s">
        <v>33</v>
      </c>
      <c r="D4592" s="5" t="s">
        <v>34</v>
      </c>
      <c r="E4592" s="5" t="s">
        <v>89</v>
      </c>
      <c r="F4592" s="9" t="s">
        <v>563</v>
      </c>
      <c r="G4592" s="9" t="s">
        <v>106</v>
      </c>
      <c r="H4592" s="5" t="s">
        <v>21</v>
      </c>
      <c r="I4592" s="5" t="s">
        <v>11285</v>
      </c>
      <c r="J4592" s="12" t="str">
        <f>HYPERLINK("https://www.boe.es/gazeta/dias/1808/10/25/pdfs/GMD-D-1808-137.pdf#page=3","Abrir facsímil")</f>
        <v>Abrir facsímil</v>
      </c>
      <c r="K4592" s="15" t="s">
        <v>23</v>
      </c>
    </row>
    <row r="4593" spans="1:11" ht="42" customHeight="1">
      <c r="A4593" s="4" t="s">
        <v>11286</v>
      </c>
      <c r="B4593" s="5" t="s">
        <v>11286</v>
      </c>
      <c r="C4593" s="5" t="s">
        <v>17</v>
      </c>
      <c r="D4593" s="5" t="s">
        <v>18</v>
      </c>
      <c r="E4593" s="5" t="s">
        <v>61</v>
      </c>
      <c r="F4593" s="9" t="s">
        <v>62</v>
      </c>
      <c r="G4593" s="9">
        <v>1285</v>
      </c>
      <c r="H4593" s="5" t="s">
        <v>21</v>
      </c>
      <c r="I4593" s="5" t="s">
        <v>11287</v>
      </c>
      <c r="J4593" s="12" t="str">
        <f>HYPERLINK("https://www.boe.es/gazeta/dias/1808/10/11/pdfs/GMD-1808-133.pdf#page=13","Abrir facsímil")</f>
        <v>Abrir facsímil</v>
      </c>
      <c r="K4593" s="15" t="s">
        <v>23</v>
      </c>
    </row>
    <row r="4594" spans="1:11" ht="42" customHeight="1">
      <c r="A4594" s="4" t="s">
        <v>11288</v>
      </c>
      <c r="B4594" s="5" t="s">
        <v>11288</v>
      </c>
      <c r="C4594" s="5" t="s">
        <v>41</v>
      </c>
      <c r="D4594" s="5" t="s">
        <v>42</v>
      </c>
      <c r="E4594" s="5" t="s">
        <v>35</v>
      </c>
      <c r="F4594" s="9" t="s">
        <v>36</v>
      </c>
      <c r="G4594" s="9" t="s">
        <v>47</v>
      </c>
      <c r="H4594" s="5" t="s">
        <v>21</v>
      </c>
      <c r="I4594" s="5" t="s">
        <v>11289</v>
      </c>
      <c r="J4594" s="12" t="str">
        <f>HYPERLINK("https://www.boe.es/gazeta/dias/1808/04/22/pdfs/GMD-C-1808-38.pdf#page=13","Abrir facsímil")</f>
        <v>Abrir facsímil</v>
      </c>
      <c r="K4594" s="15" t="s">
        <v>23</v>
      </c>
    </row>
    <row r="4595" spans="1:11" ht="42" customHeight="1">
      <c r="A4595" s="4" t="s">
        <v>11290</v>
      </c>
      <c r="B4595" s="5" t="s">
        <v>11290</v>
      </c>
      <c r="C4595" s="5" t="s">
        <v>41</v>
      </c>
      <c r="D4595" s="5" t="s">
        <v>42</v>
      </c>
      <c r="E4595" s="5" t="s">
        <v>35</v>
      </c>
      <c r="F4595" s="9" t="s">
        <v>36</v>
      </c>
      <c r="G4595" s="9" t="s">
        <v>498</v>
      </c>
      <c r="H4595" s="5" t="s">
        <v>21</v>
      </c>
      <c r="I4595" s="5" t="s">
        <v>11291</v>
      </c>
      <c r="J4595" s="12" t="str">
        <f>HYPERLINK("https://www.boe.es/gazeta/dias/1808/04/22/pdfs/GMD-C-1808-38.pdf#page=22","Abrir facsímil")</f>
        <v>Abrir facsímil</v>
      </c>
      <c r="K4595" s="15" t="s">
        <v>23</v>
      </c>
    </row>
    <row r="4596" spans="1:11" ht="42" customHeight="1">
      <c r="A4596" s="4" t="s">
        <v>11292</v>
      </c>
      <c r="B4596" s="5" t="s">
        <v>11292</v>
      </c>
      <c r="C4596" s="5" t="s">
        <v>33</v>
      </c>
      <c r="D4596" s="5" t="s">
        <v>34</v>
      </c>
      <c r="E4596" s="5" t="s">
        <v>68</v>
      </c>
      <c r="F4596" s="9" t="s">
        <v>849</v>
      </c>
      <c r="G4596" s="9">
        <v>1342</v>
      </c>
      <c r="H4596" s="5" t="s">
        <v>21</v>
      </c>
      <c r="I4596" s="5" t="s">
        <v>11293</v>
      </c>
      <c r="J4596" s="12" t="str">
        <f>HYPERLINK("https://www.boe.es/gazeta/dias/1808/10/21/pdfs/GMD-C-1808-136.pdf#page=2","Abrir facsímil")</f>
        <v>Abrir facsímil</v>
      </c>
      <c r="K4596" s="15" t="s">
        <v>23</v>
      </c>
    </row>
    <row r="4597" spans="1:11" ht="42" customHeight="1">
      <c r="A4597" s="4" t="s">
        <v>11294</v>
      </c>
      <c r="B4597" s="5" t="s">
        <v>11294</v>
      </c>
      <c r="C4597" s="5" t="s">
        <v>33</v>
      </c>
      <c r="D4597" s="5" t="s">
        <v>34</v>
      </c>
      <c r="E4597" s="5" t="s">
        <v>35</v>
      </c>
      <c r="F4597" s="9" t="s">
        <v>36</v>
      </c>
      <c r="G4597" s="9" t="s">
        <v>414</v>
      </c>
      <c r="H4597" s="5" t="s">
        <v>21</v>
      </c>
      <c r="I4597" s="5" t="s">
        <v>11295</v>
      </c>
      <c r="J4597" s="12" t="str">
        <f>HYPERLINK("https://www.boe.es/gazeta/dias/1808/04/22/pdfs/GMD-C-1808-38.pdf#page=20","Abrir facsímil")</f>
        <v>Abrir facsímil</v>
      </c>
      <c r="K4597" s="15" t="s">
        <v>23</v>
      </c>
    </row>
    <row r="4598" spans="1:11" ht="42" customHeight="1">
      <c r="A4598" s="4" t="s">
        <v>11296</v>
      </c>
      <c r="B4598" s="5" t="s">
        <v>11296</v>
      </c>
      <c r="C4598" s="5" t="s">
        <v>94</v>
      </c>
      <c r="D4598" s="5" t="s">
        <v>95</v>
      </c>
      <c r="E4598" s="5" t="s">
        <v>3439</v>
      </c>
      <c r="F4598" s="9" t="s">
        <v>3440</v>
      </c>
      <c r="G4598" s="9">
        <v>940</v>
      </c>
      <c r="H4598" s="5" t="s">
        <v>21</v>
      </c>
      <c r="I4598" s="5" t="s">
        <v>11297</v>
      </c>
      <c r="J4598" s="12" t="str">
        <f>HYPERLINK("https://www.boe.es/gazeta/dias/1808/07/31/pdfs/GMD-1808-103.pdf#page=6","Abrir facsímil")</f>
        <v>Abrir facsímil</v>
      </c>
      <c r="K4598" s="15" t="s">
        <v>23</v>
      </c>
    </row>
    <row r="4599" spans="1:11" ht="42" customHeight="1">
      <c r="A4599" s="4" t="s">
        <v>11296</v>
      </c>
      <c r="B4599" s="5" t="s">
        <v>11296</v>
      </c>
      <c r="C4599" s="5" t="s">
        <v>33</v>
      </c>
      <c r="D4599" s="5" t="s">
        <v>34</v>
      </c>
      <c r="E4599" s="5" t="s">
        <v>334</v>
      </c>
      <c r="F4599" s="9" t="s">
        <v>335</v>
      </c>
      <c r="G4599" s="9">
        <v>1251</v>
      </c>
      <c r="H4599" s="5" t="s">
        <v>21</v>
      </c>
      <c r="I4599" s="5" t="s">
        <v>11298</v>
      </c>
      <c r="J4599" s="12" t="str">
        <f>HYPERLINK("https://www.boe.es/gazeta/dias/1808/10/04/pdfs/GMD-C-1808-131.pdf#page=3","Abrir facsímil")</f>
        <v>Abrir facsímil</v>
      </c>
      <c r="K4599" s="15" t="s">
        <v>23</v>
      </c>
    </row>
    <row r="4600" spans="1:11" ht="42" customHeight="1">
      <c r="A4600" s="4" t="s">
        <v>11299</v>
      </c>
      <c r="B4600" s="5" t="s">
        <v>11299</v>
      </c>
      <c r="C4600" s="5" t="s">
        <v>260</v>
      </c>
      <c r="D4600" s="5" t="s">
        <v>42</v>
      </c>
      <c r="E4600" s="5" t="s">
        <v>368</v>
      </c>
      <c r="F4600" s="9" t="s">
        <v>369</v>
      </c>
      <c r="G4600" s="9">
        <v>167</v>
      </c>
      <c r="H4600" s="5" t="s">
        <v>21</v>
      </c>
      <c r="I4600" s="5" t="s">
        <v>11300</v>
      </c>
      <c r="J4600" s="12" t="str">
        <f>HYPERLINK("https://www.boe.es/gazeta/dias/1808/02/16/pdfs/GMD-1808-14.pdf#page=9","Abrir facsímil")</f>
        <v>Abrir facsímil</v>
      </c>
      <c r="K4600" s="15" t="s">
        <v>23</v>
      </c>
    </row>
    <row r="4601" spans="1:11" ht="42" customHeight="1">
      <c r="A4601" s="4" t="s">
        <v>11301</v>
      </c>
      <c r="B4601" s="5" t="s">
        <v>11301</v>
      </c>
      <c r="C4601" s="5" t="s">
        <v>17</v>
      </c>
      <c r="D4601" s="5" t="s">
        <v>18</v>
      </c>
      <c r="E4601" s="5" t="s">
        <v>54</v>
      </c>
      <c r="F4601" s="9" t="s">
        <v>55</v>
      </c>
      <c r="G4601" s="9">
        <v>1082</v>
      </c>
      <c r="H4601" s="5" t="s">
        <v>21</v>
      </c>
      <c r="I4601" s="5" t="s">
        <v>11302</v>
      </c>
      <c r="J4601" s="12" t="str">
        <f>HYPERLINK("https://www.boe.es/gazeta/dias/1808/08/26/pdfs/GMD-1808-117.pdf#page=4","Abrir facsímil")</f>
        <v>Abrir facsímil</v>
      </c>
      <c r="K4601" s="15" t="s">
        <v>23</v>
      </c>
    </row>
    <row r="4602" spans="1:11" ht="42" customHeight="1">
      <c r="A4602" s="4" t="s">
        <v>11303</v>
      </c>
      <c r="B4602" s="5" t="s">
        <v>11303</v>
      </c>
      <c r="C4602" s="5" t="s">
        <v>33</v>
      </c>
      <c r="D4602" s="5" t="s">
        <v>34</v>
      </c>
      <c r="E4602" s="5" t="s">
        <v>89</v>
      </c>
      <c r="F4602" s="9" t="s">
        <v>563</v>
      </c>
      <c r="G4602" s="9" t="s">
        <v>199</v>
      </c>
      <c r="H4602" s="5" t="s">
        <v>21</v>
      </c>
      <c r="I4602" s="5" t="s">
        <v>11304</v>
      </c>
      <c r="J4602" s="12" t="str">
        <f>HYPERLINK("https://www.boe.es/gazeta/dias/1808/10/25/pdfs/GMD-D-1808-137.pdf#page=2","Abrir facsímil")</f>
        <v>Abrir facsímil</v>
      </c>
      <c r="K4602" s="15" t="s">
        <v>23</v>
      </c>
    </row>
    <row r="4603" spans="1:11" ht="42" customHeight="1">
      <c r="A4603" s="4" t="s">
        <v>11305</v>
      </c>
      <c r="B4603" s="5" t="s">
        <v>11305</v>
      </c>
      <c r="C4603" s="5" t="s">
        <v>94</v>
      </c>
      <c r="D4603" s="5" t="s">
        <v>95</v>
      </c>
      <c r="E4603" s="5" t="s">
        <v>84</v>
      </c>
      <c r="F4603" s="9" t="s">
        <v>85</v>
      </c>
      <c r="G4603" s="9">
        <v>1158</v>
      </c>
      <c r="H4603" s="5" t="s">
        <v>21</v>
      </c>
      <c r="I4603" s="5" t="s">
        <v>11306</v>
      </c>
      <c r="J4603" s="12" t="str">
        <f>HYPERLINK("https://www.boe.es/gazeta/dias/1808/09/13/pdfs/GMD-1808-123.pdf#page=6","Abrir facsímil")</f>
        <v>Abrir facsímil</v>
      </c>
      <c r="K4603" s="15" t="s">
        <v>23</v>
      </c>
    </row>
    <row r="4604" spans="1:11" ht="42" customHeight="1">
      <c r="A4604" s="4" t="s">
        <v>11305</v>
      </c>
      <c r="B4604" s="5" t="s">
        <v>11305</v>
      </c>
      <c r="C4604" s="5" t="s">
        <v>94</v>
      </c>
      <c r="D4604" s="5" t="s">
        <v>95</v>
      </c>
      <c r="E4604" s="5" t="s">
        <v>334</v>
      </c>
      <c r="F4604" s="9" t="s">
        <v>335</v>
      </c>
      <c r="G4604" s="9">
        <v>1259</v>
      </c>
      <c r="H4604" s="5" t="s">
        <v>21</v>
      </c>
      <c r="I4604" s="5" t="s">
        <v>11307</v>
      </c>
      <c r="J4604" s="12" t="str">
        <f>HYPERLINK("https://www.boe.es/gazeta/dias/1808/10/04/pdfs/GMD-C-1808-131.pdf#page=11","Abrir facsímil")</f>
        <v>Abrir facsímil</v>
      </c>
      <c r="K4604" s="15" t="s">
        <v>23</v>
      </c>
    </row>
    <row r="4605" spans="1:11" ht="42" customHeight="1">
      <c r="A4605" s="4" t="s">
        <v>11308</v>
      </c>
      <c r="B4605" s="5" t="s">
        <v>11308</v>
      </c>
      <c r="C4605" s="5" t="s">
        <v>94</v>
      </c>
      <c r="D4605" s="5" t="s">
        <v>95</v>
      </c>
      <c r="E4605" s="5" t="s">
        <v>68</v>
      </c>
      <c r="F4605" s="9" t="s">
        <v>849</v>
      </c>
      <c r="G4605" s="9">
        <v>1348</v>
      </c>
      <c r="H4605" s="5" t="s">
        <v>21</v>
      </c>
      <c r="I4605" s="5" t="s">
        <v>11309</v>
      </c>
      <c r="J4605" s="12" t="str">
        <f>HYPERLINK("https://www.boe.es/gazeta/dias/1808/10/21/pdfs/GMD-C-1808-136.pdf#page=8","Abrir facsímil")</f>
        <v>Abrir facsímil</v>
      </c>
      <c r="K4605" s="15" t="s">
        <v>23</v>
      </c>
    </row>
    <row r="4606" spans="1:11" ht="42" customHeight="1">
      <c r="A4606" s="4" t="s">
        <v>11310</v>
      </c>
      <c r="B4606" s="5" t="s">
        <v>11310</v>
      </c>
      <c r="C4606" s="5" t="s">
        <v>33</v>
      </c>
      <c r="D4606" s="5" t="s">
        <v>34</v>
      </c>
      <c r="E4606" s="5" t="s">
        <v>153</v>
      </c>
      <c r="F4606" s="9" t="s">
        <v>154</v>
      </c>
      <c r="G4606" s="9" t="s">
        <v>75</v>
      </c>
      <c r="H4606" s="5" t="s">
        <v>21</v>
      </c>
      <c r="I4606" s="5" t="s">
        <v>11311</v>
      </c>
      <c r="J4606" s="12" t="str">
        <f>HYPERLINK("https://www.boe.es/gazeta/dias/1808/09/09/pdfs/GMD-C-1808-121.pdf#page=4","Abrir facsímil")</f>
        <v>Abrir facsímil</v>
      </c>
      <c r="K4606" s="15" t="s">
        <v>23</v>
      </c>
    </row>
    <row r="4607" spans="1:11" ht="42" customHeight="1">
      <c r="A4607" s="4" t="s">
        <v>11312</v>
      </c>
      <c r="B4607" s="5" t="s">
        <v>11312</v>
      </c>
      <c r="C4607" s="5" t="s">
        <v>17</v>
      </c>
      <c r="D4607" s="5" t="s">
        <v>18</v>
      </c>
      <c r="E4607" s="5" t="s">
        <v>130</v>
      </c>
      <c r="F4607" s="9" t="s">
        <v>131</v>
      </c>
      <c r="G4607" s="9">
        <v>1604</v>
      </c>
      <c r="H4607" s="5" t="s">
        <v>21</v>
      </c>
      <c r="I4607" s="5" t="s">
        <v>11313</v>
      </c>
      <c r="J4607" s="12" t="str">
        <f>HYPERLINK("https://www.boe.es/gazeta/dias/1808/12/15/pdfs/GMD-1808-155.pdf#page=8","Abrir facsímil")</f>
        <v>Abrir facsímil</v>
      </c>
      <c r="K4607" s="15" t="s">
        <v>23</v>
      </c>
    </row>
    <row r="4608" spans="1:11" ht="42" customHeight="1">
      <c r="A4608" s="4" t="s">
        <v>11314</v>
      </c>
      <c r="B4608" s="5" t="s">
        <v>11315</v>
      </c>
      <c r="C4608" s="5" t="s">
        <v>94</v>
      </c>
      <c r="D4608" s="5" t="s">
        <v>95</v>
      </c>
      <c r="E4608" s="5" t="s">
        <v>513</v>
      </c>
      <c r="F4608" s="9" t="s">
        <v>514</v>
      </c>
      <c r="G4608" s="9">
        <v>290</v>
      </c>
      <c r="H4608" s="5" t="s">
        <v>21</v>
      </c>
      <c r="I4608" s="5" t="s">
        <v>11316</v>
      </c>
      <c r="J4608" s="12" t="str">
        <f>HYPERLINK("https://www.boe.es/gazeta/dias/1808/03/22/pdfs/GMD-1808-24.pdf#page=12","Abrir facsímil")</f>
        <v>Abrir facsímil</v>
      </c>
      <c r="K4608" s="15" t="s">
        <v>23</v>
      </c>
    </row>
    <row r="4609" spans="1:11" ht="42" customHeight="1">
      <c r="A4609" s="4" t="s">
        <v>11317</v>
      </c>
      <c r="B4609" s="5" t="s">
        <v>11317</v>
      </c>
      <c r="C4609" s="5" t="s">
        <v>33</v>
      </c>
      <c r="D4609" s="5" t="s">
        <v>34</v>
      </c>
      <c r="E4609" s="5" t="s">
        <v>139</v>
      </c>
      <c r="F4609" s="9" t="s">
        <v>1089</v>
      </c>
      <c r="G4609" s="9" t="s">
        <v>75</v>
      </c>
      <c r="H4609" s="5" t="s">
        <v>21</v>
      </c>
      <c r="I4609" s="5" t="s">
        <v>11318</v>
      </c>
      <c r="J4609" s="12" t="str">
        <f>HYPERLINK("https://www.boe.es/gazeta/dias/1808/09/23/pdfs/GMD-C-1808-127.pdf#page=4","Abrir facsímil")</f>
        <v>Abrir facsímil</v>
      </c>
      <c r="K4609" s="15" t="s">
        <v>23</v>
      </c>
    </row>
    <row r="4610" spans="1:11" ht="42" customHeight="1">
      <c r="A4610" s="4" t="s">
        <v>11319</v>
      </c>
      <c r="B4610" s="5" t="s">
        <v>11319</v>
      </c>
      <c r="C4610" s="5" t="s">
        <v>41</v>
      </c>
      <c r="D4610" s="5" t="s">
        <v>42</v>
      </c>
      <c r="E4610" s="5" t="s">
        <v>185</v>
      </c>
      <c r="F4610" s="9" t="s">
        <v>186</v>
      </c>
      <c r="G4610" s="9">
        <v>1104</v>
      </c>
      <c r="H4610" s="5" t="s">
        <v>21</v>
      </c>
      <c r="I4610" s="5" t="s">
        <v>11320</v>
      </c>
      <c r="J4610" s="12" t="str">
        <f>HYPERLINK("https://www.boe.es/gazeta/dias/1808/08/30/pdfs/GMD-1808-118.pdf#page=10","Abrir facsímil")</f>
        <v>Abrir facsímil</v>
      </c>
      <c r="K4610" s="15" t="s">
        <v>23</v>
      </c>
    </row>
    <row r="4611" spans="1:11" ht="42" customHeight="1">
      <c r="A4611" s="4" t="s">
        <v>11321</v>
      </c>
      <c r="B4611" s="5" t="s">
        <v>11321</v>
      </c>
      <c r="C4611" s="5" t="s">
        <v>41</v>
      </c>
      <c r="D4611" s="5" t="s">
        <v>42</v>
      </c>
      <c r="E4611" s="5" t="s">
        <v>19</v>
      </c>
      <c r="F4611" s="9" t="s">
        <v>949</v>
      </c>
      <c r="G4611" s="9" t="s">
        <v>75</v>
      </c>
      <c r="H4611" s="5" t="s">
        <v>21</v>
      </c>
      <c r="I4611" s="5" t="s">
        <v>11322</v>
      </c>
      <c r="J4611" s="12" t="str">
        <f>HYPERLINK("https://www.boe.es/gazeta/dias/1808/09/30/pdfs/GMD-C-1808-130.pdf#page=4","Abrir facsímil")</f>
        <v>Abrir facsímil</v>
      </c>
      <c r="K4611" s="15" t="s">
        <v>23</v>
      </c>
    </row>
    <row r="4612" spans="1:11" ht="42" customHeight="1">
      <c r="A4612" s="4" t="s">
        <v>11323</v>
      </c>
      <c r="B4612" s="5" t="s">
        <v>11323</v>
      </c>
      <c r="C4612" s="5" t="s">
        <v>17</v>
      </c>
      <c r="D4612" s="5" t="s">
        <v>18</v>
      </c>
      <c r="E4612" s="5" t="s">
        <v>110</v>
      </c>
      <c r="F4612" s="9" t="s">
        <v>111</v>
      </c>
      <c r="G4612" s="9">
        <v>1384</v>
      </c>
      <c r="H4612" s="5" t="s">
        <v>21</v>
      </c>
      <c r="I4612" s="5" t="s">
        <v>11324</v>
      </c>
      <c r="J4612" s="12" t="str">
        <f>HYPERLINK("https://www.boe.es/gazeta/dias/1808/10/28/pdfs/GMD-1808-138.pdf#page=10","Abrir facsímil")</f>
        <v>Abrir facsímil</v>
      </c>
      <c r="K4612" s="15" t="s">
        <v>23</v>
      </c>
    </row>
    <row r="4613" spans="1:11" ht="42" customHeight="1">
      <c r="A4613" s="4" t="s">
        <v>11323</v>
      </c>
      <c r="B4613" s="5" t="s">
        <v>11323</v>
      </c>
      <c r="C4613" s="5" t="s">
        <v>17</v>
      </c>
      <c r="D4613" s="5" t="s">
        <v>18</v>
      </c>
      <c r="E4613" s="5" t="s">
        <v>461</v>
      </c>
      <c r="F4613" s="9" t="s">
        <v>733</v>
      </c>
      <c r="G4613" s="9">
        <v>1447</v>
      </c>
      <c r="H4613" s="5" t="s">
        <v>21</v>
      </c>
      <c r="I4613" s="5" t="s">
        <v>11325</v>
      </c>
      <c r="J4613" s="12" t="str">
        <f>HYPERLINK("https://www.boe.es/gazeta/dias/1808/11/08/pdfs/GMD-1808-142.pdf#page=9","Abrir facsímil")</f>
        <v>Abrir facsímil</v>
      </c>
      <c r="K4613" s="15" t="s">
        <v>23</v>
      </c>
    </row>
    <row r="4614" spans="1:11" ht="42" customHeight="1">
      <c r="A4614" s="4" t="s">
        <v>11326</v>
      </c>
      <c r="B4614" s="5" t="s">
        <v>11326</v>
      </c>
      <c r="C4614" s="5" t="s">
        <v>33</v>
      </c>
      <c r="D4614" s="5" t="s">
        <v>34</v>
      </c>
      <c r="E4614" s="5" t="s">
        <v>35</v>
      </c>
      <c r="F4614" s="9" t="s">
        <v>36</v>
      </c>
      <c r="G4614" s="9" t="s">
        <v>199</v>
      </c>
      <c r="H4614" s="5" t="s">
        <v>21</v>
      </c>
      <c r="I4614" s="5" t="s">
        <v>11327</v>
      </c>
      <c r="J4614" s="12" t="str">
        <f>HYPERLINK("https://www.boe.es/gazeta/dias/1808/04/22/pdfs/GMD-C-1808-38.pdf#page=2","Abrir facsímil")</f>
        <v>Abrir facsímil</v>
      </c>
      <c r="K4614" s="15" t="s">
        <v>23</v>
      </c>
    </row>
    <row r="4615" spans="1:11" ht="42" customHeight="1">
      <c r="A4615" s="4" t="s">
        <v>11328</v>
      </c>
      <c r="B4615" s="5" t="s">
        <v>11328</v>
      </c>
      <c r="C4615" s="5" t="s">
        <v>94</v>
      </c>
      <c r="D4615" s="5" t="s">
        <v>95</v>
      </c>
      <c r="E4615" s="5" t="s">
        <v>84</v>
      </c>
      <c r="F4615" s="9" t="s">
        <v>85</v>
      </c>
      <c r="G4615" s="9">
        <v>1162</v>
      </c>
      <c r="H4615" s="5" t="s">
        <v>21</v>
      </c>
      <c r="I4615" s="5" t="s">
        <v>11329</v>
      </c>
      <c r="J4615" s="12" t="str">
        <f>HYPERLINK("https://www.boe.es/gazeta/dias/1808/09/13/pdfs/GMD-1808-123.pdf#page=10","Abrir facsímil")</f>
        <v>Abrir facsímil</v>
      </c>
      <c r="K4615" s="15" t="s">
        <v>23</v>
      </c>
    </row>
    <row r="4616" spans="1:11" ht="42" customHeight="1">
      <c r="A4616" s="4" t="s">
        <v>11330</v>
      </c>
      <c r="B4616" s="5" t="s">
        <v>11330</v>
      </c>
      <c r="C4616" s="5" t="s">
        <v>41</v>
      </c>
      <c r="D4616" s="5" t="s">
        <v>42</v>
      </c>
      <c r="E4616" s="5" t="s">
        <v>1791</v>
      </c>
      <c r="F4616" s="9" t="s">
        <v>2814</v>
      </c>
      <c r="G4616" s="9">
        <v>930</v>
      </c>
      <c r="H4616" s="5" t="s">
        <v>21</v>
      </c>
      <c r="I4616" s="5" t="s">
        <v>11331</v>
      </c>
      <c r="J4616" s="12" t="str">
        <f>HYPERLINK("https://www.boe.es/gazeta/dias/1808/07/30/pdfs/GMD-1808-102.pdf#page=4","Abrir facsímil")</f>
        <v>Abrir facsímil</v>
      </c>
      <c r="K4616" s="15" t="s">
        <v>23</v>
      </c>
    </row>
    <row r="4617" spans="1:11" ht="42" customHeight="1">
      <c r="A4617" s="4" t="s">
        <v>11332</v>
      </c>
      <c r="B4617" s="5" t="s">
        <v>11332</v>
      </c>
      <c r="C4617" s="5" t="s">
        <v>17</v>
      </c>
      <c r="D4617" s="5" t="s">
        <v>18</v>
      </c>
      <c r="E4617" s="5" t="s">
        <v>125</v>
      </c>
      <c r="F4617" s="9" t="s">
        <v>397</v>
      </c>
      <c r="G4617" s="9">
        <v>1270</v>
      </c>
      <c r="H4617" s="5" t="s">
        <v>21</v>
      </c>
      <c r="I4617" s="5" t="s">
        <v>11333</v>
      </c>
      <c r="J4617" s="12" t="str">
        <f>HYPERLINK("https://www.boe.es/gazeta/dias/1808/10/07/pdfs/GMD-1808-132.pdf#page=10","Abrir facsímil")</f>
        <v>Abrir facsímil</v>
      </c>
      <c r="K4617" s="15" t="s">
        <v>23</v>
      </c>
    </row>
    <row r="4618" spans="1:11" ht="42" customHeight="1">
      <c r="A4618" s="4" t="s">
        <v>11334</v>
      </c>
      <c r="B4618" s="5" t="s">
        <v>11334</v>
      </c>
      <c r="C4618" s="5" t="s">
        <v>33</v>
      </c>
      <c r="D4618" s="5" t="s">
        <v>34</v>
      </c>
      <c r="E4618" s="5" t="s">
        <v>35</v>
      </c>
      <c r="F4618" s="9" t="s">
        <v>36</v>
      </c>
      <c r="G4618" s="9" t="s">
        <v>299</v>
      </c>
      <c r="H4618" s="5" t="s">
        <v>21</v>
      </c>
      <c r="I4618" s="5" t="s">
        <v>11335</v>
      </c>
      <c r="J4618" s="12" t="str">
        <f>HYPERLINK("https://www.boe.es/gazeta/dias/1808/04/22/pdfs/GMD-C-1808-38.pdf#page=14","Abrir facsímil")</f>
        <v>Abrir facsímil</v>
      </c>
      <c r="K4618" s="15" t="s">
        <v>23</v>
      </c>
    </row>
    <row r="4619" spans="1:11" ht="42" customHeight="1">
      <c r="A4619" s="4" t="s">
        <v>11334</v>
      </c>
      <c r="B4619" s="5" t="s">
        <v>11334</v>
      </c>
      <c r="C4619" s="5" t="s">
        <v>94</v>
      </c>
      <c r="D4619" s="5" t="s">
        <v>95</v>
      </c>
      <c r="E4619" s="5" t="s">
        <v>35</v>
      </c>
      <c r="F4619" s="9" t="s">
        <v>36</v>
      </c>
      <c r="G4619" s="9" t="s">
        <v>324</v>
      </c>
      <c r="H4619" s="5" t="s">
        <v>21</v>
      </c>
      <c r="I4619" s="5" t="s">
        <v>11336</v>
      </c>
      <c r="J4619" s="12" t="str">
        <f>HYPERLINK("https://www.boe.es/gazeta/dias/1808/04/22/pdfs/GMD-C-1808-38.pdf#page=24","Abrir facsímil")</f>
        <v>Abrir facsímil</v>
      </c>
      <c r="K4619" s="15" t="s">
        <v>23</v>
      </c>
    </row>
    <row r="4620" spans="1:11" ht="42" customHeight="1">
      <c r="A4620" s="4" t="s">
        <v>11334</v>
      </c>
      <c r="B4620" s="5" t="s">
        <v>11334</v>
      </c>
      <c r="C4620" s="5" t="s">
        <v>33</v>
      </c>
      <c r="D4620" s="5" t="s">
        <v>34</v>
      </c>
      <c r="E4620" s="5" t="s">
        <v>35</v>
      </c>
      <c r="F4620" s="9" t="s">
        <v>36</v>
      </c>
      <c r="G4620" s="9" t="s">
        <v>313</v>
      </c>
      <c r="H4620" s="5" t="s">
        <v>21</v>
      </c>
      <c r="I4620" s="5" t="s">
        <v>11337</v>
      </c>
      <c r="J4620" s="12" t="str">
        <f>HYPERLINK("https://www.boe.es/gazeta/dias/1808/04/22/pdfs/GMD-C-1808-38.pdf#page=29","Abrir facsímil")</f>
        <v>Abrir facsímil</v>
      </c>
      <c r="K4620" s="15" t="s">
        <v>23</v>
      </c>
    </row>
    <row r="4621" spans="1:11" ht="42" customHeight="1">
      <c r="A4621" s="4" t="s">
        <v>11334</v>
      </c>
      <c r="B4621" s="5" t="s">
        <v>11334</v>
      </c>
      <c r="C4621" s="5" t="s">
        <v>33</v>
      </c>
      <c r="D4621" s="5" t="s">
        <v>34</v>
      </c>
      <c r="E4621" s="5" t="s">
        <v>35</v>
      </c>
      <c r="F4621" s="9" t="s">
        <v>36</v>
      </c>
      <c r="G4621" s="9" t="s">
        <v>106</v>
      </c>
      <c r="H4621" s="5" t="s">
        <v>21</v>
      </c>
      <c r="I4621" s="5" t="s">
        <v>11338</v>
      </c>
      <c r="J4621" s="12" t="str">
        <f>HYPERLINK("https://www.boe.es/gazeta/dias/1808/04/22/pdfs/GMD-C-1808-38.pdf#page=3","Abrir facsímil")</f>
        <v>Abrir facsímil</v>
      </c>
      <c r="K4621" s="15" t="s">
        <v>23</v>
      </c>
    </row>
    <row r="4622" spans="1:11" ht="42" customHeight="1">
      <c r="A4622" s="4" t="s">
        <v>11334</v>
      </c>
      <c r="B4622" s="5" t="s">
        <v>11334</v>
      </c>
      <c r="C4622" s="5" t="s">
        <v>33</v>
      </c>
      <c r="D4622" s="5" t="s">
        <v>34</v>
      </c>
      <c r="E4622" s="5" t="s">
        <v>35</v>
      </c>
      <c r="F4622" s="9" t="s">
        <v>36</v>
      </c>
      <c r="G4622" s="9" t="s">
        <v>148</v>
      </c>
      <c r="H4622" s="5" t="s">
        <v>21</v>
      </c>
      <c r="I4622" s="5" t="s">
        <v>11339</v>
      </c>
      <c r="J4622" s="12" t="str">
        <f>HYPERLINK("https://www.boe.es/gazeta/dias/1808/04/22/pdfs/GMD-C-1808-38.pdf#page=38","Abrir facsímil")</f>
        <v>Abrir facsímil</v>
      </c>
      <c r="K4622" s="15" t="s">
        <v>23</v>
      </c>
    </row>
    <row r="4623" spans="1:11" ht="42" customHeight="1">
      <c r="A4623" s="4" t="s">
        <v>11340</v>
      </c>
      <c r="B4623" s="5" t="s">
        <v>11340</v>
      </c>
      <c r="C4623" s="5" t="s">
        <v>94</v>
      </c>
      <c r="D4623" s="5" t="s">
        <v>95</v>
      </c>
      <c r="E4623" s="5" t="s">
        <v>368</v>
      </c>
      <c r="F4623" s="9" t="s">
        <v>369</v>
      </c>
      <c r="G4623" s="9">
        <v>167</v>
      </c>
      <c r="H4623" s="5" t="s">
        <v>21</v>
      </c>
      <c r="I4623" s="5" t="s">
        <v>11341</v>
      </c>
      <c r="J4623" s="12" t="str">
        <f>HYPERLINK("https://www.boe.es/gazeta/dias/1808/02/16/pdfs/GMD-1808-14.pdf#page=9","Abrir facsímil")</f>
        <v>Abrir facsímil</v>
      </c>
      <c r="K4623" s="15" t="s">
        <v>23</v>
      </c>
    </row>
    <row r="4624" spans="1:11" ht="42" customHeight="1">
      <c r="A4624" s="4" t="s">
        <v>11342</v>
      </c>
      <c r="B4624" s="5" t="s">
        <v>11342</v>
      </c>
      <c r="C4624" s="5" t="s">
        <v>41</v>
      </c>
      <c r="D4624" s="5" t="s">
        <v>42</v>
      </c>
      <c r="E4624" s="5" t="s">
        <v>2159</v>
      </c>
      <c r="F4624" s="9" t="s">
        <v>2160</v>
      </c>
      <c r="G4624" s="9">
        <v>183</v>
      </c>
      <c r="H4624" s="5" t="s">
        <v>21</v>
      </c>
      <c r="I4624" s="5" t="s">
        <v>11343</v>
      </c>
      <c r="J4624" s="12" t="str">
        <f>HYPERLINK("https://www.boe.es/gazeta/dias/1808/02/19/pdfs/GMD-1808-15.pdf#page=13","Abrir facsímil")</f>
        <v>Abrir facsímil</v>
      </c>
      <c r="K4624" s="15" t="s">
        <v>23</v>
      </c>
    </row>
    <row r="4625" spans="1:11" ht="42" customHeight="1">
      <c r="A4625" s="4" t="s">
        <v>11342</v>
      </c>
      <c r="B4625" s="5" t="s">
        <v>11342</v>
      </c>
      <c r="C4625" s="5" t="s">
        <v>33</v>
      </c>
      <c r="D4625" s="5" t="s">
        <v>34</v>
      </c>
      <c r="E4625" s="5" t="s">
        <v>65</v>
      </c>
      <c r="F4625" s="9" t="s">
        <v>105</v>
      </c>
      <c r="G4625" s="9" t="s">
        <v>75</v>
      </c>
      <c r="H4625" s="5" t="s">
        <v>21</v>
      </c>
      <c r="I4625" s="5" t="s">
        <v>11344</v>
      </c>
      <c r="J4625" s="12" t="str">
        <f>HYPERLINK("https://www.boe.es/gazeta/dias/1808/10/18/pdfs/GMD-D-1808-135.pdf#page=4","Abrir facsímil")</f>
        <v>Abrir facsímil</v>
      </c>
      <c r="K4625" s="15" t="s">
        <v>23</v>
      </c>
    </row>
    <row r="4626" spans="1:11" ht="42" customHeight="1">
      <c r="A4626" s="4" t="s">
        <v>11342</v>
      </c>
      <c r="B4626" s="5" t="s">
        <v>11342</v>
      </c>
      <c r="C4626" s="5" t="s">
        <v>33</v>
      </c>
      <c r="D4626" s="5" t="s">
        <v>34</v>
      </c>
      <c r="E4626" s="5" t="s">
        <v>427</v>
      </c>
      <c r="F4626" s="9" t="s">
        <v>428</v>
      </c>
      <c r="G4626" s="9" t="s">
        <v>199</v>
      </c>
      <c r="H4626" s="5" t="s">
        <v>21</v>
      </c>
      <c r="I4626" s="5" t="s">
        <v>11345</v>
      </c>
      <c r="J4626" s="12" t="str">
        <f>HYPERLINK("https://www.boe.es/gazeta/dias/1808/11/22/pdfs/GMD-D-1808-146.pdf#page=2","Abrir facsímil")</f>
        <v>Abrir facsímil</v>
      </c>
      <c r="K4626" s="15" t="s">
        <v>23</v>
      </c>
    </row>
    <row r="4627" spans="1:11" ht="42" customHeight="1">
      <c r="A4627" s="4" t="s">
        <v>11346</v>
      </c>
      <c r="B4627" s="5" t="s">
        <v>11346</v>
      </c>
      <c r="C4627" s="5" t="s">
        <v>17</v>
      </c>
      <c r="D4627" s="5" t="s">
        <v>18</v>
      </c>
      <c r="E4627" s="5" t="s">
        <v>130</v>
      </c>
      <c r="F4627" s="9" t="s">
        <v>131</v>
      </c>
      <c r="G4627" s="9">
        <v>1603</v>
      </c>
      <c r="H4627" s="5" t="s">
        <v>21</v>
      </c>
      <c r="I4627" s="5" t="s">
        <v>11347</v>
      </c>
      <c r="J4627" s="12" t="str">
        <f>HYPERLINK("https://www.boe.es/gazeta/dias/1808/12/15/pdfs/GMD-1808-155.pdf#page=7","Abrir facsímil")</f>
        <v>Abrir facsímil</v>
      </c>
      <c r="K4627" s="15" t="s">
        <v>23</v>
      </c>
    </row>
    <row r="4628" spans="1:11" ht="42" customHeight="1">
      <c r="A4628" s="4" t="s">
        <v>11348</v>
      </c>
      <c r="B4628" s="5" t="s">
        <v>11348</v>
      </c>
      <c r="C4628" s="5" t="s">
        <v>41</v>
      </c>
      <c r="D4628" s="5" t="s">
        <v>42</v>
      </c>
      <c r="E4628" s="5" t="s">
        <v>558</v>
      </c>
      <c r="F4628" s="9" t="s">
        <v>758</v>
      </c>
      <c r="G4628" s="9" t="s">
        <v>75</v>
      </c>
      <c r="H4628" s="5" t="s">
        <v>21</v>
      </c>
      <c r="I4628" s="5" t="s">
        <v>11349</v>
      </c>
      <c r="J4628" s="12" t="str">
        <f>HYPERLINK("https://www.boe.es/gazeta/dias/1808/11/25/pdfs/GMD-E-1808-147.pdf#page=4","Abrir facsímil")</f>
        <v>Abrir facsímil</v>
      </c>
      <c r="K4628" s="15" t="s">
        <v>23</v>
      </c>
    </row>
    <row r="4629" spans="1:11" ht="42" customHeight="1">
      <c r="A4629" s="4" t="s">
        <v>11350</v>
      </c>
      <c r="B4629" s="5" t="s">
        <v>11350</v>
      </c>
      <c r="C4629" s="5" t="s">
        <v>33</v>
      </c>
      <c r="D4629" s="5" t="s">
        <v>34</v>
      </c>
      <c r="E4629" s="5" t="s">
        <v>153</v>
      </c>
      <c r="F4629" s="9" t="s">
        <v>154</v>
      </c>
      <c r="G4629" s="9" t="s">
        <v>199</v>
      </c>
      <c r="H4629" s="5" t="s">
        <v>21</v>
      </c>
      <c r="I4629" s="5" t="s">
        <v>11351</v>
      </c>
      <c r="J4629" s="12" t="str">
        <f>HYPERLINK("https://www.boe.es/gazeta/dias/1808/09/09/pdfs/GMD-C-1808-121.pdf#page=2","Abrir facsímil")</f>
        <v>Abrir facsímil</v>
      </c>
      <c r="K4629" s="15" t="s">
        <v>23</v>
      </c>
    </row>
    <row r="4630" spans="1:11" ht="42" customHeight="1">
      <c r="A4630" s="4" t="s">
        <v>11352</v>
      </c>
      <c r="B4630" s="5" t="s">
        <v>11352</v>
      </c>
      <c r="C4630" s="5" t="s">
        <v>33</v>
      </c>
      <c r="D4630" s="5" t="s">
        <v>34</v>
      </c>
      <c r="E4630" s="5" t="s">
        <v>125</v>
      </c>
      <c r="F4630" s="9" t="s">
        <v>126</v>
      </c>
      <c r="G4630" s="9" t="s">
        <v>106</v>
      </c>
      <c r="H4630" s="5" t="s">
        <v>21</v>
      </c>
      <c r="I4630" s="5" t="s">
        <v>11353</v>
      </c>
      <c r="J4630" s="12" t="str">
        <f>HYPERLINK("https://www.boe.es/gazeta/dias/1808/10/07/pdfs/GMD-C-1808-132.pdf#page=3","Abrir facsímil")</f>
        <v>Abrir facsímil</v>
      </c>
      <c r="K4630" s="15" t="s">
        <v>23</v>
      </c>
    </row>
    <row r="4631" spans="1:11" ht="42" customHeight="1">
      <c r="A4631" s="4" t="s">
        <v>11354</v>
      </c>
      <c r="B4631" s="5" t="s">
        <v>11354</v>
      </c>
      <c r="C4631" s="5" t="s">
        <v>17</v>
      </c>
      <c r="D4631" s="5" t="s">
        <v>18</v>
      </c>
      <c r="E4631" s="5" t="s">
        <v>493</v>
      </c>
      <c r="F4631" s="9" t="s">
        <v>494</v>
      </c>
      <c r="G4631" s="9">
        <v>47</v>
      </c>
      <c r="H4631" s="5" t="s">
        <v>21</v>
      </c>
      <c r="I4631" s="5" t="s">
        <v>11355</v>
      </c>
      <c r="J4631" s="12" t="str">
        <f>HYPERLINK("https://www.boe.es/gazeta/dias/1808/01/12/pdfs/GMD-1808-4.pdf#page=11","Abrir facsímil")</f>
        <v>Abrir facsímil</v>
      </c>
      <c r="K4631" s="15" t="s">
        <v>23</v>
      </c>
    </row>
    <row r="4632" spans="1:11" ht="42" customHeight="1">
      <c r="A4632" s="4" t="s">
        <v>11356</v>
      </c>
      <c r="B4632" s="5" t="s">
        <v>11356</v>
      </c>
      <c r="C4632" s="5" t="s">
        <v>41</v>
      </c>
      <c r="D4632" s="5" t="s">
        <v>42</v>
      </c>
      <c r="E4632" s="5" t="s">
        <v>35</v>
      </c>
      <c r="F4632" s="9" t="s">
        <v>3452</v>
      </c>
      <c r="G4632" s="9">
        <v>402</v>
      </c>
      <c r="H4632" s="5" t="s">
        <v>21</v>
      </c>
      <c r="I4632" s="5" t="s">
        <v>11357</v>
      </c>
      <c r="J4632" s="12" t="str">
        <f>HYPERLINK("https://www.boe.es/gazeta/dias/1808/04/22/pdfs/GMD-1808-38.pdf#page=10","Abrir facsímil")</f>
        <v>Abrir facsímil</v>
      </c>
      <c r="K4632" s="15" t="s">
        <v>23</v>
      </c>
    </row>
    <row r="4633" spans="1:11" ht="42" customHeight="1">
      <c r="A4633" s="4" t="s">
        <v>11358</v>
      </c>
      <c r="B4633" s="5" t="s">
        <v>11358</v>
      </c>
      <c r="C4633" s="5" t="s">
        <v>33</v>
      </c>
      <c r="D4633" s="5" t="s">
        <v>34</v>
      </c>
      <c r="E4633" s="5" t="s">
        <v>35</v>
      </c>
      <c r="F4633" s="9" t="s">
        <v>36</v>
      </c>
      <c r="G4633" s="9" t="s">
        <v>450</v>
      </c>
      <c r="H4633" s="5" t="s">
        <v>21</v>
      </c>
      <c r="I4633" s="5" t="s">
        <v>11359</v>
      </c>
      <c r="J4633" s="12" t="str">
        <f>HYPERLINK("https://www.boe.es/gazeta/dias/1808/04/22/pdfs/GMD-C-1808-38.pdf#page=45","Abrir facsímil")</f>
        <v>Abrir facsímil</v>
      </c>
      <c r="K4633" s="15" t="s">
        <v>23</v>
      </c>
    </row>
    <row r="4634" spans="1:11" ht="42" customHeight="1">
      <c r="A4634" s="4" t="s">
        <v>11360</v>
      </c>
      <c r="B4634" s="5" t="s">
        <v>11360</v>
      </c>
      <c r="C4634" s="5" t="s">
        <v>33</v>
      </c>
      <c r="D4634" s="5" t="s">
        <v>34</v>
      </c>
      <c r="E4634" s="5" t="s">
        <v>35</v>
      </c>
      <c r="F4634" s="9" t="s">
        <v>36</v>
      </c>
      <c r="G4634" s="9" t="s">
        <v>322</v>
      </c>
      <c r="H4634" s="5" t="s">
        <v>21</v>
      </c>
      <c r="I4634" s="5" t="s">
        <v>11361</v>
      </c>
      <c r="J4634" s="12" t="str">
        <f>HYPERLINK("https://www.boe.es/gazeta/dias/1808/04/22/pdfs/GMD-C-1808-38.pdf#page=15","Abrir facsímil")</f>
        <v>Abrir facsímil</v>
      </c>
      <c r="K4634" s="15" t="s">
        <v>23</v>
      </c>
    </row>
    <row r="4635" spans="1:11" ht="42" customHeight="1">
      <c r="A4635" s="4" t="s">
        <v>11362</v>
      </c>
      <c r="B4635" s="5" t="s">
        <v>11362</v>
      </c>
      <c r="C4635" s="5" t="s">
        <v>33</v>
      </c>
      <c r="D4635" s="5" t="s">
        <v>34</v>
      </c>
      <c r="E4635" s="5" t="s">
        <v>456</v>
      </c>
      <c r="F4635" s="9" t="s">
        <v>748</v>
      </c>
      <c r="G4635" s="9" t="s">
        <v>117</v>
      </c>
      <c r="H4635" s="5" t="s">
        <v>21</v>
      </c>
      <c r="I4635" s="5" t="s">
        <v>11363</v>
      </c>
      <c r="J4635" s="12" t="str">
        <f>HYPERLINK("https://www.boe.es/gazeta/dias/1808/10/14/pdfs/GMD-C-1808-134.pdf#page=1","Abrir facsímil")</f>
        <v>Abrir facsímil</v>
      </c>
      <c r="K4635" s="15" t="s">
        <v>23</v>
      </c>
    </row>
    <row r="4636" spans="1:11" ht="42" customHeight="1">
      <c r="A4636" s="4" t="s">
        <v>11364</v>
      </c>
      <c r="B4636" s="5" t="s">
        <v>11364</v>
      </c>
      <c r="C4636" s="5" t="s">
        <v>94</v>
      </c>
      <c r="D4636" s="5" t="s">
        <v>95</v>
      </c>
      <c r="E4636" s="5" t="s">
        <v>96</v>
      </c>
      <c r="F4636" s="9" t="s">
        <v>97</v>
      </c>
      <c r="G4636" s="9">
        <v>266</v>
      </c>
      <c r="H4636" s="5" t="s">
        <v>21</v>
      </c>
      <c r="I4636" s="5" t="s">
        <v>11365</v>
      </c>
      <c r="J4636" s="12" t="str">
        <f>HYPERLINK("https://www.boe.es/gazeta/dias/1808/03/15/pdfs/GMD-1808-22.pdf#page=8","Abrir facsímil")</f>
        <v>Abrir facsímil</v>
      </c>
      <c r="K4636" s="15" t="s">
        <v>23</v>
      </c>
    </row>
    <row r="4637" spans="1:11" ht="42" customHeight="1">
      <c r="A4637" s="4" t="s">
        <v>11366</v>
      </c>
      <c r="B4637" s="5" t="s">
        <v>11366</v>
      </c>
      <c r="C4637" s="5" t="s">
        <v>33</v>
      </c>
      <c r="D4637" s="5" t="s">
        <v>34</v>
      </c>
      <c r="E4637" s="5" t="s">
        <v>35</v>
      </c>
      <c r="F4637" s="9" t="s">
        <v>36</v>
      </c>
      <c r="G4637" s="9" t="s">
        <v>1294</v>
      </c>
      <c r="H4637" s="5" t="s">
        <v>21</v>
      </c>
      <c r="I4637" s="5" t="s">
        <v>11367</v>
      </c>
      <c r="J4637" s="12" t="str">
        <f>HYPERLINK("https://www.boe.es/gazeta/dias/1808/04/22/pdfs/GMD-C-1808-38.pdf#page=8","Abrir facsímil")</f>
        <v>Abrir facsímil</v>
      </c>
      <c r="K4637" s="15" t="s">
        <v>23</v>
      </c>
    </row>
    <row r="4638" spans="1:11" ht="42" customHeight="1">
      <c r="A4638" s="4" t="s">
        <v>11368</v>
      </c>
      <c r="B4638" s="5" t="s">
        <v>11368</v>
      </c>
      <c r="C4638" s="5" t="s">
        <v>33</v>
      </c>
      <c r="D4638" s="5" t="s">
        <v>34</v>
      </c>
      <c r="E4638" s="5" t="s">
        <v>35</v>
      </c>
      <c r="F4638" s="9" t="s">
        <v>36</v>
      </c>
      <c r="G4638" s="9" t="s">
        <v>199</v>
      </c>
      <c r="H4638" s="5" t="s">
        <v>21</v>
      </c>
      <c r="I4638" s="5" t="s">
        <v>11369</v>
      </c>
      <c r="J4638" s="12" t="str">
        <f>HYPERLINK("https://www.boe.es/gazeta/dias/1808/04/22/pdfs/GMD-C-1808-38.pdf#page=2","Abrir facsímil")</f>
        <v>Abrir facsímil</v>
      </c>
      <c r="K4638" s="15" t="s">
        <v>23</v>
      </c>
    </row>
    <row r="4639" spans="1:11" ht="42" customHeight="1">
      <c r="A4639" s="4" t="s">
        <v>11370</v>
      </c>
      <c r="B4639" s="5" t="s">
        <v>11370</v>
      </c>
      <c r="C4639" s="5" t="s">
        <v>389</v>
      </c>
      <c r="D4639" s="5" t="s">
        <v>390</v>
      </c>
      <c r="E4639" s="5" t="s">
        <v>110</v>
      </c>
      <c r="F4639" s="9" t="s">
        <v>111</v>
      </c>
      <c r="G4639" s="9">
        <v>1386</v>
      </c>
      <c r="H4639" s="5" t="s">
        <v>21</v>
      </c>
      <c r="I4639" s="5" t="s">
        <v>11371</v>
      </c>
      <c r="J4639" s="12" t="str">
        <f>HYPERLINK("https://www.boe.es/gazeta/dias/1808/10/28/pdfs/GMD-1808-138.pdf#page=12","Abrir facsímil")</f>
        <v>Abrir facsímil</v>
      </c>
      <c r="K4639" s="15" t="s">
        <v>23</v>
      </c>
    </row>
    <row r="4640" spans="1:11" ht="42" customHeight="1">
      <c r="A4640" s="4" t="s">
        <v>11372</v>
      </c>
      <c r="B4640" s="5" t="s">
        <v>11372</v>
      </c>
      <c r="C4640" s="5" t="s">
        <v>41</v>
      </c>
      <c r="D4640" s="5" t="s">
        <v>42</v>
      </c>
      <c r="E4640" s="5" t="s">
        <v>35</v>
      </c>
      <c r="F4640" s="9" t="s">
        <v>36</v>
      </c>
      <c r="G4640" s="9" t="s">
        <v>284</v>
      </c>
      <c r="H4640" s="5" t="s">
        <v>21</v>
      </c>
      <c r="I4640" s="5" t="s">
        <v>11373</v>
      </c>
      <c r="J4640" s="12" t="str">
        <f>HYPERLINK("https://www.boe.es/gazeta/dias/1808/04/22/pdfs/GMD-C-1808-38.pdf#page=35","Abrir facsímil")</f>
        <v>Abrir facsímil</v>
      </c>
      <c r="K4640" s="15" t="s">
        <v>23</v>
      </c>
    </row>
    <row r="4641" spans="1:11" ht="42" customHeight="1">
      <c r="A4641" s="4" t="s">
        <v>11372</v>
      </c>
      <c r="B4641" s="5" t="s">
        <v>11372</v>
      </c>
      <c r="C4641" s="5" t="s">
        <v>17</v>
      </c>
      <c r="D4641" s="5" t="s">
        <v>18</v>
      </c>
      <c r="E4641" s="5" t="s">
        <v>61</v>
      </c>
      <c r="F4641" s="9" t="s">
        <v>62</v>
      </c>
      <c r="G4641" s="9">
        <v>1286</v>
      </c>
      <c r="H4641" s="5" t="s">
        <v>21</v>
      </c>
      <c r="I4641" s="5" t="s">
        <v>11374</v>
      </c>
      <c r="J4641" s="12" t="str">
        <f>HYPERLINK("https://www.boe.es/gazeta/dias/1808/10/11/pdfs/GMD-1808-133.pdf#page=14","Abrir facsímil")</f>
        <v>Abrir facsímil</v>
      </c>
      <c r="K4641" s="15" t="s">
        <v>23</v>
      </c>
    </row>
    <row r="4642" spans="1:11" ht="42" customHeight="1">
      <c r="A4642" s="4" t="s">
        <v>11372</v>
      </c>
      <c r="B4642" s="5" t="s">
        <v>11372</v>
      </c>
      <c r="C4642" s="5" t="s">
        <v>33</v>
      </c>
      <c r="D4642" s="5" t="s">
        <v>34</v>
      </c>
      <c r="E4642" s="5" t="s">
        <v>28</v>
      </c>
      <c r="F4642" s="9" t="s">
        <v>446</v>
      </c>
      <c r="G4642" s="9" t="s">
        <v>199</v>
      </c>
      <c r="H4642" s="5" t="s">
        <v>21</v>
      </c>
      <c r="I4642" s="5" t="s">
        <v>11375</v>
      </c>
      <c r="J4642" s="12" t="str">
        <f>HYPERLINK("https://www.boe.es/gazeta/dias/1808/11/04/pdfs/GMD-D-1808-141.pdf#page=2","Abrir facsímil")</f>
        <v>Abrir facsímil</v>
      </c>
      <c r="K4642" s="15" t="s">
        <v>23</v>
      </c>
    </row>
    <row r="4643" spans="1:11" ht="42" customHeight="1">
      <c r="A4643" s="4" t="s">
        <v>11376</v>
      </c>
      <c r="B4643" s="5" t="s">
        <v>11376</v>
      </c>
      <c r="C4643" s="5" t="s">
        <v>33</v>
      </c>
      <c r="D4643" s="5" t="s">
        <v>34</v>
      </c>
      <c r="E4643" s="5" t="s">
        <v>35</v>
      </c>
      <c r="F4643" s="9" t="s">
        <v>36</v>
      </c>
      <c r="G4643" s="9" t="s">
        <v>498</v>
      </c>
      <c r="H4643" s="5" t="s">
        <v>21</v>
      </c>
      <c r="I4643" s="5" t="s">
        <v>11377</v>
      </c>
      <c r="J4643" s="12" t="str">
        <f>HYPERLINK("https://www.boe.es/gazeta/dias/1808/04/22/pdfs/GMD-C-1808-38.pdf#page=22","Abrir facsímil")</f>
        <v>Abrir facsímil</v>
      </c>
      <c r="K4643" s="15" t="s">
        <v>23</v>
      </c>
    </row>
    <row r="4644" spans="1:11" ht="42" customHeight="1">
      <c r="A4644" s="4" t="s">
        <v>11376</v>
      </c>
      <c r="B4644" s="5" t="s">
        <v>11376</v>
      </c>
      <c r="C4644" s="5" t="s">
        <v>33</v>
      </c>
      <c r="D4644" s="5" t="s">
        <v>34</v>
      </c>
      <c r="E4644" s="5" t="s">
        <v>35</v>
      </c>
      <c r="F4644" s="9" t="s">
        <v>36</v>
      </c>
      <c r="G4644" s="9" t="s">
        <v>1294</v>
      </c>
      <c r="H4644" s="5" t="s">
        <v>21</v>
      </c>
      <c r="I4644" s="5" t="s">
        <v>11378</v>
      </c>
      <c r="J4644" s="12" t="str">
        <f>HYPERLINK("https://www.boe.es/gazeta/dias/1808/04/22/pdfs/GMD-C-1808-38.pdf#page=8","Abrir facsímil")</f>
        <v>Abrir facsímil</v>
      </c>
      <c r="K4644" s="15" t="s">
        <v>23</v>
      </c>
    </row>
    <row r="4645" spans="1:11" ht="42" customHeight="1">
      <c r="A4645" s="4" t="s">
        <v>11379</v>
      </c>
      <c r="B4645" s="5" t="s">
        <v>11379</v>
      </c>
      <c r="C4645" s="5" t="s">
        <v>17</v>
      </c>
      <c r="D4645" s="5" t="s">
        <v>18</v>
      </c>
      <c r="E4645" s="5" t="s">
        <v>2555</v>
      </c>
      <c r="F4645" s="9" t="s">
        <v>2556</v>
      </c>
      <c r="G4645" s="9">
        <v>131</v>
      </c>
      <c r="H4645" s="5" t="s">
        <v>21</v>
      </c>
      <c r="I4645" s="5" t="s">
        <v>11380</v>
      </c>
      <c r="J4645" s="12" t="str">
        <f>HYPERLINK("https://www.boe.es/gazeta/dias/1808/02/05/pdfs/GMD-1808-11.pdf#page=11","Abrir facsímil")</f>
        <v>Abrir facsímil</v>
      </c>
      <c r="K4645" s="15" t="s">
        <v>23</v>
      </c>
    </row>
    <row r="4646" spans="1:11" ht="42" customHeight="1">
      <c r="A4646" s="4" t="s">
        <v>11381</v>
      </c>
      <c r="B4646" s="5" t="s">
        <v>11381</v>
      </c>
      <c r="C4646" s="5" t="s">
        <v>94</v>
      </c>
      <c r="D4646" s="5" t="s">
        <v>95</v>
      </c>
      <c r="E4646" s="5" t="s">
        <v>207</v>
      </c>
      <c r="F4646" s="9" t="s">
        <v>208</v>
      </c>
      <c r="G4646" s="9">
        <v>196</v>
      </c>
      <c r="H4646" s="5" t="s">
        <v>21</v>
      </c>
      <c r="I4646" s="5" t="s">
        <v>11382</v>
      </c>
      <c r="J4646" s="12" t="str">
        <f>HYPERLINK("https://www.boe.es/gazeta/dias/1808/02/23/pdfs/GMD-1808-16.pdf#page=10","Abrir facsímil")</f>
        <v>Abrir facsímil</v>
      </c>
      <c r="K4646" s="15" t="s">
        <v>23</v>
      </c>
    </row>
    <row r="4647" spans="1:11" ht="42" customHeight="1">
      <c r="A4647" s="4" t="s">
        <v>11383</v>
      </c>
      <c r="B4647" s="5" t="s">
        <v>11383</v>
      </c>
      <c r="C4647" s="5" t="s">
        <v>33</v>
      </c>
      <c r="D4647" s="5" t="s">
        <v>34</v>
      </c>
      <c r="E4647" s="5" t="s">
        <v>35</v>
      </c>
      <c r="F4647" s="9" t="s">
        <v>36</v>
      </c>
      <c r="G4647" s="9" t="s">
        <v>956</v>
      </c>
      <c r="H4647" s="5" t="s">
        <v>21</v>
      </c>
      <c r="I4647" s="5" t="s">
        <v>11384</v>
      </c>
      <c r="J4647" s="12" t="str">
        <f>HYPERLINK("https://www.boe.es/gazeta/dias/1808/04/22/pdfs/GMD-C-1808-38.pdf#page=41","Abrir facsímil")</f>
        <v>Abrir facsímil</v>
      </c>
      <c r="K4647" s="15" t="s">
        <v>23</v>
      </c>
    </row>
    <row r="4648" spans="1:11" ht="42" customHeight="1">
      <c r="A4648" s="4" t="s">
        <v>11385</v>
      </c>
      <c r="B4648" s="5" t="s">
        <v>11385</v>
      </c>
      <c r="C4648" s="5" t="s">
        <v>17</v>
      </c>
      <c r="D4648" s="5" t="s">
        <v>18</v>
      </c>
      <c r="E4648" s="5" t="s">
        <v>73</v>
      </c>
      <c r="F4648" s="9" t="s">
        <v>581</v>
      </c>
      <c r="G4648" s="9">
        <v>1468</v>
      </c>
      <c r="H4648" s="5" t="s">
        <v>21</v>
      </c>
      <c r="I4648" s="5" t="s">
        <v>11386</v>
      </c>
      <c r="J4648" s="12" t="str">
        <f>HYPERLINK("https://www.boe.es/gazeta/dias/1808/11/11/pdfs/GMD-1808-143.pdf#page=10","Abrir facsímil")</f>
        <v>Abrir facsímil</v>
      </c>
      <c r="K4648" s="15" t="s">
        <v>23</v>
      </c>
    </row>
    <row r="4649" spans="1:11" ht="42" customHeight="1">
      <c r="A4649" s="4" t="s">
        <v>11387</v>
      </c>
      <c r="B4649" s="5" t="s">
        <v>11387</v>
      </c>
      <c r="C4649" s="5" t="s">
        <v>33</v>
      </c>
      <c r="D4649" s="5" t="s">
        <v>34</v>
      </c>
      <c r="E4649" s="5" t="s">
        <v>35</v>
      </c>
      <c r="F4649" s="9" t="s">
        <v>36</v>
      </c>
      <c r="G4649" s="9" t="s">
        <v>414</v>
      </c>
      <c r="H4649" s="5" t="s">
        <v>21</v>
      </c>
      <c r="I4649" s="5" t="s">
        <v>11388</v>
      </c>
      <c r="J4649" s="12" t="str">
        <f>HYPERLINK("https://www.boe.es/gazeta/dias/1808/04/22/pdfs/GMD-C-1808-38.pdf#page=20","Abrir facsímil")</f>
        <v>Abrir facsímil</v>
      </c>
      <c r="K4649" s="15" t="s">
        <v>23</v>
      </c>
    </row>
    <row r="4650" spans="1:11" ht="42" customHeight="1">
      <c r="A4650" s="4" t="s">
        <v>11389</v>
      </c>
      <c r="B4650" s="5" t="s">
        <v>11389</v>
      </c>
      <c r="C4650" s="5" t="s">
        <v>33</v>
      </c>
      <c r="D4650" s="5" t="s">
        <v>34</v>
      </c>
      <c r="E4650" s="5" t="s">
        <v>35</v>
      </c>
      <c r="F4650" s="9" t="s">
        <v>36</v>
      </c>
      <c r="G4650" s="9" t="s">
        <v>322</v>
      </c>
      <c r="H4650" s="5" t="s">
        <v>21</v>
      </c>
      <c r="I4650" s="5" t="s">
        <v>11390</v>
      </c>
      <c r="J4650" s="12" t="str">
        <f>HYPERLINK("https://www.boe.es/gazeta/dias/1808/04/22/pdfs/GMD-C-1808-38.pdf#page=15","Abrir facsímil")</f>
        <v>Abrir facsímil</v>
      </c>
      <c r="K4650" s="15" t="s">
        <v>23</v>
      </c>
    </row>
    <row r="4651" spans="1:11" ht="42" customHeight="1">
      <c r="A4651" s="4" t="s">
        <v>11391</v>
      </c>
      <c r="B4651" s="5" t="s">
        <v>11391</v>
      </c>
      <c r="C4651" s="5" t="s">
        <v>33</v>
      </c>
      <c r="D4651" s="5" t="s">
        <v>34</v>
      </c>
      <c r="E4651" s="5" t="s">
        <v>35</v>
      </c>
      <c r="F4651" s="9" t="s">
        <v>36</v>
      </c>
      <c r="G4651" s="9" t="s">
        <v>322</v>
      </c>
      <c r="H4651" s="5" t="s">
        <v>21</v>
      </c>
      <c r="I4651" s="5" t="s">
        <v>11392</v>
      </c>
      <c r="J4651" s="12" t="str">
        <f>HYPERLINK("https://www.boe.es/gazeta/dias/1808/04/22/pdfs/GMD-C-1808-38.pdf#page=15","Abrir facsímil")</f>
        <v>Abrir facsímil</v>
      </c>
      <c r="K4651" s="15" t="s">
        <v>23</v>
      </c>
    </row>
    <row r="4652" spans="1:11" ht="42" customHeight="1">
      <c r="A4652" s="4" t="s">
        <v>11393</v>
      </c>
      <c r="B4652" s="5" t="s">
        <v>11393</v>
      </c>
      <c r="C4652" s="5" t="s">
        <v>17</v>
      </c>
      <c r="D4652" s="5" t="s">
        <v>18</v>
      </c>
      <c r="E4652" s="5" t="s">
        <v>1385</v>
      </c>
      <c r="F4652" s="9" t="s">
        <v>1386</v>
      </c>
      <c r="G4652" s="9">
        <v>230</v>
      </c>
      <c r="H4652" s="5" t="s">
        <v>21</v>
      </c>
      <c r="I4652" s="5" t="s">
        <v>11394</v>
      </c>
      <c r="J4652" s="12" t="str">
        <f>HYPERLINK("https://www.boe.es/gazeta/dias/1808/03/04/pdfs/GMD-1808-19.pdf#page=8","Abrir facsímil")</f>
        <v>Abrir facsímil</v>
      </c>
      <c r="K4652" s="15" t="s">
        <v>23</v>
      </c>
    </row>
    <row r="4653" spans="1:11" ht="42" customHeight="1">
      <c r="A4653" s="4" t="s">
        <v>11393</v>
      </c>
      <c r="B4653" s="5" t="s">
        <v>11393</v>
      </c>
      <c r="C4653" s="5" t="s">
        <v>17</v>
      </c>
      <c r="D4653" s="5" t="s">
        <v>18</v>
      </c>
      <c r="E4653" s="5" t="s">
        <v>1258</v>
      </c>
      <c r="F4653" s="9" t="s">
        <v>1259</v>
      </c>
      <c r="G4653" s="9">
        <v>890</v>
      </c>
      <c r="H4653" s="5" t="s">
        <v>21</v>
      </c>
      <c r="I4653" s="5" t="s">
        <v>11395</v>
      </c>
      <c r="J4653" s="12" t="str">
        <f>HYPERLINK("https://www.boe.es/gazeta/dias/1808/07/25/pdfs/GMD-1808-97.pdf#page=4","Abrir facsímil")</f>
        <v>Abrir facsímil</v>
      </c>
      <c r="K4653" s="15" t="s">
        <v>23</v>
      </c>
    </row>
    <row r="4654" spans="1:11" ht="42" customHeight="1">
      <c r="A4654" s="4" t="s">
        <v>11396</v>
      </c>
      <c r="B4654" s="5" t="s">
        <v>11396</v>
      </c>
      <c r="C4654" s="5" t="s">
        <v>33</v>
      </c>
      <c r="D4654" s="5" t="s">
        <v>34</v>
      </c>
      <c r="E4654" s="5" t="s">
        <v>68</v>
      </c>
      <c r="F4654" s="9" t="s">
        <v>309</v>
      </c>
      <c r="G4654" s="9" t="s">
        <v>199</v>
      </c>
      <c r="H4654" s="5" t="s">
        <v>21</v>
      </c>
      <c r="I4654" s="5" t="s">
        <v>11397</v>
      </c>
      <c r="J4654" s="12" t="str">
        <f>HYPERLINK("https://www.boe.es/gazeta/dias/1808/10/21/pdfs/GMD-D-1808-136.pdf#page=2","Abrir facsímil")</f>
        <v>Abrir facsímil</v>
      </c>
      <c r="K4654" s="15" t="s">
        <v>23</v>
      </c>
    </row>
    <row r="4655" spans="1:11" ht="42" customHeight="1">
      <c r="A4655" s="4" t="s">
        <v>11398</v>
      </c>
      <c r="B4655" s="5" t="s">
        <v>11398</v>
      </c>
      <c r="C4655" s="5" t="s">
        <v>389</v>
      </c>
      <c r="D4655" s="5" t="s">
        <v>390</v>
      </c>
      <c r="E4655" s="5" t="s">
        <v>65</v>
      </c>
      <c r="F4655" s="9" t="s">
        <v>105</v>
      </c>
      <c r="G4655" s="9" t="s">
        <v>75</v>
      </c>
      <c r="H4655" s="5" t="s">
        <v>21</v>
      </c>
      <c r="I4655" s="5" t="s">
        <v>11399</v>
      </c>
      <c r="J4655" s="12" t="str">
        <f>HYPERLINK("https://www.boe.es/gazeta/dias/1808/10/18/pdfs/GMD-D-1808-135.pdf#page=4","Abrir facsímil")</f>
        <v>Abrir facsímil</v>
      </c>
      <c r="K4655" s="15" t="s">
        <v>23</v>
      </c>
    </row>
    <row r="4656" spans="1:11" ht="42" customHeight="1">
      <c r="A4656" s="4" t="s">
        <v>11400</v>
      </c>
      <c r="B4656" s="5" t="s">
        <v>11400</v>
      </c>
      <c r="C4656" s="5" t="s">
        <v>94</v>
      </c>
      <c r="D4656" s="5" t="s">
        <v>95</v>
      </c>
      <c r="E4656" s="5" t="s">
        <v>68</v>
      </c>
      <c r="F4656" s="9" t="s">
        <v>849</v>
      </c>
      <c r="G4656" s="9">
        <v>1348</v>
      </c>
      <c r="H4656" s="5" t="s">
        <v>21</v>
      </c>
      <c r="I4656" s="5" t="s">
        <v>11401</v>
      </c>
      <c r="J4656" s="12" t="str">
        <f>HYPERLINK("https://www.boe.es/gazeta/dias/1808/10/21/pdfs/GMD-C-1808-136.pdf#page=8","Abrir facsímil")</f>
        <v>Abrir facsímil</v>
      </c>
      <c r="K4656" s="15" t="s">
        <v>23</v>
      </c>
    </row>
    <row r="4657" spans="1:11" ht="42" customHeight="1">
      <c r="A4657" s="4" t="s">
        <v>11402</v>
      </c>
      <c r="B4657" s="5" t="s">
        <v>11402</v>
      </c>
      <c r="C4657" s="5" t="s">
        <v>389</v>
      </c>
      <c r="D4657" s="5" t="s">
        <v>390</v>
      </c>
      <c r="E4657" s="5" t="s">
        <v>28</v>
      </c>
      <c r="F4657" s="9" t="s">
        <v>29</v>
      </c>
      <c r="G4657" s="9">
        <v>1430</v>
      </c>
      <c r="H4657" s="5" t="s">
        <v>21</v>
      </c>
      <c r="I4657" s="5" t="s">
        <v>11403</v>
      </c>
      <c r="J4657" s="12" t="str">
        <f>HYPERLINK("https://www.boe.es/gazeta/dias/1808/11/04/pdfs/GMD-1808-141.pdf#page=12","Abrir facsímil")</f>
        <v>Abrir facsímil</v>
      </c>
      <c r="K4657" s="15" t="s">
        <v>23</v>
      </c>
    </row>
    <row r="4658" spans="1:11" ht="42" customHeight="1">
      <c r="A4658" s="4" t="s">
        <v>11404</v>
      </c>
      <c r="B4658" s="5" t="s">
        <v>11404</v>
      </c>
      <c r="C4658" s="5" t="s">
        <v>17</v>
      </c>
      <c r="D4658" s="5" t="s">
        <v>18</v>
      </c>
      <c r="E4658" s="5" t="s">
        <v>73</v>
      </c>
      <c r="F4658" s="9" t="s">
        <v>581</v>
      </c>
      <c r="G4658" s="9">
        <v>1468</v>
      </c>
      <c r="H4658" s="5" t="s">
        <v>21</v>
      </c>
      <c r="I4658" s="5" t="s">
        <v>11405</v>
      </c>
      <c r="J4658" s="12" t="str">
        <f>HYPERLINK("https://www.boe.es/gazeta/dias/1808/11/11/pdfs/GMD-1808-143.pdf#page=10","Abrir facsímil")</f>
        <v>Abrir facsímil</v>
      </c>
      <c r="K4658" s="15" t="s">
        <v>23</v>
      </c>
    </row>
    <row r="4659" spans="1:11" ht="42" customHeight="1">
      <c r="A4659" s="4" t="s">
        <v>11404</v>
      </c>
      <c r="B4659" s="5" t="s">
        <v>11404</v>
      </c>
      <c r="C4659" s="5" t="s">
        <v>33</v>
      </c>
      <c r="D4659" s="5" t="s">
        <v>34</v>
      </c>
      <c r="E4659" s="5" t="s">
        <v>558</v>
      </c>
      <c r="F4659" s="9" t="s">
        <v>758</v>
      </c>
      <c r="G4659" s="9" t="s">
        <v>106</v>
      </c>
      <c r="H4659" s="5" t="s">
        <v>21</v>
      </c>
      <c r="I4659" s="5" t="s">
        <v>11406</v>
      </c>
      <c r="J4659" s="12" t="str">
        <f>HYPERLINK("https://www.boe.es/gazeta/dias/1808/11/25/pdfs/GMD-E-1808-147.pdf#page=3","Abrir facsímil")</f>
        <v>Abrir facsímil</v>
      </c>
      <c r="K4659" s="15" t="s">
        <v>23</v>
      </c>
    </row>
    <row r="4660" spans="1:11" ht="42" customHeight="1">
      <c r="A4660" s="4" t="s">
        <v>11407</v>
      </c>
      <c r="B4660" s="5" t="s">
        <v>11407</v>
      </c>
      <c r="C4660" s="5" t="s">
        <v>33</v>
      </c>
      <c r="D4660" s="5" t="s">
        <v>34</v>
      </c>
      <c r="E4660" s="5" t="s">
        <v>35</v>
      </c>
      <c r="F4660" s="9" t="s">
        <v>36</v>
      </c>
      <c r="G4660" s="9" t="s">
        <v>144</v>
      </c>
      <c r="H4660" s="5" t="s">
        <v>21</v>
      </c>
      <c r="I4660" s="5" t="s">
        <v>11408</v>
      </c>
      <c r="J4660" s="12" t="str">
        <f>HYPERLINK("https://www.boe.es/gazeta/dias/1808/04/22/pdfs/GMD-C-1808-38.pdf#page=40","Abrir facsímil")</f>
        <v>Abrir facsímil</v>
      </c>
      <c r="K4660" s="15" t="s">
        <v>23</v>
      </c>
    </row>
    <row r="4661" spans="1:11" ht="42" customHeight="1">
      <c r="A4661" s="4" t="s">
        <v>11409</v>
      </c>
      <c r="B4661" s="5" t="s">
        <v>11409</v>
      </c>
      <c r="C4661" s="5" t="s">
        <v>33</v>
      </c>
      <c r="D4661" s="5" t="s">
        <v>34</v>
      </c>
      <c r="E4661" s="5" t="s">
        <v>153</v>
      </c>
      <c r="F4661" s="9" t="s">
        <v>154</v>
      </c>
      <c r="G4661" s="9" t="s">
        <v>117</v>
      </c>
      <c r="H4661" s="5" t="s">
        <v>21</v>
      </c>
      <c r="I4661" s="5" t="s">
        <v>11410</v>
      </c>
      <c r="J4661" s="12" t="str">
        <f>HYPERLINK("https://www.boe.es/gazeta/dias/1808/09/09/pdfs/GMD-C-1808-121.pdf#page=1","Abrir facsímil")</f>
        <v>Abrir facsímil</v>
      </c>
      <c r="K4661" s="15" t="s">
        <v>23</v>
      </c>
    </row>
    <row r="4662" spans="1:11" ht="42" customHeight="1">
      <c r="A4662" s="4" t="s">
        <v>11411</v>
      </c>
      <c r="B4662" s="5" t="s">
        <v>11411</v>
      </c>
      <c r="C4662" s="5" t="s">
        <v>41</v>
      </c>
      <c r="D4662" s="5" t="s">
        <v>42</v>
      </c>
      <c r="E4662" s="5" t="s">
        <v>96</v>
      </c>
      <c r="F4662" s="9" t="s">
        <v>97</v>
      </c>
      <c r="G4662" s="9">
        <v>268</v>
      </c>
      <c r="H4662" s="5" t="s">
        <v>21</v>
      </c>
      <c r="I4662" s="5" t="s">
        <v>11412</v>
      </c>
      <c r="J4662" s="12" t="str">
        <f>HYPERLINK("https://www.boe.es/gazeta/dias/1808/03/15/pdfs/GMD-1808-22.pdf#page=10","Abrir facsímil")</f>
        <v>Abrir facsímil</v>
      </c>
      <c r="K4662" s="15" t="s">
        <v>23</v>
      </c>
    </row>
    <row r="4663" spans="1:11" ht="42" customHeight="1">
      <c r="A4663" s="4" t="s">
        <v>11413</v>
      </c>
      <c r="B4663" s="5" t="s">
        <v>11413</v>
      </c>
      <c r="C4663" s="5" t="s">
        <v>17</v>
      </c>
      <c r="D4663" s="5" t="s">
        <v>18</v>
      </c>
      <c r="E4663" s="5" t="s">
        <v>218</v>
      </c>
      <c r="F4663" s="9" t="s">
        <v>219</v>
      </c>
      <c r="G4663" s="9">
        <v>331</v>
      </c>
      <c r="H4663" s="5" t="s">
        <v>21</v>
      </c>
      <c r="I4663" s="5" t="s">
        <v>11414</v>
      </c>
      <c r="J4663" s="12" t="str">
        <f>HYPERLINK("https://www.boe.es/gazeta/dias/1808/04/01/pdfs/GMD-1808-29.pdf#page=7","Abrir facsímil")</f>
        <v>Abrir facsímil</v>
      </c>
      <c r="K4663" s="15" t="s">
        <v>23</v>
      </c>
    </row>
    <row r="4664" spans="1:11" ht="42" customHeight="1">
      <c r="A4664" s="4" t="s">
        <v>11413</v>
      </c>
      <c r="B4664" s="5" t="s">
        <v>11413</v>
      </c>
      <c r="C4664" s="5" t="s">
        <v>33</v>
      </c>
      <c r="D4664" s="5" t="s">
        <v>34</v>
      </c>
      <c r="E4664" s="5" t="s">
        <v>115</v>
      </c>
      <c r="F4664" s="9" t="s">
        <v>116</v>
      </c>
      <c r="G4664" s="9" t="s">
        <v>117</v>
      </c>
      <c r="H4664" s="5" t="s">
        <v>21</v>
      </c>
      <c r="I4664" s="5" t="s">
        <v>11415</v>
      </c>
      <c r="J4664" s="12" t="str">
        <f>HYPERLINK("https://www.boe.es/gazeta/dias/1808/09/16/pdfs/GMD-C-1808-125.pdf#page=1","Abrir facsímil")</f>
        <v>Abrir facsímil</v>
      </c>
      <c r="K4664" s="15" t="s">
        <v>23</v>
      </c>
    </row>
    <row r="4665" spans="1:11" ht="42" customHeight="1">
      <c r="A4665" s="4" t="s">
        <v>11413</v>
      </c>
      <c r="B4665" s="5" t="s">
        <v>11413</v>
      </c>
      <c r="C4665" s="5" t="s">
        <v>33</v>
      </c>
      <c r="D4665" s="5" t="s">
        <v>34</v>
      </c>
      <c r="E4665" s="5" t="s">
        <v>461</v>
      </c>
      <c r="F4665" s="9" t="s">
        <v>462</v>
      </c>
      <c r="G4665" s="9" t="s">
        <v>117</v>
      </c>
      <c r="H4665" s="5" t="s">
        <v>21</v>
      </c>
      <c r="I4665" s="5" t="s">
        <v>11416</v>
      </c>
      <c r="J4665" s="12" t="str">
        <f>HYPERLINK("https://www.boe.es/gazeta/dias/1808/11/08/pdfs/GMD-D-1808-142.pdf#page=1","Abrir facsímil")</f>
        <v>Abrir facsímil</v>
      </c>
      <c r="K4665" s="15" t="s">
        <v>23</v>
      </c>
    </row>
    <row r="4666" spans="1:11" ht="42" customHeight="1">
      <c r="A4666" s="4" t="s">
        <v>11417</v>
      </c>
      <c r="B4666" s="5" t="s">
        <v>11417</v>
      </c>
      <c r="C4666" s="5" t="s">
        <v>17</v>
      </c>
      <c r="D4666" s="5" t="s">
        <v>18</v>
      </c>
      <c r="E4666" s="5" t="s">
        <v>1385</v>
      </c>
      <c r="F4666" s="9" t="s">
        <v>1386</v>
      </c>
      <c r="G4666" s="9">
        <v>230</v>
      </c>
      <c r="H4666" s="5" t="s">
        <v>21</v>
      </c>
      <c r="I4666" s="5" t="s">
        <v>11418</v>
      </c>
      <c r="J4666" s="12" t="str">
        <f>HYPERLINK("https://www.boe.es/gazeta/dias/1808/03/04/pdfs/GMD-1808-19.pdf#page=8","Abrir facsímil")</f>
        <v>Abrir facsímil</v>
      </c>
      <c r="K4666" s="15" t="s">
        <v>23</v>
      </c>
    </row>
    <row r="4667" spans="1:11" ht="42" customHeight="1">
      <c r="A4667" s="4" t="s">
        <v>11419</v>
      </c>
      <c r="B4667" s="5" t="s">
        <v>11419</v>
      </c>
      <c r="C4667" s="5" t="s">
        <v>17</v>
      </c>
      <c r="D4667" s="5" t="s">
        <v>18</v>
      </c>
      <c r="E4667" s="5" t="s">
        <v>1385</v>
      </c>
      <c r="F4667" s="9" t="s">
        <v>1386</v>
      </c>
      <c r="G4667" s="9">
        <v>230</v>
      </c>
      <c r="H4667" s="5" t="s">
        <v>21</v>
      </c>
      <c r="I4667" s="5" t="s">
        <v>11420</v>
      </c>
      <c r="J4667" s="12" t="str">
        <f>HYPERLINK("https://www.boe.es/gazeta/dias/1808/03/04/pdfs/GMD-1808-19.pdf#page=8","Abrir facsímil")</f>
        <v>Abrir facsímil</v>
      </c>
      <c r="K4667" s="15" t="s">
        <v>23</v>
      </c>
    </row>
    <row r="4668" spans="1:11" ht="42" customHeight="1">
      <c r="A4668" s="4" t="s">
        <v>11419</v>
      </c>
      <c r="B4668" s="5" t="s">
        <v>11419</v>
      </c>
      <c r="C4668" s="5" t="s">
        <v>17</v>
      </c>
      <c r="D4668" s="5" t="s">
        <v>18</v>
      </c>
      <c r="E4668" s="5" t="s">
        <v>1258</v>
      </c>
      <c r="F4668" s="9" t="s">
        <v>1259</v>
      </c>
      <c r="G4668" s="9">
        <v>890</v>
      </c>
      <c r="H4668" s="5" t="s">
        <v>21</v>
      </c>
      <c r="I4668" s="5" t="s">
        <v>11421</v>
      </c>
      <c r="J4668" s="12" t="str">
        <f>HYPERLINK("https://www.boe.es/gazeta/dias/1808/07/25/pdfs/GMD-1808-97.pdf#page=4","Abrir facsímil")</f>
        <v>Abrir facsímil</v>
      </c>
      <c r="K4668" s="15" t="s">
        <v>23</v>
      </c>
    </row>
    <row r="4669" spans="1:11" ht="42" customHeight="1">
      <c r="A4669" s="4" t="s">
        <v>11422</v>
      </c>
      <c r="B4669" s="5" t="s">
        <v>11422</v>
      </c>
      <c r="C4669" s="5" t="s">
        <v>33</v>
      </c>
      <c r="D4669" s="5" t="s">
        <v>34</v>
      </c>
      <c r="E4669" s="5" t="s">
        <v>35</v>
      </c>
      <c r="F4669" s="9" t="s">
        <v>36</v>
      </c>
      <c r="G4669" s="9" t="s">
        <v>795</v>
      </c>
      <c r="H4669" s="5" t="s">
        <v>21</v>
      </c>
      <c r="I4669" s="5" t="s">
        <v>11423</v>
      </c>
      <c r="J4669" s="12" t="str">
        <f>HYPERLINK("https://www.boe.es/gazeta/dias/1808/04/22/pdfs/GMD-C-1808-38.pdf#page=21","Abrir facsímil")</f>
        <v>Abrir facsímil</v>
      </c>
      <c r="K4669" s="15" t="s">
        <v>23</v>
      </c>
    </row>
    <row r="4670" spans="1:11" ht="42" customHeight="1">
      <c r="A4670" s="4" t="s">
        <v>11424</v>
      </c>
      <c r="B4670" s="5" t="s">
        <v>11424</v>
      </c>
      <c r="C4670" s="5" t="s">
        <v>389</v>
      </c>
      <c r="D4670" s="5" t="s">
        <v>390</v>
      </c>
      <c r="E4670" s="5" t="s">
        <v>73</v>
      </c>
      <c r="F4670" s="9" t="s">
        <v>581</v>
      </c>
      <c r="G4670" s="9">
        <v>1470</v>
      </c>
      <c r="H4670" s="5" t="s">
        <v>21</v>
      </c>
      <c r="I4670" s="5" t="s">
        <v>11425</v>
      </c>
      <c r="J4670" s="12" t="str">
        <f>HYPERLINK("https://www.boe.es/gazeta/dias/1808/11/11/pdfs/GMD-1808-143.pdf#page=12","Abrir facsímil")</f>
        <v>Abrir facsímil</v>
      </c>
      <c r="K4670" s="15" t="s">
        <v>23</v>
      </c>
    </row>
    <row r="4671" spans="1:11" ht="42" customHeight="1">
      <c r="A4671" s="4" t="s">
        <v>11426</v>
      </c>
      <c r="B4671" s="5" t="s">
        <v>11426</v>
      </c>
      <c r="C4671" s="5" t="s">
        <v>17</v>
      </c>
      <c r="D4671" s="5" t="s">
        <v>18</v>
      </c>
      <c r="E4671" s="5" t="s">
        <v>1258</v>
      </c>
      <c r="F4671" s="9" t="s">
        <v>1259</v>
      </c>
      <c r="G4671" s="9">
        <v>890</v>
      </c>
      <c r="H4671" s="5" t="s">
        <v>21</v>
      </c>
      <c r="I4671" s="5" t="s">
        <v>11427</v>
      </c>
      <c r="J4671" s="12" t="str">
        <f>HYPERLINK("https://www.boe.es/gazeta/dias/1808/07/25/pdfs/GMD-1808-97.pdf#page=4","Abrir facsímil")</f>
        <v>Abrir facsímil</v>
      </c>
      <c r="K4671" s="15" t="s">
        <v>23</v>
      </c>
    </row>
    <row r="4672" spans="1:11" ht="42" customHeight="1">
      <c r="A4672" s="4" t="s">
        <v>11428</v>
      </c>
      <c r="B4672" s="5" t="s">
        <v>11428</v>
      </c>
      <c r="C4672" s="5" t="s">
        <v>17</v>
      </c>
      <c r="D4672" s="5" t="s">
        <v>18</v>
      </c>
      <c r="E4672" s="5" t="s">
        <v>427</v>
      </c>
      <c r="F4672" s="9" t="s">
        <v>1802</v>
      </c>
      <c r="G4672" s="9">
        <v>1526</v>
      </c>
      <c r="H4672" s="5" t="s">
        <v>21</v>
      </c>
      <c r="I4672" s="5" t="s">
        <v>11429</v>
      </c>
      <c r="J4672" s="12" t="str">
        <f>HYPERLINK("https://www.boe.es/gazeta/dias/1808/11/22/pdfs/GMD-1808-146.pdf#page=12","Abrir facsímil")</f>
        <v>Abrir facsímil</v>
      </c>
      <c r="K4672" s="15" t="s">
        <v>23</v>
      </c>
    </row>
    <row r="4673" spans="1:11" ht="42" customHeight="1">
      <c r="A4673" s="4" t="s">
        <v>11430</v>
      </c>
      <c r="B4673" s="5" t="s">
        <v>11430</v>
      </c>
      <c r="C4673" s="5" t="s">
        <v>17</v>
      </c>
      <c r="D4673" s="5" t="s">
        <v>18</v>
      </c>
      <c r="E4673" s="5" t="s">
        <v>218</v>
      </c>
      <c r="F4673" s="9" t="s">
        <v>219</v>
      </c>
      <c r="G4673" s="9">
        <v>331</v>
      </c>
      <c r="H4673" s="5" t="s">
        <v>21</v>
      </c>
      <c r="I4673" s="5" t="s">
        <v>11431</v>
      </c>
      <c r="J4673" s="12" t="str">
        <f>HYPERLINK("https://www.boe.es/gazeta/dias/1808/04/01/pdfs/GMD-1808-29.pdf#page=7","Abrir facsímil")</f>
        <v>Abrir facsímil</v>
      </c>
      <c r="K4673" s="15" t="s">
        <v>23</v>
      </c>
    </row>
    <row r="4674" spans="1:11" ht="42" customHeight="1">
      <c r="A4674" s="4" t="s">
        <v>11430</v>
      </c>
      <c r="B4674" s="5" t="s">
        <v>11430</v>
      </c>
      <c r="C4674" s="5" t="s">
        <v>17</v>
      </c>
      <c r="D4674" s="5" t="s">
        <v>18</v>
      </c>
      <c r="E4674" s="5" t="s">
        <v>1791</v>
      </c>
      <c r="F4674" s="9" t="s">
        <v>2814</v>
      </c>
      <c r="G4674" s="9">
        <v>930</v>
      </c>
      <c r="H4674" s="5" t="s">
        <v>21</v>
      </c>
      <c r="I4674" s="5" t="s">
        <v>11432</v>
      </c>
      <c r="J4674" s="12" t="str">
        <f>HYPERLINK("https://www.boe.es/gazeta/dias/1808/07/30/pdfs/GMD-1808-102.pdf#page=4","Abrir facsímil")</f>
        <v>Abrir facsímil</v>
      </c>
      <c r="K4674" s="15" t="s">
        <v>23</v>
      </c>
    </row>
    <row r="4675" spans="1:11" ht="42" customHeight="1">
      <c r="A4675" s="4" t="s">
        <v>11433</v>
      </c>
      <c r="B4675" s="5" t="s">
        <v>11433</v>
      </c>
      <c r="C4675" s="5" t="s">
        <v>17</v>
      </c>
      <c r="D4675" s="5" t="s">
        <v>18</v>
      </c>
      <c r="E4675" s="5" t="s">
        <v>1258</v>
      </c>
      <c r="F4675" s="9" t="s">
        <v>1259</v>
      </c>
      <c r="G4675" s="9">
        <v>890</v>
      </c>
      <c r="H4675" s="5" t="s">
        <v>21</v>
      </c>
      <c r="I4675" s="5" t="s">
        <v>11434</v>
      </c>
      <c r="J4675" s="12" t="str">
        <f>HYPERLINK("https://www.boe.es/gazeta/dias/1808/07/25/pdfs/GMD-1808-97.pdf#page=4","Abrir facsímil")</f>
        <v>Abrir facsímil</v>
      </c>
      <c r="K4675" s="15" t="s">
        <v>23</v>
      </c>
    </row>
    <row r="4676" spans="1:11" ht="42" customHeight="1">
      <c r="A4676" s="4" t="s">
        <v>11435</v>
      </c>
      <c r="B4676" s="5" t="s">
        <v>11435</v>
      </c>
      <c r="C4676" s="5" t="s">
        <v>94</v>
      </c>
      <c r="D4676" s="5" t="s">
        <v>95</v>
      </c>
      <c r="E4676" s="5" t="s">
        <v>1466</v>
      </c>
      <c r="F4676" s="9" t="s">
        <v>1467</v>
      </c>
      <c r="G4676" s="9">
        <v>55</v>
      </c>
      <c r="H4676" s="5" t="s">
        <v>21</v>
      </c>
      <c r="I4676" s="5" t="s">
        <v>11436</v>
      </c>
      <c r="J4676" s="12" t="str">
        <f>HYPERLINK("https://www.boe.es/gazeta/dias/1808/01/15/pdfs/GMD-1808-5.pdf#page=7","Abrir facsímil")</f>
        <v>Abrir facsímil</v>
      </c>
      <c r="K4676" s="15" t="s">
        <v>23</v>
      </c>
    </row>
    <row r="4677" spans="1:11" ht="42" customHeight="1">
      <c r="A4677" s="4" t="s">
        <v>11437</v>
      </c>
      <c r="B4677" s="5" t="s">
        <v>11437</v>
      </c>
      <c r="C4677" s="5" t="s">
        <v>94</v>
      </c>
      <c r="D4677" s="5" t="s">
        <v>95</v>
      </c>
      <c r="E4677" s="5" t="s">
        <v>203</v>
      </c>
      <c r="F4677" s="9" t="s">
        <v>204</v>
      </c>
      <c r="G4677" s="9">
        <v>141</v>
      </c>
      <c r="H4677" s="5" t="s">
        <v>21</v>
      </c>
      <c r="I4677" s="5" t="s">
        <v>11438</v>
      </c>
      <c r="J4677" s="12" t="str">
        <f>HYPERLINK("https://www.boe.es/gazeta/dias/1808/02/09/pdfs/GMD-1808-12.pdf#page=9","Abrir facsímil")</f>
        <v>Abrir facsímil</v>
      </c>
      <c r="K4677" s="15" t="s">
        <v>23</v>
      </c>
    </row>
    <row r="4678" spans="1:11" ht="42" customHeight="1">
      <c r="A4678" s="4" t="s">
        <v>11439</v>
      </c>
      <c r="B4678" s="5" t="s">
        <v>11439</v>
      </c>
      <c r="C4678" s="5" t="s">
        <v>94</v>
      </c>
      <c r="D4678" s="5" t="s">
        <v>95</v>
      </c>
      <c r="E4678" s="5" t="s">
        <v>35</v>
      </c>
      <c r="F4678" s="9" t="s">
        <v>36</v>
      </c>
      <c r="G4678" s="9" t="s">
        <v>135</v>
      </c>
      <c r="H4678" s="5" t="s">
        <v>21</v>
      </c>
      <c r="I4678" s="5" t="s">
        <v>11440</v>
      </c>
      <c r="J4678" s="12" t="str">
        <f>HYPERLINK("https://www.boe.es/gazeta/dias/1808/04/22/pdfs/GMD-C-1808-38.pdf#page=26","Abrir facsímil")</f>
        <v>Abrir facsímil</v>
      </c>
      <c r="K4678" s="15" t="s">
        <v>23</v>
      </c>
    </row>
    <row r="4679" spans="1:11" ht="42" customHeight="1">
      <c r="A4679" s="4" t="s">
        <v>11441</v>
      </c>
      <c r="B4679" s="5" t="s">
        <v>11441</v>
      </c>
      <c r="C4679" s="5" t="s">
        <v>33</v>
      </c>
      <c r="D4679" s="5" t="s">
        <v>34</v>
      </c>
      <c r="E4679" s="5" t="s">
        <v>139</v>
      </c>
      <c r="F4679" s="9" t="s">
        <v>1089</v>
      </c>
      <c r="G4679" s="9" t="s">
        <v>199</v>
      </c>
      <c r="H4679" s="5" t="s">
        <v>21</v>
      </c>
      <c r="I4679" s="5" t="s">
        <v>11442</v>
      </c>
      <c r="J4679" s="12" t="str">
        <f>HYPERLINK("https://www.boe.es/gazeta/dias/1808/09/23/pdfs/GMD-C-1808-127.pdf#page=2","Abrir facsímil")</f>
        <v>Abrir facsímil</v>
      </c>
      <c r="K4679" s="15" t="s">
        <v>23</v>
      </c>
    </row>
    <row r="4680" spans="1:11" ht="42" customHeight="1">
      <c r="A4680" s="4" t="s">
        <v>11443</v>
      </c>
      <c r="B4680" s="5" t="s">
        <v>11443</v>
      </c>
      <c r="C4680" s="5" t="s">
        <v>94</v>
      </c>
      <c r="D4680" s="5" t="s">
        <v>95</v>
      </c>
      <c r="E4680" s="5" t="s">
        <v>2849</v>
      </c>
      <c r="F4680" s="9" t="s">
        <v>2850</v>
      </c>
      <c r="G4680" s="9">
        <v>16</v>
      </c>
      <c r="H4680" s="5" t="s">
        <v>21</v>
      </c>
      <c r="I4680" s="5" t="s">
        <v>11444</v>
      </c>
      <c r="J4680" s="12" t="str">
        <f>HYPERLINK("https://www.boe.es/gazeta/dias/1808/06/04/pdfs/GMS-1808-2.pdf#page=8","Abrir facsímil")</f>
        <v>Abrir facsímil</v>
      </c>
      <c r="K4680" s="15" t="s">
        <v>23</v>
      </c>
    </row>
    <row r="4681" spans="1:11" ht="42" customHeight="1">
      <c r="A4681" s="4" t="s">
        <v>11445</v>
      </c>
      <c r="B4681" s="5" t="s">
        <v>11445</v>
      </c>
      <c r="C4681" s="5" t="s">
        <v>33</v>
      </c>
      <c r="D4681" s="5" t="s">
        <v>34</v>
      </c>
      <c r="E4681" s="5" t="s">
        <v>73</v>
      </c>
      <c r="F4681" s="9" t="s">
        <v>1570</v>
      </c>
      <c r="G4681" s="9">
        <v>1485</v>
      </c>
      <c r="H4681" s="5" t="s">
        <v>21</v>
      </c>
      <c r="I4681" s="5" t="s">
        <v>11446</v>
      </c>
      <c r="J4681" s="12" t="str">
        <f>HYPERLINK("https://www.boe.es/gazeta/dias/1808/11/11/pdfs/GMD-C-1808-143.pdf#page=15","Abrir facsímil")</f>
        <v>Abrir facsímil</v>
      </c>
      <c r="K4681" s="15" t="s">
        <v>23</v>
      </c>
    </row>
    <row r="4682" spans="1:11" ht="42" customHeight="1">
      <c r="A4682" s="4" t="s">
        <v>11447</v>
      </c>
      <c r="B4682" s="5" t="s">
        <v>11447</v>
      </c>
      <c r="C4682" s="5" t="s">
        <v>94</v>
      </c>
      <c r="D4682" s="5" t="s">
        <v>95</v>
      </c>
      <c r="E4682" s="5" t="s">
        <v>35</v>
      </c>
      <c r="F4682" s="9" t="s">
        <v>36</v>
      </c>
      <c r="G4682" s="9" t="s">
        <v>795</v>
      </c>
      <c r="H4682" s="5" t="s">
        <v>21</v>
      </c>
      <c r="I4682" s="5" t="s">
        <v>11448</v>
      </c>
      <c r="J4682" s="12" t="str">
        <f>HYPERLINK("https://www.boe.es/gazeta/dias/1808/04/22/pdfs/GMD-C-1808-38.pdf#page=21","Abrir facsímil")</f>
        <v>Abrir facsímil</v>
      </c>
      <c r="K4682" s="15" t="s">
        <v>23</v>
      </c>
    </row>
    <row r="4683" spans="1:11" ht="42" customHeight="1">
      <c r="A4683" s="4" t="s">
        <v>11449</v>
      </c>
      <c r="B4683" s="5" t="s">
        <v>11449</v>
      </c>
      <c r="C4683" s="5" t="s">
        <v>33</v>
      </c>
      <c r="D4683" s="5" t="s">
        <v>34</v>
      </c>
      <c r="E4683" s="5" t="s">
        <v>35</v>
      </c>
      <c r="F4683" s="9" t="s">
        <v>36</v>
      </c>
      <c r="G4683" s="9" t="s">
        <v>273</v>
      </c>
      <c r="H4683" s="5" t="s">
        <v>21</v>
      </c>
      <c r="I4683" s="5" t="s">
        <v>11450</v>
      </c>
      <c r="J4683" s="12" t="str">
        <f>HYPERLINK("https://www.boe.es/gazeta/dias/1808/04/22/pdfs/GMD-C-1808-38.pdf#page=12","Abrir facsímil")</f>
        <v>Abrir facsímil</v>
      </c>
      <c r="K4683" s="15" t="s">
        <v>23</v>
      </c>
    </row>
    <row r="4684" spans="1:11" ht="42" customHeight="1">
      <c r="A4684" s="4" t="s">
        <v>11451</v>
      </c>
      <c r="B4684" s="5" t="s">
        <v>11451</v>
      </c>
      <c r="C4684" s="5" t="s">
        <v>41</v>
      </c>
      <c r="D4684" s="5" t="s">
        <v>42</v>
      </c>
      <c r="E4684" s="5" t="s">
        <v>35</v>
      </c>
      <c r="F4684" s="9" t="s">
        <v>36</v>
      </c>
      <c r="G4684" s="9" t="s">
        <v>273</v>
      </c>
      <c r="H4684" s="5" t="s">
        <v>21</v>
      </c>
      <c r="I4684" s="5" t="s">
        <v>11452</v>
      </c>
      <c r="J4684" s="12" t="str">
        <f>HYPERLINK("https://www.boe.es/gazeta/dias/1808/04/22/pdfs/GMD-C-1808-38.pdf#page=12","Abrir facsímil")</f>
        <v>Abrir facsímil</v>
      </c>
      <c r="K4684" s="15" t="s">
        <v>23</v>
      </c>
    </row>
    <row r="4685" spans="1:11" ht="42" customHeight="1">
      <c r="A4685" s="4" t="s">
        <v>11451</v>
      </c>
      <c r="B4685" s="5" t="s">
        <v>11451</v>
      </c>
      <c r="C4685" s="5" t="s">
        <v>33</v>
      </c>
      <c r="D4685" s="5" t="s">
        <v>34</v>
      </c>
      <c r="E4685" s="5" t="s">
        <v>35</v>
      </c>
      <c r="F4685" s="9" t="s">
        <v>36</v>
      </c>
      <c r="G4685" s="9" t="s">
        <v>47</v>
      </c>
      <c r="H4685" s="5" t="s">
        <v>21</v>
      </c>
      <c r="I4685" s="5" t="s">
        <v>11453</v>
      </c>
      <c r="J4685" s="12" t="str">
        <f>HYPERLINK("https://www.boe.es/gazeta/dias/1808/04/22/pdfs/GMD-C-1808-38.pdf#page=13","Abrir facsímil")</f>
        <v>Abrir facsímil</v>
      </c>
      <c r="K4685" s="15" t="s">
        <v>23</v>
      </c>
    </row>
    <row r="4686" spans="1:11" ht="42" customHeight="1">
      <c r="A4686" s="4" t="s">
        <v>11451</v>
      </c>
      <c r="B4686" s="5" t="s">
        <v>11451</v>
      </c>
      <c r="C4686" s="5" t="s">
        <v>33</v>
      </c>
      <c r="D4686" s="5" t="s">
        <v>34</v>
      </c>
      <c r="E4686" s="5" t="s">
        <v>35</v>
      </c>
      <c r="F4686" s="9" t="s">
        <v>36</v>
      </c>
      <c r="G4686" s="9" t="s">
        <v>43</v>
      </c>
      <c r="H4686" s="5" t="s">
        <v>21</v>
      </c>
      <c r="I4686" s="5" t="s">
        <v>11454</v>
      </c>
      <c r="J4686" s="12" t="str">
        <f>HYPERLINK("https://www.boe.es/gazeta/dias/1808/04/22/pdfs/GMD-C-1808-38.pdf#page=30","Abrir facsímil")</f>
        <v>Abrir facsímil</v>
      </c>
      <c r="K4686" s="15" t="s">
        <v>23</v>
      </c>
    </row>
    <row r="4687" spans="1:11" ht="42" customHeight="1">
      <c r="A4687" s="4" t="s">
        <v>11455</v>
      </c>
      <c r="B4687" s="5" t="s">
        <v>11455</v>
      </c>
      <c r="C4687" s="5" t="s">
        <v>17</v>
      </c>
      <c r="D4687" s="5" t="s">
        <v>18</v>
      </c>
      <c r="E4687" s="5" t="s">
        <v>461</v>
      </c>
      <c r="F4687" s="9" t="s">
        <v>733</v>
      </c>
      <c r="G4687" s="9">
        <v>1448</v>
      </c>
      <c r="H4687" s="5" t="s">
        <v>21</v>
      </c>
      <c r="I4687" s="5" t="s">
        <v>11456</v>
      </c>
      <c r="J4687" s="12" t="str">
        <f>HYPERLINK("https://www.boe.es/gazeta/dias/1808/11/08/pdfs/GMD-1808-142.pdf#page=10","Abrir facsímil")</f>
        <v>Abrir facsímil</v>
      </c>
      <c r="K4687" s="15" t="s">
        <v>23</v>
      </c>
    </row>
    <row r="4688" spans="1:11" ht="42" customHeight="1">
      <c r="A4688" s="4" t="s">
        <v>11457</v>
      </c>
      <c r="B4688" s="5" t="s">
        <v>11457</v>
      </c>
      <c r="C4688" s="5" t="s">
        <v>41</v>
      </c>
      <c r="D4688" s="5" t="s">
        <v>42</v>
      </c>
      <c r="E4688" s="5" t="s">
        <v>35</v>
      </c>
      <c r="F4688" s="9" t="s">
        <v>36</v>
      </c>
      <c r="G4688" s="9" t="s">
        <v>837</v>
      </c>
      <c r="H4688" s="5" t="s">
        <v>21</v>
      </c>
      <c r="I4688" s="5" t="s">
        <v>11458</v>
      </c>
      <c r="J4688" s="12" t="str">
        <f>HYPERLINK("https://www.boe.es/gazeta/dias/1808/04/22/pdfs/GMD-C-1808-38.pdf#page=10","Abrir facsímil")</f>
        <v>Abrir facsímil</v>
      </c>
      <c r="K4688" s="15" t="s">
        <v>23</v>
      </c>
    </row>
    <row r="4689" spans="1:11" ht="42" customHeight="1">
      <c r="A4689" s="4" t="s">
        <v>11459</v>
      </c>
      <c r="B4689" s="5" t="s">
        <v>11459</v>
      </c>
      <c r="C4689" s="5" t="s">
        <v>33</v>
      </c>
      <c r="D4689" s="5" t="s">
        <v>34</v>
      </c>
      <c r="E4689" s="5" t="s">
        <v>461</v>
      </c>
      <c r="F4689" s="9" t="s">
        <v>462</v>
      </c>
      <c r="G4689" s="9" t="s">
        <v>106</v>
      </c>
      <c r="H4689" s="5" t="s">
        <v>21</v>
      </c>
      <c r="I4689" s="5" t="s">
        <v>11460</v>
      </c>
      <c r="J4689" s="12" t="str">
        <f>HYPERLINK("https://www.boe.es/gazeta/dias/1808/11/08/pdfs/GMD-D-1808-142.pdf#page=3","Abrir facsímil")</f>
        <v>Abrir facsímil</v>
      </c>
      <c r="K4689" s="15" t="s">
        <v>23</v>
      </c>
    </row>
    <row r="4690" spans="1:11" ht="42" customHeight="1">
      <c r="A4690" s="4" t="s">
        <v>11461</v>
      </c>
      <c r="B4690" s="5" t="s">
        <v>11461</v>
      </c>
      <c r="C4690" s="5" t="s">
        <v>94</v>
      </c>
      <c r="D4690" s="5" t="s">
        <v>95</v>
      </c>
      <c r="E4690" s="5" t="s">
        <v>222</v>
      </c>
      <c r="F4690" s="9" t="s">
        <v>223</v>
      </c>
      <c r="G4690" s="9">
        <v>356</v>
      </c>
      <c r="H4690" s="5" t="s">
        <v>21</v>
      </c>
      <c r="I4690" s="5" t="s">
        <v>11462</v>
      </c>
      <c r="J4690" s="12" t="str">
        <f>HYPERLINK("https://www.boe.es/gazeta/dias/1808/04/08/pdfs/GMD-1808-32.pdf#page=10","Abrir facsímil")</f>
        <v>Abrir facsímil</v>
      </c>
      <c r="K4690" s="15" t="s">
        <v>23</v>
      </c>
    </row>
    <row r="4691" spans="1:11" ht="42" customHeight="1">
      <c r="A4691" s="4" t="s">
        <v>11463</v>
      </c>
      <c r="B4691" s="5" t="s">
        <v>11463</v>
      </c>
      <c r="C4691" s="5" t="s">
        <v>94</v>
      </c>
      <c r="D4691" s="5" t="s">
        <v>95</v>
      </c>
      <c r="E4691" s="5" t="s">
        <v>2194</v>
      </c>
      <c r="F4691" s="9" t="s">
        <v>3881</v>
      </c>
      <c r="G4691" s="9">
        <v>342</v>
      </c>
      <c r="H4691" s="5" t="s">
        <v>21</v>
      </c>
      <c r="I4691" s="5" t="s">
        <v>11464</v>
      </c>
      <c r="J4691" s="12" t="str">
        <f>HYPERLINK("https://www.boe.es/gazeta/dias/1808/04/05/pdfs/GMD-1808-31.pdf#page=8","Abrir facsímil")</f>
        <v>Abrir facsímil</v>
      </c>
      <c r="K4691" s="15" t="s">
        <v>23</v>
      </c>
    </row>
    <row r="4692" spans="1:11" ht="42" customHeight="1">
      <c r="A4692" s="4" t="s">
        <v>11465</v>
      </c>
      <c r="B4692" s="5" t="s">
        <v>11465</v>
      </c>
      <c r="C4692" s="5" t="s">
        <v>94</v>
      </c>
      <c r="D4692" s="5" t="s">
        <v>95</v>
      </c>
      <c r="E4692" s="5" t="s">
        <v>339</v>
      </c>
      <c r="F4692" s="9" t="s">
        <v>340</v>
      </c>
      <c r="G4692" s="9">
        <v>81</v>
      </c>
      <c r="H4692" s="5" t="s">
        <v>21</v>
      </c>
      <c r="I4692" s="5" t="s">
        <v>11466</v>
      </c>
      <c r="J4692" s="12" t="str">
        <f>HYPERLINK("https://www.boe.es/gazeta/dias/1808/01/22/pdfs/GMD-1808-7.pdf#page=9","Abrir facsímil")</f>
        <v>Abrir facsímil</v>
      </c>
      <c r="K4692" s="15" t="s">
        <v>23</v>
      </c>
    </row>
    <row r="4693" spans="1:11" ht="42" customHeight="1">
      <c r="A4693" s="4" t="s">
        <v>11467</v>
      </c>
      <c r="B4693" s="5" t="s">
        <v>11467</v>
      </c>
      <c r="C4693" s="5" t="s">
        <v>94</v>
      </c>
      <c r="D4693" s="5" t="s">
        <v>95</v>
      </c>
      <c r="E4693" s="5" t="s">
        <v>19</v>
      </c>
      <c r="F4693" s="9" t="s">
        <v>949</v>
      </c>
      <c r="G4693" s="9" t="s">
        <v>106</v>
      </c>
      <c r="H4693" s="5" t="s">
        <v>21</v>
      </c>
      <c r="I4693" s="5" t="s">
        <v>11468</v>
      </c>
      <c r="J4693" s="12" t="str">
        <f>HYPERLINK("https://www.boe.es/gazeta/dias/1808/09/30/pdfs/GMD-C-1808-130.pdf#page=3","Abrir facsímil")</f>
        <v>Abrir facsímil</v>
      </c>
      <c r="K4693" s="15" t="s">
        <v>23</v>
      </c>
    </row>
    <row r="4694" spans="1:11" ht="42" customHeight="1">
      <c r="A4694" s="4" t="s">
        <v>11469</v>
      </c>
      <c r="B4694" s="5" t="s">
        <v>11469</v>
      </c>
      <c r="C4694" s="5" t="s">
        <v>33</v>
      </c>
      <c r="D4694" s="5" t="s">
        <v>34</v>
      </c>
      <c r="E4694" s="5" t="s">
        <v>35</v>
      </c>
      <c r="F4694" s="9" t="s">
        <v>36</v>
      </c>
      <c r="G4694" s="9" t="s">
        <v>443</v>
      </c>
      <c r="H4694" s="5" t="s">
        <v>21</v>
      </c>
      <c r="I4694" s="5" t="s">
        <v>11470</v>
      </c>
      <c r="J4694" s="12" t="str">
        <f>HYPERLINK("https://www.boe.es/gazeta/dias/1808/04/22/pdfs/GMD-C-1808-38.pdf#page=16","Abrir facsímil")</f>
        <v>Abrir facsímil</v>
      </c>
      <c r="K4694" s="15" t="s">
        <v>23</v>
      </c>
    </row>
    <row r="4695" spans="1:11" ht="42" customHeight="1">
      <c r="A4695" s="4" t="s">
        <v>11471</v>
      </c>
      <c r="B4695" s="5" t="s">
        <v>11471</v>
      </c>
      <c r="C4695" s="5" t="s">
        <v>94</v>
      </c>
      <c r="D4695" s="5" t="s">
        <v>95</v>
      </c>
      <c r="E4695" s="5" t="s">
        <v>68</v>
      </c>
      <c r="F4695" s="9" t="s">
        <v>849</v>
      </c>
      <c r="G4695" s="9">
        <v>1348</v>
      </c>
      <c r="H4695" s="5" t="s">
        <v>21</v>
      </c>
      <c r="I4695" s="5" t="s">
        <v>11472</v>
      </c>
      <c r="J4695" s="12" t="str">
        <f>HYPERLINK("https://www.boe.es/gazeta/dias/1808/10/21/pdfs/GMD-C-1808-136.pdf#page=8","Abrir facsímil")</f>
        <v>Abrir facsímil</v>
      </c>
      <c r="K4695" s="15" t="s">
        <v>23</v>
      </c>
    </row>
    <row r="4696" spans="1:11" ht="42" customHeight="1">
      <c r="A4696" s="4" t="s">
        <v>11473</v>
      </c>
      <c r="B4696" s="5" t="s">
        <v>11473</v>
      </c>
      <c r="C4696" s="5" t="s">
        <v>33</v>
      </c>
      <c r="D4696" s="5" t="s">
        <v>34</v>
      </c>
      <c r="E4696" s="5" t="s">
        <v>35</v>
      </c>
      <c r="F4696" s="9" t="s">
        <v>36</v>
      </c>
      <c r="G4696" s="9" t="s">
        <v>299</v>
      </c>
      <c r="H4696" s="5" t="s">
        <v>21</v>
      </c>
      <c r="I4696" s="5" t="s">
        <v>11474</v>
      </c>
      <c r="J4696" s="12" t="str">
        <f>HYPERLINK("https://www.boe.es/gazeta/dias/1808/04/22/pdfs/GMD-C-1808-38.pdf#page=14","Abrir facsímil")</f>
        <v>Abrir facsímil</v>
      </c>
      <c r="K4696" s="15" t="s">
        <v>23</v>
      </c>
    </row>
    <row r="4697" spans="1:11" ht="42" customHeight="1">
      <c r="A4697" s="4" t="s">
        <v>11475</v>
      </c>
      <c r="B4697" s="5" t="s">
        <v>11475</v>
      </c>
      <c r="C4697" s="5" t="s">
        <v>41</v>
      </c>
      <c r="D4697" s="5" t="s">
        <v>42</v>
      </c>
      <c r="E4697" s="5" t="s">
        <v>35</v>
      </c>
      <c r="F4697" s="9" t="s">
        <v>36</v>
      </c>
      <c r="G4697" s="9" t="s">
        <v>4783</v>
      </c>
      <c r="H4697" s="5" t="s">
        <v>21</v>
      </c>
      <c r="I4697" s="5" t="s">
        <v>11476</v>
      </c>
      <c r="J4697" s="12" t="str">
        <f>HYPERLINK("https://www.boe.es/gazeta/dias/1808/04/22/pdfs/GMD-C-1808-38.pdf#page=36","Abrir facsímil")</f>
        <v>Abrir facsímil</v>
      </c>
      <c r="K4697" s="15" t="s">
        <v>23</v>
      </c>
    </row>
    <row r="4698" spans="1:11" ht="42" customHeight="1">
      <c r="A4698" s="4" t="s">
        <v>11477</v>
      </c>
      <c r="B4698" s="5" t="s">
        <v>11477</v>
      </c>
      <c r="C4698" s="5" t="s">
        <v>94</v>
      </c>
      <c r="D4698" s="5" t="s">
        <v>95</v>
      </c>
      <c r="E4698" s="5" t="s">
        <v>35</v>
      </c>
      <c r="F4698" s="9" t="s">
        <v>36</v>
      </c>
      <c r="G4698" s="9" t="s">
        <v>148</v>
      </c>
      <c r="H4698" s="5" t="s">
        <v>21</v>
      </c>
      <c r="I4698" s="5" t="s">
        <v>11478</v>
      </c>
      <c r="J4698" s="12" t="str">
        <f>HYPERLINK("https://www.boe.es/gazeta/dias/1808/04/22/pdfs/GMD-C-1808-38.pdf#page=38","Abrir facsímil")</f>
        <v>Abrir facsímil</v>
      </c>
      <c r="K4698" s="15" t="s">
        <v>23</v>
      </c>
    </row>
    <row r="4699" spans="1:11" ht="42" customHeight="1">
      <c r="A4699" s="4" t="s">
        <v>11479</v>
      </c>
      <c r="B4699" s="5" t="s">
        <v>11479</v>
      </c>
      <c r="C4699" s="5" t="s">
        <v>17</v>
      </c>
      <c r="D4699" s="5" t="s">
        <v>18</v>
      </c>
      <c r="E4699" s="5" t="s">
        <v>130</v>
      </c>
      <c r="F4699" s="9" t="s">
        <v>131</v>
      </c>
      <c r="G4699" s="9">
        <v>1604</v>
      </c>
      <c r="H4699" s="5" t="s">
        <v>21</v>
      </c>
      <c r="I4699" s="5" t="s">
        <v>11480</v>
      </c>
      <c r="J4699" s="12" t="str">
        <f>HYPERLINK("https://www.boe.es/gazeta/dias/1808/12/15/pdfs/GMD-1808-155.pdf#page=8","Abrir facsímil")</f>
        <v>Abrir facsímil</v>
      </c>
      <c r="K4699" s="15" t="s">
        <v>23</v>
      </c>
    </row>
    <row r="4700" spans="1:11" ht="42" customHeight="1">
      <c r="A4700" s="4" t="s">
        <v>11481</v>
      </c>
      <c r="B4700" s="5" t="s">
        <v>11481</v>
      </c>
      <c r="C4700" s="5" t="s">
        <v>33</v>
      </c>
      <c r="D4700" s="5" t="s">
        <v>34</v>
      </c>
      <c r="E4700" s="5" t="s">
        <v>35</v>
      </c>
      <c r="F4700" s="9" t="s">
        <v>36</v>
      </c>
      <c r="G4700" s="9" t="s">
        <v>199</v>
      </c>
      <c r="H4700" s="5" t="s">
        <v>21</v>
      </c>
      <c r="I4700" s="5" t="s">
        <v>11482</v>
      </c>
      <c r="J4700" s="12" t="str">
        <f>HYPERLINK("https://www.boe.es/gazeta/dias/1808/04/22/pdfs/GMD-C-1808-38.pdf#page=2","Abrir facsímil")</f>
        <v>Abrir facsímil</v>
      </c>
      <c r="K4700" s="15" t="s">
        <v>23</v>
      </c>
    </row>
    <row r="4701" spans="1:11" ht="42" customHeight="1">
      <c r="A4701" s="4" t="s">
        <v>11483</v>
      </c>
      <c r="B4701" s="5" t="s">
        <v>11483</v>
      </c>
      <c r="C4701" s="5" t="s">
        <v>33</v>
      </c>
      <c r="D4701" s="5" t="s">
        <v>34</v>
      </c>
      <c r="E4701" s="5" t="s">
        <v>35</v>
      </c>
      <c r="F4701" s="9" t="s">
        <v>36</v>
      </c>
      <c r="G4701" s="9" t="s">
        <v>80</v>
      </c>
      <c r="H4701" s="5" t="s">
        <v>21</v>
      </c>
      <c r="I4701" s="5" t="s">
        <v>11484</v>
      </c>
      <c r="J4701" s="12" t="str">
        <f>HYPERLINK("https://www.boe.es/gazeta/dias/1808/04/22/pdfs/GMD-C-1808-38.pdf#page=18","Abrir facsímil")</f>
        <v>Abrir facsímil</v>
      </c>
      <c r="K4701" s="15" t="s">
        <v>23</v>
      </c>
    </row>
    <row r="4702" spans="1:11" ht="42" customHeight="1">
      <c r="A4702" s="4" t="s">
        <v>11483</v>
      </c>
      <c r="B4702" s="5" t="s">
        <v>11483</v>
      </c>
      <c r="C4702" s="5" t="s">
        <v>41</v>
      </c>
      <c r="D4702" s="5" t="s">
        <v>42</v>
      </c>
      <c r="E4702" s="5" t="s">
        <v>35</v>
      </c>
      <c r="F4702" s="9" t="s">
        <v>36</v>
      </c>
      <c r="G4702" s="9" t="s">
        <v>43</v>
      </c>
      <c r="H4702" s="5" t="s">
        <v>21</v>
      </c>
      <c r="I4702" s="5" t="s">
        <v>11485</v>
      </c>
      <c r="J4702" s="12" t="str">
        <f>HYPERLINK("https://www.boe.es/gazeta/dias/1808/04/22/pdfs/GMD-C-1808-38.pdf#page=30","Abrir facsímil")</f>
        <v>Abrir facsímil</v>
      </c>
      <c r="K4702" s="15" t="s">
        <v>23</v>
      </c>
    </row>
    <row r="4703" spans="1:11" ht="42" customHeight="1">
      <c r="A4703" s="4" t="s">
        <v>11483</v>
      </c>
      <c r="B4703" s="5" t="s">
        <v>11483</v>
      </c>
      <c r="C4703" s="5" t="s">
        <v>33</v>
      </c>
      <c r="D4703" s="5" t="s">
        <v>34</v>
      </c>
      <c r="E4703" s="5" t="s">
        <v>35</v>
      </c>
      <c r="F4703" s="9" t="s">
        <v>36</v>
      </c>
      <c r="G4703" s="9" t="s">
        <v>277</v>
      </c>
      <c r="H4703" s="5" t="s">
        <v>21</v>
      </c>
      <c r="I4703" s="5" t="s">
        <v>11486</v>
      </c>
      <c r="J4703" s="12" t="str">
        <f>HYPERLINK("https://www.boe.es/gazeta/dias/1808/04/22/pdfs/GMD-C-1808-38.pdf#page=34","Abrir facsímil")</f>
        <v>Abrir facsímil</v>
      </c>
      <c r="K4703" s="15" t="s">
        <v>23</v>
      </c>
    </row>
    <row r="4704" spans="1:11" ht="42" customHeight="1">
      <c r="A4704" s="4" t="s">
        <v>11487</v>
      </c>
      <c r="B4704" s="5" t="s">
        <v>11487</v>
      </c>
      <c r="C4704" s="5" t="s">
        <v>17</v>
      </c>
      <c r="D4704" s="5" t="s">
        <v>18</v>
      </c>
      <c r="E4704" s="5" t="s">
        <v>1791</v>
      </c>
      <c r="F4704" s="9" t="s">
        <v>2814</v>
      </c>
      <c r="G4704" s="9">
        <v>930</v>
      </c>
      <c r="H4704" s="5" t="s">
        <v>21</v>
      </c>
      <c r="I4704" s="5" t="s">
        <v>11488</v>
      </c>
      <c r="J4704" s="12" t="str">
        <f>HYPERLINK("https://www.boe.es/gazeta/dias/1808/07/30/pdfs/GMD-1808-102.pdf#page=4","Abrir facsímil")</f>
        <v>Abrir facsímil</v>
      </c>
      <c r="K4704" s="15" t="s">
        <v>23</v>
      </c>
    </row>
    <row r="4705" spans="1:11" ht="42" customHeight="1">
      <c r="A4705" s="4" t="s">
        <v>11487</v>
      </c>
      <c r="B4705" s="5" t="s">
        <v>11487</v>
      </c>
      <c r="C4705" s="5" t="s">
        <v>41</v>
      </c>
      <c r="D4705" s="5" t="s">
        <v>42</v>
      </c>
      <c r="E4705" s="5" t="s">
        <v>427</v>
      </c>
      <c r="F4705" s="9" t="s">
        <v>1802</v>
      </c>
      <c r="G4705" s="9">
        <v>1526</v>
      </c>
      <c r="H4705" s="5" t="s">
        <v>21</v>
      </c>
      <c r="I4705" s="5" t="s">
        <v>11489</v>
      </c>
      <c r="J4705" s="12" t="str">
        <f>HYPERLINK("https://www.boe.es/gazeta/dias/1808/11/22/pdfs/GMD-1808-146.pdf#page=12","Abrir facsímil")</f>
        <v>Abrir facsímil</v>
      </c>
      <c r="K4705" s="15" t="s">
        <v>23</v>
      </c>
    </row>
    <row r="4706" spans="1:11" ht="42" customHeight="1">
      <c r="A4706" s="4" t="s">
        <v>11490</v>
      </c>
      <c r="B4706" s="5" t="s">
        <v>11490</v>
      </c>
      <c r="C4706" s="5" t="s">
        <v>17</v>
      </c>
      <c r="D4706" s="5" t="s">
        <v>18</v>
      </c>
      <c r="E4706" s="5" t="s">
        <v>456</v>
      </c>
      <c r="F4706" s="9" t="s">
        <v>457</v>
      </c>
      <c r="G4706" s="9">
        <v>1299</v>
      </c>
      <c r="H4706" s="5" t="s">
        <v>21</v>
      </c>
      <c r="I4706" s="5" t="s">
        <v>11491</v>
      </c>
      <c r="J4706" s="12" t="str">
        <f>HYPERLINK("https://www.boe.es/gazeta/dias/1808/10/14/pdfs/GMD-1808-134.pdf#page=11","Abrir facsímil")</f>
        <v>Abrir facsímil</v>
      </c>
      <c r="K4706" s="15" t="s">
        <v>23</v>
      </c>
    </row>
    <row r="4707" spans="1:11" ht="42" customHeight="1">
      <c r="A4707" s="4" t="s">
        <v>11492</v>
      </c>
      <c r="B4707" s="5" t="s">
        <v>11492</v>
      </c>
      <c r="C4707" s="5" t="s">
        <v>389</v>
      </c>
      <c r="D4707" s="5" t="s">
        <v>390</v>
      </c>
      <c r="E4707" s="5" t="s">
        <v>461</v>
      </c>
      <c r="F4707" s="9" t="s">
        <v>462</v>
      </c>
      <c r="G4707" s="9" t="s">
        <v>117</v>
      </c>
      <c r="H4707" s="5" t="s">
        <v>21</v>
      </c>
      <c r="I4707" s="5" t="s">
        <v>11493</v>
      </c>
      <c r="J4707" s="12" t="str">
        <f>HYPERLINK("https://www.boe.es/gazeta/dias/1808/11/08/pdfs/GMD-D-1808-142.pdf#page=1","Abrir facsímil")</f>
        <v>Abrir facsímil</v>
      </c>
      <c r="K4707" s="15" t="s">
        <v>23</v>
      </c>
    </row>
    <row r="4708" spans="1:11" ht="42" customHeight="1">
      <c r="A4708" s="4" t="s">
        <v>11494</v>
      </c>
      <c r="B4708" s="5" t="s">
        <v>11494</v>
      </c>
      <c r="C4708" s="5" t="s">
        <v>41</v>
      </c>
      <c r="D4708" s="5" t="s">
        <v>42</v>
      </c>
      <c r="E4708" s="5" t="s">
        <v>35</v>
      </c>
      <c r="F4708" s="9" t="s">
        <v>36</v>
      </c>
      <c r="G4708" s="9" t="s">
        <v>106</v>
      </c>
      <c r="H4708" s="5" t="s">
        <v>21</v>
      </c>
      <c r="I4708" s="5" t="s">
        <v>11495</v>
      </c>
      <c r="J4708" s="12" t="str">
        <f>HYPERLINK("https://www.boe.es/gazeta/dias/1808/04/22/pdfs/GMD-C-1808-38.pdf#page=3","Abrir facsímil")</f>
        <v>Abrir facsímil</v>
      </c>
      <c r="K4708" s="15" t="s">
        <v>23</v>
      </c>
    </row>
    <row r="4709" spans="1:11" ht="42" customHeight="1">
      <c r="A4709" s="4" t="s">
        <v>11496</v>
      </c>
      <c r="B4709" s="5" t="s">
        <v>11496</v>
      </c>
      <c r="C4709" s="5" t="s">
        <v>94</v>
      </c>
      <c r="D4709" s="5" t="s">
        <v>95</v>
      </c>
      <c r="E4709" s="5" t="s">
        <v>663</v>
      </c>
      <c r="F4709" s="9" t="s">
        <v>664</v>
      </c>
      <c r="G4709" s="9">
        <v>209</v>
      </c>
      <c r="H4709" s="5" t="s">
        <v>21</v>
      </c>
      <c r="I4709" s="5" t="s">
        <v>11497</v>
      </c>
      <c r="J4709" s="12" t="str">
        <f>HYPERLINK("https://www.boe.es/gazeta/dias/1808/02/26/pdfs/GMD-1808-17.pdf#page=11","Abrir facsímil")</f>
        <v>Abrir facsímil</v>
      </c>
      <c r="K4709" s="15" t="s">
        <v>23</v>
      </c>
    </row>
    <row r="4710" spans="1:11" ht="42" customHeight="1">
      <c r="A4710" s="4" t="s">
        <v>11498</v>
      </c>
      <c r="B4710" s="5" t="s">
        <v>11498</v>
      </c>
      <c r="C4710" s="5" t="s">
        <v>389</v>
      </c>
      <c r="D4710" s="5" t="s">
        <v>390</v>
      </c>
      <c r="E4710" s="5" t="s">
        <v>84</v>
      </c>
      <c r="F4710" s="9" t="s">
        <v>85</v>
      </c>
      <c r="G4710" s="9">
        <v>1163</v>
      </c>
      <c r="H4710" s="5" t="s">
        <v>21</v>
      </c>
      <c r="I4710" s="5" t="s">
        <v>11499</v>
      </c>
      <c r="J4710" s="12" t="str">
        <f>HYPERLINK("https://www.boe.es/gazeta/dias/1808/09/13/pdfs/GMD-1808-123.pdf#page=11","Abrir facsímil")</f>
        <v>Abrir facsímil</v>
      </c>
      <c r="K4710" s="15" t="s">
        <v>23</v>
      </c>
    </row>
    <row r="4711" spans="1:11" ht="42" customHeight="1">
      <c r="A4711" s="4" t="s">
        <v>11500</v>
      </c>
      <c r="B4711" s="5" t="s">
        <v>11500</v>
      </c>
      <c r="C4711" s="5" t="s">
        <v>33</v>
      </c>
      <c r="D4711" s="5" t="s">
        <v>34</v>
      </c>
      <c r="E4711" s="5" t="s">
        <v>35</v>
      </c>
      <c r="F4711" s="9" t="s">
        <v>36</v>
      </c>
      <c r="G4711" s="9" t="s">
        <v>443</v>
      </c>
      <c r="H4711" s="5" t="s">
        <v>21</v>
      </c>
      <c r="I4711" s="5" t="s">
        <v>11501</v>
      </c>
      <c r="J4711" s="12" t="str">
        <f>HYPERLINK("https://www.boe.es/gazeta/dias/1808/04/22/pdfs/GMD-C-1808-38.pdf#page=16","Abrir facsímil")</f>
        <v>Abrir facsímil</v>
      </c>
      <c r="K4711" s="15" t="s">
        <v>23</v>
      </c>
    </row>
    <row r="4712" spans="1:11" ht="42" customHeight="1">
      <c r="A4712" s="4" t="s">
        <v>11502</v>
      </c>
      <c r="B4712" s="5" t="s">
        <v>11502</v>
      </c>
      <c r="C4712" s="5" t="s">
        <v>94</v>
      </c>
      <c r="D4712" s="5" t="s">
        <v>95</v>
      </c>
      <c r="E4712" s="5" t="s">
        <v>974</v>
      </c>
      <c r="F4712" s="9" t="s">
        <v>975</v>
      </c>
      <c r="G4712" s="9">
        <v>391</v>
      </c>
      <c r="H4712" s="5" t="s">
        <v>21</v>
      </c>
      <c r="I4712" s="5" t="s">
        <v>11503</v>
      </c>
      <c r="J4712" s="12" t="str">
        <f>HYPERLINK("https://www.boe.es/gazeta/dias/1808/04/19/pdfs/GMD-1808-37.pdf#page=7","Abrir facsímil")</f>
        <v>Abrir facsímil</v>
      </c>
      <c r="K4712" s="15" t="s">
        <v>23</v>
      </c>
    </row>
    <row r="4713" spans="1:11" ht="42" customHeight="1">
      <c r="A4713" s="4" t="s">
        <v>11504</v>
      </c>
      <c r="B4713" s="5" t="s">
        <v>11504</v>
      </c>
      <c r="C4713" s="5" t="s">
        <v>94</v>
      </c>
      <c r="D4713" s="5" t="s">
        <v>95</v>
      </c>
      <c r="E4713" s="5" t="s">
        <v>663</v>
      </c>
      <c r="F4713" s="9" t="s">
        <v>664</v>
      </c>
      <c r="G4713" s="9">
        <v>209</v>
      </c>
      <c r="H4713" s="5" t="s">
        <v>21</v>
      </c>
      <c r="I4713" s="5" t="s">
        <v>11505</v>
      </c>
      <c r="J4713" s="12" t="str">
        <f>HYPERLINK("https://www.boe.es/gazeta/dias/1808/02/26/pdfs/GMD-1808-17.pdf#page=11","Abrir facsímil")</f>
        <v>Abrir facsímil</v>
      </c>
      <c r="K4713" s="15" t="s">
        <v>23</v>
      </c>
    </row>
    <row r="4714" spans="1:11" ht="42" customHeight="1">
      <c r="A4714" s="4" t="s">
        <v>11506</v>
      </c>
      <c r="B4714" s="5" t="s">
        <v>11506</v>
      </c>
      <c r="C4714" s="5" t="s">
        <v>94</v>
      </c>
      <c r="D4714" s="5" t="s">
        <v>95</v>
      </c>
      <c r="E4714" s="5" t="s">
        <v>54</v>
      </c>
      <c r="F4714" s="9" t="s">
        <v>55</v>
      </c>
      <c r="G4714" s="9">
        <v>1087</v>
      </c>
      <c r="H4714" s="5" t="s">
        <v>21</v>
      </c>
      <c r="I4714" s="5" t="s">
        <v>11507</v>
      </c>
      <c r="J4714" s="12" t="str">
        <f>HYPERLINK("https://www.boe.es/gazeta/dias/1808/08/26/pdfs/GMD-1808-117.pdf#page=9","Abrir facsímil")</f>
        <v>Abrir facsímil</v>
      </c>
      <c r="K4714" s="15" t="s">
        <v>23</v>
      </c>
    </row>
    <row r="4715" spans="1:11" ht="42" customHeight="1">
      <c r="A4715" s="4" t="s">
        <v>11508</v>
      </c>
      <c r="B4715" s="5" t="s">
        <v>11508</v>
      </c>
      <c r="C4715" s="5" t="s">
        <v>17</v>
      </c>
      <c r="D4715" s="5" t="s">
        <v>18</v>
      </c>
      <c r="E4715" s="5" t="s">
        <v>339</v>
      </c>
      <c r="F4715" s="9" t="s">
        <v>340</v>
      </c>
      <c r="G4715" s="9">
        <v>79</v>
      </c>
      <c r="H4715" s="5" t="s">
        <v>21</v>
      </c>
      <c r="I4715" s="5" t="s">
        <v>11509</v>
      </c>
      <c r="J4715" s="12" t="str">
        <f>HYPERLINK("https://www.boe.es/gazeta/dias/1808/01/22/pdfs/GMD-1808-7.pdf#page=7","Abrir facsímil")</f>
        <v>Abrir facsímil</v>
      </c>
      <c r="K4715" s="15" t="s">
        <v>23</v>
      </c>
    </row>
    <row r="4716" spans="1:11" ht="42" customHeight="1">
      <c r="A4716" s="4" t="s">
        <v>11508</v>
      </c>
      <c r="B4716" s="5" t="s">
        <v>11508</v>
      </c>
      <c r="C4716" s="5" t="s">
        <v>389</v>
      </c>
      <c r="D4716" s="5" t="s">
        <v>390</v>
      </c>
      <c r="E4716" s="5" t="s">
        <v>334</v>
      </c>
      <c r="F4716" s="9" t="s">
        <v>335</v>
      </c>
      <c r="G4716" s="9">
        <v>1258</v>
      </c>
      <c r="H4716" s="5" t="s">
        <v>21</v>
      </c>
      <c r="I4716" s="5" t="s">
        <v>11510</v>
      </c>
      <c r="J4716" s="12" t="str">
        <f>HYPERLINK("https://www.boe.es/gazeta/dias/1808/10/04/pdfs/GMD-C-1808-131.pdf#page=10","Abrir facsímil")</f>
        <v>Abrir facsímil</v>
      </c>
      <c r="K4716" s="15" t="s">
        <v>23</v>
      </c>
    </row>
    <row r="4717" spans="1:11" ht="42" customHeight="1">
      <c r="A4717" s="4" t="s">
        <v>11511</v>
      </c>
      <c r="B4717" s="5" t="s">
        <v>11511</v>
      </c>
      <c r="C4717" s="5" t="s">
        <v>94</v>
      </c>
      <c r="D4717" s="5" t="s">
        <v>95</v>
      </c>
      <c r="E4717" s="5" t="s">
        <v>469</v>
      </c>
      <c r="F4717" s="9" t="s">
        <v>470</v>
      </c>
      <c r="G4717" s="9">
        <v>152</v>
      </c>
      <c r="H4717" s="5" t="s">
        <v>21</v>
      </c>
      <c r="I4717" s="5" t="s">
        <v>11512</v>
      </c>
      <c r="J4717" s="12" t="str">
        <f>HYPERLINK("https://www.boe.es/gazeta/dias/1808/02/12/pdfs/GMD-1808-13.pdf#page=8","Abrir facsímil")</f>
        <v>Abrir facsímil</v>
      </c>
      <c r="K4717" s="15" t="s">
        <v>23</v>
      </c>
    </row>
    <row r="4718" spans="1:11" ht="42" customHeight="1">
      <c r="A4718" s="4" t="s">
        <v>11513</v>
      </c>
      <c r="B4718" s="5" t="s">
        <v>11513</v>
      </c>
      <c r="C4718" s="5" t="s">
        <v>94</v>
      </c>
      <c r="D4718" s="5" t="s">
        <v>95</v>
      </c>
      <c r="E4718" s="5" t="s">
        <v>238</v>
      </c>
      <c r="F4718" s="9" t="s">
        <v>239</v>
      </c>
      <c r="G4718" s="9">
        <v>34</v>
      </c>
      <c r="H4718" s="5" t="s">
        <v>21</v>
      </c>
      <c r="I4718" s="5" t="s">
        <v>11514</v>
      </c>
      <c r="J4718" s="12" t="str">
        <f>HYPERLINK("https://www.boe.es/gazeta/dias/1808/01/08/pdfs/GMD-1808-3.pdf#page=10","Abrir facsímil")</f>
        <v>Abrir facsímil</v>
      </c>
      <c r="K4718" s="15" t="s">
        <v>23</v>
      </c>
    </row>
    <row r="4719" spans="1:11" ht="42" customHeight="1">
      <c r="A4719" s="4" t="s">
        <v>11515</v>
      </c>
      <c r="B4719" s="5" t="s">
        <v>11515</v>
      </c>
      <c r="C4719" s="5" t="s">
        <v>41</v>
      </c>
      <c r="D4719" s="5" t="s">
        <v>42</v>
      </c>
      <c r="E4719" s="5" t="s">
        <v>35</v>
      </c>
      <c r="F4719" s="9" t="s">
        <v>36</v>
      </c>
      <c r="G4719" s="9" t="s">
        <v>135</v>
      </c>
      <c r="H4719" s="5" t="s">
        <v>21</v>
      </c>
      <c r="I4719" s="5" t="s">
        <v>11516</v>
      </c>
      <c r="J4719" s="12" t="str">
        <f>HYPERLINK("https://www.boe.es/gazeta/dias/1808/04/22/pdfs/GMD-C-1808-38.pdf#page=26","Abrir facsímil")</f>
        <v>Abrir facsímil</v>
      </c>
      <c r="K4719" s="15" t="s">
        <v>23</v>
      </c>
    </row>
    <row r="4720" spans="1:11" ht="42" customHeight="1">
      <c r="A4720" s="4" t="s">
        <v>11515</v>
      </c>
      <c r="B4720" s="5" t="s">
        <v>11515</v>
      </c>
      <c r="C4720" s="5" t="s">
        <v>33</v>
      </c>
      <c r="D4720" s="5" t="s">
        <v>34</v>
      </c>
      <c r="E4720" s="5" t="s">
        <v>35</v>
      </c>
      <c r="F4720" s="9" t="s">
        <v>36</v>
      </c>
      <c r="G4720" s="9" t="s">
        <v>106</v>
      </c>
      <c r="H4720" s="5" t="s">
        <v>21</v>
      </c>
      <c r="I4720" s="5" t="s">
        <v>11517</v>
      </c>
      <c r="J4720" s="12" t="str">
        <f>HYPERLINK("https://www.boe.es/gazeta/dias/1808/04/22/pdfs/GMD-C-1808-38.pdf#page=3","Abrir facsímil")</f>
        <v>Abrir facsímil</v>
      </c>
      <c r="K4720" s="15" t="s">
        <v>23</v>
      </c>
    </row>
    <row r="4721" spans="1:11" ht="42" customHeight="1">
      <c r="A4721" s="4" t="s">
        <v>11518</v>
      </c>
      <c r="B4721" s="5" t="s">
        <v>11518</v>
      </c>
      <c r="C4721" s="5" t="s">
        <v>94</v>
      </c>
      <c r="D4721" s="5" t="s">
        <v>95</v>
      </c>
      <c r="E4721" s="5" t="s">
        <v>96</v>
      </c>
      <c r="F4721" s="9" t="s">
        <v>97</v>
      </c>
      <c r="G4721" s="9">
        <v>266</v>
      </c>
      <c r="H4721" s="5" t="s">
        <v>21</v>
      </c>
      <c r="I4721" s="5" t="s">
        <v>11519</v>
      </c>
      <c r="J4721" s="12" t="str">
        <f>HYPERLINK("https://www.boe.es/gazeta/dias/1808/03/15/pdfs/GMD-1808-22.pdf#page=8","Abrir facsímil")</f>
        <v>Abrir facsímil</v>
      </c>
      <c r="K4721" s="15" t="s">
        <v>23</v>
      </c>
    </row>
    <row r="4722" spans="1:11" ht="42" customHeight="1">
      <c r="A4722" s="4" t="s">
        <v>11520</v>
      </c>
      <c r="B4722" s="5" t="s">
        <v>11520</v>
      </c>
      <c r="C4722" s="5" t="s">
        <v>94</v>
      </c>
      <c r="D4722" s="5" t="s">
        <v>95</v>
      </c>
      <c r="E4722" s="5" t="s">
        <v>2555</v>
      </c>
      <c r="F4722" s="9" t="s">
        <v>2556</v>
      </c>
      <c r="G4722" s="9">
        <v>130</v>
      </c>
      <c r="H4722" s="5" t="s">
        <v>21</v>
      </c>
      <c r="I4722" s="5" t="s">
        <v>11521</v>
      </c>
      <c r="J4722" s="12" t="str">
        <f>HYPERLINK("https://www.boe.es/gazeta/dias/1808/02/05/pdfs/GMD-1808-11.pdf#page=10","Abrir facsímil")</f>
        <v>Abrir facsímil</v>
      </c>
      <c r="K4722" s="15" t="s">
        <v>23</v>
      </c>
    </row>
    <row r="4723" spans="1:11" ht="42" customHeight="1">
      <c r="A4723" s="4" t="s">
        <v>11522</v>
      </c>
      <c r="B4723" s="5" t="s">
        <v>11522</v>
      </c>
      <c r="C4723" s="5" t="s">
        <v>33</v>
      </c>
      <c r="D4723" s="5" t="s">
        <v>34</v>
      </c>
      <c r="E4723" s="5" t="s">
        <v>89</v>
      </c>
      <c r="F4723" s="9" t="s">
        <v>1247</v>
      </c>
      <c r="G4723" s="9">
        <v>1365</v>
      </c>
      <c r="H4723" s="5" t="s">
        <v>21</v>
      </c>
      <c r="I4723" s="5" t="s">
        <v>11523</v>
      </c>
      <c r="J4723" s="12" t="str">
        <f>HYPERLINK("https://www.boe.es/gazeta/dias/1808/10/25/pdfs/GMD-C-1808-137.pdf#page=1","Abrir facsímil")</f>
        <v>Abrir facsímil</v>
      </c>
      <c r="K4723" s="15" t="s">
        <v>23</v>
      </c>
    </row>
    <row r="4724" spans="1:11" ht="42" customHeight="1">
      <c r="A4724" s="4" t="s">
        <v>11524</v>
      </c>
      <c r="B4724" s="5" t="s">
        <v>11524</v>
      </c>
      <c r="C4724" s="5" t="s">
        <v>41</v>
      </c>
      <c r="D4724" s="5" t="s">
        <v>42</v>
      </c>
      <c r="E4724" s="5" t="s">
        <v>35</v>
      </c>
      <c r="F4724" s="9" t="s">
        <v>36</v>
      </c>
      <c r="G4724" s="9" t="s">
        <v>818</v>
      </c>
      <c r="H4724" s="5" t="s">
        <v>21</v>
      </c>
      <c r="I4724" s="5" t="s">
        <v>11525</v>
      </c>
      <c r="J4724" s="12" t="str">
        <f>HYPERLINK("https://www.boe.es/gazeta/dias/1808/04/22/pdfs/GMD-C-1808-38.pdf#page=7","Abrir facsímil")</f>
        <v>Abrir facsímil</v>
      </c>
      <c r="K4724" s="15" t="s">
        <v>23</v>
      </c>
    </row>
    <row r="4725" spans="1:11" ht="42" customHeight="1">
      <c r="A4725" s="4" t="s">
        <v>11526</v>
      </c>
      <c r="B4725" s="5" t="s">
        <v>11526</v>
      </c>
      <c r="C4725" s="5" t="s">
        <v>17</v>
      </c>
      <c r="D4725" s="5" t="s">
        <v>18</v>
      </c>
      <c r="E4725" s="5" t="s">
        <v>1085</v>
      </c>
      <c r="F4725" s="9" t="s">
        <v>1086</v>
      </c>
      <c r="G4725" s="9">
        <v>106</v>
      </c>
      <c r="H4725" s="5" t="s">
        <v>21</v>
      </c>
      <c r="I4725" s="5" t="s">
        <v>11527</v>
      </c>
      <c r="J4725" s="12" t="str">
        <f>HYPERLINK("https://www.boe.es/gazeta/dias/1808/01/29/pdfs/GMD-1808-9.pdf#page=10","Abrir facsímil")</f>
        <v>Abrir facsímil</v>
      </c>
      <c r="K4725" s="15" t="s">
        <v>23</v>
      </c>
    </row>
    <row r="4726" spans="1:11" ht="42" customHeight="1">
      <c r="A4726" s="4" t="s">
        <v>11526</v>
      </c>
      <c r="B4726" s="5" t="s">
        <v>11526</v>
      </c>
      <c r="C4726" s="5" t="s">
        <v>17</v>
      </c>
      <c r="D4726" s="5" t="s">
        <v>18</v>
      </c>
      <c r="E4726" s="5" t="s">
        <v>61</v>
      </c>
      <c r="F4726" s="9" t="s">
        <v>62</v>
      </c>
      <c r="G4726" s="9">
        <v>1286</v>
      </c>
      <c r="H4726" s="5" t="s">
        <v>21</v>
      </c>
      <c r="I4726" s="5" t="s">
        <v>11528</v>
      </c>
      <c r="J4726" s="12" t="str">
        <f>HYPERLINK("https://www.boe.es/gazeta/dias/1808/10/11/pdfs/GMD-1808-133.pdf#page=14","Abrir facsímil")</f>
        <v>Abrir facsímil</v>
      </c>
      <c r="K4726" s="15" t="s">
        <v>23</v>
      </c>
    </row>
    <row r="4727" spans="1:11" ht="42" customHeight="1">
      <c r="A4727" s="4" t="s">
        <v>11529</v>
      </c>
      <c r="B4727" s="5" t="s">
        <v>11530</v>
      </c>
      <c r="C4727" s="5" t="s">
        <v>33</v>
      </c>
      <c r="D4727" s="5" t="s">
        <v>34</v>
      </c>
      <c r="E4727" s="5" t="s">
        <v>35</v>
      </c>
      <c r="F4727" s="9" t="s">
        <v>36</v>
      </c>
      <c r="G4727" s="9" t="s">
        <v>37</v>
      </c>
      <c r="H4727" s="5" t="s">
        <v>21</v>
      </c>
      <c r="I4727" s="5" t="s">
        <v>11531</v>
      </c>
      <c r="J4727" s="12" t="str">
        <f>HYPERLINK("https://www.boe.es/gazeta/dias/1808/04/22/pdfs/GMD-C-1808-38.pdf#page=33","Abrir facsímil")</f>
        <v>Abrir facsímil</v>
      </c>
      <c r="K4727" s="15" t="s">
        <v>23</v>
      </c>
    </row>
    <row r="4728" spans="1:11" ht="42" customHeight="1">
      <c r="A4728" s="4" t="s">
        <v>11532</v>
      </c>
      <c r="B4728" s="5" t="s">
        <v>11532</v>
      </c>
      <c r="C4728" s="5" t="s">
        <v>17</v>
      </c>
      <c r="D4728" s="5" t="s">
        <v>18</v>
      </c>
      <c r="E4728" s="5" t="s">
        <v>125</v>
      </c>
      <c r="F4728" s="9" t="s">
        <v>397</v>
      </c>
      <c r="G4728" s="9">
        <v>1269</v>
      </c>
      <c r="H4728" s="5" t="s">
        <v>21</v>
      </c>
      <c r="I4728" s="5" t="s">
        <v>11533</v>
      </c>
      <c r="J4728" s="12" t="str">
        <f>HYPERLINK("https://www.boe.es/gazeta/dias/1808/10/07/pdfs/GMD-1808-132.pdf#page=9","Abrir facsímil")</f>
        <v>Abrir facsímil</v>
      </c>
      <c r="K4728" s="15" t="s">
        <v>23</v>
      </c>
    </row>
    <row r="4729" spans="1:11" ht="42" customHeight="1">
      <c r="A4729" s="4" t="s">
        <v>11534</v>
      </c>
      <c r="B4729" s="5" t="s">
        <v>11534</v>
      </c>
      <c r="C4729" s="5" t="s">
        <v>41</v>
      </c>
      <c r="D4729" s="5" t="s">
        <v>42</v>
      </c>
      <c r="E4729" s="5" t="s">
        <v>139</v>
      </c>
      <c r="F4729" s="9" t="s">
        <v>3587</v>
      </c>
      <c r="G4729" s="9">
        <v>272</v>
      </c>
      <c r="H4729" s="5" t="s">
        <v>21</v>
      </c>
      <c r="I4729" s="5" t="s">
        <v>11535</v>
      </c>
      <c r="J4729" s="12" t="str">
        <f>HYPERLINK("https://www.boe.es/gazeta/dias/1808/09/23/pdfs/GMS-1808-34.pdf#page=8","Abrir facsímil")</f>
        <v>Abrir facsímil</v>
      </c>
      <c r="K4729" s="15" t="s">
        <v>23</v>
      </c>
    </row>
    <row r="4730" spans="1:11" ht="42" customHeight="1">
      <c r="A4730" s="4" t="s">
        <v>11536</v>
      </c>
      <c r="B4730" s="5" t="s">
        <v>11536</v>
      </c>
      <c r="C4730" s="5" t="s">
        <v>17</v>
      </c>
      <c r="D4730" s="5" t="s">
        <v>18</v>
      </c>
      <c r="E4730" s="5" t="s">
        <v>61</v>
      </c>
      <c r="F4730" s="9" t="s">
        <v>62</v>
      </c>
      <c r="G4730" s="9">
        <v>1284</v>
      </c>
      <c r="H4730" s="5" t="s">
        <v>21</v>
      </c>
      <c r="I4730" s="5" t="s">
        <v>11537</v>
      </c>
      <c r="J4730" s="12" t="str">
        <f>HYPERLINK("https://www.boe.es/gazeta/dias/1808/10/11/pdfs/GMD-1808-133.pdf#page=12","Abrir facsímil")</f>
        <v>Abrir facsímil</v>
      </c>
      <c r="K4730" s="15" t="s">
        <v>23</v>
      </c>
    </row>
    <row r="4731" spans="1:11" ht="42" customHeight="1">
      <c r="A4731" s="4" t="s">
        <v>11538</v>
      </c>
      <c r="B4731" s="5" t="s">
        <v>11538</v>
      </c>
      <c r="C4731" s="5" t="s">
        <v>33</v>
      </c>
      <c r="D4731" s="5" t="s">
        <v>34</v>
      </c>
      <c r="E4731" s="5" t="s">
        <v>35</v>
      </c>
      <c r="F4731" s="9" t="s">
        <v>36</v>
      </c>
      <c r="G4731" s="9" t="s">
        <v>135</v>
      </c>
      <c r="H4731" s="5" t="s">
        <v>21</v>
      </c>
      <c r="I4731" s="5" t="s">
        <v>11539</v>
      </c>
      <c r="J4731" s="12" t="str">
        <f>HYPERLINK("https://www.boe.es/gazeta/dias/1808/04/22/pdfs/GMD-C-1808-38.pdf#page=26","Abrir facsímil")</f>
        <v>Abrir facsímil</v>
      </c>
      <c r="K4731" s="15" t="s">
        <v>23</v>
      </c>
    </row>
    <row r="4732" spans="1:11" ht="42" customHeight="1">
      <c r="A4732" s="4" t="s">
        <v>11538</v>
      </c>
      <c r="B4732" s="5" t="s">
        <v>11538</v>
      </c>
      <c r="C4732" s="5" t="s">
        <v>33</v>
      </c>
      <c r="D4732" s="5" t="s">
        <v>34</v>
      </c>
      <c r="E4732" s="5" t="s">
        <v>35</v>
      </c>
      <c r="F4732" s="9" t="s">
        <v>36</v>
      </c>
      <c r="G4732" s="9" t="s">
        <v>956</v>
      </c>
      <c r="H4732" s="5" t="s">
        <v>21</v>
      </c>
      <c r="I4732" s="5" t="s">
        <v>11540</v>
      </c>
      <c r="J4732" s="12" t="str">
        <f>HYPERLINK("https://www.boe.es/gazeta/dias/1808/04/22/pdfs/GMD-C-1808-38.pdf#page=41","Abrir facsímil")</f>
        <v>Abrir facsímil</v>
      </c>
      <c r="K4732" s="15" t="s">
        <v>23</v>
      </c>
    </row>
    <row r="4733" spans="1:11" ht="42" customHeight="1">
      <c r="A4733" s="4" t="s">
        <v>11541</v>
      </c>
      <c r="B4733" s="5" t="s">
        <v>11541</v>
      </c>
      <c r="C4733" s="5" t="s">
        <v>17</v>
      </c>
      <c r="D4733" s="5" t="s">
        <v>18</v>
      </c>
      <c r="E4733" s="5" t="s">
        <v>203</v>
      </c>
      <c r="F4733" s="9" t="s">
        <v>204</v>
      </c>
      <c r="G4733" s="9">
        <v>140</v>
      </c>
      <c r="H4733" s="5" t="s">
        <v>21</v>
      </c>
      <c r="I4733" s="5" t="s">
        <v>11542</v>
      </c>
      <c r="J4733" s="12" t="str">
        <f>HYPERLINK("https://www.boe.es/gazeta/dias/1808/02/09/pdfs/GMD-1808-12.pdf#page=8","Abrir facsímil")</f>
        <v>Abrir facsímil</v>
      </c>
      <c r="K4733" s="15" t="s">
        <v>23</v>
      </c>
    </row>
    <row r="4734" spans="1:11" ht="42" customHeight="1">
      <c r="A4734" s="4" t="s">
        <v>11543</v>
      </c>
      <c r="B4734" s="5" t="s">
        <v>11543</v>
      </c>
      <c r="C4734" s="5" t="s">
        <v>33</v>
      </c>
      <c r="D4734" s="5" t="s">
        <v>34</v>
      </c>
      <c r="E4734" s="5" t="s">
        <v>35</v>
      </c>
      <c r="F4734" s="9" t="s">
        <v>36</v>
      </c>
      <c r="G4734" s="9" t="s">
        <v>837</v>
      </c>
      <c r="H4734" s="5" t="s">
        <v>21</v>
      </c>
      <c r="I4734" s="5" t="s">
        <v>11544</v>
      </c>
      <c r="J4734" s="12" t="str">
        <f>HYPERLINK("https://www.boe.es/gazeta/dias/1808/04/22/pdfs/GMD-C-1808-38.pdf#page=10","Abrir facsímil")</f>
        <v>Abrir facsímil</v>
      </c>
      <c r="K4734" s="15" t="s">
        <v>23</v>
      </c>
    </row>
    <row r="4735" spans="1:11" ht="42" customHeight="1">
      <c r="A4735" s="4" t="s">
        <v>11543</v>
      </c>
      <c r="B4735" s="5" t="s">
        <v>11543</v>
      </c>
      <c r="C4735" s="5" t="s">
        <v>17</v>
      </c>
      <c r="D4735" s="5" t="s">
        <v>18</v>
      </c>
      <c r="E4735" s="5" t="s">
        <v>1258</v>
      </c>
      <c r="F4735" s="9" t="s">
        <v>1259</v>
      </c>
      <c r="G4735" s="9">
        <v>890</v>
      </c>
      <c r="H4735" s="5" t="s">
        <v>21</v>
      </c>
      <c r="I4735" s="5" t="s">
        <v>11545</v>
      </c>
      <c r="J4735" s="12" t="str">
        <f>HYPERLINK("https://www.boe.es/gazeta/dias/1808/07/25/pdfs/GMD-1808-97.pdf#page=4","Abrir facsímil")</f>
        <v>Abrir facsímil</v>
      </c>
      <c r="K4735" s="15" t="s">
        <v>23</v>
      </c>
    </row>
    <row r="4736" spans="1:11" ht="42" customHeight="1">
      <c r="A4736" s="4" t="s">
        <v>11543</v>
      </c>
      <c r="B4736" s="5" t="s">
        <v>11543</v>
      </c>
      <c r="C4736" s="5" t="s">
        <v>33</v>
      </c>
      <c r="D4736" s="5" t="s">
        <v>34</v>
      </c>
      <c r="E4736" s="5" t="s">
        <v>125</v>
      </c>
      <c r="F4736" s="9" t="s">
        <v>126</v>
      </c>
      <c r="G4736" s="9" t="s">
        <v>75</v>
      </c>
      <c r="H4736" s="5" t="s">
        <v>21</v>
      </c>
      <c r="I4736" s="5" t="s">
        <v>11546</v>
      </c>
      <c r="J4736" s="12" t="str">
        <f>HYPERLINK("https://www.boe.es/gazeta/dias/1808/10/07/pdfs/GMD-C-1808-132.pdf#page=4","Abrir facsímil")</f>
        <v>Abrir facsímil</v>
      </c>
      <c r="K4736" s="15" t="s">
        <v>23</v>
      </c>
    </row>
    <row r="4737" spans="1:11" ht="42" customHeight="1">
      <c r="A4737" s="4" t="s">
        <v>11543</v>
      </c>
      <c r="B4737" s="5" t="s">
        <v>11543</v>
      </c>
      <c r="C4737" s="5" t="s">
        <v>33</v>
      </c>
      <c r="D4737" s="5" t="s">
        <v>34</v>
      </c>
      <c r="E4737" s="5" t="s">
        <v>68</v>
      </c>
      <c r="F4737" s="9" t="s">
        <v>849</v>
      </c>
      <c r="G4737" s="9">
        <v>1344</v>
      </c>
      <c r="H4737" s="5" t="s">
        <v>21</v>
      </c>
      <c r="I4737" s="5" t="s">
        <v>11547</v>
      </c>
      <c r="J4737" s="12" t="str">
        <f>HYPERLINK("https://www.boe.es/gazeta/dias/1808/10/21/pdfs/GMD-C-1808-136.pdf#page=4","Abrir facsímil")</f>
        <v>Abrir facsímil</v>
      </c>
      <c r="K4737" s="15" t="s">
        <v>23</v>
      </c>
    </row>
    <row r="4738" spans="1:11" ht="42" customHeight="1">
      <c r="A4738" s="4" t="s">
        <v>11548</v>
      </c>
      <c r="B4738" s="5" t="s">
        <v>11548</v>
      </c>
      <c r="C4738" s="5" t="s">
        <v>41</v>
      </c>
      <c r="D4738" s="5" t="s">
        <v>42</v>
      </c>
      <c r="E4738" s="5" t="s">
        <v>180</v>
      </c>
      <c r="F4738" s="9" t="s">
        <v>768</v>
      </c>
      <c r="G4738" s="9" t="s">
        <v>117</v>
      </c>
      <c r="H4738" s="5" t="s">
        <v>21</v>
      </c>
      <c r="I4738" s="5" t="s">
        <v>11549</v>
      </c>
      <c r="J4738" s="12" t="str">
        <f>HYPERLINK("https://www.boe.es/gazeta/dias/1808/11/15/pdfs/GMD-D-1808-144.pdf#page=1","Abrir facsímil")</f>
        <v>Abrir facsímil</v>
      </c>
      <c r="K4738" s="15" t="s">
        <v>23</v>
      </c>
    </row>
    <row r="4739" spans="1:11" ht="42" customHeight="1">
      <c r="A4739" s="4" t="s">
        <v>11550</v>
      </c>
      <c r="B4739" s="5" t="s">
        <v>11550</v>
      </c>
      <c r="C4739" s="5" t="s">
        <v>41</v>
      </c>
      <c r="D4739" s="5" t="s">
        <v>42</v>
      </c>
      <c r="E4739" s="5" t="s">
        <v>35</v>
      </c>
      <c r="F4739" s="9" t="s">
        <v>36</v>
      </c>
      <c r="G4739" s="9" t="s">
        <v>818</v>
      </c>
      <c r="H4739" s="5" t="s">
        <v>21</v>
      </c>
      <c r="I4739" s="5" t="s">
        <v>11551</v>
      </c>
      <c r="J4739" s="12" t="str">
        <f>HYPERLINK("https://www.boe.es/gazeta/dias/1808/04/22/pdfs/GMD-C-1808-38.pdf#page=7","Abrir facsímil")</f>
        <v>Abrir facsímil</v>
      </c>
      <c r="K4739" s="15" t="s">
        <v>23</v>
      </c>
    </row>
    <row r="4740" spans="1:11" ht="42" customHeight="1">
      <c r="A4740" s="4" t="s">
        <v>11552</v>
      </c>
      <c r="B4740" s="5" t="s">
        <v>11552</v>
      </c>
      <c r="C4740" s="5" t="s">
        <v>33</v>
      </c>
      <c r="D4740" s="5" t="s">
        <v>34</v>
      </c>
      <c r="E4740" s="5" t="s">
        <v>110</v>
      </c>
      <c r="F4740" s="9" t="s">
        <v>828</v>
      </c>
      <c r="G4740" s="9" t="s">
        <v>199</v>
      </c>
      <c r="H4740" s="5" t="s">
        <v>21</v>
      </c>
      <c r="I4740" s="5" t="s">
        <v>11553</v>
      </c>
      <c r="J4740" s="12" t="str">
        <f>HYPERLINK("https://www.boe.es/gazeta/dias/1808/10/28/pdfs/GMD-D-1808-138.pdf#page=2","Abrir facsímil")</f>
        <v>Abrir facsímil</v>
      </c>
      <c r="K4740" s="15" t="s">
        <v>23</v>
      </c>
    </row>
    <row r="4741" spans="1:11" ht="42" customHeight="1">
      <c r="A4741" s="4" t="s">
        <v>11554</v>
      </c>
      <c r="B4741" s="5" t="s">
        <v>11554</v>
      </c>
      <c r="C4741" s="5" t="s">
        <v>389</v>
      </c>
      <c r="D4741" s="5" t="s">
        <v>390</v>
      </c>
      <c r="E4741" s="5" t="s">
        <v>290</v>
      </c>
      <c r="F4741" s="9" t="s">
        <v>291</v>
      </c>
      <c r="G4741" s="9">
        <v>1066</v>
      </c>
      <c r="H4741" s="5" t="s">
        <v>21</v>
      </c>
      <c r="I4741" s="5" t="s">
        <v>11555</v>
      </c>
      <c r="J4741" s="12" t="str">
        <f>HYPERLINK("https://www.boe.es/gazeta/dias/1808/08/23/pdfs/GMD-1808-116.pdf#page=12","Abrir facsímil")</f>
        <v>Abrir facsímil</v>
      </c>
      <c r="K4741" s="15" t="s">
        <v>23</v>
      </c>
    </row>
    <row r="4742" spans="1:11" ht="42" customHeight="1">
      <c r="A4742" s="4" t="s">
        <v>11556</v>
      </c>
      <c r="B4742" s="5" t="s">
        <v>11557</v>
      </c>
      <c r="C4742" s="5" t="s">
        <v>17</v>
      </c>
      <c r="D4742" s="5" t="s">
        <v>18</v>
      </c>
      <c r="E4742" s="5" t="s">
        <v>110</v>
      </c>
      <c r="F4742" s="9" t="s">
        <v>111</v>
      </c>
      <c r="G4742" s="9">
        <v>1385</v>
      </c>
      <c r="H4742" s="5" t="s">
        <v>21</v>
      </c>
      <c r="I4742" s="5" t="s">
        <v>11558</v>
      </c>
      <c r="J4742" s="12" t="str">
        <f>HYPERLINK("https://www.boe.es/gazeta/dias/1808/10/28/pdfs/GMD-1808-138.pdf#page=11","Abrir facsímil")</f>
        <v>Abrir facsímil</v>
      </c>
      <c r="K4742" s="15" t="s">
        <v>23</v>
      </c>
    </row>
    <row r="4743" spans="1:11" ht="42" customHeight="1">
      <c r="A4743" s="4" t="s">
        <v>11559</v>
      </c>
      <c r="B4743" s="5" t="s">
        <v>11559</v>
      </c>
      <c r="C4743" s="5" t="s">
        <v>33</v>
      </c>
      <c r="D4743" s="5" t="s">
        <v>34</v>
      </c>
      <c r="E4743" s="5" t="s">
        <v>391</v>
      </c>
      <c r="F4743" s="9" t="s">
        <v>588</v>
      </c>
      <c r="G4743" s="9" t="s">
        <v>117</v>
      </c>
      <c r="H4743" s="5" t="s">
        <v>21</v>
      </c>
      <c r="I4743" s="5" t="s">
        <v>11560</v>
      </c>
      <c r="J4743" s="12" t="str">
        <f>HYPERLINK("https://www.boe.es/gazeta/dias/1808/09/27/pdfs/GMD-C-1808-128.pdf#page=1","Abrir facsímil")</f>
        <v>Abrir facsímil</v>
      </c>
      <c r="K4743" s="15" t="s">
        <v>23</v>
      </c>
    </row>
    <row r="4744" spans="1:11" ht="42" customHeight="1">
      <c r="A4744" s="4" t="s">
        <v>11561</v>
      </c>
      <c r="B4744" s="5" t="s">
        <v>11561</v>
      </c>
      <c r="C4744" s="5" t="s">
        <v>33</v>
      </c>
      <c r="D4744" s="5" t="s">
        <v>34</v>
      </c>
      <c r="E4744" s="5" t="s">
        <v>35</v>
      </c>
      <c r="F4744" s="9" t="s">
        <v>36</v>
      </c>
      <c r="G4744" s="9" t="s">
        <v>324</v>
      </c>
      <c r="H4744" s="5" t="s">
        <v>21</v>
      </c>
      <c r="I4744" s="5" t="s">
        <v>11562</v>
      </c>
      <c r="J4744" s="12" t="str">
        <f>HYPERLINK("https://www.boe.es/gazeta/dias/1808/04/22/pdfs/GMD-C-1808-38.pdf#page=24","Abrir facsímil")</f>
        <v>Abrir facsímil</v>
      </c>
      <c r="K4744" s="15" t="s">
        <v>23</v>
      </c>
    </row>
    <row r="4745" spans="1:11" ht="42" customHeight="1">
      <c r="A4745" s="4" t="s">
        <v>11563</v>
      </c>
      <c r="B4745" s="5" t="s">
        <v>11564</v>
      </c>
      <c r="C4745" s="5" t="s">
        <v>33</v>
      </c>
      <c r="D4745" s="5" t="s">
        <v>34</v>
      </c>
      <c r="E4745" s="5" t="s">
        <v>28</v>
      </c>
      <c r="F4745" s="9" t="s">
        <v>446</v>
      </c>
      <c r="G4745" s="9" t="s">
        <v>199</v>
      </c>
      <c r="H4745" s="5" t="s">
        <v>21</v>
      </c>
      <c r="I4745" s="5" t="s">
        <v>11565</v>
      </c>
      <c r="J4745" s="12" t="str">
        <f>HYPERLINK("https://www.boe.es/gazeta/dias/1808/11/04/pdfs/GMD-D-1808-141.pdf#page=2","Abrir facsímil")</f>
        <v>Abrir facsímil</v>
      </c>
      <c r="K4745" s="15" t="s">
        <v>23</v>
      </c>
    </row>
    <row r="4746" spans="1:11" ht="42" customHeight="1">
      <c r="A4746" s="4" t="s">
        <v>11566</v>
      </c>
      <c r="B4746" s="5" t="s">
        <v>11567</v>
      </c>
      <c r="C4746" s="5" t="s">
        <v>17</v>
      </c>
      <c r="D4746" s="5" t="s">
        <v>18</v>
      </c>
      <c r="E4746" s="5" t="s">
        <v>120</v>
      </c>
      <c r="F4746" s="9" t="s">
        <v>121</v>
      </c>
      <c r="G4746" s="9">
        <v>315</v>
      </c>
      <c r="H4746" s="5" t="s">
        <v>21</v>
      </c>
      <c r="I4746" s="5" t="s">
        <v>11568</v>
      </c>
      <c r="J4746" s="12" t="str">
        <f>HYPERLINK("https://www.boe.es/gazeta/dias/1808/03/29/pdfs/GMD-1808-27.pdf#page=11","Abrir facsímil")</f>
        <v>Abrir facsímil</v>
      </c>
      <c r="K4746" s="15" t="s">
        <v>23</v>
      </c>
    </row>
    <row r="4747" spans="1:11" ht="42" customHeight="1">
      <c r="A4747" s="4" t="s">
        <v>11569</v>
      </c>
      <c r="B4747" s="5" t="s">
        <v>11570</v>
      </c>
      <c r="C4747" s="5" t="s">
        <v>41</v>
      </c>
      <c r="D4747" s="5" t="s">
        <v>42</v>
      </c>
      <c r="E4747" s="5" t="s">
        <v>65</v>
      </c>
      <c r="F4747" s="9" t="s">
        <v>66</v>
      </c>
      <c r="G4747" s="9">
        <v>1310</v>
      </c>
      <c r="H4747" s="5" t="s">
        <v>21</v>
      </c>
      <c r="I4747" s="5" t="s">
        <v>11571</v>
      </c>
      <c r="J4747" s="12" t="str">
        <f>HYPERLINK("https://www.boe.es/gazeta/dias/1808/10/18/pdfs/GMD-1808-135.pdf#page=10","Abrir facsímil")</f>
        <v>Abrir facsímil</v>
      </c>
      <c r="K4747" s="15" t="s">
        <v>23</v>
      </c>
    </row>
    <row r="4748" spans="1:11" ht="42" customHeight="1">
      <c r="A4748" s="4" t="s">
        <v>11572</v>
      </c>
      <c r="B4748" s="5" t="s">
        <v>11572</v>
      </c>
      <c r="C4748" s="5" t="s">
        <v>33</v>
      </c>
      <c r="D4748" s="5" t="s">
        <v>34</v>
      </c>
      <c r="E4748" s="5" t="s">
        <v>35</v>
      </c>
      <c r="F4748" s="9" t="s">
        <v>36</v>
      </c>
      <c r="G4748" s="9" t="s">
        <v>148</v>
      </c>
      <c r="H4748" s="5" t="s">
        <v>21</v>
      </c>
      <c r="I4748" s="5" t="s">
        <v>11573</v>
      </c>
      <c r="J4748" s="12" t="str">
        <f>HYPERLINK("https://www.boe.es/gazeta/dias/1808/04/22/pdfs/GMD-C-1808-38.pdf#page=38","Abrir facsímil")</f>
        <v>Abrir facsímil</v>
      </c>
      <c r="K4748" s="15" t="s">
        <v>23</v>
      </c>
    </row>
    <row r="4749" spans="1:11" ht="42" customHeight="1">
      <c r="A4749" s="4" t="s">
        <v>11574</v>
      </c>
      <c r="B4749" s="5" t="s">
        <v>11574</v>
      </c>
      <c r="C4749" s="5" t="s">
        <v>41</v>
      </c>
      <c r="D4749" s="5" t="s">
        <v>42</v>
      </c>
      <c r="E4749" s="5" t="s">
        <v>35</v>
      </c>
      <c r="F4749" s="9" t="s">
        <v>36</v>
      </c>
      <c r="G4749" s="9" t="s">
        <v>814</v>
      </c>
      <c r="H4749" s="5" t="s">
        <v>21</v>
      </c>
      <c r="I4749" s="5" t="s">
        <v>11575</v>
      </c>
      <c r="J4749" s="12" t="str">
        <f>HYPERLINK("https://www.boe.es/gazeta/dias/1808/04/22/pdfs/GMD-C-1808-38.pdf#page=25","Abrir facsímil")</f>
        <v>Abrir facsímil</v>
      </c>
      <c r="K4749" s="15" t="s">
        <v>23</v>
      </c>
    </row>
    <row r="4750" spans="1:11" ht="42" customHeight="1">
      <c r="A4750" s="4" t="s">
        <v>11576</v>
      </c>
      <c r="B4750" s="5" t="s">
        <v>11576</v>
      </c>
      <c r="C4750" s="5" t="s">
        <v>17</v>
      </c>
      <c r="D4750" s="5" t="s">
        <v>18</v>
      </c>
      <c r="E4750" s="5" t="s">
        <v>68</v>
      </c>
      <c r="F4750" s="9" t="s">
        <v>11577</v>
      </c>
      <c r="G4750" s="9">
        <v>333</v>
      </c>
      <c r="H4750" s="5" t="s">
        <v>21</v>
      </c>
      <c r="I4750" s="5" t="s">
        <v>11578</v>
      </c>
      <c r="J4750" s="12" t="str">
        <f>HYPERLINK("https://www.boe.es/gazeta/dias/1808/10/21/pdfs/GMS-1808-42.pdf#page=5","Abrir facsímil")</f>
        <v>Abrir facsímil</v>
      </c>
      <c r="K4750" s="15" t="s">
        <v>23</v>
      </c>
    </row>
    <row r="4751" spans="1:11" ht="42" customHeight="1">
      <c r="A4751" s="4" t="s">
        <v>11579</v>
      </c>
      <c r="B4751" s="5" t="s">
        <v>11579</v>
      </c>
      <c r="C4751" s="5" t="s">
        <v>33</v>
      </c>
      <c r="D4751" s="5" t="s">
        <v>34</v>
      </c>
      <c r="E4751" s="5" t="s">
        <v>35</v>
      </c>
      <c r="F4751" s="9" t="s">
        <v>36</v>
      </c>
      <c r="G4751" s="9" t="s">
        <v>501</v>
      </c>
      <c r="H4751" s="5" t="s">
        <v>21</v>
      </c>
      <c r="I4751" s="5" t="s">
        <v>11580</v>
      </c>
      <c r="J4751" s="12" t="str">
        <f>HYPERLINK("https://www.boe.es/gazeta/dias/1808/04/22/pdfs/GMD-C-1808-38.pdf#page=5","Abrir facsímil")</f>
        <v>Abrir facsímil</v>
      </c>
      <c r="K4751" s="15" t="s">
        <v>23</v>
      </c>
    </row>
    <row r="4752" spans="1:11" ht="42" customHeight="1">
      <c r="A4752" s="4" t="s">
        <v>11581</v>
      </c>
      <c r="B4752" s="5" t="s">
        <v>11582</v>
      </c>
      <c r="C4752" s="5" t="s">
        <v>33</v>
      </c>
      <c r="D4752" s="5" t="s">
        <v>34</v>
      </c>
      <c r="E4752" s="5" t="s">
        <v>363</v>
      </c>
      <c r="F4752" s="9" t="s">
        <v>364</v>
      </c>
      <c r="G4752" s="9" t="s">
        <v>106</v>
      </c>
      <c r="H4752" s="5" t="s">
        <v>21</v>
      </c>
      <c r="I4752" s="5" t="s">
        <v>11583</v>
      </c>
      <c r="J4752" s="12" t="str">
        <f>HYPERLINK("https://www.boe.es/gazeta/dias/1808/09/20/pdfs/GMD-C-1808-126.pdf#page=3","Abrir facsímil")</f>
        <v>Abrir facsímil</v>
      </c>
      <c r="K4752" s="15" t="s">
        <v>23</v>
      </c>
    </row>
    <row r="4753" spans="1:11" ht="42" customHeight="1">
      <c r="A4753" s="4" t="s">
        <v>11584</v>
      </c>
      <c r="B4753" s="5" t="s">
        <v>11584</v>
      </c>
      <c r="C4753" s="5" t="s">
        <v>33</v>
      </c>
      <c r="D4753" s="5" t="s">
        <v>34</v>
      </c>
      <c r="E4753" s="5" t="s">
        <v>35</v>
      </c>
      <c r="F4753" s="9" t="s">
        <v>36</v>
      </c>
      <c r="G4753" s="9" t="s">
        <v>707</v>
      </c>
      <c r="H4753" s="5" t="s">
        <v>21</v>
      </c>
      <c r="I4753" s="5" t="s">
        <v>11585</v>
      </c>
      <c r="J4753" s="12" t="str">
        <f>HYPERLINK("https://www.boe.es/gazeta/dias/1808/04/22/pdfs/GMD-C-1808-38.pdf#page=42","Abrir facsímil")</f>
        <v>Abrir facsímil</v>
      </c>
      <c r="K4753" s="15" t="s">
        <v>23</v>
      </c>
    </row>
    <row r="4754" spans="1:11" ht="42" customHeight="1">
      <c r="A4754" s="4" t="s">
        <v>11586</v>
      </c>
      <c r="B4754" s="5" t="s">
        <v>11586</v>
      </c>
      <c r="C4754" s="5" t="s">
        <v>94</v>
      </c>
      <c r="D4754" s="5" t="s">
        <v>95</v>
      </c>
      <c r="E4754" s="5" t="s">
        <v>203</v>
      </c>
      <c r="F4754" s="9" t="s">
        <v>204</v>
      </c>
      <c r="G4754" s="9">
        <v>141</v>
      </c>
      <c r="H4754" s="5" t="s">
        <v>21</v>
      </c>
      <c r="I4754" s="5" t="s">
        <v>11587</v>
      </c>
      <c r="J4754" s="12" t="str">
        <f>HYPERLINK("https://www.boe.es/gazeta/dias/1808/02/09/pdfs/GMD-1808-12.pdf#page=9","Abrir facsímil")</f>
        <v>Abrir facsímil</v>
      </c>
      <c r="K4754" s="15" t="s">
        <v>23</v>
      </c>
    </row>
    <row r="4755" spans="1:11" ht="42" customHeight="1">
      <c r="A4755" s="4" t="s">
        <v>11588</v>
      </c>
      <c r="B4755" s="5" t="s">
        <v>11588</v>
      </c>
      <c r="C4755" s="5" t="s">
        <v>17</v>
      </c>
      <c r="D4755" s="5" t="s">
        <v>18</v>
      </c>
      <c r="E4755" s="5" t="s">
        <v>558</v>
      </c>
      <c r="F4755" s="9" t="s">
        <v>559</v>
      </c>
      <c r="G4755" s="9">
        <v>1545</v>
      </c>
      <c r="H4755" s="5" t="s">
        <v>21</v>
      </c>
      <c r="I4755" s="5" t="s">
        <v>11589</v>
      </c>
      <c r="J4755" s="12" t="str">
        <f>HYPERLINK("https://www.boe.es/gazeta/dias/1808/11/25/pdfs/GMD-1808-147.pdf#page=11","Abrir facsímil")</f>
        <v>Abrir facsímil</v>
      </c>
      <c r="K4755" s="15" t="s">
        <v>23</v>
      </c>
    </row>
    <row r="4756" spans="1:11" ht="42" customHeight="1">
      <c r="A4756" s="4" t="s">
        <v>11590</v>
      </c>
      <c r="B4756" s="5" t="s">
        <v>11590</v>
      </c>
      <c r="C4756" s="5" t="s">
        <v>33</v>
      </c>
      <c r="D4756" s="5" t="s">
        <v>34</v>
      </c>
      <c r="E4756" s="5" t="s">
        <v>35</v>
      </c>
      <c r="F4756" s="9" t="s">
        <v>36</v>
      </c>
      <c r="G4756" s="9" t="s">
        <v>1294</v>
      </c>
      <c r="H4756" s="5" t="s">
        <v>21</v>
      </c>
      <c r="I4756" s="5" t="s">
        <v>11591</v>
      </c>
      <c r="J4756" s="12" t="str">
        <f>HYPERLINK("https://www.boe.es/gazeta/dias/1808/04/22/pdfs/GMD-C-1808-38.pdf#page=8","Abrir facsímil")</f>
        <v>Abrir facsímil</v>
      </c>
      <c r="K4756" s="15" t="s">
        <v>23</v>
      </c>
    </row>
    <row r="4757" spans="1:11" ht="42" customHeight="1">
      <c r="A4757" s="4" t="s">
        <v>11592</v>
      </c>
      <c r="B4757" s="5" t="s">
        <v>11593</v>
      </c>
      <c r="C4757" s="5" t="s">
        <v>33</v>
      </c>
      <c r="D4757" s="5" t="s">
        <v>34</v>
      </c>
      <c r="E4757" s="5" t="s">
        <v>391</v>
      </c>
      <c r="F4757" s="9" t="s">
        <v>588</v>
      </c>
      <c r="G4757" s="9" t="s">
        <v>75</v>
      </c>
      <c r="H4757" s="5" t="s">
        <v>21</v>
      </c>
      <c r="I4757" s="5" t="s">
        <v>11594</v>
      </c>
      <c r="J4757" s="12" t="str">
        <f>HYPERLINK("https://www.boe.es/gazeta/dias/1808/09/27/pdfs/GMD-C-1808-128.pdf#page=4","Abrir facsímil")</f>
        <v>Abrir facsímil</v>
      </c>
      <c r="K4757" s="15" t="s">
        <v>23</v>
      </c>
    </row>
    <row r="4758" spans="1:11" ht="42" customHeight="1">
      <c r="A4758" s="4" t="s">
        <v>11595</v>
      </c>
      <c r="B4758" s="5" t="s">
        <v>11595</v>
      </c>
      <c r="C4758" s="5" t="s">
        <v>94</v>
      </c>
      <c r="D4758" s="5" t="s">
        <v>95</v>
      </c>
      <c r="E4758" s="5" t="s">
        <v>919</v>
      </c>
      <c r="F4758" s="9" t="s">
        <v>920</v>
      </c>
      <c r="G4758" s="9">
        <v>493</v>
      </c>
      <c r="H4758" s="5" t="s">
        <v>21</v>
      </c>
      <c r="I4758" s="5" t="s">
        <v>11596</v>
      </c>
      <c r="J4758" s="12" t="str">
        <f>HYPERLINK("https://www.boe.es/gazeta/dias/1808/05/24/pdfs/GMD-1808-49.pdf#page=9","Abrir facsímil")</f>
        <v>Abrir facsímil</v>
      </c>
      <c r="K4758" s="15" t="s">
        <v>23</v>
      </c>
    </row>
    <row r="4759" spans="1:11" ht="42" customHeight="1">
      <c r="A4759" s="4" t="s">
        <v>11595</v>
      </c>
      <c r="B4759" s="5" t="s">
        <v>11595</v>
      </c>
      <c r="C4759" s="5" t="s">
        <v>94</v>
      </c>
      <c r="D4759" s="5" t="s">
        <v>95</v>
      </c>
      <c r="E4759" s="5" t="s">
        <v>245</v>
      </c>
      <c r="F4759" s="9" t="s">
        <v>246</v>
      </c>
      <c r="G4759" s="9">
        <v>541</v>
      </c>
      <c r="H4759" s="5" t="s">
        <v>21</v>
      </c>
      <c r="I4759" s="5" t="s">
        <v>11597</v>
      </c>
      <c r="J4759" s="12" t="str">
        <f>HYPERLINK("https://www.boe.es/gazeta/dias/1808/06/07/pdfs/GMD-1808-54.pdf#page=7","Abrir facsímil")</f>
        <v>Abrir facsímil</v>
      </c>
      <c r="K4759" s="15" t="s">
        <v>23</v>
      </c>
    </row>
    <row r="4760" spans="1:11" ht="42" customHeight="1">
      <c r="A4760" s="4" t="s">
        <v>11595</v>
      </c>
      <c r="B4760" s="5" t="s">
        <v>11595</v>
      </c>
      <c r="C4760" s="5" t="s">
        <v>17</v>
      </c>
      <c r="D4760" s="5" t="s">
        <v>18</v>
      </c>
      <c r="E4760" s="5" t="s">
        <v>616</v>
      </c>
      <c r="F4760" s="9" t="s">
        <v>617</v>
      </c>
      <c r="G4760" s="9">
        <v>1044</v>
      </c>
      <c r="H4760" s="5" t="s">
        <v>21</v>
      </c>
      <c r="I4760" s="5" t="s">
        <v>11598</v>
      </c>
      <c r="J4760" s="12" t="str">
        <f>HYPERLINK("https://www.boe.es/gazeta/dias/1808/08/19/pdfs/GMD-1808-115.pdf#page=10","Abrir facsímil")</f>
        <v>Abrir facsímil</v>
      </c>
      <c r="K4760" s="15" t="s">
        <v>23</v>
      </c>
    </row>
    <row r="4761" spans="1:11" ht="42" customHeight="1">
      <c r="A4761" s="4" t="s">
        <v>11599</v>
      </c>
      <c r="B4761" s="5" t="s">
        <v>11599</v>
      </c>
      <c r="C4761" s="5" t="s">
        <v>33</v>
      </c>
      <c r="D4761" s="5" t="s">
        <v>34</v>
      </c>
      <c r="E4761" s="5" t="s">
        <v>456</v>
      </c>
      <c r="F4761" s="9" t="s">
        <v>748</v>
      </c>
      <c r="G4761" s="9" t="s">
        <v>117</v>
      </c>
      <c r="H4761" s="5" t="s">
        <v>21</v>
      </c>
      <c r="I4761" s="5" t="s">
        <v>11600</v>
      </c>
      <c r="J4761" s="12" t="str">
        <f>HYPERLINK("https://www.boe.es/gazeta/dias/1808/10/14/pdfs/GMD-C-1808-134.pdf#page=1","Abrir facsímil")</f>
        <v>Abrir facsímil</v>
      </c>
      <c r="K4761" s="15" t="s">
        <v>23</v>
      </c>
    </row>
    <row r="4762" spans="1:11" ht="42" customHeight="1">
      <c r="A4762" s="4" t="s">
        <v>11601</v>
      </c>
      <c r="B4762" s="5" t="s">
        <v>11601</v>
      </c>
      <c r="C4762" s="5" t="s">
        <v>33</v>
      </c>
      <c r="D4762" s="5" t="s">
        <v>34</v>
      </c>
      <c r="E4762" s="5" t="s">
        <v>197</v>
      </c>
      <c r="F4762" s="9" t="s">
        <v>198</v>
      </c>
      <c r="G4762" s="9" t="s">
        <v>106</v>
      </c>
      <c r="H4762" s="5" t="s">
        <v>21</v>
      </c>
      <c r="I4762" s="5" t="s">
        <v>11602</v>
      </c>
      <c r="J4762" s="12" t="str">
        <f>HYPERLINK("https://www.boe.es/gazeta/dias/1808/11/01/pdfs/GMD-D-1808-140.pdf#page=3","Abrir facsímil")</f>
        <v>Abrir facsímil</v>
      </c>
      <c r="K4762" s="15" t="s">
        <v>23</v>
      </c>
    </row>
    <row r="4763" spans="1:11" ht="42" customHeight="1">
      <c r="A4763" s="4" t="s">
        <v>11603</v>
      </c>
      <c r="B4763" s="5" t="s">
        <v>11603</v>
      </c>
      <c r="C4763" s="5" t="s">
        <v>17</v>
      </c>
      <c r="D4763" s="5" t="s">
        <v>18</v>
      </c>
      <c r="E4763" s="5" t="s">
        <v>3235</v>
      </c>
      <c r="F4763" s="9" t="s">
        <v>3236</v>
      </c>
      <c r="G4763" s="9">
        <v>22</v>
      </c>
      <c r="H4763" s="5" t="s">
        <v>21</v>
      </c>
      <c r="I4763" s="5" t="s">
        <v>11604</v>
      </c>
      <c r="J4763" s="12" t="str">
        <f>HYPERLINK("https://www.boe.es/gazeta/dias/1808/06/08/pdfs/GMS-1808-3.pdf#page=6","Abrir facsímil")</f>
        <v>Abrir facsímil</v>
      </c>
      <c r="K4763" s="15" t="s">
        <v>23</v>
      </c>
    </row>
    <row r="4764" spans="1:11" ht="42" customHeight="1">
      <c r="A4764" s="4" t="s">
        <v>11605</v>
      </c>
      <c r="B4764" s="5" t="s">
        <v>11605</v>
      </c>
      <c r="C4764" s="5" t="s">
        <v>33</v>
      </c>
      <c r="D4764" s="5" t="s">
        <v>34</v>
      </c>
      <c r="E4764" s="5" t="s">
        <v>35</v>
      </c>
      <c r="F4764" s="9" t="s">
        <v>36</v>
      </c>
      <c r="G4764" s="9" t="s">
        <v>1128</v>
      </c>
      <c r="H4764" s="5" t="s">
        <v>21</v>
      </c>
      <c r="I4764" s="5" t="s">
        <v>11606</v>
      </c>
      <c r="J4764" s="12" t="str">
        <f>HYPERLINK("https://www.boe.es/gazeta/dias/1808/04/22/pdfs/GMD-C-1808-38.pdf#page=11","Abrir facsímil")</f>
        <v>Abrir facsímil</v>
      </c>
      <c r="K4764" s="15" t="s">
        <v>23</v>
      </c>
    </row>
    <row r="4765" spans="1:11" ht="42" customHeight="1">
      <c r="A4765" s="4" t="s">
        <v>11605</v>
      </c>
      <c r="B4765" s="5" t="s">
        <v>11605</v>
      </c>
      <c r="C4765" s="5" t="s">
        <v>33</v>
      </c>
      <c r="D4765" s="5" t="s">
        <v>34</v>
      </c>
      <c r="E4765" s="5" t="s">
        <v>35</v>
      </c>
      <c r="F4765" s="9" t="s">
        <v>36</v>
      </c>
      <c r="G4765" s="9" t="s">
        <v>1860</v>
      </c>
      <c r="H4765" s="5" t="s">
        <v>21</v>
      </c>
      <c r="I4765" s="5" t="s">
        <v>11607</v>
      </c>
      <c r="J4765" s="12" t="str">
        <f>HYPERLINK("https://www.boe.es/gazeta/dias/1808/04/22/pdfs/GMD-C-1808-38.pdf#page=37","Abrir facsímil")</f>
        <v>Abrir facsímil</v>
      </c>
      <c r="K4765" s="15" t="s">
        <v>23</v>
      </c>
    </row>
    <row r="4766" spans="1:11" ht="42" customHeight="1">
      <c r="A4766" s="4" t="s">
        <v>11608</v>
      </c>
      <c r="B4766" s="5" t="s">
        <v>11608</v>
      </c>
      <c r="C4766" s="5" t="s">
        <v>33</v>
      </c>
      <c r="D4766" s="5" t="s">
        <v>34</v>
      </c>
      <c r="E4766" s="5" t="s">
        <v>65</v>
      </c>
      <c r="F4766" s="9" t="s">
        <v>105</v>
      </c>
      <c r="G4766" s="9" t="s">
        <v>199</v>
      </c>
      <c r="H4766" s="5" t="s">
        <v>21</v>
      </c>
      <c r="I4766" s="5" t="s">
        <v>11609</v>
      </c>
      <c r="J4766" s="12" t="str">
        <f>HYPERLINK("https://www.boe.es/gazeta/dias/1808/10/18/pdfs/GMD-D-1808-135.pdf#page=2","Abrir facsímil")</f>
        <v>Abrir facsímil</v>
      </c>
      <c r="K4766" s="15" t="s">
        <v>23</v>
      </c>
    </row>
    <row r="4767" spans="1:11" ht="42" customHeight="1">
      <c r="A4767" s="4" t="s">
        <v>11610</v>
      </c>
      <c r="B4767" s="5" t="s">
        <v>11610</v>
      </c>
      <c r="C4767" s="5" t="s">
        <v>41</v>
      </c>
      <c r="D4767" s="5" t="s">
        <v>42</v>
      </c>
      <c r="E4767" s="5" t="s">
        <v>180</v>
      </c>
      <c r="F4767" s="9" t="s">
        <v>768</v>
      </c>
      <c r="G4767" s="9" t="s">
        <v>75</v>
      </c>
      <c r="H4767" s="5" t="s">
        <v>21</v>
      </c>
      <c r="I4767" s="5" t="s">
        <v>11611</v>
      </c>
      <c r="J4767" s="12" t="str">
        <f>HYPERLINK("https://www.boe.es/gazeta/dias/1808/11/15/pdfs/GMD-D-1808-144.pdf#page=4","Abrir facsímil")</f>
        <v>Abrir facsímil</v>
      </c>
      <c r="K4767" s="15" t="s">
        <v>23</v>
      </c>
    </row>
    <row r="4768" spans="1:11" ht="42" customHeight="1">
      <c r="A4768" s="4" t="s">
        <v>11612</v>
      </c>
      <c r="B4768" s="5" t="s">
        <v>11612</v>
      </c>
      <c r="C4768" s="5" t="s">
        <v>33</v>
      </c>
      <c r="D4768" s="5" t="s">
        <v>34</v>
      </c>
      <c r="E4768" s="5" t="s">
        <v>35</v>
      </c>
      <c r="F4768" s="9" t="s">
        <v>36</v>
      </c>
      <c r="G4768" s="9" t="s">
        <v>814</v>
      </c>
      <c r="H4768" s="5" t="s">
        <v>21</v>
      </c>
      <c r="I4768" s="5" t="s">
        <v>11613</v>
      </c>
      <c r="J4768" s="12" t="str">
        <f>HYPERLINK("https://www.boe.es/gazeta/dias/1808/04/22/pdfs/GMD-C-1808-38.pdf#page=25","Abrir facsímil")</f>
        <v>Abrir facsímil</v>
      </c>
      <c r="K4768" s="15" t="s">
        <v>23</v>
      </c>
    </row>
    <row r="4769" spans="1:11" ht="42" customHeight="1">
      <c r="A4769" s="4" t="s">
        <v>11614</v>
      </c>
      <c r="B4769" s="5" t="s">
        <v>11614</v>
      </c>
      <c r="C4769" s="5" t="s">
        <v>33</v>
      </c>
      <c r="D4769" s="5" t="s">
        <v>34</v>
      </c>
      <c r="E4769" s="5" t="s">
        <v>35</v>
      </c>
      <c r="F4769" s="9" t="s">
        <v>36</v>
      </c>
      <c r="G4769" s="9" t="s">
        <v>443</v>
      </c>
      <c r="H4769" s="5" t="s">
        <v>21</v>
      </c>
      <c r="I4769" s="5" t="s">
        <v>11615</v>
      </c>
      <c r="J4769" s="12" t="str">
        <f>HYPERLINK("https://www.boe.es/gazeta/dias/1808/04/22/pdfs/GMD-C-1808-38.pdf#page=16","Abrir facsímil")</f>
        <v>Abrir facsímil</v>
      </c>
      <c r="K4769" s="15" t="s">
        <v>23</v>
      </c>
    </row>
    <row r="4770" spans="1:11" ht="42" customHeight="1">
      <c r="A4770" s="4" t="s">
        <v>11614</v>
      </c>
      <c r="B4770" s="5" t="s">
        <v>11614</v>
      </c>
      <c r="C4770" s="5" t="s">
        <v>33</v>
      </c>
      <c r="D4770" s="5" t="s">
        <v>34</v>
      </c>
      <c r="E4770" s="5" t="s">
        <v>35</v>
      </c>
      <c r="F4770" s="9" t="s">
        <v>36</v>
      </c>
      <c r="G4770" s="9" t="s">
        <v>814</v>
      </c>
      <c r="H4770" s="5" t="s">
        <v>21</v>
      </c>
      <c r="I4770" s="5" t="s">
        <v>11616</v>
      </c>
      <c r="J4770" s="12" t="str">
        <f>HYPERLINK("https://www.boe.es/gazeta/dias/1808/04/22/pdfs/GMD-C-1808-38.pdf#page=25","Abrir facsímil")</f>
        <v>Abrir facsímil</v>
      </c>
      <c r="K4770" s="15" t="s">
        <v>23</v>
      </c>
    </row>
    <row r="4771" spans="1:11" ht="42" customHeight="1">
      <c r="A4771" s="4" t="s">
        <v>11614</v>
      </c>
      <c r="B4771" s="5" t="s">
        <v>11614</v>
      </c>
      <c r="C4771" s="5" t="s">
        <v>33</v>
      </c>
      <c r="D4771" s="5" t="s">
        <v>34</v>
      </c>
      <c r="E4771" s="5" t="s">
        <v>35</v>
      </c>
      <c r="F4771" s="9" t="s">
        <v>36</v>
      </c>
      <c r="G4771" s="9" t="s">
        <v>106</v>
      </c>
      <c r="H4771" s="5" t="s">
        <v>21</v>
      </c>
      <c r="I4771" s="5" t="s">
        <v>11617</v>
      </c>
      <c r="J4771" s="12" t="str">
        <f>HYPERLINK("https://www.boe.es/gazeta/dias/1808/04/22/pdfs/GMD-C-1808-38.pdf#page=3","Abrir facsímil")</f>
        <v>Abrir facsímil</v>
      </c>
      <c r="K4771" s="15" t="s">
        <v>23</v>
      </c>
    </row>
    <row r="4772" spans="1:11" ht="42" customHeight="1">
      <c r="A4772" s="4" t="s">
        <v>11618</v>
      </c>
      <c r="B4772" s="5" t="s">
        <v>11618</v>
      </c>
      <c r="C4772" s="5" t="s">
        <v>33</v>
      </c>
      <c r="D4772" s="5" t="s">
        <v>34</v>
      </c>
      <c r="E4772" s="5" t="s">
        <v>65</v>
      </c>
      <c r="F4772" s="9" t="s">
        <v>105</v>
      </c>
      <c r="G4772" s="9" t="s">
        <v>199</v>
      </c>
      <c r="H4772" s="5" t="s">
        <v>21</v>
      </c>
      <c r="I4772" s="5" t="s">
        <v>11619</v>
      </c>
      <c r="J4772" s="12" t="str">
        <f>HYPERLINK("https://www.boe.es/gazeta/dias/1808/10/18/pdfs/GMD-D-1808-135.pdf#page=2","Abrir facsímil")</f>
        <v>Abrir facsímil</v>
      </c>
      <c r="K4772" s="15" t="s">
        <v>23</v>
      </c>
    </row>
    <row r="4773" spans="1:11" ht="42" customHeight="1">
      <c r="A4773" s="4" t="s">
        <v>11620</v>
      </c>
      <c r="B4773" s="5" t="s">
        <v>11620</v>
      </c>
      <c r="C4773" s="5" t="s">
        <v>94</v>
      </c>
      <c r="D4773" s="5" t="s">
        <v>95</v>
      </c>
      <c r="E4773" s="5" t="s">
        <v>877</v>
      </c>
      <c r="F4773" s="9" t="s">
        <v>878</v>
      </c>
      <c r="G4773" s="9">
        <v>118</v>
      </c>
      <c r="H4773" s="5" t="s">
        <v>21</v>
      </c>
      <c r="I4773" s="5" t="s">
        <v>11621</v>
      </c>
      <c r="J4773" s="12" t="str">
        <f>HYPERLINK("https://www.boe.es/gazeta/dias/1808/02/02/pdfs/GMD-1808-10.pdf#page=10","Abrir facsímil")</f>
        <v>Abrir facsímil</v>
      </c>
      <c r="K4773" s="15" t="s">
        <v>23</v>
      </c>
    </row>
    <row r="4774" spans="1:11" ht="42" customHeight="1">
      <c r="A4774" s="4" t="s">
        <v>11622</v>
      </c>
      <c r="B4774" s="5" t="s">
        <v>11622</v>
      </c>
      <c r="C4774" s="5" t="s">
        <v>33</v>
      </c>
      <c r="D4774" s="5" t="s">
        <v>34</v>
      </c>
      <c r="E4774" s="5" t="s">
        <v>558</v>
      </c>
      <c r="F4774" s="9" t="s">
        <v>1310</v>
      </c>
      <c r="G4774" s="9">
        <v>1547</v>
      </c>
      <c r="H4774" s="5" t="s">
        <v>21</v>
      </c>
      <c r="I4774" s="5" t="s">
        <v>11623</v>
      </c>
      <c r="J4774" s="12" t="str">
        <f>HYPERLINK("https://www.boe.es/gazeta/dias/1808/11/25/pdfs/GMD-C-1808-147.pdf#page=1","Abrir facsímil")</f>
        <v>Abrir facsímil</v>
      </c>
      <c r="K4774" s="15" t="s">
        <v>23</v>
      </c>
    </row>
    <row r="4775" spans="1:11" ht="42" customHeight="1">
      <c r="A4775" s="4" t="s">
        <v>11624</v>
      </c>
      <c r="B4775" s="5" t="s">
        <v>11624</v>
      </c>
      <c r="C4775" s="5" t="s">
        <v>41</v>
      </c>
      <c r="D4775" s="5" t="s">
        <v>42</v>
      </c>
      <c r="E4775" s="5" t="s">
        <v>558</v>
      </c>
      <c r="F4775" s="9" t="s">
        <v>758</v>
      </c>
      <c r="G4775" s="9" t="s">
        <v>106</v>
      </c>
      <c r="H4775" s="5" t="s">
        <v>21</v>
      </c>
      <c r="I4775" s="5" t="s">
        <v>11625</v>
      </c>
      <c r="J4775" s="12" t="str">
        <f>HYPERLINK("https://www.boe.es/gazeta/dias/1808/11/25/pdfs/GMD-E-1808-147.pdf#page=3","Abrir facsímil")</f>
        <v>Abrir facsímil</v>
      </c>
      <c r="K4775" s="15" t="s">
        <v>23</v>
      </c>
    </row>
    <row r="4776" spans="1:11" ht="42" customHeight="1">
      <c r="A4776" s="4" t="s">
        <v>11626</v>
      </c>
      <c r="B4776" s="5" t="s">
        <v>11626</v>
      </c>
      <c r="C4776" s="5" t="s">
        <v>33</v>
      </c>
      <c r="D4776" s="5" t="s">
        <v>34</v>
      </c>
      <c r="E4776" s="5" t="s">
        <v>73</v>
      </c>
      <c r="F4776" s="9" t="s">
        <v>74</v>
      </c>
      <c r="G4776" s="9" t="s">
        <v>75</v>
      </c>
      <c r="H4776" s="5" t="s">
        <v>21</v>
      </c>
      <c r="I4776" s="5" t="s">
        <v>11627</v>
      </c>
      <c r="J4776" s="12" t="str">
        <f>HYPERLINK("https://www.boe.es/gazeta/dias/1808/11/11/pdfs/GMD-D-1808-143.pdf#page=4","Abrir facsímil")</f>
        <v>Abrir facsímil</v>
      </c>
      <c r="K4776" s="15" t="s">
        <v>23</v>
      </c>
    </row>
    <row r="4777" spans="1:11" ht="42" customHeight="1">
      <c r="A4777" s="4" t="s">
        <v>11628</v>
      </c>
      <c r="B4777" s="5" t="s">
        <v>11628</v>
      </c>
      <c r="C4777" s="5" t="s">
        <v>17</v>
      </c>
      <c r="D4777" s="5" t="s">
        <v>18</v>
      </c>
      <c r="E4777" s="5" t="s">
        <v>3951</v>
      </c>
      <c r="F4777" s="9" t="s">
        <v>4218</v>
      </c>
      <c r="G4777" s="9">
        <v>471</v>
      </c>
      <c r="H4777" s="5" t="s">
        <v>21</v>
      </c>
      <c r="I4777" s="5" t="s">
        <v>11629</v>
      </c>
      <c r="J4777" s="12" t="str">
        <f>HYPERLINK("https://www.boe.es/gazeta/dias/1808/12/20/pdfs/GMS-1808-59.pdf#page=7","Abrir facsímil")</f>
        <v>Abrir facsímil</v>
      </c>
      <c r="K4777" s="15" t="s">
        <v>23</v>
      </c>
    </row>
    <row r="4778" spans="1:11" ht="42" customHeight="1">
      <c r="A4778" s="4" t="s">
        <v>11630</v>
      </c>
      <c r="B4778" s="5" t="s">
        <v>11630</v>
      </c>
      <c r="C4778" s="5" t="s">
        <v>17</v>
      </c>
      <c r="D4778" s="5" t="s">
        <v>18</v>
      </c>
      <c r="E4778" s="5" t="s">
        <v>130</v>
      </c>
      <c r="F4778" s="9" t="s">
        <v>131</v>
      </c>
      <c r="G4778" s="9">
        <v>1603</v>
      </c>
      <c r="H4778" s="5" t="s">
        <v>21</v>
      </c>
      <c r="I4778" s="5" t="s">
        <v>11631</v>
      </c>
      <c r="J4778" s="12" t="str">
        <f>HYPERLINK("https://www.boe.es/gazeta/dias/1808/12/15/pdfs/GMD-1808-155.pdf#page=7","Abrir facsímil")</f>
        <v>Abrir facsímil</v>
      </c>
      <c r="K4778" s="15" t="s">
        <v>23</v>
      </c>
    </row>
    <row r="4779" spans="1:11" ht="42" customHeight="1">
      <c r="A4779" s="4" t="s">
        <v>11632</v>
      </c>
      <c r="B4779" s="5" t="s">
        <v>11632</v>
      </c>
      <c r="C4779" s="5" t="s">
        <v>33</v>
      </c>
      <c r="D4779" s="5" t="s">
        <v>34</v>
      </c>
      <c r="E4779" s="5" t="s">
        <v>35</v>
      </c>
      <c r="F4779" s="9" t="s">
        <v>36</v>
      </c>
      <c r="G4779" s="9" t="s">
        <v>299</v>
      </c>
      <c r="H4779" s="5" t="s">
        <v>21</v>
      </c>
      <c r="I4779" s="5" t="s">
        <v>11633</v>
      </c>
      <c r="J4779" s="12" t="str">
        <f>HYPERLINK("https://www.boe.es/gazeta/dias/1808/04/22/pdfs/GMD-C-1808-38.pdf#page=14","Abrir facsímil")</f>
        <v>Abrir facsímil</v>
      </c>
      <c r="K4779" s="15" t="s">
        <v>23</v>
      </c>
    </row>
    <row r="4780" spans="1:11" ht="42" customHeight="1">
      <c r="A4780" s="4" t="s">
        <v>11634</v>
      </c>
      <c r="B4780" s="5" t="s">
        <v>11634</v>
      </c>
      <c r="C4780" s="5" t="s">
        <v>260</v>
      </c>
      <c r="D4780" s="5" t="s">
        <v>42</v>
      </c>
      <c r="E4780" s="5" t="s">
        <v>1085</v>
      </c>
      <c r="F4780" s="9" t="s">
        <v>1086</v>
      </c>
      <c r="G4780" s="9">
        <v>106</v>
      </c>
      <c r="H4780" s="5" t="s">
        <v>21</v>
      </c>
      <c r="I4780" s="5" t="s">
        <v>11635</v>
      </c>
      <c r="J4780" s="12" t="str">
        <f>HYPERLINK("https://www.boe.es/gazeta/dias/1808/01/29/pdfs/GMD-1808-9.pdf#page=10","Abrir facsímil")</f>
        <v>Abrir facsímil</v>
      </c>
      <c r="K4780" s="15" t="s">
        <v>23</v>
      </c>
    </row>
    <row r="4781" spans="1:11" ht="42" customHeight="1">
      <c r="A4781" s="4" t="s">
        <v>11636</v>
      </c>
      <c r="B4781" s="5" t="s">
        <v>11636</v>
      </c>
      <c r="C4781" s="5" t="s">
        <v>41</v>
      </c>
      <c r="D4781" s="5" t="s">
        <v>42</v>
      </c>
      <c r="E4781" s="5" t="s">
        <v>1385</v>
      </c>
      <c r="F4781" s="9" t="s">
        <v>1386</v>
      </c>
      <c r="G4781" s="9">
        <v>233</v>
      </c>
      <c r="H4781" s="5" t="s">
        <v>21</v>
      </c>
      <c r="I4781" s="5" t="s">
        <v>11637</v>
      </c>
      <c r="J4781" s="12" t="str">
        <f>HYPERLINK("https://www.boe.es/gazeta/dias/1808/03/04/pdfs/GMD-1808-19.pdf#page=11","Abrir facsímil")</f>
        <v>Abrir facsímil</v>
      </c>
      <c r="K4781" s="15" t="s">
        <v>23</v>
      </c>
    </row>
    <row r="4782" spans="1:11" ht="42" customHeight="1">
      <c r="A4782" s="4" t="s">
        <v>11638</v>
      </c>
      <c r="B4782" s="5" t="s">
        <v>11638</v>
      </c>
      <c r="C4782" s="5" t="s">
        <v>94</v>
      </c>
      <c r="D4782" s="5" t="s">
        <v>95</v>
      </c>
      <c r="E4782" s="5" t="s">
        <v>663</v>
      </c>
      <c r="F4782" s="9" t="s">
        <v>664</v>
      </c>
      <c r="G4782" s="9">
        <v>209</v>
      </c>
      <c r="H4782" s="5" t="s">
        <v>21</v>
      </c>
      <c r="I4782" s="5" t="s">
        <v>11639</v>
      </c>
      <c r="J4782" s="12" t="str">
        <f>HYPERLINK("https://www.boe.es/gazeta/dias/1808/02/26/pdfs/GMD-1808-17.pdf#page=11","Abrir facsímil")</f>
        <v>Abrir facsímil</v>
      </c>
      <c r="K4782" s="15" t="s">
        <v>23</v>
      </c>
    </row>
    <row r="4783" spans="1:11" ht="42" customHeight="1">
      <c r="A4783" s="4" t="s">
        <v>11640</v>
      </c>
      <c r="B4783" s="5" t="s">
        <v>11640</v>
      </c>
      <c r="C4783" s="5" t="s">
        <v>260</v>
      </c>
      <c r="D4783" s="5" t="s">
        <v>42</v>
      </c>
      <c r="E4783" s="5" t="s">
        <v>1085</v>
      </c>
      <c r="F4783" s="9" t="s">
        <v>1086</v>
      </c>
      <c r="G4783" s="9">
        <v>104</v>
      </c>
      <c r="H4783" s="5" t="s">
        <v>21</v>
      </c>
      <c r="I4783" s="5" t="s">
        <v>11641</v>
      </c>
      <c r="J4783" s="12" t="str">
        <f>HYPERLINK("https://www.boe.es/gazeta/dias/1808/01/29/pdfs/GMD-1808-9.pdf#page=8","Abrir facsímil")</f>
        <v>Abrir facsímil</v>
      </c>
      <c r="K4783" s="15" t="s">
        <v>23</v>
      </c>
    </row>
    <row r="4784" spans="1:11" ht="42" customHeight="1">
      <c r="A4784" s="4" t="s">
        <v>11642</v>
      </c>
      <c r="B4784" s="5" t="s">
        <v>11642</v>
      </c>
      <c r="C4784" s="5" t="s">
        <v>26</v>
      </c>
      <c r="D4784" s="5" t="s">
        <v>27</v>
      </c>
      <c r="E4784" s="5" t="s">
        <v>478</v>
      </c>
      <c r="F4784" s="9" t="s">
        <v>479</v>
      </c>
      <c r="G4784" s="9">
        <v>242</v>
      </c>
      <c r="H4784" s="5" t="s">
        <v>21</v>
      </c>
      <c r="I4784" s="5" t="s">
        <v>11643</v>
      </c>
      <c r="J4784" s="12" t="str">
        <f>HYPERLINK("https://www.boe.es/gazeta/dias/1808/03/08/pdfs/GMD-1808-20.pdf#page=8","Abrir facsímil")</f>
        <v>Abrir facsímil</v>
      </c>
      <c r="K4784" s="15" t="s">
        <v>23</v>
      </c>
    </row>
    <row r="4785" spans="1:11" ht="42" customHeight="1">
      <c r="A4785" s="4" t="s">
        <v>11644</v>
      </c>
      <c r="B4785" s="5" t="s">
        <v>11644</v>
      </c>
      <c r="C4785" s="5" t="s">
        <v>94</v>
      </c>
      <c r="D4785" s="5" t="s">
        <v>95</v>
      </c>
      <c r="E4785" s="5" t="s">
        <v>73</v>
      </c>
      <c r="F4785" s="9" t="s">
        <v>581</v>
      </c>
      <c r="G4785" s="9">
        <v>1466</v>
      </c>
      <c r="H4785" s="5" t="s">
        <v>21</v>
      </c>
      <c r="I4785" s="5" t="s">
        <v>11645</v>
      </c>
      <c r="J4785" s="12" t="str">
        <f>HYPERLINK("https://www.boe.es/gazeta/dias/1808/11/11/pdfs/GMD-1808-143.pdf#page=8","Abrir facsímil")</f>
        <v>Abrir facsímil</v>
      </c>
      <c r="K4785" s="15" t="s">
        <v>23</v>
      </c>
    </row>
    <row r="4786" spans="1:11" ht="42" customHeight="1">
      <c r="A4786" s="4" t="s">
        <v>11646</v>
      </c>
      <c r="B4786" s="5" t="s">
        <v>11646</v>
      </c>
      <c r="C4786" s="5" t="s">
        <v>33</v>
      </c>
      <c r="D4786" s="5" t="s">
        <v>34</v>
      </c>
      <c r="E4786" s="5" t="s">
        <v>68</v>
      </c>
      <c r="F4786" s="9" t="s">
        <v>849</v>
      </c>
      <c r="G4786" s="9">
        <v>1344</v>
      </c>
      <c r="H4786" s="5" t="s">
        <v>21</v>
      </c>
      <c r="I4786" s="5" t="s">
        <v>11647</v>
      </c>
      <c r="J4786" s="12" t="str">
        <f>HYPERLINK("https://www.boe.es/gazeta/dias/1808/10/21/pdfs/GMD-C-1808-136.pdf#page=4","Abrir facsímil")</f>
        <v>Abrir facsímil</v>
      </c>
      <c r="K4786" s="15" t="s">
        <v>23</v>
      </c>
    </row>
    <row r="4787" spans="1:11" ht="42" customHeight="1">
      <c r="A4787" s="4" t="s">
        <v>11648</v>
      </c>
      <c r="B4787" s="5" t="s">
        <v>11648</v>
      </c>
      <c r="C4787" s="5" t="s">
        <v>389</v>
      </c>
      <c r="D4787" s="5" t="s">
        <v>390</v>
      </c>
      <c r="E4787" s="5" t="s">
        <v>120</v>
      </c>
      <c r="F4787" s="9" t="s">
        <v>121</v>
      </c>
      <c r="G4787" s="9">
        <v>316</v>
      </c>
      <c r="H4787" s="5" t="s">
        <v>21</v>
      </c>
      <c r="I4787" s="5" t="s">
        <v>11649</v>
      </c>
      <c r="J4787" s="12" t="str">
        <f>HYPERLINK("https://www.boe.es/gazeta/dias/1808/03/29/pdfs/GMD-1808-27.pdf#page=12","Abrir facsímil")</f>
        <v>Abrir facsímil</v>
      </c>
      <c r="K4787" s="15" t="s">
        <v>23</v>
      </c>
    </row>
    <row r="4788" spans="1:11" ht="42" customHeight="1">
      <c r="A4788" s="4" t="s">
        <v>11648</v>
      </c>
      <c r="B4788" s="5" t="s">
        <v>11648</v>
      </c>
      <c r="C4788" s="5" t="s">
        <v>17</v>
      </c>
      <c r="D4788" s="5" t="s">
        <v>18</v>
      </c>
      <c r="E4788" s="5" t="s">
        <v>153</v>
      </c>
      <c r="F4788" s="9" t="s">
        <v>1185</v>
      </c>
      <c r="G4788" s="9">
        <v>1150</v>
      </c>
      <c r="H4788" s="5" t="s">
        <v>21</v>
      </c>
      <c r="I4788" s="5" t="s">
        <v>11650</v>
      </c>
      <c r="J4788" s="12" t="str">
        <f>HYPERLINK("https://www.boe.es/gazeta/dias/1808/09/09/pdfs/GMD-1808-121.pdf#page=8","Abrir facsímil")</f>
        <v>Abrir facsímil</v>
      </c>
      <c r="K4788" s="15" t="s">
        <v>23</v>
      </c>
    </row>
    <row r="4789" spans="1:11" ht="42" customHeight="1">
      <c r="A4789" s="4" t="s">
        <v>11648</v>
      </c>
      <c r="B4789" s="5" t="s">
        <v>11648</v>
      </c>
      <c r="C4789" s="5" t="s">
        <v>389</v>
      </c>
      <c r="D4789" s="5" t="s">
        <v>390</v>
      </c>
      <c r="E4789" s="5" t="s">
        <v>125</v>
      </c>
      <c r="F4789" s="9" t="s">
        <v>397</v>
      </c>
      <c r="G4789" s="9">
        <v>1272</v>
      </c>
      <c r="H4789" s="5" t="s">
        <v>21</v>
      </c>
      <c r="I4789" s="5" t="s">
        <v>11651</v>
      </c>
      <c r="J4789" s="12" t="str">
        <f>HYPERLINK("https://www.boe.es/gazeta/dias/1808/10/07/pdfs/GMD-1808-132.pdf#page=12","Abrir facsímil")</f>
        <v>Abrir facsímil</v>
      </c>
      <c r="K4789" s="15" t="s">
        <v>23</v>
      </c>
    </row>
    <row r="4790" spans="1:11" ht="42" customHeight="1">
      <c r="A4790" s="4" t="s">
        <v>11652</v>
      </c>
      <c r="B4790" s="5" t="s">
        <v>11652</v>
      </c>
      <c r="C4790" s="5" t="s">
        <v>33</v>
      </c>
      <c r="D4790" s="5" t="s">
        <v>34</v>
      </c>
      <c r="E4790" s="5" t="s">
        <v>558</v>
      </c>
      <c r="F4790" s="9" t="s">
        <v>758</v>
      </c>
      <c r="G4790" s="9" t="s">
        <v>75</v>
      </c>
      <c r="H4790" s="5" t="s">
        <v>21</v>
      </c>
      <c r="I4790" s="5" t="s">
        <v>11653</v>
      </c>
      <c r="J4790" s="12" t="str">
        <f>HYPERLINK("https://www.boe.es/gazeta/dias/1808/11/25/pdfs/GMD-E-1808-147.pdf#page=4","Abrir facsímil")</f>
        <v>Abrir facsímil</v>
      </c>
      <c r="K4790" s="15" t="s">
        <v>23</v>
      </c>
    </row>
    <row r="4791" spans="1:11" ht="42" customHeight="1">
      <c r="A4791" s="4" t="s">
        <v>11654</v>
      </c>
      <c r="B4791" s="5" t="s">
        <v>11654</v>
      </c>
      <c r="C4791" s="5" t="s">
        <v>260</v>
      </c>
      <c r="D4791" s="5" t="s">
        <v>42</v>
      </c>
      <c r="E4791" s="5" t="s">
        <v>115</v>
      </c>
      <c r="F4791" s="9" t="s">
        <v>1650</v>
      </c>
      <c r="G4791" s="9">
        <v>1179</v>
      </c>
      <c r="H4791" s="5" t="s">
        <v>21</v>
      </c>
      <c r="I4791" s="5" t="s">
        <v>11655</v>
      </c>
      <c r="J4791" s="12" t="str">
        <f>HYPERLINK("https://www.boe.es/gazeta/dias/1808/09/16/pdfs/GMD-1808-125.pdf#page=11","Abrir facsímil")</f>
        <v>Abrir facsímil</v>
      </c>
      <c r="K4791" s="15" t="s">
        <v>23</v>
      </c>
    </row>
    <row r="4792" spans="1:11" ht="42" customHeight="1">
      <c r="A4792" s="4" t="s">
        <v>11656</v>
      </c>
      <c r="B4792" s="5" t="s">
        <v>11656</v>
      </c>
      <c r="C4792" s="5" t="s">
        <v>33</v>
      </c>
      <c r="D4792" s="5" t="s">
        <v>34</v>
      </c>
      <c r="E4792" s="5" t="s">
        <v>35</v>
      </c>
      <c r="F4792" s="9" t="s">
        <v>36</v>
      </c>
      <c r="G4792" s="9" t="s">
        <v>1006</v>
      </c>
      <c r="H4792" s="5" t="s">
        <v>21</v>
      </c>
      <c r="I4792" s="5" t="s">
        <v>11657</v>
      </c>
      <c r="J4792" s="12" t="str">
        <f>HYPERLINK("https://www.boe.es/gazeta/dias/1808/04/22/pdfs/GMD-C-1808-38.pdf#page=46","Abrir facsímil")</f>
        <v>Abrir facsímil</v>
      </c>
      <c r="K4792" s="15" t="s">
        <v>23</v>
      </c>
    </row>
    <row r="4793" spans="1:11" ht="42" customHeight="1">
      <c r="A4793" s="4" t="s">
        <v>11658</v>
      </c>
      <c r="B4793" s="5" t="s">
        <v>11659</v>
      </c>
      <c r="C4793" s="5" t="s">
        <v>26</v>
      </c>
      <c r="D4793" s="5" t="s">
        <v>27</v>
      </c>
      <c r="E4793" s="5" t="s">
        <v>28</v>
      </c>
      <c r="F4793" s="9" t="s">
        <v>29</v>
      </c>
      <c r="G4793" s="9">
        <v>1428</v>
      </c>
      <c r="H4793" s="5" t="s">
        <v>21</v>
      </c>
      <c r="I4793" s="5" t="s">
        <v>11660</v>
      </c>
      <c r="J4793" s="12" t="str">
        <f>HYPERLINK("https://www.boe.es/gazeta/dias/1808/11/04/pdfs/GMD-1808-141.pdf#page=10","Abrir facsímil")</f>
        <v>Abrir facsímil</v>
      </c>
      <c r="K4793" s="15" t="s">
        <v>23</v>
      </c>
    </row>
    <row r="4794" spans="1:11" ht="42" customHeight="1">
      <c r="A4794" s="4" t="s">
        <v>11661</v>
      </c>
      <c r="B4794" s="5" t="s">
        <v>11661</v>
      </c>
      <c r="C4794" s="5" t="s">
        <v>33</v>
      </c>
      <c r="D4794" s="5" t="s">
        <v>34</v>
      </c>
      <c r="E4794" s="5" t="s">
        <v>115</v>
      </c>
      <c r="F4794" s="9" t="s">
        <v>116</v>
      </c>
      <c r="G4794" s="9" t="s">
        <v>199</v>
      </c>
      <c r="H4794" s="5" t="s">
        <v>21</v>
      </c>
      <c r="I4794" s="5" t="s">
        <v>11662</v>
      </c>
      <c r="J4794" s="12" t="str">
        <f>HYPERLINK("https://www.boe.es/gazeta/dias/1808/09/16/pdfs/GMD-C-1808-125.pdf#page=2","Abrir facsímil")</f>
        <v>Abrir facsímil</v>
      </c>
      <c r="K4794" s="15" t="s">
        <v>23</v>
      </c>
    </row>
    <row r="4795" spans="1:11" ht="42" customHeight="1">
      <c r="A4795" s="4" t="s">
        <v>11663</v>
      </c>
      <c r="B4795" s="5" t="s">
        <v>11663</v>
      </c>
      <c r="C4795" s="5" t="s">
        <v>94</v>
      </c>
      <c r="D4795" s="5" t="s">
        <v>95</v>
      </c>
      <c r="E4795" s="5" t="s">
        <v>513</v>
      </c>
      <c r="F4795" s="9" t="s">
        <v>514</v>
      </c>
      <c r="G4795" s="9">
        <v>286</v>
      </c>
      <c r="H4795" s="5" t="s">
        <v>21</v>
      </c>
      <c r="I4795" s="5" t="s">
        <v>11664</v>
      </c>
      <c r="J4795" s="12" t="str">
        <f>HYPERLINK("https://www.boe.es/gazeta/dias/1808/03/22/pdfs/GMD-1808-24.pdf#page=8","Abrir facsímil")</f>
        <v>Abrir facsímil</v>
      </c>
      <c r="K4795" s="15" t="s">
        <v>23</v>
      </c>
    </row>
    <row r="4796" spans="1:11" ht="42" customHeight="1">
      <c r="A4796" s="4" t="s">
        <v>11665</v>
      </c>
      <c r="B4796" s="5" t="s">
        <v>11665</v>
      </c>
      <c r="C4796" s="5" t="s">
        <v>17</v>
      </c>
      <c r="D4796" s="5" t="s">
        <v>18</v>
      </c>
      <c r="E4796" s="5" t="s">
        <v>166</v>
      </c>
      <c r="F4796" s="9" t="s">
        <v>356</v>
      </c>
      <c r="G4796" s="9">
        <v>1509</v>
      </c>
      <c r="H4796" s="5" t="s">
        <v>21</v>
      </c>
      <c r="I4796" s="5" t="s">
        <v>11666</v>
      </c>
      <c r="J4796" s="12" t="str">
        <f>HYPERLINK("https://www.boe.es/gazeta/dias/1808/11/18/pdfs/GMD-1808-145.pdf#page=7","Abrir facsímil")</f>
        <v>Abrir facsímil</v>
      </c>
      <c r="K4796" s="15" t="s">
        <v>23</v>
      </c>
    </row>
    <row r="4797" spans="1:11" ht="42" customHeight="1">
      <c r="A4797" s="4" t="s">
        <v>11667</v>
      </c>
      <c r="B4797" s="5" t="s">
        <v>11667</v>
      </c>
      <c r="C4797" s="5" t="s">
        <v>17</v>
      </c>
      <c r="D4797" s="5" t="s">
        <v>18</v>
      </c>
      <c r="E4797" s="5" t="s">
        <v>115</v>
      </c>
      <c r="F4797" s="9" t="s">
        <v>882</v>
      </c>
      <c r="G4797" s="9">
        <v>256</v>
      </c>
      <c r="H4797" s="5" t="s">
        <v>21</v>
      </c>
      <c r="I4797" s="5" t="s">
        <v>11668</v>
      </c>
      <c r="J4797" s="12" t="str">
        <f>HYPERLINK("https://www.boe.es/gazeta/dias/1808/09/16/pdfs/GMS-1808-32.pdf#page=8","Abrir facsímil")</f>
        <v>Abrir facsímil</v>
      </c>
      <c r="K4797" s="15" t="s">
        <v>23</v>
      </c>
    </row>
    <row r="4798" spans="1:11" ht="42" customHeight="1">
      <c r="A4798" s="4" t="s">
        <v>11669</v>
      </c>
      <c r="B4798" s="5" t="s">
        <v>11669</v>
      </c>
      <c r="C4798" s="5" t="s">
        <v>33</v>
      </c>
      <c r="D4798" s="5" t="s">
        <v>34</v>
      </c>
      <c r="E4798" s="5" t="s">
        <v>35</v>
      </c>
      <c r="F4798" s="9" t="s">
        <v>36</v>
      </c>
      <c r="G4798" s="9" t="s">
        <v>414</v>
      </c>
      <c r="H4798" s="5" t="s">
        <v>21</v>
      </c>
      <c r="I4798" s="5" t="s">
        <v>11670</v>
      </c>
      <c r="J4798" s="12" t="str">
        <f>HYPERLINK("https://www.boe.es/gazeta/dias/1808/04/22/pdfs/GMD-C-1808-38.pdf#page=20","Abrir facsímil")</f>
        <v>Abrir facsímil</v>
      </c>
      <c r="K4798" s="15" t="s">
        <v>23</v>
      </c>
    </row>
    <row r="4799" spans="1:11" ht="42" customHeight="1">
      <c r="A4799" s="4" t="s">
        <v>11671</v>
      </c>
      <c r="B4799" s="5" t="s">
        <v>11671</v>
      </c>
      <c r="C4799" s="5" t="s">
        <v>33</v>
      </c>
      <c r="D4799" s="5" t="s">
        <v>34</v>
      </c>
      <c r="E4799" s="5" t="s">
        <v>89</v>
      </c>
      <c r="F4799" s="9" t="s">
        <v>563</v>
      </c>
      <c r="G4799" s="9" t="s">
        <v>75</v>
      </c>
      <c r="H4799" s="5" t="s">
        <v>21</v>
      </c>
      <c r="I4799" s="5" t="s">
        <v>11672</v>
      </c>
      <c r="J4799" s="12" t="str">
        <f>HYPERLINK("https://www.boe.es/gazeta/dias/1808/10/25/pdfs/GMD-D-1808-137.pdf#page=4","Abrir facsímil")</f>
        <v>Abrir facsímil</v>
      </c>
      <c r="K4799" s="15" t="s">
        <v>23</v>
      </c>
    </row>
    <row r="4800" spans="1:11" ht="42" customHeight="1">
      <c r="A4800" s="4" t="s">
        <v>11673</v>
      </c>
      <c r="B4800" s="5" t="s">
        <v>11673</v>
      </c>
      <c r="C4800" s="5" t="s">
        <v>94</v>
      </c>
      <c r="D4800" s="5" t="s">
        <v>95</v>
      </c>
      <c r="E4800" s="5" t="s">
        <v>516</v>
      </c>
      <c r="F4800" s="9" t="s">
        <v>517</v>
      </c>
      <c r="G4800" s="9">
        <v>601</v>
      </c>
      <c r="H4800" s="5" t="s">
        <v>21</v>
      </c>
      <c r="I4800" s="5" t="s">
        <v>11674</v>
      </c>
      <c r="J4800" s="12" t="str">
        <f>HYPERLINK("https://www.boe.es/gazeta/dias/1808/06/19/pdfs/GMD-1808-61.pdf#page=7","Abrir facsímil")</f>
        <v>Abrir facsímil</v>
      </c>
      <c r="K4800" s="15" t="s">
        <v>23</v>
      </c>
    </row>
    <row r="4801" spans="1:11" ht="42" customHeight="1">
      <c r="A4801" s="4" t="s">
        <v>11673</v>
      </c>
      <c r="B4801" s="5" t="s">
        <v>11673</v>
      </c>
      <c r="C4801" s="5" t="s">
        <v>17</v>
      </c>
      <c r="D4801" s="5" t="s">
        <v>18</v>
      </c>
      <c r="E4801" s="5" t="s">
        <v>8875</v>
      </c>
      <c r="F4801" s="9" t="s">
        <v>8876</v>
      </c>
      <c r="G4801" s="9">
        <v>882</v>
      </c>
      <c r="H4801" s="5" t="s">
        <v>21</v>
      </c>
      <c r="I4801" s="5" t="s">
        <v>11675</v>
      </c>
      <c r="J4801" s="12" t="str">
        <f>HYPERLINK("https://www.boe.es/gazeta/dias/1808/07/24/pdfs/GMD-1808-96.pdf#page=4","Abrir facsímil")</f>
        <v>Abrir facsímil</v>
      </c>
      <c r="K4801" s="15" t="s">
        <v>23</v>
      </c>
    </row>
    <row r="4802" spans="1:11" ht="42" customHeight="1">
      <c r="A4802" s="4" t="s">
        <v>11673</v>
      </c>
      <c r="B4802" s="5" t="s">
        <v>11673</v>
      </c>
      <c r="C4802" s="5" t="s">
        <v>94</v>
      </c>
      <c r="D4802" s="5" t="s">
        <v>95</v>
      </c>
      <c r="E4802" s="5" t="s">
        <v>968</v>
      </c>
      <c r="F4802" s="9" t="s">
        <v>969</v>
      </c>
      <c r="G4802" s="9">
        <v>899</v>
      </c>
      <c r="H4802" s="5" t="s">
        <v>21</v>
      </c>
      <c r="I4802" s="5" t="s">
        <v>11676</v>
      </c>
      <c r="J4802" s="12" t="str">
        <f>HYPERLINK("https://www.boe.es/gazeta/dias/1808/07/26/pdfs/GMD-1808-98.pdf#page=5","Abrir facsímil")</f>
        <v>Abrir facsímil</v>
      </c>
      <c r="K4802" s="15" t="s">
        <v>23</v>
      </c>
    </row>
    <row r="4803" spans="1:11" ht="42" customHeight="1">
      <c r="A4803" s="4" t="s">
        <v>11673</v>
      </c>
      <c r="B4803" s="5" t="s">
        <v>11673</v>
      </c>
      <c r="C4803" s="5" t="s">
        <v>17</v>
      </c>
      <c r="D4803" s="5" t="s">
        <v>18</v>
      </c>
      <c r="E4803" s="5" t="s">
        <v>553</v>
      </c>
      <c r="F4803" s="9" t="s">
        <v>554</v>
      </c>
      <c r="G4803" s="9">
        <v>906</v>
      </c>
      <c r="H4803" s="5" t="s">
        <v>21</v>
      </c>
      <c r="I4803" s="5" t="s">
        <v>11677</v>
      </c>
      <c r="J4803" s="12" t="str">
        <f>HYPERLINK("https://www.boe.es/gazeta/dias/1808/07/27/pdfs/GMD-1808-99.pdf#page=4","Abrir facsímil")</f>
        <v>Abrir facsímil</v>
      </c>
      <c r="K4803" s="15" t="s">
        <v>23</v>
      </c>
    </row>
    <row r="4804" spans="1:11" ht="42" customHeight="1">
      <c r="A4804" s="4" t="s">
        <v>11673</v>
      </c>
      <c r="B4804" s="5" t="s">
        <v>11673</v>
      </c>
      <c r="C4804" s="5" t="s">
        <v>17</v>
      </c>
      <c r="D4804" s="5" t="s">
        <v>18</v>
      </c>
      <c r="E4804" s="5" t="s">
        <v>1791</v>
      </c>
      <c r="F4804" s="9" t="s">
        <v>2814</v>
      </c>
      <c r="G4804" s="9">
        <v>929</v>
      </c>
      <c r="H4804" s="5" t="s">
        <v>21</v>
      </c>
      <c r="I4804" s="5" t="s">
        <v>11678</v>
      </c>
      <c r="J4804" s="12" t="str">
        <f>HYPERLINK("https://www.boe.es/gazeta/dias/1808/07/30/pdfs/GMD-1808-102.pdf#page=3","Abrir facsímil")</f>
        <v>Abrir facsímil</v>
      </c>
      <c r="K4804" s="15" t="s">
        <v>23</v>
      </c>
    </row>
    <row r="4805" spans="1:11" ht="42" customHeight="1">
      <c r="A4805" s="4" t="s">
        <v>11673</v>
      </c>
      <c r="B4805" s="5" t="s">
        <v>11673</v>
      </c>
      <c r="C4805" s="5" t="s">
        <v>17</v>
      </c>
      <c r="D4805" s="5" t="s">
        <v>18</v>
      </c>
      <c r="E4805" s="5" t="s">
        <v>3439</v>
      </c>
      <c r="F4805" s="9" t="s">
        <v>3440</v>
      </c>
      <c r="G4805" s="9">
        <v>940</v>
      </c>
      <c r="H4805" s="5" t="s">
        <v>21</v>
      </c>
      <c r="I4805" s="5" t="s">
        <v>11679</v>
      </c>
      <c r="J4805" s="12" t="str">
        <f>HYPERLINK("https://www.boe.es/gazeta/dias/1808/07/31/pdfs/GMD-1808-103.pdf#page=6","Abrir facsímil")</f>
        <v>Abrir facsímil</v>
      </c>
      <c r="K4805" s="15" t="s">
        <v>23</v>
      </c>
    </row>
    <row r="4806" spans="1:11" ht="42" customHeight="1">
      <c r="A4806" s="4" t="s">
        <v>11680</v>
      </c>
      <c r="B4806" s="5" t="s">
        <v>11680</v>
      </c>
      <c r="C4806" s="5" t="s">
        <v>94</v>
      </c>
      <c r="D4806" s="5" t="s">
        <v>95</v>
      </c>
      <c r="E4806" s="5" t="s">
        <v>634</v>
      </c>
      <c r="F4806" s="9" t="s">
        <v>635</v>
      </c>
      <c r="G4806" s="9">
        <v>912</v>
      </c>
      <c r="H4806" s="5" t="s">
        <v>21</v>
      </c>
      <c r="I4806" s="5" t="s">
        <v>11681</v>
      </c>
      <c r="J4806" s="12" t="str">
        <f>HYPERLINK("https://www.boe.es/gazeta/dias/1808/07/28/pdfs/GMD-1808-100.pdf#page=2","Abrir facsímil")</f>
        <v>Abrir facsímil</v>
      </c>
      <c r="K4806" s="15" t="s">
        <v>23</v>
      </c>
    </row>
    <row r="4807" spans="1:11" ht="42" customHeight="1">
      <c r="A4807" s="4" t="s">
        <v>11682</v>
      </c>
      <c r="B4807" s="5" t="s">
        <v>11682</v>
      </c>
      <c r="C4807" s="5" t="s">
        <v>33</v>
      </c>
      <c r="D4807" s="5" t="s">
        <v>34</v>
      </c>
      <c r="E4807" s="5" t="s">
        <v>35</v>
      </c>
      <c r="F4807" s="9" t="s">
        <v>36</v>
      </c>
      <c r="G4807" s="9" t="s">
        <v>837</v>
      </c>
      <c r="H4807" s="5" t="s">
        <v>21</v>
      </c>
      <c r="I4807" s="5" t="s">
        <v>11683</v>
      </c>
      <c r="J4807" s="12" t="str">
        <f>HYPERLINK("https://www.boe.es/gazeta/dias/1808/04/22/pdfs/GMD-C-1808-38.pdf#page=10","Abrir facsímil")</f>
        <v>Abrir facsímil</v>
      </c>
      <c r="K4807" s="15" t="s">
        <v>23</v>
      </c>
    </row>
    <row r="4808" spans="1:11" ht="42" customHeight="1">
      <c r="A4808" s="4" t="s">
        <v>11684</v>
      </c>
      <c r="B4808" s="5" t="s">
        <v>11684</v>
      </c>
      <c r="C4808" s="5" t="s">
        <v>33</v>
      </c>
      <c r="D4808" s="5" t="s">
        <v>34</v>
      </c>
      <c r="E4808" s="5" t="s">
        <v>197</v>
      </c>
      <c r="F4808" s="9" t="s">
        <v>198</v>
      </c>
      <c r="G4808" s="9" t="s">
        <v>199</v>
      </c>
      <c r="H4808" s="5" t="s">
        <v>21</v>
      </c>
      <c r="I4808" s="5" t="s">
        <v>11685</v>
      </c>
      <c r="J4808" s="12" t="str">
        <f>HYPERLINK("https://www.boe.es/gazeta/dias/1808/11/01/pdfs/GMD-D-1808-140.pdf#page=2","Abrir facsímil")</f>
        <v>Abrir facsímil</v>
      </c>
      <c r="K4808" s="15" t="s">
        <v>23</v>
      </c>
    </row>
    <row r="4809" spans="1:11" ht="42" customHeight="1">
      <c r="A4809" s="4" t="s">
        <v>11686</v>
      </c>
      <c r="B4809" s="5" t="s">
        <v>11686</v>
      </c>
      <c r="C4809" s="5" t="s">
        <v>33</v>
      </c>
      <c r="D4809" s="5" t="s">
        <v>34</v>
      </c>
      <c r="E4809" s="5" t="s">
        <v>73</v>
      </c>
      <c r="F4809" s="9" t="s">
        <v>74</v>
      </c>
      <c r="G4809" s="9" t="s">
        <v>117</v>
      </c>
      <c r="H4809" s="5" t="s">
        <v>21</v>
      </c>
      <c r="I4809" s="5" t="s">
        <v>11687</v>
      </c>
      <c r="J4809" s="12" t="str">
        <f>HYPERLINK("https://www.boe.es/gazeta/dias/1808/11/11/pdfs/GMD-D-1808-143.pdf#page=1","Abrir facsímil")</f>
        <v>Abrir facsímil</v>
      </c>
      <c r="K4809" s="15" t="s">
        <v>23</v>
      </c>
    </row>
    <row r="4810" spans="1:11" ht="42" customHeight="1">
      <c r="A4810" s="4" t="s">
        <v>11688</v>
      </c>
      <c r="B4810" s="5" t="s">
        <v>11688</v>
      </c>
      <c r="C4810" s="5" t="s">
        <v>33</v>
      </c>
      <c r="D4810" s="5" t="s">
        <v>34</v>
      </c>
      <c r="E4810" s="5" t="s">
        <v>391</v>
      </c>
      <c r="F4810" s="9" t="s">
        <v>588</v>
      </c>
      <c r="G4810" s="9" t="s">
        <v>75</v>
      </c>
      <c r="H4810" s="5" t="s">
        <v>21</v>
      </c>
      <c r="I4810" s="5" t="s">
        <v>11689</v>
      </c>
      <c r="J4810" s="12" t="str">
        <f>HYPERLINK("https://www.boe.es/gazeta/dias/1808/09/27/pdfs/GMD-C-1808-128.pdf#page=4","Abrir facsímil")</f>
        <v>Abrir facsímil</v>
      </c>
      <c r="K4810" s="15" t="s">
        <v>23</v>
      </c>
    </row>
    <row r="4811" spans="1:11" ht="42" customHeight="1">
      <c r="A4811" s="4" t="s">
        <v>11690</v>
      </c>
      <c r="B4811" s="5" t="s">
        <v>11690</v>
      </c>
      <c r="C4811" s="5" t="s">
        <v>94</v>
      </c>
      <c r="D4811" s="5" t="s">
        <v>95</v>
      </c>
      <c r="E4811" s="5" t="s">
        <v>663</v>
      </c>
      <c r="F4811" s="9" t="s">
        <v>664</v>
      </c>
      <c r="G4811" s="9">
        <v>209</v>
      </c>
      <c r="H4811" s="5" t="s">
        <v>21</v>
      </c>
      <c r="I4811" s="5" t="s">
        <v>11691</v>
      </c>
      <c r="J4811" s="12" t="str">
        <f>HYPERLINK("https://www.boe.es/gazeta/dias/1808/02/26/pdfs/GMD-1808-17.pdf#page=11","Abrir facsímil")</f>
        <v>Abrir facsímil</v>
      </c>
      <c r="K4811" s="15" t="s">
        <v>23</v>
      </c>
    </row>
    <row r="4812" spans="1:11" ht="42" customHeight="1">
      <c r="A4812" s="4" t="s">
        <v>11692</v>
      </c>
      <c r="B4812" s="5" t="s">
        <v>11693</v>
      </c>
      <c r="C4812" s="5" t="s">
        <v>41</v>
      </c>
      <c r="D4812" s="5" t="s">
        <v>42</v>
      </c>
      <c r="E4812" s="5" t="s">
        <v>210</v>
      </c>
      <c r="F4812" s="9" t="s">
        <v>211</v>
      </c>
      <c r="G4812" s="9">
        <v>256</v>
      </c>
      <c r="H4812" s="5" t="s">
        <v>21</v>
      </c>
      <c r="I4812" s="5" t="s">
        <v>11694</v>
      </c>
      <c r="J4812" s="12" t="str">
        <f>HYPERLINK("https://www.boe.es/gazeta/dias/1808/03/11/pdfs/GMD-1808-21.pdf#page=10","Abrir facsímil")</f>
        <v>Abrir facsímil</v>
      </c>
      <c r="K4812" s="15" t="s">
        <v>23</v>
      </c>
    </row>
    <row r="4813" spans="1:11" ht="42" customHeight="1">
      <c r="A4813" s="4" t="s">
        <v>11695</v>
      </c>
      <c r="B4813" s="5" t="s">
        <v>11695</v>
      </c>
      <c r="C4813" s="5" t="s">
        <v>33</v>
      </c>
      <c r="D4813" s="5" t="s">
        <v>34</v>
      </c>
      <c r="E4813" s="5" t="s">
        <v>35</v>
      </c>
      <c r="F4813" s="9" t="s">
        <v>36</v>
      </c>
      <c r="G4813" s="9" t="s">
        <v>867</v>
      </c>
      <c r="H4813" s="5" t="s">
        <v>21</v>
      </c>
      <c r="I4813" s="5" t="s">
        <v>11696</v>
      </c>
      <c r="J4813" s="12" t="str">
        <f>HYPERLINK("https://www.boe.es/gazeta/dias/1808/04/22/pdfs/GMD-C-1808-38.pdf#page=19","Abrir facsímil")</f>
        <v>Abrir facsímil</v>
      </c>
      <c r="K4813" s="15" t="s">
        <v>23</v>
      </c>
    </row>
    <row r="4814" spans="1:11" ht="42" customHeight="1">
      <c r="A4814" s="4" t="s">
        <v>11695</v>
      </c>
      <c r="B4814" s="5" t="s">
        <v>11695</v>
      </c>
      <c r="C4814" s="5" t="s">
        <v>33</v>
      </c>
      <c r="D4814" s="5" t="s">
        <v>34</v>
      </c>
      <c r="E4814" s="5" t="s">
        <v>456</v>
      </c>
      <c r="F4814" s="9" t="s">
        <v>748</v>
      </c>
      <c r="G4814" s="9" t="s">
        <v>106</v>
      </c>
      <c r="H4814" s="5" t="s">
        <v>21</v>
      </c>
      <c r="I4814" s="5" t="s">
        <v>11697</v>
      </c>
      <c r="J4814" s="12" t="str">
        <f>HYPERLINK("https://www.boe.es/gazeta/dias/1808/10/14/pdfs/GMD-C-1808-134.pdf#page=3","Abrir facsímil")</f>
        <v>Abrir facsímil</v>
      </c>
      <c r="K4814" s="15" t="s">
        <v>23</v>
      </c>
    </row>
    <row r="4815" spans="1:11" ht="42" customHeight="1">
      <c r="A4815" s="4" t="s">
        <v>11698</v>
      </c>
      <c r="B4815" s="5" t="s">
        <v>11698</v>
      </c>
      <c r="C4815" s="5" t="s">
        <v>17</v>
      </c>
      <c r="D4815" s="5" t="s">
        <v>18</v>
      </c>
      <c r="E4815" s="5" t="s">
        <v>245</v>
      </c>
      <c r="F4815" s="9" t="s">
        <v>246</v>
      </c>
      <c r="G4815" s="9">
        <v>541</v>
      </c>
      <c r="H4815" s="5" t="s">
        <v>21</v>
      </c>
      <c r="I4815" s="5" t="s">
        <v>11699</v>
      </c>
      <c r="J4815" s="12" t="str">
        <f>HYPERLINK("https://www.boe.es/gazeta/dias/1808/06/07/pdfs/GMD-1808-54.pdf#page=7","Abrir facsímil")</f>
        <v>Abrir facsímil</v>
      </c>
      <c r="K4815" s="15" t="s">
        <v>23</v>
      </c>
    </row>
    <row r="4816" spans="1:11" ht="42" customHeight="1">
      <c r="A4816" s="4" t="s">
        <v>11700</v>
      </c>
      <c r="B4816" s="5" t="s">
        <v>11700</v>
      </c>
      <c r="C4816" s="5" t="s">
        <v>17</v>
      </c>
      <c r="D4816" s="5" t="s">
        <v>18</v>
      </c>
      <c r="E4816" s="5" t="s">
        <v>804</v>
      </c>
      <c r="F4816" s="9" t="s">
        <v>805</v>
      </c>
      <c r="G4816" s="9">
        <v>973</v>
      </c>
      <c r="H4816" s="5" t="s">
        <v>21</v>
      </c>
      <c r="I4816" s="5" t="s">
        <v>11701</v>
      </c>
      <c r="J4816" s="12" t="str">
        <f>HYPERLINK("https://www.boe.es/gazeta/dias/1808/08/05/pdfs/GMD-1808-108.pdf#page=3","Abrir facsímil")</f>
        <v>Abrir facsímil</v>
      </c>
      <c r="K4816" s="15" t="s">
        <v>23</v>
      </c>
    </row>
    <row r="4817" spans="1:11" ht="42" customHeight="1">
      <c r="A4817" s="4" t="s">
        <v>11702</v>
      </c>
      <c r="B4817" s="5" t="s">
        <v>11702</v>
      </c>
      <c r="C4817" s="5" t="s">
        <v>33</v>
      </c>
      <c r="D4817" s="5" t="s">
        <v>34</v>
      </c>
      <c r="E4817" s="5" t="s">
        <v>35</v>
      </c>
      <c r="F4817" s="9" t="s">
        <v>36</v>
      </c>
      <c r="G4817" s="9" t="s">
        <v>199</v>
      </c>
      <c r="H4817" s="5" t="s">
        <v>21</v>
      </c>
      <c r="I4817" s="5" t="s">
        <v>11703</v>
      </c>
      <c r="J4817" s="12" t="str">
        <f>HYPERLINK("https://www.boe.es/gazeta/dias/1808/04/22/pdfs/GMD-C-1808-38.pdf#page=2","Abrir facsímil")</f>
        <v>Abrir facsímil</v>
      </c>
      <c r="K4817" s="15" t="s">
        <v>23</v>
      </c>
    </row>
    <row r="4818" spans="1:11" ht="42" customHeight="1">
      <c r="A4818" s="4" t="s">
        <v>11702</v>
      </c>
      <c r="B4818" s="5" t="s">
        <v>11702</v>
      </c>
      <c r="C4818" s="5" t="s">
        <v>94</v>
      </c>
      <c r="D4818" s="5" t="s">
        <v>95</v>
      </c>
      <c r="E4818" s="5" t="s">
        <v>35</v>
      </c>
      <c r="F4818" s="9" t="s">
        <v>36</v>
      </c>
      <c r="G4818" s="9" t="s">
        <v>313</v>
      </c>
      <c r="H4818" s="5" t="s">
        <v>21</v>
      </c>
      <c r="I4818" s="5" t="s">
        <v>11704</v>
      </c>
      <c r="J4818" s="12" t="str">
        <f>HYPERLINK("https://www.boe.es/gazeta/dias/1808/04/22/pdfs/GMD-C-1808-38.pdf#page=29","Abrir facsímil")</f>
        <v>Abrir facsímil</v>
      </c>
      <c r="K4818" s="15" t="s">
        <v>23</v>
      </c>
    </row>
    <row r="4819" spans="1:11" ht="42" customHeight="1">
      <c r="A4819" s="4" t="s">
        <v>11705</v>
      </c>
      <c r="B4819" s="5" t="s">
        <v>11705</v>
      </c>
      <c r="C4819" s="5" t="s">
        <v>33</v>
      </c>
      <c r="D4819" s="5" t="s">
        <v>34</v>
      </c>
      <c r="E4819" s="5" t="s">
        <v>35</v>
      </c>
      <c r="F4819" s="9" t="s">
        <v>36</v>
      </c>
      <c r="G4819" s="9" t="s">
        <v>818</v>
      </c>
      <c r="H4819" s="5" t="s">
        <v>21</v>
      </c>
      <c r="I4819" s="5" t="s">
        <v>11706</v>
      </c>
      <c r="J4819" s="12" t="str">
        <f>HYPERLINK("https://www.boe.es/gazeta/dias/1808/04/22/pdfs/GMD-C-1808-38.pdf#page=7","Abrir facsímil")</f>
        <v>Abrir facsímil</v>
      </c>
      <c r="K4819" s="15" t="s">
        <v>23</v>
      </c>
    </row>
    <row r="4820" spans="1:11" ht="42" customHeight="1">
      <c r="A4820" s="4" t="s">
        <v>11707</v>
      </c>
      <c r="B4820" s="5" t="s">
        <v>11707</v>
      </c>
      <c r="C4820" s="5" t="s">
        <v>389</v>
      </c>
      <c r="D4820" s="5" t="s">
        <v>390</v>
      </c>
      <c r="E4820" s="5" t="s">
        <v>290</v>
      </c>
      <c r="F4820" s="9" t="s">
        <v>291</v>
      </c>
      <c r="G4820" s="9">
        <v>1066</v>
      </c>
      <c r="H4820" s="5" t="s">
        <v>21</v>
      </c>
      <c r="I4820" s="5" t="s">
        <v>11708</v>
      </c>
      <c r="J4820" s="12" t="str">
        <f>HYPERLINK("https://www.boe.es/gazeta/dias/1808/08/23/pdfs/GMD-1808-116.pdf#page=12","Abrir facsímil")</f>
        <v>Abrir facsímil</v>
      </c>
      <c r="K4820" s="15" t="s">
        <v>23</v>
      </c>
    </row>
    <row r="4821" spans="1:11" ht="42" customHeight="1">
      <c r="A4821" s="4" t="s">
        <v>11709</v>
      </c>
      <c r="B4821" s="5" t="s">
        <v>11709</v>
      </c>
      <c r="C4821" s="5" t="s">
        <v>94</v>
      </c>
      <c r="D4821" s="5" t="s">
        <v>95</v>
      </c>
      <c r="E4821" s="5" t="s">
        <v>548</v>
      </c>
      <c r="F4821" s="9" t="s">
        <v>549</v>
      </c>
      <c r="G4821" s="9">
        <v>277</v>
      </c>
      <c r="H4821" s="5" t="s">
        <v>21</v>
      </c>
      <c r="I4821" s="5" t="s">
        <v>11710</v>
      </c>
      <c r="J4821" s="12" t="str">
        <f>HYPERLINK("https://www.boe.es/gazeta/dias/1808/03/18/pdfs/GMD-1808-23.pdf#page=7","Abrir facsímil")</f>
        <v>Abrir facsímil</v>
      </c>
      <c r="K4821" s="15" t="s">
        <v>23</v>
      </c>
    </row>
    <row r="4822" spans="1:11" ht="42" customHeight="1">
      <c r="A4822" s="4" t="s">
        <v>11711</v>
      </c>
      <c r="B4822" s="5" t="s">
        <v>11711</v>
      </c>
      <c r="C4822" s="5" t="s">
        <v>33</v>
      </c>
      <c r="D4822" s="5" t="s">
        <v>34</v>
      </c>
      <c r="E4822" s="5" t="s">
        <v>68</v>
      </c>
      <c r="F4822" s="9" t="s">
        <v>849</v>
      </c>
      <c r="G4822" s="9">
        <v>1344</v>
      </c>
      <c r="H4822" s="5" t="s">
        <v>21</v>
      </c>
      <c r="I4822" s="5" t="s">
        <v>11712</v>
      </c>
      <c r="J4822" s="12" t="str">
        <f>HYPERLINK("https://www.boe.es/gazeta/dias/1808/10/21/pdfs/GMD-C-1808-136.pdf#page=4","Abrir facsímil")</f>
        <v>Abrir facsímil</v>
      </c>
      <c r="K4822" s="15" t="s">
        <v>23</v>
      </c>
    </row>
    <row r="4823" spans="1:11" ht="42" customHeight="1">
      <c r="A4823" s="4" t="s">
        <v>11713</v>
      </c>
      <c r="B4823" s="5" t="s">
        <v>11714</v>
      </c>
      <c r="C4823" s="5" t="s">
        <v>17</v>
      </c>
      <c r="D4823" s="5" t="s">
        <v>18</v>
      </c>
      <c r="E4823" s="5" t="s">
        <v>130</v>
      </c>
      <c r="F4823" s="9" t="s">
        <v>131</v>
      </c>
      <c r="G4823" s="9">
        <v>1602</v>
      </c>
      <c r="H4823" s="5" t="s">
        <v>21</v>
      </c>
      <c r="I4823" s="5" t="s">
        <v>11715</v>
      </c>
      <c r="J4823" s="12" t="str">
        <f>HYPERLINK("https://www.boe.es/gazeta/dias/1808/12/15/pdfs/GMD-1808-155.pdf#page=6","Abrir facsímil")</f>
        <v>Abrir facsímil</v>
      </c>
      <c r="K4823" s="15" t="s">
        <v>23</v>
      </c>
    </row>
    <row r="4824" spans="1:11" ht="42" customHeight="1">
      <c r="A4824" s="4" t="s">
        <v>11716</v>
      </c>
      <c r="B4824" s="5" t="s">
        <v>11716</v>
      </c>
      <c r="C4824" s="5" t="s">
        <v>389</v>
      </c>
      <c r="D4824" s="5" t="s">
        <v>390</v>
      </c>
      <c r="E4824" s="5" t="s">
        <v>1676</v>
      </c>
      <c r="F4824" s="9" t="s">
        <v>1677</v>
      </c>
      <c r="G4824" s="9">
        <v>558</v>
      </c>
      <c r="H4824" s="5" t="s">
        <v>21</v>
      </c>
      <c r="I4824" s="5" t="s">
        <v>11717</v>
      </c>
      <c r="J4824" s="12" t="str">
        <f>HYPERLINK("https://www.boe.es/gazeta/dias/1808/06/10/pdfs/GMD-1808-55.pdf#page=12","Abrir facsímil")</f>
        <v>Abrir facsímil</v>
      </c>
      <c r="K4824" s="15" t="s">
        <v>23</v>
      </c>
    </row>
    <row r="4825" spans="1:11" ht="42" customHeight="1">
      <c r="A4825" s="4" t="s">
        <v>11718</v>
      </c>
      <c r="B4825" s="5" t="s">
        <v>11718</v>
      </c>
      <c r="C4825" s="5" t="s">
        <v>94</v>
      </c>
      <c r="D4825" s="5" t="s">
        <v>95</v>
      </c>
      <c r="E4825" s="5" t="s">
        <v>539</v>
      </c>
      <c r="F4825" s="9" t="s">
        <v>540</v>
      </c>
      <c r="G4825" s="9">
        <v>1114</v>
      </c>
      <c r="H4825" s="5" t="s">
        <v>21</v>
      </c>
      <c r="I4825" s="5" t="s">
        <v>11719</v>
      </c>
      <c r="J4825" s="12" t="str">
        <f>HYPERLINK("https://www.boe.es/gazeta/dias/1808/09/02/pdfs/GMD-1808-119.pdf#page=8","Abrir facsímil")</f>
        <v>Abrir facsímil</v>
      </c>
      <c r="K4825" s="15" t="s">
        <v>23</v>
      </c>
    </row>
    <row r="4826" spans="1:11" ht="42" customHeight="1">
      <c r="A4826" s="4" t="s">
        <v>11718</v>
      </c>
      <c r="B4826" s="5" t="s">
        <v>11718</v>
      </c>
      <c r="C4826" s="5" t="s">
        <v>17</v>
      </c>
      <c r="D4826" s="5" t="s">
        <v>18</v>
      </c>
      <c r="E4826" s="5" t="s">
        <v>73</v>
      </c>
      <c r="F4826" s="9" t="s">
        <v>581</v>
      </c>
      <c r="G4826" s="9">
        <v>1468</v>
      </c>
      <c r="H4826" s="5" t="s">
        <v>21</v>
      </c>
      <c r="I4826" s="5" t="s">
        <v>11720</v>
      </c>
      <c r="J4826" s="12" t="str">
        <f>HYPERLINK("https://www.boe.es/gazeta/dias/1808/11/11/pdfs/GMD-1808-143.pdf#page=10","Abrir facsímil")</f>
        <v>Abrir facsímil</v>
      </c>
      <c r="K4826" s="15" t="s">
        <v>23</v>
      </c>
    </row>
    <row r="4827" spans="1:11" ht="42" customHeight="1">
      <c r="A4827" s="4" t="s">
        <v>11721</v>
      </c>
      <c r="B4827" s="5" t="s">
        <v>11721</v>
      </c>
      <c r="C4827" s="5" t="s">
        <v>389</v>
      </c>
      <c r="D4827" s="5" t="s">
        <v>390</v>
      </c>
      <c r="E4827" s="5" t="s">
        <v>804</v>
      </c>
      <c r="F4827" s="9" t="s">
        <v>805</v>
      </c>
      <c r="G4827" s="9">
        <v>973</v>
      </c>
      <c r="H4827" s="5" t="s">
        <v>21</v>
      </c>
      <c r="I4827" s="5" t="s">
        <v>11722</v>
      </c>
      <c r="J4827" s="12" t="str">
        <f>HYPERLINK("https://www.boe.es/gazeta/dias/1808/08/05/pdfs/GMD-1808-108.pdf#page=3","Abrir facsímil")</f>
        <v>Abrir facsímil</v>
      </c>
      <c r="K4827" s="15" t="s">
        <v>23</v>
      </c>
    </row>
    <row r="4828" spans="1:11" ht="42" customHeight="1">
      <c r="A4828" s="4" t="s">
        <v>11721</v>
      </c>
      <c r="B4828" s="5" t="s">
        <v>11721</v>
      </c>
      <c r="C4828" s="5" t="s">
        <v>33</v>
      </c>
      <c r="D4828" s="5" t="s">
        <v>34</v>
      </c>
      <c r="E4828" s="5" t="s">
        <v>19</v>
      </c>
      <c r="F4828" s="9" t="s">
        <v>949</v>
      </c>
      <c r="G4828" s="9" t="s">
        <v>117</v>
      </c>
      <c r="H4828" s="5" t="s">
        <v>21</v>
      </c>
      <c r="I4828" s="5" t="s">
        <v>11723</v>
      </c>
      <c r="J4828" s="12" t="str">
        <f>HYPERLINK("https://www.boe.es/gazeta/dias/1808/09/30/pdfs/GMD-C-1808-130.pdf#page=1","Abrir facsímil")</f>
        <v>Abrir facsímil</v>
      </c>
      <c r="K4828" s="15" t="s">
        <v>23</v>
      </c>
    </row>
    <row r="4829" spans="1:11" ht="42" customHeight="1">
      <c r="A4829" s="4" t="s">
        <v>11721</v>
      </c>
      <c r="B4829" s="5" t="s">
        <v>11721</v>
      </c>
      <c r="C4829" s="5" t="s">
        <v>17</v>
      </c>
      <c r="D4829" s="5" t="s">
        <v>18</v>
      </c>
      <c r="E4829" s="5" t="s">
        <v>61</v>
      </c>
      <c r="F4829" s="9" t="s">
        <v>62</v>
      </c>
      <c r="G4829" s="9">
        <v>1285</v>
      </c>
      <c r="H4829" s="5" t="s">
        <v>21</v>
      </c>
      <c r="I4829" s="5" t="s">
        <v>11724</v>
      </c>
      <c r="J4829" s="12" t="str">
        <f>HYPERLINK("https://www.boe.es/gazeta/dias/1808/10/11/pdfs/GMD-1808-133.pdf#page=13","Abrir facsímil")</f>
        <v>Abrir facsímil</v>
      </c>
      <c r="K4829" s="15" t="s">
        <v>23</v>
      </c>
    </row>
    <row r="4830" spans="1:11" ht="42" customHeight="1">
      <c r="A4830" s="4" t="s">
        <v>11721</v>
      </c>
      <c r="B4830" s="5" t="s">
        <v>11721</v>
      </c>
      <c r="C4830" s="5" t="s">
        <v>17</v>
      </c>
      <c r="D4830" s="5" t="s">
        <v>18</v>
      </c>
      <c r="E4830" s="5" t="s">
        <v>68</v>
      </c>
      <c r="F4830" s="9" t="s">
        <v>69</v>
      </c>
      <c r="G4830" s="9">
        <v>1339</v>
      </c>
      <c r="H4830" s="5" t="s">
        <v>21</v>
      </c>
      <c r="I4830" s="5" t="s">
        <v>11725</v>
      </c>
      <c r="J4830" s="12" t="str">
        <f>HYPERLINK("https://www.boe.es/gazeta/dias/1808/10/21/pdfs/GMD-1808-136.pdf#page=11","Abrir facsímil")</f>
        <v>Abrir facsímil</v>
      </c>
      <c r="K4830" s="15" t="s">
        <v>23</v>
      </c>
    </row>
    <row r="4831" spans="1:11" ht="42" customHeight="1">
      <c r="A4831" s="4" t="s">
        <v>11726</v>
      </c>
      <c r="B4831" s="5" t="s">
        <v>11726</v>
      </c>
      <c r="C4831" s="5" t="s">
        <v>389</v>
      </c>
      <c r="D4831" s="5" t="s">
        <v>390</v>
      </c>
      <c r="E4831" s="5" t="s">
        <v>804</v>
      </c>
      <c r="F4831" s="9" t="s">
        <v>805</v>
      </c>
      <c r="G4831" s="9">
        <v>973</v>
      </c>
      <c r="H4831" s="5" t="s">
        <v>21</v>
      </c>
      <c r="I4831" s="5" t="s">
        <v>11727</v>
      </c>
      <c r="J4831" s="12" t="str">
        <f>HYPERLINK("https://www.boe.es/gazeta/dias/1808/08/05/pdfs/GMD-1808-108.pdf#page=3","Abrir facsímil")</f>
        <v>Abrir facsímil</v>
      </c>
      <c r="K4831" s="15" t="s">
        <v>23</v>
      </c>
    </row>
    <row r="4832" spans="1:11" ht="42" customHeight="1">
      <c r="A4832" s="4" t="s">
        <v>11728</v>
      </c>
      <c r="B4832" s="5" t="s">
        <v>11728</v>
      </c>
      <c r="C4832" s="5" t="s">
        <v>17</v>
      </c>
      <c r="D4832" s="5" t="s">
        <v>18</v>
      </c>
      <c r="E4832" s="5" t="s">
        <v>473</v>
      </c>
      <c r="F4832" s="9" t="s">
        <v>474</v>
      </c>
      <c r="G4832" s="9">
        <v>710</v>
      </c>
      <c r="H4832" s="5" t="s">
        <v>21</v>
      </c>
      <c r="I4832" s="5" t="s">
        <v>11729</v>
      </c>
      <c r="J4832" s="12" t="str">
        <f>HYPERLINK("https://www.boe.es/gazeta/dias/1808/07/02/pdfs/GMD-1808-74.pdf#page=8","Abrir facsímil")</f>
        <v>Abrir facsímil</v>
      </c>
      <c r="K4832" s="15" t="s">
        <v>23</v>
      </c>
    </row>
    <row r="4833" spans="1:11" ht="42" customHeight="1">
      <c r="A4833" s="4" t="s">
        <v>11730</v>
      </c>
      <c r="B4833" s="5" t="s">
        <v>11730</v>
      </c>
      <c r="C4833" s="5" t="s">
        <v>389</v>
      </c>
      <c r="D4833" s="5" t="s">
        <v>390</v>
      </c>
      <c r="E4833" s="5" t="s">
        <v>153</v>
      </c>
      <c r="F4833" s="9" t="s">
        <v>154</v>
      </c>
      <c r="G4833" s="9" t="s">
        <v>199</v>
      </c>
      <c r="H4833" s="5" t="s">
        <v>21</v>
      </c>
      <c r="I4833" s="5" t="s">
        <v>11731</v>
      </c>
      <c r="J4833" s="12" t="str">
        <f>HYPERLINK("https://www.boe.es/gazeta/dias/1808/09/09/pdfs/GMD-C-1808-121.pdf#page=2","Abrir facsímil")</f>
        <v>Abrir facsímil</v>
      </c>
      <c r="K4833" s="15" t="s">
        <v>23</v>
      </c>
    </row>
    <row r="4834" spans="1:11" ht="42" customHeight="1">
      <c r="A4834" s="4" t="s">
        <v>11732</v>
      </c>
      <c r="B4834" s="5" t="s">
        <v>11732</v>
      </c>
      <c r="C4834" s="5" t="s">
        <v>33</v>
      </c>
      <c r="D4834" s="5" t="s">
        <v>34</v>
      </c>
      <c r="E4834" s="5" t="s">
        <v>139</v>
      </c>
      <c r="F4834" s="9" t="s">
        <v>1089</v>
      </c>
      <c r="G4834" s="9" t="s">
        <v>117</v>
      </c>
      <c r="H4834" s="5" t="s">
        <v>21</v>
      </c>
      <c r="I4834" s="5" t="s">
        <v>11733</v>
      </c>
      <c r="J4834" s="12" t="str">
        <f>HYPERLINK("https://www.boe.es/gazeta/dias/1808/09/23/pdfs/GMD-C-1808-127.pdf#page=1","Abrir facsímil")</f>
        <v>Abrir facsímil</v>
      </c>
      <c r="K4834" s="15" t="s">
        <v>23</v>
      </c>
    </row>
    <row r="4835" spans="1:11" ht="42" customHeight="1">
      <c r="A4835" s="4" t="s">
        <v>11734</v>
      </c>
      <c r="B4835" s="5" t="s">
        <v>11734</v>
      </c>
      <c r="C4835" s="5" t="s">
        <v>260</v>
      </c>
      <c r="D4835" s="5" t="s">
        <v>42</v>
      </c>
      <c r="E4835" s="5" t="s">
        <v>1484</v>
      </c>
      <c r="F4835" s="9" t="s">
        <v>1485</v>
      </c>
      <c r="G4835" s="9">
        <v>676</v>
      </c>
      <c r="H4835" s="5" t="s">
        <v>21</v>
      </c>
      <c r="I4835" s="5" t="s">
        <v>11735</v>
      </c>
      <c r="J4835" s="12" t="str">
        <f>HYPERLINK("https://www.boe.es/gazeta/dias/1808/06/28/pdfs/GMD-1808-70.pdf#page=6","Abrir facsímil")</f>
        <v>Abrir facsímil</v>
      </c>
      <c r="K4835" s="15" t="s">
        <v>23</v>
      </c>
    </row>
    <row r="4836" spans="1:11" ht="42" customHeight="1">
      <c r="A4836" s="4" t="s">
        <v>11736</v>
      </c>
      <c r="B4836" s="5" t="s">
        <v>11736</v>
      </c>
      <c r="C4836" s="5" t="s">
        <v>41</v>
      </c>
      <c r="D4836" s="5" t="s">
        <v>42</v>
      </c>
      <c r="E4836" s="5" t="s">
        <v>684</v>
      </c>
      <c r="F4836" s="9" t="s">
        <v>685</v>
      </c>
      <c r="G4836" s="9">
        <v>382</v>
      </c>
      <c r="H4836" s="5" t="s">
        <v>21</v>
      </c>
      <c r="I4836" s="5" t="s">
        <v>11737</v>
      </c>
      <c r="J4836" s="12" t="str">
        <f>HYPERLINK("https://www.boe.es/gazeta/dias/1808/04/15/pdfs/GMD-1808-35.pdf#page=8","Abrir facsímil")</f>
        <v>Abrir facsímil</v>
      </c>
      <c r="K4836" s="15" t="s">
        <v>23</v>
      </c>
    </row>
    <row r="4837" spans="1:11" ht="42" customHeight="1">
      <c r="A4837" s="4" t="s">
        <v>11738</v>
      </c>
      <c r="B4837" s="5" t="s">
        <v>11738</v>
      </c>
      <c r="C4837" s="5" t="s">
        <v>41</v>
      </c>
      <c r="D4837" s="5" t="s">
        <v>42</v>
      </c>
      <c r="E4837" s="5" t="s">
        <v>461</v>
      </c>
      <c r="F4837" s="9" t="s">
        <v>462</v>
      </c>
      <c r="G4837" s="9" t="s">
        <v>75</v>
      </c>
      <c r="H4837" s="5" t="s">
        <v>21</v>
      </c>
      <c r="I4837" s="5" t="s">
        <v>11739</v>
      </c>
      <c r="J4837" s="12" t="str">
        <f>HYPERLINK("https://www.boe.es/gazeta/dias/1808/11/08/pdfs/GMD-D-1808-142.pdf#page=4","Abrir facsímil")</f>
        <v>Abrir facsímil</v>
      </c>
      <c r="K4837" s="15" t="s">
        <v>23</v>
      </c>
    </row>
    <row r="4838" spans="1:11" ht="42" customHeight="1">
      <c r="A4838" s="4" t="s">
        <v>11740</v>
      </c>
      <c r="B4838" s="5" t="s">
        <v>11740</v>
      </c>
      <c r="C4838" s="5" t="s">
        <v>41</v>
      </c>
      <c r="D4838" s="5" t="s">
        <v>42</v>
      </c>
      <c r="E4838" s="5" t="s">
        <v>2159</v>
      </c>
      <c r="F4838" s="9" t="s">
        <v>2160</v>
      </c>
      <c r="G4838" s="9">
        <v>183</v>
      </c>
      <c r="H4838" s="5" t="s">
        <v>21</v>
      </c>
      <c r="I4838" s="5" t="s">
        <v>11741</v>
      </c>
      <c r="J4838" s="12" t="str">
        <f>HYPERLINK("https://www.boe.es/gazeta/dias/1808/02/19/pdfs/GMD-1808-15.pdf#page=13","Abrir facsímil")</f>
        <v>Abrir facsímil</v>
      </c>
      <c r="K4838" s="15" t="s">
        <v>23</v>
      </c>
    </row>
    <row r="4839" spans="1:11" ht="42" customHeight="1">
      <c r="A4839" s="4" t="s">
        <v>11742</v>
      </c>
      <c r="B4839" s="5" t="s">
        <v>11742</v>
      </c>
      <c r="C4839" s="5" t="s">
        <v>389</v>
      </c>
      <c r="D4839" s="5" t="s">
        <v>390</v>
      </c>
      <c r="E4839" s="5" t="s">
        <v>115</v>
      </c>
      <c r="F4839" s="9" t="s">
        <v>1650</v>
      </c>
      <c r="G4839" s="9">
        <v>1180</v>
      </c>
      <c r="H4839" s="5" t="s">
        <v>21</v>
      </c>
      <c r="I4839" s="5" t="s">
        <v>11743</v>
      </c>
      <c r="J4839" s="12" t="str">
        <f>HYPERLINK("https://www.boe.es/gazeta/dias/1808/09/16/pdfs/GMD-1808-125.pdf#page=12","Abrir facsímil")</f>
        <v>Abrir facsímil</v>
      </c>
      <c r="K4839" s="15" t="s">
        <v>23</v>
      </c>
    </row>
    <row r="4840" spans="1:11" ht="42" customHeight="1">
      <c r="A4840" s="4" t="s">
        <v>11744</v>
      </c>
      <c r="B4840" s="5" t="s">
        <v>11744</v>
      </c>
      <c r="C4840" s="5" t="s">
        <v>389</v>
      </c>
      <c r="D4840" s="5" t="s">
        <v>390</v>
      </c>
      <c r="E4840" s="5" t="s">
        <v>508</v>
      </c>
      <c r="F4840" s="9" t="s">
        <v>509</v>
      </c>
      <c r="G4840" s="9">
        <v>1020</v>
      </c>
      <c r="H4840" s="5" t="s">
        <v>21</v>
      </c>
      <c r="I4840" s="5" t="s">
        <v>11745</v>
      </c>
      <c r="J4840" s="12" t="str">
        <f>HYPERLINK("https://www.boe.es/gazeta/dias/1808/08/16/pdfs/GMD-1808-113.pdf#page=12","Abrir facsímil")</f>
        <v>Abrir facsímil</v>
      </c>
      <c r="K4840" s="15" t="s">
        <v>23</v>
      </c>
    </row>
    <row r="4841" spans="1:11" ht="42" customHeight="1">
      <c r="A4841" s="4" t="s">
        <v>11744</v>
      </c>
      <c r="B4841" s="5" t="s">
        <v>11744</v>
      </c>
      <c r="C4841" s="5" t="s">
        <v>17</v>
      </c>
      <c r="D4841" s="5" t="s">
        <v>18</v>
      </c>
      <c r="E4841" s="5" t="s">
        <v>290</v>
      </c>
      <c r="F4841" s="9" t="s">
        <v>291</v>
      </c>
      <c r="G4841" s="9">
        <v>1058</v>
      </c>
      <c r="H4841" s="5" t="s">
        <v>21</v>
      </c>
      <c r="I4841" s="5" t="s">
        <v>11746</v>
      </c>
      <c r="J4841" s="12" t="str">
        <f>HYPERLINK("https://www.boe.es/gazeta/dias/1808/08/23/pdfs/GMD-1808-116.pdf#page=4","Abrir facsímil")</f>
        <v>Abrir facsímil</v>
      </c>
      <c r="K4841" s="15" t="s">
        <v>23</v>
      </c>
    </row>
    <row r="4842" spans="1:11" ht="42" customHeight="1">
      <c r="A4842" s="4" t="s">
        <v>11744</v>
      </c>
      <c r="B4842" s="5" t="s">
        <v>11744</v>
      </c>
      <c r="C4842" s="5" t="s">
        <v>17</v>
      </c>
      <c r="D4842" s="5" t="s">
        <v>18</v>
      </c>
      <c r="E4842" s="5" t="s">
        <v>290</v>
      </c>
      <c r="F4842" s="9" t="s">
        <v>291</v>
      </c>
      <c r="G4842" s="9">
        <v>1063</v>
      </c>
      <c r="H4842" s="5" t="s">
        <v>21</v>
      </c>
      <c r="I4842" s="5" t="s">
        <v>11747</v>
      </c>
      <c r="J4842" s="12" t="str">
        <f>HYPERLINK("https://www.boe.es/gazeta/dias/1808/08/23/pdfs/GMD-1808-116.pdf#page=9","Abrir facsímil")</f>
        <v>Abrir facsímil</v>
      </c>
      <c r="K4842" s="15" t="s">
        <v>23</v>
      </c>
    </row>
    <row r="4843" spans="1:11" ht="42" customHeight="1">
      <c r="A4843" s="4" t="s">
        <v>11744</v>
      </c>
      <c r="B4843" s="5" t="s">
        <v>11744</v>
      </c>
      <c r="C4843" s="5" t="s">
        <v>94</v>
      </c>
      <c r="D4843" s="5" t="s">
        <v>95</v>
      </c>
      <c r="E4843" s="5" t="s">
        <v>391</v>
      </c>
      <c r="F4843" s="9" t="s">
        <v>392</v>
      </c>
      <c r="G4843" s="9">
        <v>1209</v>
      </c>
      <c r="H4843" s="5" t="s">
        <v>21</v>
      </c>
      <c r="I4843" s="5" t="s">
        <v>11748</v>
      </c>
      <c r="J4843" s="12" t="str">
        <f>HYPERLINK("https://www.boe.es/gazeta/dias/1808/09/27/pdfs/GMD-1808-128.pdf#page=5","Abrir facsímil")</f>
        <v>Abrir facsímil</v>
      </c>
      <c r="K4843" s="15" t="s">
        <v>23</v>
      </c>
    </row>
    <row r="4844" spans="1:11" ht="42" customHeight="1">
      <c r="A4844" s="4" t="s">
        <v>11744</v>
      </c>
      <c r="B4844" s="5" t="s">
        <v>11744</v>
      </c>
      <c r="C4844" s="5" t="s">
        <v>17</v>
      </c>
      <c r="D4844" s="5" t="s">
        <v>18</v>
      </c>
      <c r="E4844" s="5" t="s">
        <v>3951</v>
      </c>
      <c r="F4844" s="9" t="s">
        <v>4218</v>
      </c>
      <c r="G4844" s="9">
        <v>472</v>
      </c>
      <c r="H4844" s="5" t="s">
        <v>21</v>
      </c>
      <c r="I4844" s="5" t="s">
        <v>11749</v>
      </c>
      <c r="J4844" s="12" t="str">
        <f>HYPERLINK("https://www.boe.es/gazeta/dias/1808/12/20/pdfs/GMS-1808-59.pdf#page=8","Abrir facsímil")</f>
        <v>Abrir facsímil</v>
      </c>
      <c r="K4844" s="15" t="s">
        <v>23</v>
      </c>
    </row>
    <row r="4845" spans="1:11" ht="42" customHeight="1">
      <c r="A4845" s="4" t="s">
        <v>11750</v>
      </c>
      <c r="B4845" s="5" t="s">
        <v>11750</v>
      </c>
      <c r="C4845" s="5" t="s">
        <v>389</v>
      </c>
      <c r="D4845" s="5" t="s">
        <v>390</v>
      </c>
      <c r="E4845" s="5" t="s">
        <v>28</v>
      </c>
      <c r="F4845" s="9" t="s">
        <v>71</v>
      </c>
      <c r="G4845" s="9">
        <v>1438</v>
      </c>
      <c r="H4845" s="5" t="s">
        <v>21</v>
      </c>
      <c r="I4845" s="5" t="s">
        <v>11751</v>
      </c>
      <c r="J4845" s="12" t="str">
        <f>HYPERLINK("https://www.boe.es/gazeta/dias/1808/11/04/pdfs/GMD-C-1808-141.pdf#page=8","Abrir facsímil")</f>
        <v>Abrir facsímil</v>
      </c>
      <c r="K4845" s="15" t="s">
        <v>23</v>
      </c>
    </row>
    <row r="4846" spans="1:11" ht="42" customHeight="1">
      <c r="A4846" s="4" t="s">
        <v>11752</v>
      </c>
      <c r="B4846" s="5" t="s">
        <v>11752</v>
      </c>
      <c r="C4846" s="5" t="s">
        <v>17</v>
      </c>
      <c r="D4846" s="5" t="s">
        <v>18</v>
      </c>
      <c r="E4846" s="5" t="s">
        <v>616</v>
      </c>
      <c r="F4846" s="9" t="s">
        <v>617</v>
      </c>
      <c r="G4846" s="9">
        <v>1045</v>
      </c>
      <c r="H4846" s="5" t="s">
        <v>21</v>
      </c>
      <c r="I4846" s="5" t="s">
        <v>11753</v>
      </c>
      <c r="J4846" s="12" t="str">
        <f>HYPERLINK("https://www.boe.es/gazeta/dias/1808/08/19/pdfs/GMD-1808-115.pdf#page=11","Abrir facsímil")</f>
        <v>Abrir facsímil</v>
      </c>
      <c r="K4846" s="15" t="s">
        <v>23</v>
      </c>
    </row>
    <row r="4847" spans="1:11" ht="42" customHeight="1">
      <c r="A4847" s="4" t="s">
        <v>11752</v>
      </c>
      <c r="B4847" s="5" t="s">
        <v>11752</v>
      </c>
      <c r="C4847" s="5" t="s">
        <v>389</v>
      </c>
      <c r="D4847" s="5" t="s">
        <v>390</v>
      </c>
      <c r="E4847" s="5" t="s">
        <v>115</v>
      </c>
      <c r="F4847" s="9" t="s">
        <v>1650</v>
      </c>
      <c r="G4847" s="9">
        <v>1180</v>
      </c>
      <c r="H4847" s="5" t="s">
        <v>21</v>
      </c>
      <c r="I4847" s="5" t="s">
        <v>11754</v>
      </c>
      <c r="J4847" s="12" t="str">
        <f>HYPERLINK("https://www.boe.es/gazeta/dias/1808/09/16/pdfs/GMD-1808-125.pdf#page=12","Abrir facsímil")</f>
        <v>Abrir facsímil</v>
      </c>
      <c r="K4847" s="15" t="s">
        <v>23</v>
      </c>
    </row>
    <row r="4848" spans="1:11" ht="42" customHeight="1">
      <c r="A4848" s="4" t="s">
        <v>11755</v>
      </c>
      <c r="B4848" s="5" t="s">
        <v>11755</v>
      </c>
      <c r="C4848" s="5" t="s">
        <v>17</v>
      </c>
      <c r="D4848" s="5" t="s">
        <v>18</v>
      </c>
      <c r="E4848" s="5" t="s">
        <v>130</v>
      </c>
      <c r="F4848" s="9" t="s">
        <v>131</v>
      </c>
      <c r="G4848" s="9">
        <v>1603</v>
      </c>
      <c r="H4848" s="5" t="s">
        <v>21</v>
      </c>
      <c r="I4848" s="5" t="s">
        <v>11756</v>
      </c>
      <c r="J4848" s="12" t="str">
        <f>HYPERLINK("https://www.boe.es/gazeta/dias/1808/12/15/pdfs/GMD-1808-155.pdf#page=7","Abrir facsímil")</f>
        <v>Abrir facsímil</v>
      </c>
      <c r="K4848" s="15" t="s">
        <v>23</v>
      </c>
    </row>
    <row r="4849" spans="1:11" ht="42" customHeight="1">
      <c r="A4849" s="4" t="s">
        <v>11757</v>
      </c>
      <c r="B4849" s="5" t="s">
        <v>11757</v>
      </c>
      <c r="C4849" s="5" t="s">
        <v>94</v>
      </c>
      <c r="D4849" s="5" t="s">
        <v>95</v>
      </c>
      <c r="E4849" s="5" t="s">
        <v>65</v>
      </c>
      <c r="F4849" s="9" t="s">
        <v>66</v>
      </c>
      <c r="G4849" s="9">
        <v>1307</v>
      </c>
      <c r="H4849" s="5" t="s">
        <v>21</v>
      </c>
      <c r="I4849" s="5" t="s">
        <v>11758</v>
      </c>
      <c r="J4849" s="12" t="str">
        <f>HYPERLINK("https://www.boe.es/gazeta/dias/1808/10/18/pdfs/GMD-1808-135.pdf#page=7","Abrir facsímil")</f>
        <v>Abrir facsímil</v>
      </c>
      <c r="K4849" s="15" t="s">
        <v>23</v>
      </c>
    </row>
    <row r="4850" spans="1:11" ht="42" customHeight="1">
      <c r="A4850" s="4" t="s">
        <v>11759</v>
      </c>
      <c r="B4850" s="5" t="s">
        <v>11759</v>
      </c>
      <c r="C4850" s="5" t="s">
        <v>33</v>
      </c>
      <c r="D4850" s="5" t="s">
        <v>34</v>
      </c>
      <c r="E4850" s="5" t="s">
        <v>125</v>
      </c>
      <c r="F4850" s="9" t="s">
        <v>126</v>
      </c>
      <c r="G4850" s="9" t="s">
        <v>199</v>
      </c>
      <c r="H4850" s="5" t="s">
        <v>21</v>
      </c>
      <c r="I4850" s="5" t="s">
        <v>11760</v>
      </c>
      <c r="J4850" s="12" t="str">
        <f>HYPERLINK("https://www.boe.es/gazeta/dias/1808/10/07/pdfs/GMD-C-1808-132.pdf#page=2","Abrir facsímil")</f>
        <v>Abrir facsímil</v>
      </c>
      <c r="K4850" s="15" t="s">
        <v>23</v>
      </c>
    </row>
    <row r="4851" spans="1:11" ht="42" customHeight="1">
      <c r="A4851" s="4" t="s">
        <v>11761</v>
      </c>
      <c r="B4851" s="5" t="s">
        <v>11761</v>
      </c>
      <c r="C4851" s="5" t="s">
        <v>260</v>
      </c>
      <c r="D4851" s="5" t="s">
        <v>42</v>
      </c>
      <c r="E4851" s="5" t="s">
        <v>516</v>
      </c>
      <c r="F4851" s="9" t="s">
        <v>517</v>
      </c>
      <c r="G4851" s="9">
        <v>602</v>
      </c>
      <c r="H4851" s="5" t="s">
        <v>21</v>
      </c>
      <c r="I4851" s="5" t="s">
        <v>11762</v>
      </c>
      <c r="J4851" s="12" t="str">
        <f>HYPERLINK("https://www.boe.es/gazeta/dias/1808/06/19/pdfs/GMD-1808-61.pdf#page=8","Abrir facsímil")</f>
        <v>Abrir facsímil</v>
      </c>
      <c r="K4851" s="15" t="s">
        <v>23</v>
      </c>
    </row>
    <row r="4852" spans="1:11" ht="42" customHeight="1">
      <c r="A4852" s="4" t="s">
        <v>11763</v>
      </c>
      <c r="B4852" s="5" t="s">
        <v>11763</v>
      </c>
      <c r="C4852" s="5" t="s">
        <v>33</v>
      </c>
      <c r="D4852" s="5" t="s">
        <v>34</v>
      </c>
      <c r="E4852" s="5" t="s">
        <v>68</v>
      </c>
      <c r="F4852" s="9" t="s">
        <v>309</v>
      </c>
      <c r="G4852" s="9" t="s">
        <v>106</v>
      </c>
      <c r="H4852" s="5" t="s">
        <v>21</v>
      </c>
      <c r="I4852" s="5" t="s">
        <v>11764</v>
      </c>
      <c r="J4852" s="12" t="str">
        <f>HYPERLINK("https://www.boe.es/gazeta/dias/1808/10/21/pdfs/GMD-D-1808-136.pdf#page=3","Abrir facsímil")</f>
        <v>Abrir facsímil</v>
      </c>
      <c r="K4852" s="15" t="s">
        <v>23</v>
      </c>
    </row>
    <row r="4853" spans="1:11" ht="42" customHeight="1">
      <c r="A4853" s="4" t="s">
        <v>11765</v>
      </c>
      <c r="B4853" s="5" t="s">
        <v>11765</v>
      </c>
      <c r="C4853" s="5" t="s">
        <v>41</v>
      </c>
      <c r="D4853" s="5" t="s">
        <v>42</v>
      </c>
      <c r="E4853" s="5" t="s">
        <v>35</v>
      </c>
      <c r="F4853" s="9" t="s">
        <v>36</v>
      </c>
      <c r="G4853" s="9" t="s">
        <v>414</v>
      </c>
      <c r="H4853" s="5" t="s">
        <v>21</v>
      </c>
      <c r="I4853" s="5" t="s">
        <v>11766</v>
      </c>
      <c r="J4853" s="12" t="str">
        <f>HYPERLINK("https://www.boe.es/gazeta/dias/1808/04/22/pdfs/GMD-C-1808-38.pdf#page=20","Abrir facsímil")</f>
        <v>Abrir facsímil</v>
      </c>
      <c r="K4853" s="15" t="s">
        <v>23</v>
      </c>
    </row>
    <row r="4854" spans="1:11" ht="42" customHeight="1">
      <c r="A4854" s="4" t="s">
        <v>11767</v>
      </c>
      <c r="B4854" s="5" t="s">
        <v>11767</v>
      </c>
      <c r="C4854" s="5" t="s">
        <v>17</v>
      </c>
      <c r="D4854" s="5" t="s">
        <v>18</v>
      </c>
      <c r="E4854" s="5" t="s">
        <v>166</v>
      </c>
      <c r="F4854" s="9" t="s">
        <v>356</v>
      </c>
      <c r="G4854" s="9">
        <v>1509</v>
      </c>
      <c r="H4854" s="5" t="s">
        <v>21</v>
      </c>
      <c r="I4854" s="5" t="s">
        <v>11768</v>
      </c>
      <c r="J4854" s="12" t="str">
        <f>HYPERLINK("https://www.boe.es/gazeta/dias/1808/11/18/pdfs/GMD-1808-145.pdf#page=7","Abrir facsímil")</f>
        <v>Abrir facsímil</v>
      </c>
      <c r="K4854" s="15" t="s">
        <v>23</v>
      </c>
    </row>
    <row r="4855" spans="1:11" ht="42" customHeight="1">
      <c r="A4855" s="4" t="s">
        <v>11769</v>
      </c>
      <c r="B4855" s="5" t="s">
        <v>11769</v>
      </c>
      <c r="C4855" s="5" t="s">
        <v>26</v>
      </c>
      <c r="D4855" s="5" t="s">
        <v>27</v>
      </c>
      <c r="E4855" s="5" t="s">
        <v>89</v>
      </c>
      <c r="F4855" s="9" t="s">
        <v>563</v>
      </c>
      <c r="G4855" s="9" t="s">
        <v>117</v>
      </c>
      <c r="H4855" s="5" t="s">
        <v>21</v>
      </c>
      <c r="I4855" s="5" t="s">
        <v>11770</v>
      </c>
      <c r="J4855" s="12" t="str">
        <f>HYPERLINK("https://www.boe.es/gazeta/dias/1808/10/25/pdfs/GMD-D-1808-137.pdf#page=1","Abrir facsímil")</f>
        <v>Abrir facsímil</v>
      </c>
      <c r="K4855" s="15" t="s">
        <v>23</v>
      </c>
    </row>
    <row r="4856" spans="1:11" ht="42" customHeight="1">
      <c r="A4856" s="4" t="s">
        <v>11771</v>
      </c>
      <c r="B4856" s="5" t="s">
        <v>11771</v>
      </c>
      <c r="C4856" s="5" t="s">
        <v>389</v>
      </c>
      <c r="D4856" s="5" t="s">
        <v>390</v>
      </c>
      <c r="E4856" s="5" t="s">
        <v>139</v>
      </c>
      <c r="F4856" s="9" t="s">
        <v>1089</v>
      </c>
      <c r="G4856" s="9" t="s">
        <v>106</v>
      </c>
      <c r="H4856" s="5" t="s">
        <v>21</v>
      </c>
      <c r="I4856" s="5" t="s">
        <v>11772</v>
      </c>
      <c r="J4856" s="12" t="str">
        <f>HYPERLINK("https://www.boe.es/gazeta/dias/1808/09/23/pdfs/GMD-C-1808-127.pdf#page=3","Abrir facsímil")</f>
        <v>Abrir facsímil</v>
      </c>
      <c r="K4856" s="15" t="s">
        <v>23</v>
      </c>
    </row>
    <row r="4857" spans="1:11" ht="42" customHeight="1">
      <c r="A4857" s="4" t="s">
        <v>11773</v>
      </c>
      <c r="B4857" s="5" t="s">
        <v>11773</v>
      </c>
      <c r="C4857" s="5" t="s">
        <v>41</v>
      </c>
      <c r="D4857" s="5" t="s">
        <v>42</v>
      </c>
      <c r="E4857" s="5" t="s">
        <v>287</v>
      </c>
      <c r="F4857" s="9" t="s">
        <v>489</v>
      </c>
      <c r="G4857" s="9">
        <v>1005</v>
      </c>
      <c r="H4857" s="5" t="s">
        <v>21</v>
      </c>
      <c r="I4857" s="5" t="s">
        <v>11774</v>
      </c>
      <c r="J4857" s="12" t="str">
        <f>HYPERLINK("https://www.boe.es/gazeta/dias/1808/08/12/pdfs/GMD-1808-112.pdf#page=9","Abrir facsímil")</f>
        <v>Abrir facsímil</v>
      </c>
      <c r="K4857" s="15" t="s">
        <v>23</v>
      </c>
    </row>
    <row r="4858" spans="1:11" ht="42" customHeight="1">
      <c r="A4858" s="4" t="s">
        <v>11775</v>
      </c>
      <c r="B4858" s="5" t="s">
        <v>11775</v>
      </c>
      <c r="C4858" s="5" t="s">
        <v>94</v>
      </c>
      <c r="D4858" s="5" t="s">
        <v>95</v>
      </c>
      <c r="E4858" s="5" t="s">
        <v>68</v>
      </c>
      <c r="F4858" s="9" t="s">
        <v>849</v>
      </c>
      <c r="G4858" s="9">
        <v>1350</v>
      </c>
      <c r="H4858" s="5" t="s">
        <v>21</v>
      </c>
      <c r="I4858" s="5" t="s">
        <v>11776</v>
      </c>
      <c r="J4858" s="12" t="str">
        <f>HYPERLINK("https://www.boe.es/gazeta/dias/1808/10/21/pdfs/GMD-C-1808-136.pdf#page=10","Abrir facsímil")</f>
        <v>Abrir facsímil</v>
      </c>
      <c r="K4858" s="15" t="s">
        <v>23</v>
      </c>
    </row>
    <row r="4859" spans="1:11" ht="42" customHeight="1">
      <c r="A4859" s="4" t="s">
        <v>11775</v>
      </c>
      <c r="B4859" s="5" t="s">
        <v>11775</v>
      </c>
      <c r="C4859" s="5" t="s">
        <v>26</v>
      </c>
      <c r="D4859" s="5" t="s">
        <v>27</v>
      </c>
      <c r="E4859" s="5" t="s">
        <v>28</v>
      </c>
      <c r="F4859" s="9" t="s">
        <v>446</v>
      </c>
      <c r="G4859" s="9" t="s">
        <v>106</v>
      </c>
      <c r="H4859" s="5" t="s">
        <v>21</v>
      </c>
      <c r="I4859" s="5" t="s">
        <v>11777</v>
      </c>
      <c r="J4859" s="12" t="str">
        <f>HYPERLINK("https://www.boe.es/gazeta/dias/1808/11/04/pdfs/GMD-D-1808-141.pdf#page=3","Abrir facsímil")</f>
        <v>Abrir facsímil</v>
      </c>
      <c r="K4859" s="15" t="s">
        <v>23</v>
      </c>
    </row>
    <row r="4860" spans="1:11" ht="42" customHeight="1">
      <c r="A4860" s="4" t="s">
        <v>11775</v>
      </c>
      <c r="B4860" s="5" t="s">
        <v>11775</v>
      </c>
      <c r="C4860" s="5" t="s">
        <v>17</v>
      </c>
      <c r="D4860" s="5" t="s">
        <v>18</v>
      </c>
      <c r="E4860" s="5" t="s">
        <v>130</v>
      </c>
      <c r="F4860" s="9" t="s">
        <v>131</v>
      </c>
      <c r="G4860" s="9">
        <v>1604</v>
      </c>
      <c r="H4860" s="5" t="s">
        <v>21</v>
      </c>
      <c r="I4860" s="5" t="s">
        <v>11778</v>
      </c>
      <c r="J4860" s="12" t="str">
        <f>HYPERLINK("https://www.boe.es/gazeta/dias/1808/12/15/pdfs/GMD-1808-155.pdf#page=8","Abrir facsímil")</f>
        <v>Abrir facsímil</v>
      </c>
      <c r="K4860" s="15" t="s">
        <v>23</v>
      </c>
    </row>
    <row r="4861" spans="1:11" ht="42" customHeight="1">
      <c r="A4861" s="4" t="s">
        <v>11779</v>
      </c>
      <c r="B4861" s="5" t="s">
        <v>11780</v>
      </c>
      <c r="C4861" s="5" t="s">
        <v>41</v>
      </c>
      <c r="D4861" s="5" t="s">
        <v>42</v>
      </c>
      <c r="E4861" s="5" t="s">
        <v>363</v>
      </c>
      <c r="F4861" s="9" t="s">
        <v>364</v>
      </c>
      <c r="G4861" s="9" t="s">
        <v>106</v>
      </c>
      <c r="H4861" s="5" t="s">
        <v>21</v>
      </c>
      <c r="I4861" s="5" t="s">
        <v>11781</v>
      </c>
      <c r="J4861" s="12" t="str">
        <f>HYPERLINK("https://www.boe.es/gazeta/dias/1808/09/20/pdfs/GMD-C-1808-126.pdf#page=3","Abrir facsímil")</f>
        <v>Abrir facsímil</v>
      </c>
      <c r="K4861" s="15" t="s">
        <v>23</v>
      </c>
    </row>
    <row r="4862" spans="1:11" ht="42" customHeight="1">
      <c r="A4862" s="4" t="s">
        <v>11782</v>
      </c>
      <c r="B4862" s="5" t="s">
        <v>11782</v>
      </c>
      <c r="C4862" s="5" t="s">
        <v>94</v>
      </c>
      <c r="D4862" s="5" t="s">
        <v>95</v>
      </c>
      <c r="E4862" s="5" t="s">
        <v>832</v>
      </c>
      <c r="F4862" s="9" t="s">
        <v>833</v>
      </c>
      <c r="G4862" s="9">
        <v>517</v>
      </c>
      <c r="H4862" s="5" t="s">
        <v>21</v>
      </c>
      <c r="I4862" s="5" t="s">
        <v>11783</v>
      </c>
      <c r="J4862" s="12" t="str">
        <f>HYPERLINK("https://www.boe.es/gazeta/dias/1808/05/31/pdfs/GMD-1808-52.pdf#page=7","Abrir facsímil")</f>
        <v>Abrir facsímil</v>
      </c>
      <c r="K4862" s="15" t="s">
        <v>23</v>
      </c>
    </row>
    <row r="4863" spans="1:11" ht="42" customHeight="1">
      <c r="A4863" s="4" t="s">
        <v>11784</v>
      </c>
      <c r="B4863" s="5" t="s">
        <v>11784</v>
      </c>
      <c r="C4863" s="5" t="s">
        <v>33</v>
      </c>
      <c r="D4863" s="5" t="s">
        <v>34</v>
      </c>
      <c r="E4863" s="5" t="s">
        <v>35</v>
      </c>
      <c r="F4863" s="9" t="s">
        <v>36</v>
      </c>
      <c r="G4863" s="9" t="s">
        <v>4783</v>
      </c>
      <c r="H4863" s="5" t="s">
        <v>21</v>
      </c>
      <c r="I4863" s="5" t="s">
        <v>11785</v>
      </c>
      <c r="J4863" s="12" t="str">
        <f>HYPERLINK("https://www.boe.es/gazeta/dias/1808/04/22/pdfs/GMD-C-1808-38.pdf#page=36","Abrir facsímil")</f>
        <v>Abrir facsímil</v>
      </c>
      <c r="K4863" s="15" t="s">
        <v>23</v>
      </c>
    </row>
    <row r="4864" spans="1:11" ht="42" customHeight="1">
      <c r="A4864" s="4" t="s">
        <v>11786</v>
      </c>
      <c r="B4864" s="5" t="s">
        <v>11786</v>
      </c>
      <c r="C4864" s="5" t="s">
        <v>17</v>
      </c>
      <c r="D4864" s="5" t="s">
        <v>18</v>
      </c>
      <c r="E4864" s="5" t="s">
        <v>130</v>
      </c>
      <c r="F4864" s="9" t="s">
        <v>131</v>
      </c>
      <c r="G4864" s="9">
        <v>1602</v>
      </c>
      <c r="H4864" s="5" t="s">
        <v>21</v>
      </c>
      <c r="I4864" s="5" t="s">
        <v>11787</v>
      </c>
      <c r="J4864" s="12" t="str">
        <f>HYPERLINK("https://www.boe.es/gazeta/dias/1808/12/15/pdfs/GMD-1808-155.pdf#page=6","Abrir facsímil")</f>
        <v>Abrir facsímil</v>
      </c>
      <c r="K4864" s="15" t="s">
        <v>23</v>
      </c>
    </row>
    <row r="4865" spans="1:11" ht="42" customHeight="1">
      <c r="A4865" s="4" t="s">
        <v>11788</v>
      </c>
      <c r="B4865" s="5" t="s">
        <v>11789</v>
      </c>
      <c r="C4865" s="5" t="s">
        <v>33</v>
      </c>
      <c r="D4865" s="5" t="s">
        <v>34</v>
      </c>
      <c r="E4865" s="5" t="s">
        <v>35</v>
      </c>
      <c r="F4865" s="9" t="s">
        <v>36</v>
      </c>
      <c r="G4865" s="9" t="s">
        <v>277</v>
      </c>
      <c r="H4865" s="5" t="s">
        <v>21</v>
      </c>
      <c r="I4865" s="5" t="s">
        <v>11790</v>
      </c>
      <c r="J4865" s="12" t="str">
        <f>HYPERLINK("https://www.boe.es/gazeta/dias/1808/04/22/pdfs/GMD-C-1808-38.pdf#page=34","Abrir facsímil")</f>
        <v>Abrir facsímil</v>
      </c>
      <c r="K4865" s="15" t="s">
        <v>23</v>
      </c>
    </row>
    <row r="4866" spans="1:11" ht="42" customHeight="1">
      <c r="A4866" s="4" t="s">
        <v>11788</v>
      </c>
      <c r="B4866" s="5" t="s">
        <v>11789</v>
      </c>
      <c r="C4866" s="5" t="s">
        <v>17</v>
      </c>
      <c r="D4866" s="5" t="s">
        <v>18</v>
      </c>
      <c r="E4866" s="5" t="s">
        <v>166</v>
      </c>
      <c r="F4866" s="9" t="s">
        <v>356</v>
      </c>
      <c r="G4866" s="9">
        <v>1509</v>
      </c>
      <c r="H4866" s="5" t="s">
        <v>21</v>
      </c>
      <c r="I4866" s="5" t="s">
        <v>11791</v>
      </c>
      <c r="J4866" s="12" t="str">
        <f>HYPERLINK("https://www.boe.es/gazeta/dias/1808/11/18/pdfs/GMD-1808-145.pdf#page=7","Abrir facsímil")</f>
        <v>Abrir facsímil</v>
      </c>
      <c r="K4866" s="15" t="s">
        <v>23</v>
      </c>
    </row>
    <row r="4867" spans="1:11" ht="42" customHeight="1">
      <c r="A4867" s="4" t="s">
        <v>11792</v>
      </c>
      <c r="B4867" s="5" t="s">
        <v>11792</v>
      </c>
      <c r="C4867" s="5" t="s">
        <v>260</v>
      </c>
      <c r="D4867" s="5" t="s">
        <v>42</v>
      </c>
      <c r="E4867" s="5" t="s">
        <v>493</v>
      </c>
      <c r="F4867" s="9" t="s">
        <v>494</v>
      </c>
      <c r="G4867" s="9">
        <v>44</v>
      </c>
      <c r="H4867" s="5" t="s">
        <v>21</v>
      </c>
      <c r="I4867" s="5" t="s">
        <v>11793</v>
      </c>
      <c r="J4867" s="12" t="str">
        <f>HYPERLINK("https://www.boe.es/gazeta/dias/1808/01/12/pdfs/GMD-1808-4.pdf#page=8","Abrir facsímil")</f>
        <v>Abrir facsímil</v>
      </c>
      <c r="K4867" s="15" t="s">
        <v>23</v>
      </c>
    </row>
    <row r="4868" spans="1:11" ht="42" customHeight="1">
      <c r="A4868" s="4" t="s">
        <v>11794</v>
      </c>
      <c r="B4868" s="5" t="s">
        <v>11794</v>
      </c>
      <c r="C4868" s="5" t="s">
        <v>33</v>
      </c>
      <c r="D4868" s="5" t="s">
        <v>34</v>
      </c>
      <c r="E4868" s="5" t="s">
        <v>139</v>
      </c>
      <c r="F4868" s="9" t="s">
        <v>1089</v>
      </c>
      <c r="G4868" s="9" t="s">
        <v>199</v>
      </c>
      <c r="H4868" s="5" t="s">
        <v>21</v>
      </c>
      <c r="I4868" s="5" t="s">
        <v>11795</v>
      </c>
      <c r="J4868" s="12" t="str">
        <f>HYPERLINK("https://www.boe.es/gazeta/dias/1808/09/23/pdfs/GMD-C-1808-127.pdf#page=2","Abrir facsímil")</f>
        <v>Abrir facsímil</v>
      </c>
      <c r="K4868" s="15" t="s">
        <v>23</v>
      </c>
    </row>
    <row r="4869" spans="1:11" ht="42" customHeight="1">
      <c r="A4869" s="4" t="s">
        <v>11796</v>
      </c>
      <c r="B4869" s="5" t="s">
        <v>11796</v>
      </c>
      <c r="C4869" s="5" t="s">
        <v>17</v>
      </c>
      <c r="D4869" s="5" t="s">
        <v>18</v>
      </c>
      <c r="E4869" s="5" t="s">
        <v>65</v>
      </c>
      <c r="F4869" s="9" t="s">
        <v>66</v>
      </c>
      <c r="G4869" s="9">
        <v>1310</v>
      </c>
      <c r="H4869" s="5" t="s">
        <v>21</v>
      </c>
      <c r="I4869" s="5" t="s">
        <v>11797</v>
      </c>
      <c r="J4869" s="12" t="str">
        <f>HYPERLINK("https://www.boe.es/gazeta/dias/1808/10/18/pdfs/GMD-1808-135.pdf#page=10","Abrir facsímil")</f>
        <v>Abrir facsímil</v>
      </c>
      <c r="K4869" s="15" t="s">
        <v>23</v>
      </c>
    </row>
    <row r="4870" spans="1:11" ht="42" customHeight="1">
      <c r="A4870" s="4" t="s">
        <v>11798</v>
      </c>
      <c r="B4870" s="5" t="s">
        <v>11798</v>
      </c>
      <c r="C4870" s="5" t="s">
        <v>94</v>
      </c>
      <c r="D4870" s="5" t="s">
        <v>95</v>
      </c>
      <c r="E4870" s="5" t="s">
        <v>203</v>
      </c>
      <c r="F4870" s="9" t="s">
        <v>204</v>
      </c>
      <c r="G4870" s="9">
        <v>142</v>
      </c>
      <c r="H4870" s="5" t="s">
        <v>21</v>
      </c>
      <c r="I4870" s="5" t="s">
        <v>11799</v>
      </c>
      <c r="J4870" s="12" t="str">
        <f>HYPERLINK("https://www.boe.es/gazeta/dias/1808/02/09/pdfs/GMD-1808-12.pdf#page=10","Abrir facsímil")</f>
        <v>Abrir facsímil</v>
      </c>
      <c r="K4870" s="15" t="s">
        <v>23</v>
      </c>
    </row>
    <row r="4871" spans="1:11" ht="42" customHeight="1">
      <c r="A4871" s="4" t="s">
        <v>11800</v>
      </c>
      <c r="B4871" s="5" t="s">
        <v>11800</v>
      </c>
      <c r="C4871" s="5" t="s">
        <v>33</v>
      </c>
      <c r="D4871" s="5" t="s">
        <v>34</v>
      </c>
      <c r="E4871" s="5" t="s">
        <v>110</v>
      </c>
      <c r="F4871" s="9" t="s">
        <v>828</v>
      </c>
      <c r="G4871" s="9" t="s">
        <v>117</v>
      </c>
      <c r="H4871" s="5" t="s">
        <v>21</v>
      </c>
      <c r="I4871" s="5" t="s">
        <v>11801</v>
      </c>
      <c r="J4871" s="12" t="str">
        <f>HYPERLINK("https://www.boe.es/gazeta/dias/1808/10/28/pdfs/GMD-D-1808-138.pdf#page=1","Abrir facsímil")</f>
        <v>Abrir facsímil</v>
      </c>
      <c r="K4871" s="15" t="s">
        <v>23</v>
      </c>
    </row>
    <row r="4872" spans="1:11" ht="42" customHeight="1">
      <c r="A4872" s="4" t="s">
        <v>11802</v>
      </c>
      <c r="B4872" s="5" t="s">
        <v>11802</v>
      </c>
      <c r="C4872" s="5" t="s">
        <v>17</v>
      </c>
      <c r="D4872" s="5" t="s">
        <v>18</v>
      </c>
      <c r="E4872" s="5" t="s">
        <v>218</v>
      </c>
      <c r="F4872" s="9" t="s">
        <v>219</v>
      </c>
      <c r="G4872" s="9">
        <v>331</v>
      </c>
      <c r="H4872" s="5" t="s">
        <v>21</v>
      </c>
      <c r="I4872" s="5" t="s">
        <v>11803</v>
      </c>
      <c r="J4872" s="12" t="str">
        <f>HYPERLINK("https://www.boe.es/gazeta/dias/1808/04/01/pdfs/GMD-1808-29.pdf#page=7","Abrir facsímil")</f>
        <v>Abrir facsímil</v>
      </c>
      <c r="K4872" s="15" t="s">
        <v>23</v>
      </c>
    </row>
    <row r="4873" spans="1:11" ht="42" customHeight="1">
      <c r="A4873" s="4" t="s">
        <v>11802</v>
      </c>
      <c r="B4873" s="5" t="s">
        <v>11802</v>
      </c>
      <c r="C4873" s="5" t="s">
        <v>17</v>
      </c>
      <c r="D4873" s="5" t="s">
        <v>18</v>
      </c>
      <c r="E4873" s="5" t="s">
        <v>1791</v>
      </c>
      <c r="F4873" s="9" t="s">
        <v>2814</v>
      </c>
      <c r="G4873" s="9">
        <v>930</v>
      </c>
      <c r="H4873" s="5" t="s">
        <v>21</v>
      </c>
      <c r="I4873" s="5" t="s">
        <v>11804</v>
      </c>
      <c r="J4873" s="12" t="str">
        <f>HYPERLINK("https://www.boe.es/gazeta/dias/1808/07/30/pdfs/GMD-1808-102.pdf#page=4","Abrir facsímil")</f>
        <v>Abrir facsímil</v>
      </c>
      <c r="K4873" s="15" t="s">
        <v>23</v>
      </c>
    </row>
    <row r="4874" spans="1:11" ht="42" customHeight="1">
      <c r="A4874" s="4" t="s">
        <v>11802</v>
      </c>
      <c r="B4874" s="5" t="s">
        <v>11802</v>
      </c>
      <c r="C4874" s="5" t="s">
        <v>17</v>
      </c>
      <c r="D4874" s="5" t="s">
        <v>18</v>
      </c>
      <c r="E4874" s="5" t="s">
        <v>427</v>
      </c>
      <c r="F4874" s="9" t="s">
        <v>1802</v>
      </c>
      <c r="G4874" s="9">
        <v>1525</v>
      </c>
      <c r="H4874" s="5" t="s">
        <v>21</v>
      </c>
      <c r="I4874" s="5" t="s">
        <v>11805</v>
      </c>
      <c r="J4874" s="12" t="str">
        <f>HYPERLINK("https://www.boe.es/gazeta/dias/1808/11/22/pdfs/GMD-1808-146.pdf#page=11","Abrir facsímil")</f>
        <v>Abrir facsímil</v>
      </c>
      <c r="K4874" s="15" t="s">
        <v>23</v>
      </c>
    </row>
    <row r="4875" spans="1:11" ht="42" customHeight="1">
      <c r="A4875" s="4" t="s">
        <v>11806</v>
      </c>
      <c r="B4875" s="5" t="s">
        <v>11806</v>
      </c>
      <c r="C4875" s="5" t="s">
        <v>41</v>
      </c>
      <c r="D4875" s="5" t="s">
        <v>42</v>
      </c>
      <c r="E4875" s="5" t="s">
        <v>28</v>
      </c>
      <c r="F4875" s="9" t="s">
        <v>446</v>
      </c>
      <c r="G4875" s="9" t="s">
        <v>106</v>
      </c>
      <c r="H4875" s="5" t="s">
        <v>21</v>
      </c>
      <c r="I4875" s="5" t="s">
        <v>11807</v>
      </c>
      <c r="J4875" s="12" t="str">
        <f>HYPERLINK("https://www.boe.es/gazeta/dias/1808/11/04/pdfs/GMD-D-1808-141.pdf#page=3","Abrir facsímil")</f>
        <v>Abrir facsímil</v>
      </c>
      <c r="K4875" s="15" t="s">
        <v>23</v>
      </c>
    </row>
    <row r="4876" spans="1:11" ht="42" customHeight="1">
      <c r="A4876" s="4" t="s">
        <v>11808</v>
      </c>
      <c r="B4876" s="5" t="s">
        <v>11808</v>
      </c>
      <c r="C4876" s="5" t="s">
        <v>33</v>
      </c>
      <c r="D4876" s="5" t="s">
        <v>34</v>
      </c>
      <c r="E4876" s="5" t="s">
        <v>35</v>
      </c>
      <c r="F4876" s="9" t="s">
        <v>36</v>
      </c>
      <c r="G4876" s="9" t="s">
        <v>956</v>
      </c>
      <c r="H4876" s="5" t="s">
        <v>21</v>
      </c>
      <c r="I4876" s="5" t="s">
        <v>11809</v>
      </c>
      <c r="J4876" s="12" t="str">
        <f>HYPERLINK("https://www.boe.es/gazeta/dias/1808/04/22/pdfs/GMD-C-1808-38.pdf#page=41","Abrir facsímil")</f>
        <v>Abrir facsímil</v>
      </c>
      <c r="K4876" s="15" t="s">
        <v>23</v>
      </c>
    </row>
    <row r="4877" spans="1:11" ht="42" customHeight="1">
      <c r="A4877" s="4" t="s">
        <v>11810</v>
      </c>
      <c r="B4877" s="5" t="s">
        <v>11811</v>
      </c>
      <c r="C4877" s="5" t="s">
        <v>33</v>
      </c>
      <c r="D4877" s="5" t="s">
        <v>34</v>
      </c>
      <c r="E4877" s="5" t="s">
        <v>334</v>
      </c>
      <c r="F4877" s="9" t="s">
        <v>335</v>
      </c>
      <c r="G4877" s="9">
        <v>1251</v>
      </c>
      <c r="H4877" s="5" t="s">
        <v>21</v>
      </c>
      <c r="I4877" s="5" t="s">
        <v>11812</v>
      </c>
      <c r="J4877" s="12" t="str">
        <f>HYPERLINK("https://www.boe.es/gazeta/dias/1808/10/04/pdfs/GMD-C-1808-131.pdf#page=3","Abrir facsímil")</f>
        <v>Abrir facsímil</v>
      </c>
      <c r="K4877" s="15" t="s">
        <v>23</v>
      </c>
    </row>
    <row r="4878" spans="1:11" ht="42" customHeight="1">
      <c r="A4878" s="4" t="s">
        <v>11813</v>
      </c>
      <c r="B4878" s="5" t="s">
        <v>11813</v>
      </c>
      <c r="C4878" s="5" t="s">
        <v>33</v>
      </c>
      <c r="D4878" s="5" t="s">
        <v>34</v>
      </c>
      <c r="E4878" s="5" t="s">
        <v>125</v>
      </c>
      <c r="F4878" s="9" t="s">
        <v>126</v>
      </c>
      <c r="G4878" s="9" t="s">
        <v>75</v>
      </c>
      <c r="H4878" s="5" t="s">
        <v>21</v>
      </c>
      <c r="I4878" s="5" t="s">
        <v>11814</v>
      </c>
      <c r="J4878" s="12" t="str">
        <f>HYPERLINK("https://www.boe.es/gazeta/dias/1808/10/07/pdfs/GMD-C-1808-132.pdf#page=4","Abrir facsímil")</f>
        <v>Abrir facsímil</v>
      </c>
      <c r="K4878" s="15" t="s">
        <v>23</v>
      </c>
    </row>
    <row r="4879" spans="1:11" ht="42" customHeight="1">
      <c r="A4879" s="4" t="s">
        <v>11815</v>
      </c>
      <c r="B4879" s="5" t="s">
        <v>11815</v>
      </c>
      <c r="C4879" s="5" t="s">
        <v>94</v>
      </c>
      <c r="D4879" s="5" t="s">
        <v>95</v>
      </c>
      <c r="E4879" s="5" t="s">
        <v>2867</v>
      </c>
      <c r="F4879" s="9" t="s">
        <v>2868</v>
      </c>
      <c r="G4879" s="9">
        <v>1151</v>
      </c>
      <c r="H4879" s="5" t="s">
        <v>21</v>
      </c>
      <c r="I4879" s="5" t="s">
        <v>11816</v>
      </c>
      <c r="J4879" s="12" t="str">
        <f>HYPERLINK("https://www.boe.es/gazeta/dias/1808/09/10/pdfs/GMD-1808-122E.pdf#page=1","Abrir facsímil")</f>
        <v>Abrir facsímil</v>
      </c>
      <c r="K4879" s="15" t="s">
        <v>23</v>
      </c>
    </row>
    <row r="4880" spans="1:11" ht="42" customHeight="1">
      <c r="A4880" s="4" t="s">
        <v>11815</v>
      </c>
      <c r="B4880" s="5" t="s">
        <v>11815</v>
      </c>
      <c r="C4880" s="5" t="s">
        <v>94</v>
      </c>
      <c r="D4880" s="5" t="s">
        <v>95</v>
      </c>
      <c r="E4880" s="5" t="s">
        <v>73</v>
      </c>
      <c r="F4880" s="9" t="s">
        <v>1570</v>
      </c>
      <c r="G4880" s="9">
        <v>1485</v>
      </c>
      <c r="H4880" s="5" t="s">
        <v>21</v>
      </c>
      <c r="I4880" s="5" t="s">
        <v>11817</v>
      </c>
      <c r="J4880" s="12" t="str">
        <f>HYPERLINK("https://www.boe.es/gazeta/dias/1808/11/11/pdfs/GMD-C-1808-143.pdf#page=15","Abrir facsímil")</f>
        <v>Abrir facsímil</v>
      </c>
      <c r="K4880" s="15" t="s">
        <v>23</v>
      </c>
    </row>
    <row r="4881" spans="1:11" ht="42" customHeight="1">
      <c r="A4881" s="4" t="s">
        <v>11818</v>
      </c>
      <c r="B4881" s="5" t="s">
        <v>11818</v>
      </c>
      <c r="C4881" s="5" t="s">
        <v>94</v>
      </c>
      <c r="D4881" s="5" t="s">
        <v>95</v>
      </c>
      <c r="E4881" s="5" t="s">
        <v>287</v>
      </c>
      <c r="F4881" s="9" t="s">
        <v>489</v>
      </c>
      <c r="G4881" s="9">
        <v>1003</v>
      </c>
      <c r="H4881" s="5" t="s">
        <v>21</v>
      </c>
      <c r="I4881" s="5" t="s">
        <v>11819</v>
      </c>
      <c r="J4881" s="12" t="str">
        <f>HYPERLINK("https://www.boe.es/gazeta/dias/1808/08/12/pdfs/GMD-1808-112.pdf#page=7","Abrir facsímil")</f>
        <v>Abrir facsímil</v>
      </c>
      <c r="K4881" s="15" t="s">
        <v>23</v>
      </c>
    </row>
    <row r="4882" spans="1:11" ht="42" customHeight="1">
      <c r="A4882" s="4" t="s">
        <v>11820</v>
      </c>
      <c r="B4882" s="5" t="s">
        <v>11820</v>
      </c>
      <c r="C4882" s="5" t="s">
        <v>17</v>
      </c>
      <c r="D4882" s="5" t="s">
        <v>18</v>
      </c>
      <c r="E4882" s="5" t="s">
        <v>19</v>
      </c>
      <c r="F4882" s="9" t="s">
        <v>59</v>
      </c>
      <c r="G4882" s="9">
        <v>1226</v>
      </c>
      <c r="H4882" s="5" t="s">
        <v>21</v>
      </c>
      <c r="I4882" s="5" t="s">
        <v>11821</v>
      </c>
      <c r="J4882" s="12" t="str">
        <f>HYPERLINK("https://www.boe.es/gazeta/dias/1808/09/30/pdfs/GMD-1808-130.pdf#page=6","Abrir facsímil")</f>
        <v>Abrir facsímil</v>
      </c>
      <c r="K4882" s="15" t="s">
        <v>23</v>
      </c>
    </row>
    <row r="4883" spans="1:11" ht="42" customHeight="1">
      <c r="A4883" s="4" t="s">
        <v>11822</v>
      </c>
      <c r="B4883" s="5" t="s">
        <v>11822</v>
      </c>
      <c r="C4883" s="5" t="s">
        <v>17</v>
      </c>
      <c r="D4883" s="5" t="s">
        <v>18</v>
      </c>
      <c r="E4883" s="5" t="s">
        <v>139</v>
      </c>
      <c r="F4883" s="9" t="s">
        <v>140</v>
      </c>
      <c r="G4883" s="9">
        <v>1204</v>
      </c>
      <c r="H4883" s="5" t="s">
        <v>21</v>
      </c>
      <c r="I4883" s="5" t="s">
        <v>11823</v>
      </c>
      <c r="J4883" s="12" t="str">
        <f>HYPERLINK("https://www.boe.es/gazeta/dias/1808/09/23/pdfs/GMD-1808-127.pdf#page=12","Abrir facsímil")</f>
        <v>Abrir facsímil</v>
      </c>
      <c r="K4883" s="15" t="s">
        <v>23</v>
      </c>
    </row>
    <row r="4884" spans="1:11" ht="42" customHeight="1">
      <c r="A4884" s="4" t="s">
        <v>11824</v>
      </c>
      <c r="B4884" s="5" t="s">
        <v>11824</v>
      </c>
      <c r="C4884" s="5" t="s">
        <v>94</v>
      </c>
      <c r="D4884" s="5" t="s">
        <v>95</v>
      </c>
      <c r="E4884" s="5" t="s">
        <v>51</v>
      </c>
      <c r="F4884" s="9" t="s">
        <v>52</v>
      </c>
      <c r="G4884" s="9">
        <v>989</v>
      </c>
      <c r="H4884" s="5" t="s">
        <v>21</v>
      </c>
      <c r="I4884" s="5" t="s">
        <v>11825</v>
      </c>
      <c r="J4884" s="12" t="str">
        <f>HYPERLINK("https://www.boe.es/gazeta/dias/1808/08/09/pdfs/GMD-1808-111.pdf#page=5","Abrir facsímil")</f>
        <v>Abrir facsímil</v>
      </c>
      <c r="K4884" s="15" t="s">
        <v>23</v>
      </c>
    </row>
    <row r="4885" spans="1:11" ht="42" customHeight="1">
      <c r="A4885" s="4" t="s">
        <v>11826</v>
      </c>
      <c r="B4885" s="5" t="s">
        <v>11827</v>
      </c>
      <c r="C4885" s="5" t="s">
        <v>17</v>
      </c>
      <c r="D4885" s="5" t="s">
        <v>18</v>
      </c>
      <c r="E4885" s="5" t="s">
        <v>1760</v>
      </c>
      <c r="F4885" s="9" t="s">
        <v>1761</v>
      </c>
      <c r="G4885" s="9">
        <v>432</v>
      </c>
      <c r="H4885" s="5" t="s">
        <v>21</v>
      </c>
      <c r="I4885" s="5" t="s">
        <v>11828</v>
      </c>
      <c r="J4885" s="12" t="str">
        <f>HYPERLINK("https://www.boe.es/gazeta/dias/1808/05/03/pdfs/GMD-1808-43.pdf#page=8","Abrir facsímil")</f>
        <v>Abrir facsímil</v>
      </c>
      <c r="K4885" s="15" t="s">
        <v>23</v>
      </c>
    </row>
    <row r="4886" spans="1:11" ht="42" customHeight="1">
      <c r="A4886" s="4" t="s">
        <v>11826</v>
      </c>
      <c r="B4886" s="5" t="s">
        <v>11827</v>
      </c>
      <c r="C4886" s="5" t="s">
        <v>389</v>
      </c>
      <c r="D4886" s="5" t="s">
        <v>390</v>
      </c>
      <c r="E4886" s="5" t="s">
        <v>287</v>
      </c>
      <c r="F4886" s="9" t="s">
        <v>489</v>
      </c>
      <c r="G4886" s="9">
        <v>1008</v>
      </c>
      <c r="H4886" s="5" t="s">
        <v>21</v>
      </c>
      <c r="I4886" s="5" t="s">
        <v>11829</v>
      </c>
      <c r="J4886" s="12" t="str">
        <f>HYPERLINK("https://www.boe.es/gazeta/dias/1808/08/12/pdfs/GMD-1808-112.pdf#page=12","Abrir facsímil")</f>
        <v>Abrir facsímil</v>
      </c>
      <c r="K4886" s="15" t="s">
        <v>23</v>
      </c>
    </row>
    <row r="4887" spans="1:11" ht="42" customHeight="1">
      <c r="A4887" s="4" t="s">
        <v>11826</v>
      </c>
      <c r="B4887" s="5" t="s">
        <v>11827</v>
      </c>
      <c r="C4887" s="5" t="s">
        <v>389</v>
      </c>
      <c r="D4887" s="5" t="s">
        <v>390</v>
      </c>
      <c r="E4887" s="5" t="s">
        <v>197</v>
      </c>
      <c r="F4887" s="9" t="s">
        <v>790</v>
      </c>
      <c r="G4887" s="9">
        <v>1410</v>
      </c>
      <c r="H4887" s="5" t="s">
        <v>21</v>
      </c>
      <c r="I4887" s="5" t="s">
        <v>11830</v>
      </c>
      <c r="J4887" s="12" t="str">
        <f>HYPERLINK("https://www.boe.es/gazeta/dias/1808/11/01/pdfs/GMD-1808-140.pdf#page=12","Abrir facsímil")</f>
        <v>Abrir facsímil</v>
      </c>
      <c r="K4887" s="15" t="s">
        <v>23</v>
      </c>
    </row>
    <row r="4888" spans="1:11" ht="42" customHeight="1">
      <c r="A4888" s="4" t="s">
        <v>11831</v>
      </c>
      <c r="B4888" s="5" t="s">
        <v>11831</v>
      </c>
      <c r="C4888" s="5" t="s">
        <v>17</v>
      </c>
      <c r="D4888" s="5" t="s">
        <v>18</v>
      </c>
      <c r="E4888" s="5" t="s">
        <v>166</v>
      </c>
      <c r="F4888" s="9" t="s">
        <v>356</v>
      </c>
      <c r="G4888" s="9">
        <v>1509</v>
      </c>
      <c r="H4888" s="5" t="s">
        <v>21</v>
      </c>
      <c r="I4888" s="5" t="s">
        <v>11832</v>
      </c>
      <c r="J4888" s="12" t="str">
        <f>HYPERLINK("https://www.boe.es/gazeta/dias/1808/11/18/pdfs/GMD-1808-145.pdf#page=7","Abrir facsímil")</f>
        <v>Abrir facsímil</v>
      </c>
      <c r="K4888" s="15" t="s">
        <v>23</v>
      </c>
    </row>
    <row r="4889" spans="1:11" ht="42" customHeight="1">
      <c r="A4889" s="4" t="s">
        <v>11833</v>
      </c>
      <c r="B4889" s="5" t="s">
        <v>11833</v>
      </c>
      <c r="C4889" s="5" t="s">
        <v>17</v>
      </c>
      <c r="D4889" s="5" t="s">
        <v>18</v>
      </c>
      <c r="E4889" s="5" t="s">
        <v>684</v>
      </c>
      <c r="F4889" s="9" t="s">
        <v>685</v>
      </c>
      <c r="G4889" s="9">
        <v>381</v>
      </c>
      <c r="H4889" s="5" t="s">
        <v>21</v>
      </c>
      <c r="I4889" s="5" t="s">
        <v>11834</v>
      </c>
      <c r="J4889" s="12" t="str">
        <f>HYPERLINK("https://www.boe.es/gazeta/dias/1808/04/15/pdfs/GMD-1808-35.pdf#page=7","Abrir facsímil")</f>
        <v>Abrir facsímil</v>
      </c>
      <c r="K4889" s="15" t="s">
        <v>23</v>
      </c>
    </row>
    <row r="4890" spans="1:11" ht="42" customHeight="1">
      <c r="A4890" s="4" t="s">
        <v>11833</v>
      </c>
      <c r="B4890" s="5" t="s">
        <v>11833</v>
      </c>
      <c r="C4890" s="5" t="s">
        <v>17</v>
      </c>
      <c r="D4890" s="5" t="s">
        <v>18</v>
      </c>
      <c r="E4890" s="5" t="s">
        <v>804</v>
      </c>
      <c r="F4890" s="9" t="s">
        <v>805</v>
      </c>
      <c r="G4890" s="9">
        <v>974</v>
      </c>
      <c r="H4890" s="5" t="s">
        <v>21</v>
      </c>
      <c r="I4890" s="5" t="s">
        <v>11835</v>
      </c>
      <c r="J4890" s="12" t="str">
        <f>HYPERLINK("https://www.boe.es/gazeta/dias/1808/08/05/pdfs/GMD-1808-108.pdf#page=4","Abrir facsímil")</f>
        <v>Abrir facsímil</v>
      </c>
      <c r="K4890" s="15" t="s">
        <v>23</v>
      </c>
    </row>
    <row r="4891" spans="1:11" ht="42" customHeight="1">
      <c r="A4891" s="4" t="s">
        <v>11836</v>
      </c>
      <c r="B4891" s="5" t="s">
        <v>11836</v>
      </c>
      <c r="C4891" s="5" t="s">
        <v>389</v>
      </c>
      <c r="D4891" s="5" t="s">
        <v>390</v>
      </c>
      <c r="E4891" s="5" t="s">
        <v>469</v>
      </c>
      <c r="F4891" s="9" t="s">
        <v>470</v>
      </c>
      <c r="G4891" s="9">
        <v>154</v>
      </c>
      <c r="H4891" s="5" t="s">
        <v>21</v>
      </c>
      <c r="I4891" s="5" t="s">
        <v>11837</v>
      </c>
      <c r="J4891" s="12" t="str">
        <f>HYPERLINK("https://www.boe.es/gazeta/dias/1808/02/12/pdfs/GMD-1808-13.pdf#page=10","Abrir facsímil")</f>
        <v>Abrir facsímil</v>
      </c>
      <c r="K4891" s="15" t="s">
        <v>23</v>
      </c>
    </row>
    <row r="4892" spans="1:11" ht="42" customHeight="1">
      <c r="A4892" s="4" t="s">
        <v>11838</v>
      </c>
      <c r="B4892" s="5" t="s">
        <v>11838</v>
      </c>
      <c r="C4892" s="5" t="s">
        <v>33</v>
      </c>
      <c r="D4892" s="5" t="s">
        <v>34</v>
      </c>
      <c r="E4892" s="5" t="s">
        <v>125</v>
      </c>
      <c r="F4892" s="9" t="s">
        <v>126</v>
      </c>
      <c r="G4892" s="9" t="s">
        <v>106</v>
      </c>
      <c r="H4892" s="5" t="s">
        <v>21</v>
      </c>
      <c r="I4892" s="5" t="s">
        <v>11839</v>
      </c>
      <c r="J4892" s="12" t="str">
        <f>HYPERLINK("https://www.boe.es/gazeta/dias/1808/10/07/pdfs/GMD-C-1808-132.pdf#page=3","Abrir facsímil")</f>
        <v>Abrir facsímil</v>
      </c>
      <c r="K4892" s="15" t="s">
        <v>23</v>
      </c>
    </row>
    <row r="4893" spans="1:11" ht="42" customHeight="1">
      <c r="A4893" s="4" t="s">
        <v>11840</v>
      </c>
      <c r="B4893" s="5" t="s">
        <v>11840</v>
      </c>
      <c r="C4893" s="5" t="s">
        <v>260</v>
      </c>
      <c r="D4893" s="5" t="s">
        <v>42</v>
      </c>
      <c r="E4893" s="5" t="s">
        <v>469</v>
      </c>
      <c r="F4893" s="9" t="s">
        <v>470</v>
      </c>
      <c r="G4893" s="9">
        <v>152</v>
      </c>
      <c r="H4893" s="5" t="s">
        <v>21</v>
      </c>
      <c r="I4893" s="5" t="s">
        <v>11841</v>
      </c>
      <c r="J4893" s="12" t="str">
        <f>HYPERLINK("https://www.boe.es/gazeta/dias/1808/02/12/pdfs/GMD-1808-13.pdf#page=8","Abrir facsímil")</f>
        <v>Abrir facsímil</v>
      </c>
      <c r="K4893" s="15" t="s">
        <v>23</v>
      </c>
    </row>
    <row r="4894" spans="1:11" ht="42" customHeight="1">
      <c r="A4894" s="4" t="s">
        <v>11842</v>
      </c>
      <c r="B4894" s="5" t="s">
        <v>11842</v>
      </c>
      <c r="C4894" s="5" t="s">
        <v>33</v>
      </c>
      <c r="D4894" s="5" t="s">
        <v>34</v>
      </c>
      <c r="E4894" s="5" t="s">
        <v>65</v>
      </c>
      <c r="F4894" s="9" t="s">
        <v>105</v>
      </c>
      <c r="G4894" s="9" t="s">
        <v>117</v>
      </c>
      <c r="H4894" s="5" t="s">
        <v>21</v>
      </c>
      <c r="I4894" s="5" t="s">
        <v>11843</v>
      </c>
      <c r="J4894" s="12" t="str">
        <f>HYPERLINK("https://www.boe.es/gazeta/dias/1808/10/18/pdfs/GMD-D-1808-135.pdf#page=1","Abrir facsímil")</f>
        <v>Abrir facsímil</v>
      </c>
      <c r="K4894" s="15" t="s">
        <v>23</v>
      </c>
    </row>
    <row r="4895" spans="1:11" ht="42" customHeight="1">
      <c r="A4895" s="4" t="s">
        <v>11844</v>
      </c>
      <c r="B4895" s="5" t="s">
        <v>11844</v>
      </c>
      <c r="C4895" s="5" t="s">
        <v>17</v>
      </c>
      <c r="D4895" s="5" t="s">
        <v>18</v>
      </c>
      <c r="E4895" s="5" t="s">
        <v>1385</v>
      </c>
      <c r="F4895" s="9" t="s">
        <v>1386</v>
      </c>
      <c r="G4895" s="9">
        <v>230</v>
      </c>
      <c r="H4895" s="5" t="s">
        <v>21</v>
      </c>
      <c r="I4895" s="5" t="s">
        <v>11845</v>
      </c>
      <c r="J4895" s="12" t="str">
        <f>HYPERLINK("https://www.boe.es/gazeta/dias/1808/03/04/pdfs/GMD-1808-19.pdf#page=8","Abrir facsímil")</f>
        <v>Abrir facsímil</v>
      </c>
      <c r="K4895" s="15" t="s">
        <v>23</v>
      </c>
    </row>
    <row r="4896" spans="1:11" ht="42" customHeight="1">
      <c r="A4896" s="4" t="s">
        <v>11844</v>
      </c>
      <c r="B4896" s="5" t="s">
        <v>11844</v>
      </c>
      <c r="C4896" s="5" t="s">
        <v>17</v>
      </c>
      <c r="D4896" s="5" t="s">
        <v>18</v>
      </c>
      <c r="E4896" s="5" t="s">
        <v>1258</v>
      </c>
      <c r="F4896" s="9" t="s">
        <v>1259</v>
      </c>
      <c r="G4896" s="9">
        <v>890</v>
      </c>
      <c r="H4896" s="5" t="s">
        <v>21</v>
      </c>
      <c r="I4896" s="5" t="s">
        <v>11846</v>
      </c>
      <c r="J4896" s="12" t="str">
        <f>HYPERLINK("https://www.boe.es/gazeta/dias/1808/07/25/pdfs/GMD-1808-97.pdf#page=4","Abrir facsímil")</f>
        <v>Abrir facsímil</v>
      </c>
      <c r="K4896" s="15" t="s">
        <v>23</v>
      </c>
    </row>
    <row r="4897" spans="1:11" ht="42" customHeight="1">
      <c r="A4897" s="4" t="s">
        <v>11847</v>
      </c>
      <c r="B4897" s="5" t="s">
        <v>11847</v>
      </c>
      <c r="C4897" s="5" t="s">
        <v>33</v>
      </c>
      <c r="D4897" s="5" t="s">
        <v>34</v>
      </c>
      <c r="E4897" s="5" t="s">
        <v>73</v>
      </c>
      <c r="F4897" s="9" t="s">
        <v>74</v>
      </c>
      <c r="G4897" s="9" t="s">
        <v>106</v>
      </c>
      <c r="H4897" s="5" t="s">
        <v>21</v>
      </c>
      <c r="I4897" s="5" t="s">
        <v>11848</v>
      </c>
      <c r="J4897" s="12" t="str">
        <f>HYPERLINK("https://www.boe.es/gazeta/dias/1808/11/11/pdfs/GMD-D-1808-143.pdf#page=3","Abrir facsímil")</f>
        <v>Abrir facsímil</v>
      </c>
      <c r="K4897" s="15" t="s">
        <v>23</v>
      </c>
    </row>
    <row r="4898" spans="1:11" ht="42" customHeight="1">
      <c r="A4898" s="4" t="s">
        <v>11849</v>
      </c>
      <c r="B4898" s="5" t="s">
        <v>11849</v>
      </c>
      <c r="C4898" s="5" t="s">
        <v>41</v>
      </c>
      <c r="D4898" s="5" t="s">
        <v>42</v>
      </c>
      <c r="E4898" s="5" t="s">
        <v>28</v>
      </c>
      <c r="F4898" s="9" t="s">
        <v>446</v>
      </c>
      <c r="G4898" s="9" t="s">
        <v>75</v>
      </c>
      <c r="H4898" s="5" t="s">
        <v>21</v>
      </c>
      <c r="I4898" s="5" t="s">
        <v>11850</v>
      </c>
      <c r="J4898" s="12" t="str">
        <f>HYPERLINK("https://www.boe.es/gazeta/dias/1808/11/04/pdfs/GMD-D-1808-141.pdf#page=4","Abrir facsímil")</f>
        <v>Abrir facsímil</v>
      </c>
      <c r="K4898" s="15" t="s">
        <v>23</v>
      </c>
    </row>
    <row r="4899" spans="1:11" ht="42" customHeight="1">
      <c r="A4899" s="4" t="s">
        <v>11851</v>
      </c>
      <c r="B4899" s="5" t="s">
        <v>11851</v>
      </c>
      <c r="C4899" s="5" t="s">
        <v>17</v>
      </c>
      <c r="D4899" s="5" t="s">
        <v>18</v>
      </c>
      <c r="E4899" s="5" t="s">
        <v>125</v>
      </c>
      <c r="F4899" s="9" t="s">
        <v>397</v>
      </c>
      <c r="G4899" s="9">
        <v>1272</v>
      </c>
      <c r="H4899" s="5" t="s">
        <v>21</v>
      </c>
      <c r="I4899" s="5" t="s">
        <v>11852</v>
      </c>
      <c r="J4899" s="12" t="str">
        <f>HYPERLINK("https://www.boe.es/gazeta/dias/1808/10/07/pdfs/GMD-1808-132.pdf#page=12","Abrir facsímil")</f>
        <v>Abrir facsímil</v>
      </c>
      <c r="K4899" s="15" t="s">
        <v>23</v>
      </c>
    </row>
    <row r="4900" spans="1:11" ht="42" customHeight="1">
      <c r="A4900" s="4" t="s">
        <v>11853</v>
      </c>
      <c r="B4900" s="5" t="s">
        <v>11853</v>
      </c>
      <c r="C4900" s="5" t="s">
        <v>17</v>
      </c>
      <c r="D4900" s="5" t="s">
        <v>18</v>
      </c>
      <c r="E4900" s="5" t="s">
        <v>290</v>
      </c>
      <c r="F4900" s="9" t="s">
        <v>291</v>
      </c>
      <c r="G4900" s="9">
        <v>1066</v>
      </c>
      <c r="H4900" s="5" t="s">
        <v>21</v>
      </c>
      <c r="I4900" s="5" t="s">
        <v>11854</v>
      </c>
      <c r="J4900" s="12" t="str">
        <f>HYPERLINK("https://www.boe.es/gazeta/dias/1808/08/23/pdfs/GMD-1808-116.pdf#page=12","Abrir facsímil")</f>
        <v>Abrir facsímil</v>
      </c>
      <c r="K4900" s="15" t="s">
        <v>23</v>
      </c>
    </row>
    <row r="4901" spans="1:11" ht="42" customHeight="1">
      <c r="A4901" s="4" t="s">
        <v>11853</v>
      </c>
      <c r="B4901" s="5" t="s">
        <v>11853</v>
      </c>
      <c r="C4901" s="5" t="s">
        <v>33</v>
      </c>
      <c r="D4901" s="5" t="s">
        <v>34</v>
      </c>
      <c r="E4901" s="5" t="s">
        <v>54</v>
      </c>
      <c r="F4901" s="9" t="s">
        <v>8048</v>
      </c>
      <c r="G4901" s="9">
        <v>1093</v>
      </c>
      <c r="H4901" s="5" t="s">
        <v>21</v>
      </c>
      <c r="I4901" s="5" t="s">
        <v>11855</v>
      </c>
      <c r="J4901" s="12" t="str">
        <f>HYPERLINK("https://www.boe.es/gazeta/dias/1808/08/26/pdfs/GMD-C-1808-117.pdf#page=3","Abrir facsímil")</f>
        <v>Abrir facsímil</v>
      </c>
      <c r="K4901" s="15" t="s">
        <v>23</v>
      </c>
    </row>
    <row r="4902" spans="1:11" ht="42" customHeight="1">
      <c r="A4902" s="4" t="s">
        <v>11856</v>
      </c>
      <c r="B4902" s="5" t="s">
        <v>11856</v>
      </c>
      <c r="C4902" s="5" t="s">
        <v>33</v>
      </c>
      <c r="D4902" s="5" t="s">
        <v>34</v>
      </c>
      <c r="E4902" s="5" t="s">
        <v>35</v>
      </c>
      <c r="F4902" s="9" t="s">
        <v>36</v>
      </c>
      <c r="G4902" s="9" t="s">
        <v>135</v>
      </c>
      <c r="H4902" s="5" t="s">
        <v>21</v>
      </c>
      <c r="I4902" s="5" t="s">
        <v>11857</v>
      </c>
      <c r="J4902" s="12" t="str">
        <f>HYPERLINK("https://www.boe.es/gazeta/dias/1808/04/22/pdfs/GMD-C-1808-38.pdf#page=26","Abrir facsímil")</f>
        <v>Abrir facsímil</v>
      </c>
      <c r="K4902" s="15" t="s">
        <v>23</v>
      </c>
    </row>
    <row r="4903" spans="1:11" ht="42" customHeight="1">
      <c r="A4903" s="4" t="s">
        <v>11858</v>
      </c>
      <c r="B4903" s="5" t="s">
        <v>11858</v>
      </c>
      <c r="C4903" s="5" t="s">
        <v>94</v>
      </c>
      <c r="D4903" s="5" t="s">
        <v>95</v>
      </c>
      <c r="E4903" s="5" t="s">
        <v>991</v>
      </c>
      <c r="F4903" s="9" t="s">
        <v>992</v>
      </c>
      <c r="G4903" s="9">
        <v>219</v>
      </c>
      <c r="H4903" s="5" t="s">
        <v>21</v>
      </c>
      <c r="I4903" s="5" t="s">
        <v>11859</v>
      </c>
      <c r="J4903" s="12" t="str">
        <f>HYPERLINK("https://www.boe.es/gazeta/dias/1808/03/01/pdfs/GMD-1808-18.pdf#page=9","Abrir facsímil")</f>
        <v>Abrir facsímil</v>
      </c>
      <c r="K4903" s="15" t="s">
        <v>23</v>
      </c>
    </row>
    <row r="4904" spans="1:11" ht="42" customHeight="1">
      <c r="A4904" s="4" t="s">
        <v>11860</v>
      </c>
      <c r="B4904" s="5" t="s">
        <v>11860</v>
      </c>
      <c r="C4904" s="5" t="s">
        <v>33</v>
      </c>
      <c r="D4904" s="5" t="s">
        <v>34</v>
      </c>
      <c r="E4904" s="5" t="s">
        <v>35</v>
      </c>
      <c r="F4904" s="9" t="s">
        <v>36</v>
      </c>
      <c r="G4904" s="9" t="s">
        <v>324</v>
      </c>
      <c r="H4904" s="5" t="s">
        <v>21</v>
      </c>
      <c r="I4904" s="5" t="s">
        <v>11861</v>
      </c>
      <c r="J4904" s="12" t="str">
        <f>HYPERLINK("https://www.boe.es/gazeta/dias/1808/04/22/pdfs/GMD-C-1808-38.pdf#page=24","Abrir facsímil")</f>
        <v>Abrir facsímil</v>
      </c>
      <c r="K4904" s="15" t="s">
        <v>23</v>
      </c>
    </row>
    <row r="4905" spans="1:11" ht="42" customHeight="1">
      <c r="A4905" s="4" t="s">
        <v>11862</v>
      </c>
      <c r="B4905" s="5" t="s">
        <v>11862</v>
      </c>
      <c r="C4905" s="5" t="s">
        <v>17</v>
      </c>
      <c r="D4905" s="5" t="s">
        <v>18</v>
      </c>
      <c r="E4905" s="5" t="s">
        <v>125</v>
      </c>
      <c r="F4905" s="9" t="s">
        <v>397</v>
      </c>
      <c r="G4905" s="9">
        <v>1269</v>
      </c>
      <c r="H4905" s="5" t="s">
        <v>21</v>
      </c>
      <c r="I4905" s="5" t="s">
        <v>11863</v>
      </c>
      <c r="J4905" s="12" t="str">
        <f>HYPERLINK("https://www.boe.es/gazeta/dias/1808/10/07/pdfs/GMD-1808-132.pdf#page=9","Abrir facsímil")</f>
        <v>Abrir facsímil</v>
      </c>
      <c r="K4905" s="15" t="s">
        <v>23</v>
      </c>
    </row>
    <row r="4906" spans="1:11" ht="42" customHeight="1">
      <c r="A4906" s="4" t="s">
        <v>11864</v>
      </c>
      <c r="B4906" s="5" t="s">
        <v>11864</v>
      </c>
      <c r="C4906" s="5" t="s">
        <v>33</v>
      </c>
      <c r="D4906" s="5" t="s">
        <v>34</v>
      </c>
      <c r="E4906" s="5" t="s">
        <v>427</v>
      </c>
      <c r="F4906" s="9" t="s">
        <v>428</v>
      </c>
      <c r="G4906" s="9" t="s">
        <v>75</v>
      </c>
      <c r="H4906" s="5" t="s">
        <v>21</v>
      </c>
      <c r="I4906" s="5" t="s">
        <v>11865</v>
      </c>
      <c r="J4906" s="12" t="str">
        <f>HYPERLINK("https://www.boe.es/gazeta/dias/1808/11/22/pdfs/GMD-D-1808-146.pdf#page=4","Abrir facsímil")</f>
        <v>Abrir facsímil</v>
      </c>
      <c r="K4906" s="15" t="s">
        <v>23</v>
      </c>
    </row>
    <row r="4907" spans="1:11" ht="42" customHeight="1">
      <c r="A4907" s="4" t="s">
        <v>11866</v>
      </c>
      <c r="B4907" s="5" t="s">
        <v>11866</v>
      </c>
      <c r="C4907" s="5" t="s">
        <v>17</v>
      </c>
      <c r="D4907" s="5" t="s">
        <v>18</v>
      </c>
      <c r="E4907" s="5" t="s">
        <v>218</v>
      </c>
      <c r="F4907" s="9" t="s">
        <v>219</v>
      </c>
      <c r="G4907" s="9">
        <v>331</v>
      </c>
      <c r="H4907" s="5" t="s">
        <v>21</v>
      </c>
      <c r="I4907" s="5" t="s">
        <v>11867</v>
      </c>
      <c r="J4907" s="12" t="str">
        <f>HYPERLINK("https://www.boe.es/gazeta/dias/1808/04/01/pdfs/GMD-1808-29.pdf#page=7","Abrir facsímil")</f>
        <v>Abrir facsímil</v>
      </c>
      <c r="K4907" s="15" t="s">
        <v>23</v>
      </c>
    </row>
    <row r="4908" spans="1:11" ht="42" customHeight="1">
      <c r="A4908" s="4" t="s">
        <v>11868</v>
      </c>
      <c r="B4908" s="5" t="s">
        <v>11868</v>
      </c>
      <c r="C4908" s="5" t="s">
        <v>17</v>
      </c>
      <c r="D4908" s="5" t="s">
        <v>18</v>
      </c>
      <c r="E4908" s="5" t="s">
        <v>290</v>
      </c>
      <c r="F4908" s="9" t="s">
        <v>291</v>
      </c>
      <c r="G4908" s="9">
        <v>1057</v>
      </c>
      <c r="H4908" s="5" t="s">
        <v>21</v>
      </c>
      <c r="I4908" s="5" t="s">
        <v>11869</v>
      </c>
      <c r="J4908" s="12" t="str">
        <f>HYPERLINK("https://www.boe.es/gazeta/dias/1808/08/23/pdfs/GMD-1808-116.pdf#page=3","Abrir facsímil")</f>
        <v>Abrir facsímil</v>
      </c>
      <c r="K4908" s="15" t="s">
        <v>23</v>
      </c>
    </row>
    <row r="4909" spans="1:11" ht="42" customHeight="1">
      <c r="A4909" s="4" t="s">
        <v>11870</v>
      </c>
      <c r="B4909" s="5" t="s">
        <v>11870</v>
      </c>
      <c r="C4909" s="5" t="s">
        <v>94</v>
      </c>
      <c r="D4909" s="5" t="s">
        <v>95</v>
      </c>
      <c r="E4909" s="5" t="s">
        <v>203</v>
      </c>
      <c r="F4909" s="9" t="s">
        <v>204</v>
      </c>
      <c r="G4909" s="9">
        <v>141</v>
      </c>
      <c r="H4909" s="5" t="s">
        <v>21</v>
      </c>
      <c r="I4909" s="5" t="s">
        <v>11871</v>
      </c>
      <c r="J4909" s="12" t="str">
        <f>HYPERLINK("https://www.boe.es/gazeta/dias/1808/02/09/pdfs/GMD-1808-12.pdf#page=9","Abrir facsímil")</f>
        <v>Abrir facsímil</v>
      </c>
      <c r="K4909" s="15" t="s">
        <v>23</v>
      </c>
    </row>
    <row r="4910" spans="1:11" ht="42" customHeight="1">
      <c r="A4910" s="4" t="s">
        <v>11872</v>
      </c>
      <c r="B4910" s="5" t="s">
        <v>11872</v>
      </c>
      <c r="C4910" s="5" t="s">
        <v>17</v>
      </c>
      <c r="D4910" s="5" t="s">
        <v>18</v>
      </c>
      <c r="E4910" s="5" t="s">
        <v>1085</v>
      </c>
      <c r="F4910" s="9" t="s">
        <v>1086</v>
      </c>
      <c r="G4910" s="9">
        <v>107</v>
      </c>
      <c r="H4910" s="5" t="s">
        <v>21</v>
      </c>
      <c r="I4910" s="5" t="s">
        <v>11873</v>
      </c>
      <c r="J4910" s="12" t="str">
        <f>HYPERLINK("https://www.boe.es/gazeta/dias/1808/01/29/pdfs/GMD-1808-9.pdf#page=11","Abrir facsímil")</f>
        <v>Abrir facsímil</v>
      </c>
      <c r="K4910" s="15" t="s">
        <v>23</v>
      </c>
    </row>
    <row r="4911" spans="1:11" ht="42" customHeight="1">
      <c r="A4911" s="4" t="s">
        <v>11874</v>
      </c>
      <c r="B4911" s="5" t="s">
        <v>11874</v>
      </c>
      <c r="C4911" s="5" t="s">
        <v>33</v>
      </c>
      <c r="D4911" s="5" t="s">
        <v>34</v>
      </c>
      <c r="E4911" s="5" t="s">
        <v>28</v>
      </c>
      <c r="F4911" s="9" t="s">
        <v>446</v>
      </c>
      <c r="G4911" s="9" t="s">
        <v>199</v>
      </c>
      <c r="H4911" s="5" t="s">
        <v>21</v>
      </c>
      <c r="I4911" s="5" t="s">
        <v>11875</v>
      </c>
      <c r="J4911" s="12" t="str">
        <f>HYPERLINK("https://www.boe.es/gazeta/dias/1808/11/04/pdfs/GMD-D-1808-141.pdf#page=2","Abrir facsímil")</f>
        <v>Abrir facsímil</v>
      </c>
      <c r="K4911" s="15" t="s">
        <v>23</v>
      </c>
    </row>
    <row r="4912" spans="1:11" ht="42" customHeight="1">
      <c r="A4912" s="4" t="s">
        <v>11876</v>
      </c>
      <c r="B4912" s="5" t="s">
        <v>11876</v>
      </c>
      <c r="C4912" s="5" t="s">
        <v>94</v>
      </c>
      <c r="D4912" s="5" t="s">
        <v>95</v>
      </c>
      <c r="E4912" s="5" t="s">
        <v>287</v>
      </c>
      <c r="F4912" s="9" t="s">
        <v>489</v>
      </c>
      <c r="G4912" s="9">
        <v>1004</v>
      </c>
      <c r="H4912" s="5" t="s">
        <v>21</v>
      </c>
      <c r="I4912" s="5" t="s">
        <v>11877</v>
      </c>
      <c r="J4912" s="12" t="str">
        <f>HYPERLINK("https://www.boe.es/gazeta/dias/1808/08/12/pdfs/GMD-1808-112.pdf#page=8","Abrir facsímil")</f>
        <v>Abrir facsímil</v>
      </c>
      <c r="K4912" s="15" t="s">
        <v>23</v>
      </c>
    </row>
    <row r="4913" spans="1:11" ht="42" customHeight="1">
      <c r="A4913" s="4" t="s">
        <v>11878</v>
      </c>
      <c r="B4913" s="5" t="s">
        <v>11878</v>
      </c>
      <c r="C4913" s="5" t="s">
        <v>17</v>
      </c>
      <c r="D4913" s="5" t="s">
        <v>18</v>
      </c>
      <c r="E4913" s="5" t="s">
        <v>96</v>
      </c>
      <c r="F4913" s="9" t="s">
        <v>97</v>
      </c>
      <c r="G4913" s="9">
        <v>270</v>
      </c>
      <c r="H4913" s="5" t="s">
        <v>21</v>
      </c>
      <c r="I4913" s="5" t="s">
        <v>11879</v>
      </c>
      <c r="J4913" s="12" t="str">
        <f>HYPERLINK("https://www.boe.es/gazeta/dias/1808/03/15/pdfs/GMD-1808-22.pdf#page=12","Abrir facsímil")</f>
        <v>Abrir facsímil</v>
      </c>
      <c r="K4913" s="15" t="s">
        <v>23</v>
      </c>
    </row>
    <row r="4914" spans="1:11" ht="42" customHeight="1">
      <c r="A4914" s="4" t="s">
        <v>11880</v>
      </c>
      <c r="B4914" s="5" t="s">
        <v>11880</v>
      </c>
      <c r="C4914" s="5" t="s">
        <v>41</v>
      </c>
      <c r="D4914" s="5" t="s">
        <v>42</v>
      </c>
      <c r="E4914" s="5" t="s">
        <v>478</v>
      </c>
      <c r="F4914" s="9" t="s">
        <v>479</v>
      </c>
      <c r="G4914" s="9">
        <v>245</v>
      </c>
      <c r="H4914" s="5" t="s">
        <v>21</v>
      </c>
      <c r="I4914" s="5" t="s">
        <v>11881</v>
      </c>
      <c r="J4914" s="12" t="str">
        <f>HYPERLINK("https://www.boe.es/gazeta/dias/1808/03/08/pdfs/GMD-1808-20.pdf#page=11","Abrir facsímil")</f>
        <v>Abrir facsímil</v>
      </c>
      <c r="K4914" s="15" t="s">
        <v>23</v>
      </c>
    </row>
    <row r="4915" spans="1:11" ht="42" customHeight="1">
      <c r="A4915" s="4" t="s">
        <v>11882</v>
      </c>
      <c r="B4915" s="5" t="s">
        <v>11883</v>
      </c>
      <c r="C4915" s="5" t="s">
        <v>41</v>
      </c>
      <c r="D4915" s="5" t="s">
        <v>42</v>
      </c>
      <c r="E4915" s="5" t="s">
        <v>115</v>
      </c>
      <c r="F4915" s="9" t="s">
        <v>116</v>
      </c>
      <c r="G4915" s="9" t="s">
        <v>106</v>
      </c>
      <c r="H4915" s="5" t="s">
        <v>21</v>
      </c>
      <c r="I4915" s="5" t="s">
        <v>11884</v>
      </c>
      <c r="J4915" s="12" t="str">
        <f>HYPERLINK("https://www.boe.es/gazeta/dias/1808/09/16/pdfs/GMD-C-1808-125.pdf#page=3","Abrir facsímil")</f>
        <v>Abrir facsímil</v>
      </c>
      <c r="K4915" s="15" t="s">
        <v>23</v>
      </c>
    </row>
    <row r="4916" spans="1:11" ht="42" customHeight="1">
      <c r="A4916" s="4" t="s">
        <v>11885</v>
      </c>
      <c r="B4916" s="5" t="s">
        <v>11885</v>
      </c>
      <c r="C4916" s="5" t="s">
        <v>94</v>
      </c>
      <c r="D4916" s="5" t="s">
        <v>95</v>
      </c>
      <c r="E4916" s="5" t="s">
        <v>54</v>
      </c>
      <c r="F4916" s="9" t="s">
        <v>55</v>
      </c>
      <c r="G4916" s="9">
        <v>1089</v>
      </c>
      <c r="H4916" s="5" t="s">
        <v>21</v>
      </c>
      <c r="I4916" s="5" t="s">
        <v>11886</v>
      </c>
      <c r="J4916" s="12" t="str">
        <f>HYPERLINK("https://www.boe.es/gazeta/dias/1808/08/26/pdfs/GMD-1808-117.pdf#page=11","Abrir facsímil")</f>
        <v>Abrir facsímil</v>
      </c>
      <c r="K4916" s="15" t="s">
        <v>23</v>
      </c>
    </row>
    <row r="4917" spans="1:11" ht="42" customHeight="1">
      <c r="A4917" s="4" t="s">
        <v>11887</v>
      </c>
      <c r="B4917" s="5" t="s">
        <v>11887</v>
      </c>
      <c r="C4917" s="5" t="s">
        <v>33</v>
      </c>
      <c r="D4917" s="5" t="s">
        <v>34</v>
      </c>
      <c r="E4917" s="5" t="s">
        <v>153</v>
      </c>
      <c r="F4917" s="9" t="s">
        <v>154</v>
      </c>
      <c r="G4917" s="9" t="s">
        <v>199</v>
      </c>
      <c r="H4917" s="5" t="s">
        <v>21</v>
      </c>
      <c r="I4917" s="5" t="s">
        <v>11888</v>
      </c>
      <c r="J4917" s="12" t="str">
        <f>HYPERLINK("https://www.boe.es/gazeta/dias/1808/09/09/pdfs/GMD-C-1808-121.pdf#page=2","Abrir facsímil")</f>
        <v>Abrir facsímil</v>
      </c>
      <c r="K4917" s="15" t="s">
        <v>23</v>
      </c>
    </row>
    <row r="4918" spans="1:11" ht="42" customHeight="1">
      <c r="A4918" s="4" t="s">
        <v>11889</v>
      </c>
      <c r="B4918" s="5" t="s">
        <v>11889</v>
      </c>
      <c r="C4918" s="5" t="s">
        <v>94</v>
      </c>
      <c r="D4918" s="5" t="s">
        <v>95</v>
      </c>
      <c r="E4918" s="5" t="s">
        <v>974</v>
      </c>
      <c r="F4918" s="9" t="s">
        <v>975</v>
      </c>
      <c r="G4918" s="9">
        <v>391</v>
      </c>
      <c r="H4918" s="5" t="s">
        <v>21</v>
      </c>
      <c r="I4918" s="5" t="s">
        <v>11890</v>
      </c>
      <c r="J4918" s="12" t="str">
        <f>HYPERLINK("https://www.boe.es/gazeta/dias/1808/04/19/pdfs/GMD-1808-37.pdf#page=7","Abrir facsímil")</f>
        <v>Abrir facsímil</v>
      </c>
      <c r="K4918" s="15" t="s">
        <v>23</v>
      </c>
    </row>
    <row r="4919" spans="1:11" ht="42" customHeight="1">
      <c r="A4919" s="4" t="s">
        <v>11891</v>
      </c>
      <c r="B4919" s="5" t="s">
        <v>11891</v>
      </c>
      <c r="C4919" s="5" t="s">
        <v>33</v>
      </c>
      <c r="D4919" s="5" t="s">
        <v>34</v>
      </c>
      <c r="E4919" s="5" t="s">
        <v>35</v>
      </c>
      <c r="F4919" s="9" t="s">
        <v>36</v>
      </c>
      <c r="G4919" s="9" t="s">
        <v>148</v>
      </c>
      <c r="H4919" s="5" t="s">
        <v>21</v>
      </c>
      <c r="I4919" s="5" t="s">
        <v>11892</v>
      </c>
      <c r="J4919" s="12" t="str">
        <f>HYPERLINK("https://www.boe.es/gazeta/dias/1808/04/22/pdfs/GMD-C-1808-38.pdf#page=38","Abrir facsímil")</f>
        <v>Abrir facsímil</v>
      </c>
      <c r="K4919" s="15" t="s">
        <v>23</v>
      </c>
    </row>
    <row r="4920" spans="1:11" ht="42" customHeight="1">
      <c r="A4920" s="4" t="s">
        <v>11893</v>
      </c>
      <c r="B4920" s="5" t="s">
        <v>11893</v>
      </c>
      <c r="C4920" s="5" t="s">
        <v>33</v>
      </c>
      <c r="D4920" s="5" t="s">
        <v>34</v>
      </c>
      <c r="E4920" s="5" t="s">
        <v>89</v>
      </c>
      <c r="F4920" s="9" t="s">
        <v>563</v>
      </c>
      <c r="G4920" s="9" t="s">
        <v>117</v>
      </c>
      <c r="H4920" s="5" t="s">
        <v>21</v>
      </c>
      <c r="I4920" s="5" t="s">
        <v>11894</v>
      </c>
      <c r="J4920" s="12" t="str">
        <f>HYPERLINK("https://www.boe.es/gazeta/dias/1808/10/25/pdfs/GMD-D-1808-137.pdf#page=1","Abrir facsímil")</f>
        <v>Abrir facsímil</v>
      </c>
      <c r="K4920" s="15" t="s">
        <v>23</v>
      </c>
    </row>
    <row r="4921" spans="1:11" ht="42" customHeight="1">
      <c r="A4921" s="4" t="s">
        <v>11895</v>
      </c>
      <c r="B4921" s="5" t="s">
        <v>11895</v>
      </c>
      <c r="C4921" s="5" t="s">
        <v>33</v>
      </c>
      <c r="D4921" s="5" t="s">
        <v>34</v>
      </c>
      <c r="E4921" s="5" t="s">
        <v>73</v>
      </c>
      <c r="F4921" s="9" t="s">
        <v>74</v>
      </c>
      <c r="G4921" s="9" t="s">
        <v>199</v>
      </c>
      <c r="H4921" s="5" t="s">
        <v>21</v>
      </c>
      <c r="I4921" s="5" t="s">
        <v>11896</v>
      </c>
      <c r="J4921" s="12" t="str">
        <f>HYPERLINK("https://www.boe.es/gazeta/dias/1808/11/11/pdfs/GMD-D-1808-143.pdf#page=2","Abrir facsímil")</f>
        <v>Abrir facsímil</v>
      </c>
      <c r="K4921" s="15" t="s">
        <v>23</v>
      </c>
    </row>
    <row r="4922" spans="1:11" ht="42" customHeight="1">
      <c r="A4922" s="4" t="s">
        <v>11897</v>
      </c>
      <c r="B4922" s="5" t="s">
        <v>11897</v>
      </c>
      <c r="C4922" s="5" t="s">
        <v>33</v>
      </c>
      <c r="D4922" s="5" t="s">
        <v>34</v>
      </c>
      <c r="E4922" s="5" t="s">
        <v>153</v>
      </c>
      <c r="F4922" s="9" t="s">
        <v>154</v>
      </c>
      <c r="G4922" s="9" t="s">
        <v>75</v>
      </c>
      <c r="H4922" s="5" t="s">
        <v>21</v>
      </c>
      <c r="I4922" s="5" t="s">
        <v>11898</v>
      </c>
      <c r="J4922" s="12" t="str">
        <f>HYPERLINK("https://www.boe.es/gazeta/dias/1808/09/09/pdfs/GMD-C-1808-121.pdf#page=4","Abrir facsímil")</f>
        <v>Abrir facsímil</v>
      </c>
      <c r="K4922" s="15" t="s">
        <v>23</v>
      </c>
    </row>
    <row r="4923" spans="1:11" ht="42" customHeight="1">
      <c r="A4923" s="4" t="s">
        <v>11899</v>
      </c>
      <c r="B4923" s="5" t="s">
        <v>11900</v>
      </c>
      <c r="C4923" s="5" t="s">
        <v>33</v>
      </c>
      <c r="D4923" s="5" t="s">
        <v>34</v>
      </c>
      <c r="E4923" s="5" t="s">
        <v>427</v>
      </c>
      <c r="F4923" s="9" t="s">
        <v>428</v>
      </c>
      <c r="G4923" s="9" t="s">
        <v>75</v>
      </c>
      <c r="H4923" s="5" t="s">
        <v>21</v>
      </c>
      <c r="I4923" s="5" t="s">
        <v>11901</v>
      </c>
      <c r="J4923" s="12" t="str">
        <f>HYPERLINK("https://www.boe.es/gazeta/dias/1808/11/22/pdfs/GMD-D-1808-146.pdf#page=4","Abrir facsímil")</f>
        <v>Abrir facsímil</v>
      </c>
      <c r="K4923" s="15" t="s">
        <v>23</v>
      </c>
    </row>
    <row r="4924" spans="1:11" ht="42" customHeight="1">
      <c r="A4924" s="4" t="s">
        <v>11902</v>
      </c>
      <c r="B4924" s="5" t="s">
        <v>11903</v>
      </c>
      <c r="C4924" s="5" t="s">
        <v>33</v>
      </c>
      <c r="D4924" s="5" t="s">
        <v>34</v>
      </c>
      <c r="E4924" s="5" t="s">
        <v>391</v>
      </c>
      <c r="F4924" s="9" t="s">
        <v>588</v>
      </c>
      <c r="G4924" s="9" t="s">
        <v>106</v>
      </c>
      <c r="H4924" s="5" t="s">
        <v>21</v>
      </c>
      <c r="I4924" s="5" t="s">
        <v>11904</v>
      </c>
      <c r="J4924" s="12" t="str">
        <f>HYPERLINK("https://www.boe.es/gazeta/dias/1808/09/27/pdfs/GMD-C-1808-128.pdf#page=3","Abrir facsímil")</f>
        <v>Abrir facsímil</v>
      </c>
      <c r="K4924" s="15" t="s">
        <v>23</v>
      </c>
    </row>
    <row r="4925" spans="1:11" ht="42" customHeight="1">
      <c r="A4925" s="4" t="s">
        <v>11905</v>
      </c>
      <c r="B4925" s="5" t="s">
        <v>11905</v>
      </c>
      <c r="C4925" s="5" t="s">
        <v>17</v>
      </c>
      <c r="D4925" s="5" t="s">
        <v>18</v>
      </c>
      <c r="E4925" s="5" t="s">
        <v>493</v>
      </c>
      <c r="F4925" s="9" t="s">
        <v>494</v>
      </c>
      <c r="G4925" s="9">
        <v>45</v>
      </c>
      <c r="H4925" s="5" t="s">
        <v>21</v>
      </c>
      <c r="I4925" s="5" t="s">
        <v>11906</v>
      </c>
      <c r="J4925" s="12" t="str">
        <f>HYPERLINK("https://www.boe.es/gazeta/dias/1808/01/12/pdfs/GMD-1808-4.pdf#page=9","Abrir facsímil")</f>
        <v>Abrir facsímil</v>
      </c>
      <c r="K4925" s="15" t="s">
        <v>23</v>
      </c>
    </row>
    <row r="4926" spans="1:11" ht="42" customHeight="1">
      <c r="A4926" s="4" t="s">
        <v>11907</v>
      </c>
      <c r="B4926" s="5" t="s">
        <v>11907</v>
      </c>
      <c r="C4926" s="5" t="s">
        <v>17</v>
      </c>
      <c r="D4926" s="5" t="s">
        <v>18</v>
      </c>
      <c r="E4926" s="5" t="s">
        <v>110</v>
      </c>
      <c r="F4926" s="9" t="s">
        <v>111</v>
      </c>
      <c r="G4926" s="9">
        <v>1383</v>
      </c>
      <c r="H4926" s="5" t="s">
        <v>21</v>
      </c>
      <c r="I4926" s="5" t="s">
        <v>11908</v>
      </c>
      <c r="J4926" s="12" t="str">
        <f>HYPERLINK("https://www.boe.es/gazeta/dias/1808/10/28/pdfs/GMD-1808-138.pdf#page=9","Abrir facsímil")</f>
        <v>Abrir facsímil</v>
      </c>
      <c r="K4926" s="15" t="s">
        <v>23</v>
      </c>
    </row>
    <row r="4927" spans="1:11" ht="42" customHeight="1">
      <c r="A4927" s="4" t="s">
        <v>11909</v>
      </c>
      <c r="B4927" s="5" t="s">
        <v>11909</v>
      </c>
      <c r="C4927" s="5" t="s">
        <v>17</v>
      </c>
      <c r="D4927" s="5" t="s">
        <v>18</v>
      </c>
      <c r="E4927" s="5" t="s">
        <v>287</v>
      </c>
      <c r="F4927" s="9" t="s">
        <v>489</v>
      </c>
      <c r="G4927" s="9">
        <v>1002</v>
      </c>
      <c r="H4927" s="5" t="s">
        <v>21</v>
      </c>
      <c r="I4927" s="5" t="s">
        <v>11910</v>
      </c>
      <c r="J4927" s="12" t="str">
        <f>HYPERLINK("https://www.boe.es/gazeta/dias/1808/08/12/pdfs/GMD-1808-112.pdf#page=6","Abrir facsímil")</f>
        <v>Abrir facsímil</v>
      </c>
      <c r="K4927" s="15" t="s">
        <v>23</v>
      </c>
    </row>
    <row r="4928" spans="1:11" ht="42" customHeight="1">
      <c r="A4928" s="4" t="s">
        <v>11911</v>
      </c>
      <c r="B4928" s="5" t="s">
        <v>11911</v>
      </c>
      <c r="C4928" s="5" t="s">
        <v>17</v>
      </c>
      <c r="D4928" s="5" t="s">
        <v>18</v>
      </c>
      <c r="E4928" s="5" t="s">
        <v>363</v>
      </c>
      <c r="F4928" s="9" t="s">
        <v>1224</v>
      </c>
      <c r="G4928" s="9">
        <v>1188</v>
      </c>
      <c r="H4928" s="5" t="s">
        <v>21</v>
      </c>
      <c r="I4928" s="5" t="s">
        <v>11912</v>
      </c>
      <c r="J4928" s="12" t="str">
        <f>HYPERLINK("https://www.boe.es/gazeta/dias/1808/09/20/pdfs/GMD-1808-126.pdf#page=8","Abrir facsímil")</f>
        <v>Abrir facsímil</v>
      </c>
      <c r="K4928" s="15" t="s">
        <v>23</v>
      </c>
    </row>
    <row r="4929" spans="1:11" ht="42" customHeight="1">
      <c r="A4929" s="4" t="s">
        <v>11911</v>
      </c>
      <c r="B4929" s="5" t="s">
        <v>11911</v>
      </c>
      <c r="C4929" s="5" t="s">
        <v>94</v>
      </c>
      <c r="D4929" s="5" t="s">
        <v>95</v>
      </c>
      <c r="E4929" s="5" t="s">
        <v>363</v>
      </c>
      <c r="F4929" s="9" t="s">
        <v>1224</v>
      </c>
      <c r="G4929" s="9">
        <v>1189</v>
      </c>
      <c r="H4929" s="5" t="s">
        <v>21</v>
      </c>
      <c r="I4929" s="5" t="s">
        <v>11913</v>
      </c>
      <c r="J4929" s="12" t="str">
        <f>HYPERLINK("https://www.boe.es/gazeta/dias/1808/09/20/pdfs/GMD-1808-126.pdf#page=9","Abrir facsímil")</f>
        <v>Abrir facsímil</v>
      </c>
      <c r="K4929" s="15" t="s">
        <v>23</v>
      </c>
    </row>
    <row r="4930" spans="1:11" ht="42" customHeight="1">
      <c r="A4930" s="4" t="s">
        <v>11911</v>
      </c>
      <c r="B4930" s="5" t="s">
        <v>11911</v>
      </c>
      <c r="C4930" s="5" t="s">
        <v>41</v>
      </c>
      <c r="D4930" s="5" t="s">
        <v>42</v>
      </c>
      <c r="E4930" s="5" t="s">
        <v>110</v>
      </c>
      <c r="F4930" s="9" t="s">
        <v>828</v>
      </c>
      <c r="G4930" s="9" t="s">
        <v>106</v>
      </c>
      <c r="H4930" s="5" t="s">
        <v>21</v>
      </c>
      <c r="I4930" s="5" t="s">
        <v>11914</v>
      </c>
      <c r="J4930" s="12" t="str">
        <f>HYPERLINK("https://www.boe.es/gazeta/dias/1808/10/28/pdfs/GMD-D-1808-138.pdf#page=3","Abrir facsímil")</f>
        <v>Abrir facsímil</v>
      </c>
      <c r="K4930" s="15" t="s">
        <v>23</v>
      </c>
    </row>
    <row r="4931" spans="1:11" ht="42" customHeight="1">
      <c r="A4931" s="4" t="s">
        <v>11915</v>
      </c>
      <c r="B4931" s="5" t="s">
        <v>11915</v>
      </c>
      <c r="C4931" s="5" t="s">
        <v>17</v>
      </c>
      <c r="D4931" s="5" t="s">
        <v>18</v>
      </c>
      <c r="E4931" s="5" t="s">
        <v>478</v>
      </c>
      <c r="F4931" s="9" t="s">
        <v>479</v>
      </c>
      <c r="G4931" s="9">
        <v>244</v>
      </c>
      <c r="H4931" s="5" t="s">
        <v>21</v>
      </c>
      <c r="I4931" s="5" t="s">
        <v>11916</v>
      </c>
      <c r="J4931" s="12" t="str">
        <f>HYPERLINK("https://www.boe.es/gazeta/dias/1808/03/08/pdfs/GMD-1808-20.pdf#page=10","Abrir facsímil")</f>
        <v>Abrir facsímil</v>
      </c>
      <c r="K4931" s="15" t="s">
        <v>23</v>
      </c>
    </row>
    <row r="4932" spans="1:11" ht="42" customHeight="1">
      <c r="A4932" s="4" t="s">
        <v>11917</v>
      </c>
      <c r="B4932" s="5" t="s">
        <v>11917</v>
      </c>
      <c r="C4932" s="5" t="s">
        <v>33</v>
      </c>
      <c r="D4932" s="5" t="s">
        <v>34</v>
      </c>
      <c r="E4932" s="5" t="s">
        <v>115</v>
      </c>
      <c r="F4932" s="9" t="s">
        <v>116</v>
      </c>
      <c r="G4932" s="9" t="s">
        <v>199</v>
      </c>
      <c r="H4932" s="5" t="s">
        <v>21</v>
      </c>
      <c r="I4932" s="5" t="s">
        <v>11918</v>
      </c>
      <c r="J4932" s="12" t="str">
        <f>HYPERLINK("https://www.boe.es/gazeta/dias/1808/09/16/pdfs/GMD-C-1808-125.pdf#page=2","Abrir facsímil")</f>
        <v>Abrir facsímil</v>
      </c>
      <c r="K4932" s="15" t="s">
        <v>23</v>
      </c>
    </row>
    <row r="4933" spans="1:11" ht="42" customHeight="1">
      <c r="A4933" s="4" t="s">
        <v>11919</v>
      </c>
      <c r="B4933" s="5" t="s">
        <v>11919</v>
      </c>
      <c r="C4933" s="5" t="s">
        <v>41</v>
      </c>
      <c r="D4933" s="5" t="s">
        <v>42</v>
      </c>
      <c r="E4933" s="5" t="s">
        <v>35</v>
      </c>
      <c r="F4933" s="9" t="s">
        <v>36</v>
      </c>
      <c r="G4933" s="9" t="s">
        <v>795</v>
      </c>
      <c r="H4933" s="5" t="s">
        <v>21</v>
      </c>
      <c r="I4933" s="5" t="s">
        <v>11920</v>
      </c>
      <c r="J4933" s="12" t="str">
        <f>HYPERLINK("https://www.boe.es/gazeta/dias/1808/04/22/pdfs/GMD-C-1808-38.pdf#page=21","Abrir facsímil")</f>
        <v>Abrir facsímil</v>
      </c>
      <c r="K4933" s="15" t="s">
        <v>23</v>
      </c>
    </row>
    <row r="4934" spans="1:11" ht="42" customHeight="1">
      <c r="A4934" s="4" t="s">
        <v>11921</v>
      </c>
      <c r="B4934" s="5" t="s">
        <v>11921</v>
      </c>
      <c r="C4934" s="5" t="s">
        <v>17</v>
      </c>
      <c r="D4934" s="5" t="s">
        <v>18</v>
      </c>
      <c r="E4934" s="5" t="s">
        <v>65</v>
      </c>
      <c r="F4934" s="9" t="s">
        <v>66</v>
      </c>
      <c r="G4934" s="9">
        <v>1310</v>
      </c>
      <c r="H4934" s="5" t="s">
        <v>21</v>
      </c>
      <c r="I4934" s="5" t="s">
        <v>11922</v>
      </c>
      <c r="J4934" s="12" t="str">
        <f>HYPERLINK("https://www.boe.es/gazeta/dias/1808/10/18/pdfs/GMD-1808-135.pdf#page=10","Abrir facsímil")</f>
        <v>Abrir facsímil</v>
      </c>
      <c r="K4934" s="15" t="s">
        <v>23</v>
      </c>
    </row>
    <row r="4935" spans="1:11" ht="42" customHeight="1">
      <c r="A4935" s="4" t="s">
        <v>11923</v>
      </c>
      <c r="B4935" s="5" t="s">
        <v>11924</v>
      </c>
      <c r="C4935" s="5" t="s">
        <v>33</v>
      </c>
      <c r="D4935" s="5" t="s">
        <v>34</v>
      </c>
      <c r="E4935" s="5" t="s">
        <v>115</v>
      </c>
      <c r="F4935" s="9" t="s">
        <v>116</v>
      </c>
      <c r="G4935" s="9" t="s">
        <v>117</v>
      </c>
      <c r="H4935" s="5" t="s">
        <v>21</v>
      </c>
      <c r="I4935" s="5" t="s">
        <v>11925</v>
      </c>
      <c r="J4935" s="12" t="str">
        <f>HYPERLINK("https://www.boe.es/gazeta/dias/1808/09/16/pdfs/GMD-C-1808-125.pdf#page=1","Abrir facsímil")</f>
        <v>Abrir facsímil</v>
      </c>
      <c r="K4935" s="15" t="s">
        <v>23</v>
      </c>
    </row>
    <row r="4936" spans="1:11" ht="42" customHeight="1">
      <c r="A4936" s="4" t="s">
        <v>11926</v>
      </c>
      <c r="B4936" s="5" t="s">
        <v>11926</v>
      </c>
      <c r="C4936" s="5" t="s">
        <v>41</v>
      </c>
      <c r="D4936" s="5" t="s">
        <v>42</v>
      </c>
      <c r="E4936" s="5" t="s">
        <v>35</v>
      </c>
      <c r="F4936" s="9" t="s">
        <v>36</v>
      </c>
      <c r="G4936" s="9" t="s">
        <v>1075</v>
      </c>
      <c r="H4936" s="5" t="s">
        <v>21</v>
      </c>
      <c r="I4936" s="5" t="s">
        <v>11927</v>
      </c>
      <c r="J4936" s="12" t="str">
        <f>HYPERLINK("https://www.boe.es/gazeta/dias/1808/04/22/pdfs/GMD-C-1808-38.pdf#page=32","Abrir facsímil")</f>
        <v>Abrir facsímil</v>
      </c>
      <c r="K4936" s="15" t="s">
        <v>23</v>
      </c>
    </row>
    <row r="4937" spans="1:11" ht="42" customHeight="1">
      <c r="A4937" s="4" t="s">
        <v>11928</v>
      </c>
      <c r="B4937" s="5" t="s">
        <v>11928</v>
      </c>
      <c r="C4937" s="5" t="s">
        <v>41</v>
      </c>
      <c r="D4937" s="5" t="s">
        <v>42</v>
      </c>
      <c r="E4937" s="5" t="s">
        <v>28</v>
      </c>
      <c r="F4937" s="9" t="s">
        <v>446</v>
      </c>
      <c r="G4937" s="9" t="s">
        <v>75</v>
      </c>
      <c r="H4937" s="5" t="s">
        <v>21</v>
      </c>
      <c r="I4937" s="5" t="s">
        <v>11929</v>
      </c>
      <c r="J4937" s="12" t="str">
        <f>HYPERLINK("https://www.boe.es/gazeta/dias/1808/11/04/pdfs/GMD-D-1808-141.pdf#page=4","Abrir facsímil")</f>
        <v>Abrir facsímil</v>
      </c>
      <c r="K4937" s="15" t="s">
        <v>23</v>
      </c>
    </row>
    <row r="4938" spans="1:11" ht="42" customHeight="1">
      <c r="A4938" s="4" t="s">
        <v>11928</v>
      </c>
      <c r="B4938" s="5" t="s">
        <v>11928</v>
      </c>
      <c r="C4938" s="5" t="s">
        <v>33</v>
      </c>
      <c r="D4938" s="5" t="s">
        <v>34</v>
      </c>
      <c r="E4938" s="5" t="s">
        <v>427</v>
      </c>
      <c r="F4938" s="9" t="s">
        <v>428</v>
      </c>
      <c r="G4938" s="9" t="s">
        <v>106</v>
      </c>
      <c r="H4938" s="5" t="s">
        <v>21</v>
      </c>
      <c r="I4938" s="5" t="s">
        <v>11930</v>
      </c>
      <c r="J4938" s="12" t="str">
        <f>HYPERLINK("https://www.boe.es/gazeta/dias/1808/11/22/pdfs/GMD-D-1808-146.pdf#page=3","Abrir facsímil")</f>
        <v>Abrir facsímil</v>
      </c>
      <c r="K4938" s="15" t="s">
        <v>23</v>
      </c>
    </row>
    <row r="4939" spans="1:11" ht="42" customHeight="1">
      <c r="A4939" s="4" t="s">
        <v>11931</v>
      </c>
      <c r="B4939" s="5" t="s">
        <v>11931</v>
      </c>
      <c r="C4939" s="5" t="s">
        <v>17</v>
      </c>
      <c r="D4939" s="5" t="s">
        <v>18</v>
      </c>
      <c r="E4939" s="5" t="s">
        <v>51</v>
      </c>
      <c r="F4939" s="9" t="s">
        <v>52</v>
      </c>
      <c r="G4939" s="9">
        <v>991</v>
      </c>
      <c r="H4939" s="5" t="s">
        <v>21</v>
      </c>
      <c r="I4939" s="5" t="s">
        <v>11932</v>
      </c>
      <c r="J4939" s="12" t="str">
        <f>HYPERLINK("https://www.boe.es/gazeta/dias/1808/08/09/pdfs/GMD-1808-111.pdf#page=7","Abrir facsímil")</f>
        <v>Abrir facsímil</v>
      </c>
      <c r="K4939" s="15" t="s">
        <v>23</v>
      </c>
    </row>
    <row r="4940" spans="1:11" ht="42" customHeight="1">
      <c r="A4940" s="4" t="s">
        <v>11931</v>
      </c>
      <c r="B4940" s="5" t="s">
        <v>11931</v>
      </c>
      <c r="C4940" s="5" t="s">
        <v>94</v>
      </c>
      <c r="D4940" s="5" t="s">
        <v>95</v>
      </c>
      <c r="E4940" s="5" t="s">
        <v>290</v>
      </c>
      <c r="F4940" s="9" t="s">
        <v>3150</v>
      </c>
      <c r="G4940" s="9">
        <v>198</v>
      </c>
      <c r="H4940" s="5" t="s">
        <v>21</v>
      </c>
      <c r="I4940" s="5" t="s">
        <v>11933</v>
      </c>
      <c r="J4940" s="12" t="str">
        <f>HYPERLINK("https://www.boe.es/gazeta/dias/1808/08/23/pdfs/GMS-1808-25.pdf#page=6","Abrir facsímil")</f>
        <v>Abrir facsímil</v>
      </c>
      <c r="K4940" s="15" t="s">
        <v>23</v>
      </c>
    </row>
    <row r="4941" spans="1:11" ht="42" customHeight="1">
      <c r="A4941" s="4" t="s">
        <v>11931</v>
      </c>
      <c r="B4941" s="5" t="s">
        <v>11931</v>
      </c>
      <c r="C4941" s="5" t="s">
        <v>94</v>
      </c>
      <c r="D4941" s="5" t="s">
        <v>95</v>
      </c>
      <c r="E4941" s="5" t="s">
        <v>54</v>
      </c>
      <c r="F4941" s="9" t="s">
        <v>55</v>
      </c>
      <c r="G4941" s="9">
        <v>1083</v>
      </c>
      <c r="H4941" s="5" t="s">
        <v>21</v>
      </c>
      <c r="I4941" s="5" t="s">
        <v>11934</v>
      </c>
      <c r="J4941" s="12" t="str">
        <f>HYPERLINK("https://www.boe.es/gazeta/dias/1808/08/26/pdfs/GMD-1808-117.pdf#page=5","Abrir facsímil")</f>
        <v>Abrir facsímil</v>
      </c>
      <c r="K4941" s="15" t="s">
        <v>23</v>
      </c>
    </row>
    <row r="4942" spans="1:11" ht="42" customHeight="1">
      <c r="A4942" s="4" t="s">
        <v>11935</v>
      </c>
      <c r="B4942" s="5" t="s">
        <v>11935</v>
      </c>
      <c r="C4942" s="5" t="s">
        <v>41</v>
      </c>
      <c r="D4942" s="5" t="s">
        <v>42</v>
      </c>
      <c r="E4942" s="5" t="s">
        <v>73</v>
      </c>
      <c r="F4942" s="9" t="s">
        <v>74</v>
      </c>
      <c r="G4942" s="9" t="s">
        <v>199</v>
      </c>
      <c r="H4942" s="5" t="s">
        <v>21</v>
      </c>
      <c r="I4942" s="5" t="s">
        <v>11936</v>
      </c>
      <c r="J4942" s="12" t="str">
        <f>HYPERLINK("https://www.boe.es/gazeta/dias/1808/11/11/pdfs/GMD-D-1808-143.pdf#page=2","Abrir facsímil")</f>
        <v>Abrir facsímil</v>
      </c>
      <c r="K4942" s="15" t="s">
        <v>23</v>
      </c>
    </row>
    <row r="4943" spans="1:11" ht="42" customHeight="1">
      <c r="A4943" s="4" t="s">
        <v>11937</v>
      </c>
      <c r="B4943" s="5" t="s">
        <v>11937</v>
      </c>
      <c r="C4943" s="5" t="s">
        <v>33</v>
      </c>
      <c r="D4943" s="5" t="s">
        <v>34</v>
      </c>
      <c r="E4943" s="5" t="s">
        <v>391</v>
      </c>
      <c r="F4943" s="9" t="s">
        <v>588</v>
      </c>
      <c r="G4943" s="9" t="s">
        <v>199</v>
      </c>
      <c r="H4943" s="5" t="s">
        <v>21</v>
      </c>
      <c r="I4943" s="5" t="s">
        <v>11938</v>
      </c>
      <c r="J4943" s="12" t="str">
        <f>HYPERLINK("https://www.boe.es/gazeta/dias/1808/09/27/pdfs/GMD-C-1808-128.pdf#page=2","Abrir facsímil")</f>
        <v>Abrir facsímil</v>
      </c>
      <c r="K4943" s="15" t="s">
        <v>23</v>
      </c>
    </row>
    <row r="4944" spans="1:11" ht="42" customHeight="1">
      <c r="A4944" s="4" t="s">
        <v>11939</v>
      </c>
      <c r="B4944" s="5" t="s">
        <v>11940</v>
      </c>
      <c r="C4944" s="5" t="s">
        <v>33</v>
      </c>
      <c r="D4944" s="5" t="s">
        <v>34</v>
      </c>
      <c r="E4944" s="5" t="s">
        <v>35</v>
      </c>
      <c r="F4944" s="9" t="s">
        <v>36</v>
      </c>
      <c r="G4944" s="9" t="s">
        <v>144</v>
      </c>
      <c r="H4944" s="5" t="s">
        <v>21</v>
      </c>
      <c r="I4944" s="5" t="s">
        <v>11941</v>
      </c>
      <c r="J4944" s="12" t="str">
        <f>HYPERLINK("https://www.boe.es/gazeta/dias/1808/04/22/pdfs/GMD-C-1808-38.pdf#page=40","Abrir facsímil")</f>
        <v>Abrir facsímil</v>
      </c>
      <c r="K4944" s="15" t="s">
        <v>23</v>
      </c>
    </row>
    <row r="4945" spans="1:11" ht="42" customHeight="1">
      <c r="A4945" s="4" t="s">
        <v>11942</v>
      </c>
      <c r="B4945" s="5" t="s">
        <v>11942</v>
      </c>
      <c r="C4945" s="5" t="s">
        <v>94</v>
      </c>
      <c r="D4945" s="5" t="s">
        <v>95</v>
      </c>
      <c r="E4945" s="5" t="s">
        <v>51</v>
      </c>
      <c r="F4945" s="9" t="s">
        <v>52</v>
      </c>
      <c r="G4945" s="9">
        <v>990</v>
      </c>
      <c r="H4945" s="5" t="s">
        <v>21</v>
      </c>
      <c r="I4945" s="5" t="s">
        <v>11943</v>
      </c>
      <c r="J4945" s="12" t="str">
        <f>HYPERLINK("https://www.boe.es/gazeta/dias/1808/08/09/pdfs/GMD-1808-111.pdf#page=6","Abrir facsímil")</f>
        <v>Abrir facsímil</v>
      </c>
      <c r="K4945" s="15" t="s">
        <v>23</v>
      </c>
    </row>
    <row r="4946" spans="1:11" ht="42" customHeight="1">
      <c r="A4946" s="4" t="s">
        <v>11944</v>
      </c>
      <c r="B4946" s="5" t="s">
        <v>11944</v>
      </c>
      <c r="C4946" s="5" t="s">
        <v>94</v>
      </c>
      <c r="D4946" s="5" t="s">
        <v>95</v>
      </c>
      <c r="E4946" s="5" t="s">
        <v>68</v>
      </c>
      <c r="F4946" s="9" t="s">
        <v>849</v>
      </c>
      <c r="G4946" s="9">
        <v>1348</v>
      </c>
      <c r="H4946" s="5" t="s">
        <v>21</v>
      </c>
      <c r="I4946" s="5" t="s">
        <v>11945</v>
      </c>
      <c r="J4946" s="12" t="str">
        <f>HYPERLINK("https://www.boe.es/gazeta/dias/1808/10/21/pdfs/GMD-C-1808-136.pdf#page=8","Abrir facsímil")</f>
        <v>Abrir facsímil</v>
      </c>
      <c r="K4946" s="15" t="s">
        <v>23</v>
      </c>
    </row>
    <row r="4947" spans="1:11" ht="42" customHeight="1">
      <c r="A4947" s="4" t="s">
        <v>11946</v>
      </c>
      <c r="B4947" s="5" t="s">
        <v>11946</v>
      </c>
      <c r="C4947" s="5" t="s">
        <v>17</v>
      </c>
      <c r="D4947" s="5" t="s">
        <v>18</v>
      </c>
      <c r="E4947" s="5" t="s">
        <v>264</v>
      </c>
      <c r="F4947" s="9" t="s">
        <v>2256</v>
      </c>
      <c r="G4947" s="9">
        <v>1561</v>
      </c>
      <c r="H4947" s="5" t="s">
        <v>21</v>
      </c>
      <c r="I4947" s="5" t="s">
        <v>11947</v>
      </c>
      <c r="J4947" s="12" t="str">
        <f>HYPERLINK("https://www.boe.es/gazeta/dias/1808/11/29/pdfs/GMD-1808-148.pdf#page=7","Abrir facsímil")</f>
        <v>Abrir facsímil</v>
      </c>
      <c r="K4947" s="15" t="s">
        <v>23</v>
      </c>
    </row>
    <row r="4948" spans="1:11" ht="42" customHeight="1">
      <c r="A4948" s="4" t="s">
        <v>11948</v>
      </c>
      <c r="B4948" s="5" t="s">
        <v>11949</v>
      </c>
      <c r="C4948" s="5" t="s">
        <v>33</v>
      </c>
      <c r="D4948" s="5" t="s">
        <v>34</v>
      </c>
      <c r="E4948" s="5" t="s">
        <v>558</v>
      </c>
      <c r="F4948" s="9" t="s">
        <v>1495</v>
      </c>
      <c r="G4948" s="9">
        <v>1551</v>
      </c>
      <c r="H4948" s="5" t="s">
        <v>21</v>
      </c>
      <c r="I4948" s="5" t="s">
        <v>11950</v>
      </c>
      <c r="J4948" s="12" t="str">
        <f>HYPERLINK("https://www.boe.es/gazeta/dias/1808/11/25/pdfs/GMD-D-1808-147.pdf#page=1","Abrir facsímil")</f>
        <v>Abrir facsímil</v>
      </c>
      <c r="K4948" s="15" t="s">
        <v>23</v>
      </c>
    </row>
    <row r="4949" spans="1:11" ht="42" customHeight="1">
      <c r="A4949" s="4" t="s">
        <v>11948</v>
      </c>
      <c r="B4949" s="5" t="s">
        <v>11949</v>
      </c>
      <c r="C4949" s="5" t="s">
        <v>642</v>
      </c>
      <c r="D4949" s="5" t="s">
        <v>643</v>
      </c>
      <c r="E4949" s="5" t="s">
        <v>4337</v>
      </c>
      <c r="F4949" s="9" t="s">
        <v>4338</v>
      </c>
      <c r="G4949" s="9">
        <v>1569</v>
      </c>
      <c r="H4949" s="5" t="s">
        <v>21</v>
      </c>
      <c r="I4949" s="5" t="s">
        <v>11951</v>
      </c>
      <c r="J4949" s="12" t="str">
        <f>HYPERLINK("https://www.boe.es/gazeta/dias/1808/11/30/pdfs/GMD-1808-149E.pdf#page=3","Abrir facsímil")</f>
        <v>Abrir facsímil</v>
      </c>
      <c r="K4949" s="15" t="s">
        <v>23</v>
      </c>
    </row>
    <row r="4950" spans="1:11" ht="42" customHeight="1">
      <c r="A4950" s="4" t="s">
        <v>11948</v>
      </c>
      <c r="B4950" s="5" t="s">
        <v>11949</v>
      </c>
      <c r="C4950" s="5" t="s">
        <v>94</v>
      </c>
      <c r="D4950" s="5" t="s">
        <v>95</v>
      </c>
      <c r="E4950" s="5" t="s">
        <v>4337</v>
      </c>
      <c r="F4950" s="9" t="s">
        <v>4338</v>
      </c>
      <c r="G4950" s="9">
        <v>1570</v>
      </c>
      <c r="H4950" s="5" t="s">
        <v>21</v>
      </c>
      <c r="I4950" s="5" t="s">
        <v>11952</v>
      </c>
      <c r="J4950" s="12" t="str">
        <f>HYPERLINK("https://www.boe.es/gazeta/dias/1808/11/30/pdfs/GMD-1808-149E.pdf#page=4","Abrir facsímil")</f>
        <v>Abrir facsímil</v>
      </c>
      <c r="K4950" s="15" t="s">
        <v>23</v>
      </c>
    </row>
    <row r="4951" spans="1:11" ht="42" customHeight="1">
      <c r="A4951" s="4" t="s">
        <v>11953</v>
      </c>
      <c r="B4951" s="5" t="s">
        <v>11953</v>
      </c>
      <c r="C4951" s="5" t="s">
        <v>41</v>
      </c>
      <c r="D4951" s="5" t="s">
        <v>42</v>
      </c>
      <c r="E4951" s="5" t="s">
        <v>684</v>
      </c>
      <c r="F4951" s="9" t="s">
        <v>685</v>
      </c>
      <c r="G4951" s="9">
        <v>382</v>
      </c>
      <c r="H4951" s="5" t="s">
        <v>21</v>
      </c>
      <c r="I4951" s="5" t="s">
        <v>11954</v>
      </c>
      <c r="J4951" s="12" t="str">
        <f>HYPERLINK("https://www.boe.es/gazeta/dias/1808/04/15/pdfs/GMD-1808-35.pdf#page=8","Abrir facsímil")</f>
        <v>Abrir facsímil</v>
      </c>
      <c r="K4951" s="15" t="s">
        <v>23</v>
      </c>
    </row>
    <row r="4952" spans="1:11" ht="42" customHeight="1">
      <c r="A4952" s="4" t="s">
        <v>11955</v>
      </c>
      <c r="B4952" s="5" t="s">
        <v>11955</v>
      </c>
      <c r="C4952" s="5" t="s">
        <v>17</v>
      </c>
      <c r="D4952" s="5" t="s">
        <v>18</v>
      </c>
      <c r="E4952" s="5" t="s">
        <v>456</v>
      </c>
      <c r="F4952" s="9" t="s">
        <v>457</v>
      </c>
      <c r="G4952" s="9">
        <v>1299</v>
      </c>
      <c r="H4952" s="5" t="s">
        <v>21</v>
      </c>
      <c r="I4952" s="5" t="s">
        <v>11956</v>
      </c>
      <c r="J4952" s="12" t="str">
        <f>HYPERLINK("https://www.boe.es/gazeta/dias/1808/10/14/pdfs/GMD-1808-134.pdf#page=11","Abrir facsímil")</f>
        <v>Abrir facsímil</v>
      </c>
      <c r="K4952" s="15" t="s">
        <v>23</v>
      </c>
    </row>
    <row r="4953" spans="1:11" ht="42" customHeight="1">
      <c r="A4953" s="4" t="s">
        <v>11957</v>
      </c>
      <c r="B4953" s="5" t="s">
        <v>11957</v>
      </c>
      <c r="C4953" s="5" t="s">
        <v>33</v>
      </c>
      <c r="D4953" s="5" t="s">
        <v>34</v>
      </c>
      <c r="E4953" s="5" t="s">
        <v>35</v>
      </c>
      <c r="F4953" s="9" t="s">
        <v>36</v>
      </c>
      <c r="G4953" s="9" t="s">
        <v>867</v>
      </c>
      <c r="H4953" s="5" t="s">
        <v>21</v>
      </c>
      <c r="I4953" s="5" t="s">
        <v>11958</v>
      </c>
      <c r="J4953" s="12" t="str">
        <f>HYPERLINK("https://www.boe.es/gazeta/dias/1808/04/22/pdfs/GMD-C-1808-38.pdf#page=19","Abrir facsímil")</f>
        <v>Abrir facsímil</v>
      </c>
      <c r="K4953" s="15" t="s">
        <v>23</v>
      </c>
    </row>
    <row r="4954" spans="1:11" ht="42" customHeight="1">
      <c r="A4954" s="4" t="s">
        <v>11959</v>
      </c>
      <c r="B4954" s="5" t="s">
        <v>11959</v>
      </c>
      <c r="C4954" s="5" t="s">
        <v>33</v>
      </c>
      <c r="D4954" s="5" t="s">
        <v>34</v>
      </c>
      <c r="E4954" s="5" t="s">
        <v>35</v>
      </c>
      <c r="F4954" s="9" t="s">
        <v>36</v>
      </c>
      <c r="G4954" s="9" t="s">
        <v>322</v>
      </c>
      <c r="H4954" s="5" t="s">
        <v>21</v>
      </c>
      <c r="I4954" s="5" t="s">
        <v>11960</v>
      </c>
      <c r="J4954" s="12" t="str">
        <f>HYPERLINK("https://www.boe.es/gazeta/dias/1808/04/22/pdfs/GMD-C-1808-38.pdf#page=15","Abrir facsímil")</f>
        <v>Abrir facsímil</v>
      </c>
      <c r="K4954" s="15" t="s">
        <v>23</v>
      </c>
    </row>
    <row r="4955" spans="1:11" ht="42" customHeight="1">
      <c r="A4955" s="4" t="s">
        <v>11961</v>
      </c>
      <c r="B4955" s="5" t="s">
        <v>11961</v>
      </c>
      <c r="C4955" s="5" t="s">
        <v>17</v>
      </c>
      <c r="D4955" s="5" t="s">
        <v>18</v>
      </c>
      <c r="E4955" s="5" t="s">
        <v>110</v>
      </c>
      <c r="F4955" s="9" t="s">
        <v>111</v>
      </c>
      <c r="G4955" s="9">
        <v>1385</v>
      </c>
      <c r="H4955" s="5" t="s">
        <v>21</v>
      </c>
      <c r="I4955" s="5" t="s">
        <v>11962</v>
      </c>
      <c r="J4955" s="12" t="str">
        <f>HYPERLINK("https://www.boe.es/gazeta/dias/1808/10/28/pdfs/GMD-1808-138.pdf#page=11","Abrir facsímil")</f>
        <v>Abrir facsímil</v>
      </c>
      <c r="K4955" s="15" t="s">
        <v>23</v>
      </c>
    </row>
    <row r="4956" spans="1:11" ht="42" customHeight="1">
      <c r="A4956" s="4" t="s">
        <v>11963</v>
      </c>
      <c r="B4956" s="5" t="s">
        <v>11963</v>
      </c>
      <c r="C4956" s="5" t="s">
        <v>41</v>
      </c>
      <c r="D4956" s="5" t="s">
        <v>42</v>
      </c>
      <c r="E4956" s="5" t="s">
        <v>28</v>
      </c>
      <c r="F4956" s="9" t="s">
        <v>446</v>
      </c>
      <c r="G4956" s="9" t="s">
        <v>75</v>
      </c>
      <c r="H4956" s="5" t="s">
        <v>21</v>
      </c>
      <c r="I4956" s="5" t="s">
        <v>11964</v>
      </c>
      <c r="J4956" s="12" t="str">
        <f>HYPERLINK("https://www.boe.es/gazeta/dias/1808/11/04/pdfs/GMD-D-1808-141.pdf#page=4","Abrir facsímil")</f>
        <v>Abrir facsímil</v>
      </c>
      <c r="K4956" s="15" t="s">
        <v>23</v>
      </c>
    </row>
    <row r="4957" spans="1:11" ht="42" customHeight="1">
      <c r="A4957" s="4" t="s">
        <v>11965</v>
      </c>
      <c r="B4957" s="5" t="s">
        <v>11965</v>
      </c>
      <c r="C4957" s="5" t="s">
        <v>41</v>
      </c>
      <c r="D4957" s="5" t="s">
        <v>42</v>
      </c>
      <c r="E4957" s="5" t="s">
        <v>35</v>
      </c>
      <c r="F4957" s="9" t="s">
        <v>36</v>
      </c>
      <c r="G4957" s="9" t="s">
        <v>837</v>
      </c>
      <c r="H4957" s="5" t="s">
        <v>21</v>
      </c>
      <c r="I4957" s="5" t="s">
        <v>11966</v>
      </c>
      <c r="J4957" s="12" t="str">
        <f>HYPERLINK("https://www.boe.es/gazeta/dias/1808/04/22/pdfs/GMD-C-1808-38.pdf#page=10","Abrir facsímil")</f>
        <v>Abrir facsímil</v>
      </c>
      <c r="K4957" s="15" t="s">
        <v>23</v>
      </c>
    </row>
    <row r="4958" spans="1:11" ht="42" customHeight="1">
      <c r="A4958" s="4" t="s">
        <v>11967</v>
      </c>
      <c r="B4958" s="5" t="s">
        <v>11967</v>
      </c>
      <c r="C4958" s="5" t="s">
        <v>389</v>
      </c>
      <c r="D4958" s="5" t="s">
        <v>390</v>
      </c>
      <c r="E4958" s="5" t="s">
        <v>139</v>
      </c>
      <c r="F4958" s="9" t="s">
        <v>1089</v>
      </c>
      <c r="G4958" s="9" t="s">
        <v>199</v>
      </c>
      <c r="H4958" s="5" t="s">
        <v>21</v>
      </c>
      <c r="I4958" s="5" t="s">
        <v>11968</v>
      </c>
      <c r="J4958" s="12" t="str">
        <f>HYPERLINK("https://www.boe.es/gazeta/dias/1808/09/23/pdfs/GMD-C-1808-127.pdf#page=2","Abrir facsímil")</f>
        <v>Abrir facsímil</v>
      </c>
      <c r="K4958" s="15" t="s">
        <v>23</v>
      </c>
    </row>
    <row r="4959" spans="1:11" ht="42" customHeight="1">
      <c r="A4959" s="4" t="s">
        <v>11969</v>
      </c>
      <c r="B4959" s="5" t="s">
        <v>11969</v>
      </c>
      <c r="C4959" s="5" t="s">
        <v>17</v>
      </c>
      <c r="D4959" s="5" t="s">
        <v>18</v>
      </c>
      <c r="E4959" s="5" t="s">
        <v>238</v>
      </c>
      <c r="F4959" s="9" t="s">
        <v>239</v>
      </c>
      <c r="G4959" s="9">
        <v>36</v>
      </c>
      <c r="H4959" s="5" t="s">
        <v>21</v>
      </c>
      <c r="I4959" s="5" t="s">
        <v>11970</v>
      </c>
      <c r="J4959" s="12" t="str">
        <f>HYPERLINK("https://www.boe.es/gazeta/dias/1808/01/08/pdfs/GMD-1808-3.pdf#page=12","Abrir facsímil")</f>
        <v>Abrir facsímil</v>
      </c>
      <c r="K4959" s="15" t="s">
        <v>23</v>
      </c>
    </row>
    <row r="4960" spans="1:11" ht="42" customHeight="1">
      <c r="A4960" s="4" t="s">
        <v>11969</v>
      </c>
      <c r="B4960" s="5" t="s">
        <v>11969</v>
      </c>
      <c r="C4960" s="5" t="s">
        <v>389</v>
      </c>
      <c r="D4960" s="5" t="s">
        <v>390</v>
      </c>
      <c r="E4960" s="5" t="s">
        <v>339</v>
      </c>
      <c r="F4960" s="9" t="s">
        <v>340</v>
      </c>
      <c r="G4960" s="9">
        <v>84</v>
      </c>
      <c r="H4960" s="5" t="s">
        <v>21</v>
      </c>
      <c r="I4960" s="5" t="s">
        <v>11971</v>
      </c>
      <c r="J4960" s="12" t="str">
        <f>HYPERLINK("https://www.boe.es/gazeta/dias/1808/01/22/pdfs/GMD-1808-7.pdf#page=12","Abrir facsímil")</f>
        <v>Abrir facsímil</v>
      </c>
      <c r="K4960" s="15" t="s">
        <v>23</v>
      </c>
    </row>
    <row r="4961" spans="1:11" ht="42" customHeight="1">
      <c r="A4961" s="4" t="s">
        <v>11969</v>
      </c>
      <c r="B4961" s="5" t="s">
        <v>11969</v>
      </c>
      <c r="C4961" s="5" t="s">
        <v>389</v>
      </c>
      <c r="D4961" s="5" t="s">
        <v>390</v>
      </c>
      <c r="E4961" s="5" t="s">
        <v>203</v>
      </c>
      <c r="F4961" s="9" t="s">
        <v>204</v>
      </c>
      <c r="G4961" s="9">
        <v>144</v>
      </c>
      <c r="H4961" s="5" t="s">
        <v>21</v>
      </c>
      <c r="I4961" s="5" t="s">
        <v>11972</v>
      </c>
      <c r="J4961" s="12" t="str">
        <f>HYPERLINK("https://www.boe.es/gazeta/dias/1808/02/09/pdfs/GMD-1808-12.pdf#page=12","Abrir facsímil")</f>
        <v>Abrir facsímil</v>
      </c>
      <c r="K4961" s="15" t="s">
        <v>23</v>
      </c>
    </row>
    <row r="4962" spans="1:11" ht="42" customHeight="1">
      <c r="A4962" s="4" t="s">
        <v>11969</v>
      </c>
      <c r="B4962" s="5" t="s">
        <v>11969</v>
      </c>
      <c r="C4962" s="5" t="s">
        <v>260</v>
      </c>
      <c r="D4962" s="5" t="s">
        <v>42</v>
      </c>
      <c r="E4962" s="5" t="s">
        <v>222</v>
      </c>
      <c r="F4962" s="9" t="s">
        <v>223</v>
      </c>
      <c r="G4962" s="9">
        <v>358</v>
      </c>
      <c r="H4962" s="5" t="s">
        <v>21</v>
      </c>
      <c r="I4962" s="5" t="s">
        <v>11973</v>
      </c>
      <c r="J4962" s="12" t="str">
        <f>HYPERLINK("https://www.boe.es/gazeta/dias/1808/04/08/pdfs/GMD-1808-32.pdf#page=12","Abrir facsímil")</f>
        <v>Abrir facsímil</v>
      </c>
      <c r="K4962" s="15" t="s">
        <v>23</v>
      </c>
    </row>
    <row r="4963" spans="1:11" ht="42" customHeight="1">
      <c r="A4963" s="4" t="s">
        <v>11974</v>
      </c>
      <c r="B4963" s="5" t="s">
        <v>11974</v>
      </c>
      <c r="C4963" s="5" t="s">
        <v>33</v>
      </c>
      <c r="D4963" s="5" t="s">
        <v>34</v>
      </c>
      <c r="E4963" s="5" t="s">
        <v>139</v>
      </c>
      <c r="F4963" s="9" t="s">
        <v>1089</v>
      </c>
      <c r="G4963" s="9" t="s">
        <v>75</v>
      </c>
      <c r="H4963" s="5" t="s">
        <v>21</v>
      </c>
      <c r="I4963" s="5" t="s">
        <v>11975</v>
      </c>
      <c r="J4963" s="12" t="str">
        <f>HYPERLINK("https://www.boe.es/gazeta/dias/1808/09/23/pdfs/GMD-C-1808-127.pdf#page=4","Abrir facsímil")</f>
        <v>Abrir facsímil</v>
      </c>
      <c r="K4963" s="15" t="s">
        <v>23</v>
      </c>
    </row>
    <row r="4964" spans="1:11" ht="42" customHeight="1">
      <c r="A4964" s="4" t="s">
        <v>11976</v>
      </c>
      <c r="B4964" s="5" t="s">
        <v>11976</v>
      </c>
      <c r="C4964" s="5" t="s">
        <v>94</v>
      </c>
      <c r="D4964" s="5" t="s">
        <v>95</v>
      </c>
      <c r="E4964" s="5" t="s">
        <v>215</v>
      </c>
      <c r="F4964" s="9" t="s">
        <v>216</v>
      </c>
      <c r="G4964" s="9">
        <v>300</v>
      </c>
      <c r="H4964" s="5" t="s">
        <v>21</v>
      </c>
      <c r="I4964" s="5" t="s">
        <v>11977</v>
      </c>
      <c r="J4964" s="12" t="str">
        <f>HYPERLINK("https://www.boe.es/gazeta/dias/1808/03/25/pdfs/GMD-1808-25.pdf#page=10","Abrir facsímil")</f>
        <v>Abrir facsímil</v>
      </c>
      <c r="K4964" s="15" t="s">
        <v>23</v>
      </c>
    </row>
    <row r="4965" spans="1:11" ht="42" customHeight="1">
      <c r="A4965" s="4" t="s">
        <v>11978</v>
      </c>
      <c r="B4965" s="5" t="s">
        <v>11978</v>
      </c>
      <c r="C4965" s="5" t="s">
        <v>94</v>
      </c>
      <c r="D4965" s="5" t="s">
        <v>95</v>
      </c>
      <c r="E4965" s="5" t="s">
        <v>89</v>
      </c>
      <c r="F4965" s="9" t="s">
        <v>1247</v>
      </c>
      <c r="G4965" s="9">
        <v>1365</v>
      </c>
      <c r="H4965" s="5" t="s">
        <v>21</v>
      </c>
      <c r="I4965" s="5" t="s">
        <v>11979</v>
      </c>
      <c r="J4965" s="12" t="str">
        <f>HYPERLINK("https://www.boe.es/gazeta/dias/1808/10/25/pdfs/GMD-C-1808-137.pdf#page=1","Abrir facsímil")</f>
        <v>Abrir facsímil</v>
      </c>
      <c r="K4965" s="15" t="s">
        <v>23</v>
      </c>
    </row>
    <row r="4966" spans="1:11" ht="42" customHeight="1">
      <c r="A4966" s="4" t="s">
        <v>11980</v>
      </c>
      <c r="B4966" s="5" t="s">
        <v>11980</v>
      </c>
      <c r="C4966" s="5" t="s">
        <v>17</v>
      </c>
      <c r="D4966" s="5" t="s">
        <v>18</v>
      </c>
      <c r="E4966" s="5" t="s">
        <v>663</v>
      </c>
      <c r="F4966" s="9" t="s">
        <v>664</v>
      </c>
      <c r="G4966" s="9">
        <v>207</v>
      </c>
      <c r="H4966" s="5" t="s">
        <v>21</v>
      </c>
      <c r="I4966" s="5" t="s">
        <v>11981</v>
      </c>
      <c r="J4966" s="12" t="str">
        <f>HYPERLINK("https://www.boe.es/gazeta/dias/1808/02/26/pdfs/GMD-1808-17.pdf#page=9","Abrir facsímil")</f>
        <v>Abrir facsímil</v>
      </c>
      <c r="K4966" s="15" t="s">
        <v>23</v>
      </c>
    </row>
    <row r="4967" spans="1:11" ht="42" customHeight="1">
      <c r="A4967" s="4" t="s">
        <v>11982</v>
      </c>
      <c r="B4967" s="5" t="s">
        <v>11982</v>
      </c>
      <c r="C4967" s="5" t="s">
        <v>33</v>
      </c>
      <c r="D4967" s="5" t="s">
        <v>34</v>
      </c>
      <c r="E4967" s="5" t="s">
        <v>197</v>
      </c>
      <c r="F4967" s="9" t="s">
        <v>198</v>
      </c>
      <c r="G4967" s="9" t="s">
        <v>75</v>
      </c>
      <c r="H4967" s="5" t="s">
        <v>21</v>
      </c>
      <c r="I4967" s="5" t="s">
        <v>11983</v>
      </c>
      <c r="J4967" s="12" t="str">
        <f>HYPERLINK("https://www.boe.es/gazeta/dias/1808/11/01/pdfs/GMD-D-1808-140.pdf#page=4","Abrir facsímil")</f>
        <v>Abrir facsímil</v>
      </c>
      <c r="K4967" s="15" t="s">
        <v>23</v>
      </c>
    </row>
    <row r="4968" spans="1:11" ht="42" customHeight="1">
      <c r="A4968" s="4" t="s">
        <v>11984</v>
      </c>
      <c r="B4968" s="5" t="s">
        <v>11984</v>
      </c>
      <c r="C4968" s="5" t="s">
        <v>94</v>
      </c>
      <c r="D4968" s="5" t="s">
        <v>95</v>
      </c>
      <c r="E4968" s="5" t="s">
        <v>68</v>
      </c>
      <c r="F4968" s="9" t="s">
        <v>849</v>
      </c>
      <c r="G4968" s="9">
        <v>1348</v>
      </c>
      <c r="H4968" s="5" t="s">
        <v>21</v>
      </c>
      <c r="I4968" s="5" t="s">
        <v>11985</v>
      </c>
      <c r="J4968" s="12" t="str">
        <f>HYPERLINK("https://www.boe.es/gazeta/dias/1808/10/21/pdfs/GMD-C-1808-136.pdf#page=8","Abrir facsímil")</f>
        <v>Abrir facsímil</v>
      </c>
      <c r="K4968" s="15" t="s">
        <v>23</v>
      </c>
    </row>
    <row r="4969" spans="1:11" ht="42" customHeight="1">
      <c r="A4969" s="4" t="s">
        <v>11986</v>
      </c>
      <c r="B4969" s="5" t="s">
        <v>11986</v>
      </c>
      <c r="C4969" s="5" t="s">
        <v>41</v>
      </c>
      <c r="D4969" s="5" t="s">
        <v>42</v>
      </c>
      <c r="E4969" s="5" t="s">
        <v>28</v>
      </c>
      <c r="F4969" s="9" t="s">
        <v>29</v>
      </c>
      <c r="G4969" s="9">
        <v>1429</v>
      </c>
      <c r="H4969" s="5" t="s">
        <v>21</v>
      </c>
      <c r="I4969" s="5" t="s">
        <v>11987</v>
      </c>
      <c r="J4969" s="12" t="str">
        <f>HYPERLINK("https://www.boe.es/gazeta/dias/1808/11/04/pdfs/GMD-1808-141.pdf#page=11","Abrir facsímil")</f>
        <v>Abrir facsímil</v>
      </c>
      <c r="K4969" s="15" t="s">
        <v>23</v>
      </c>
    </row>
    <row r="4970" spans="1:11" ht="42" customHeight="1">
      <c r="A4970" s="4" t="s">
        <v>11988</v>
      </c>
      <c r="B4970" s="5" t="s">
        <v>11988</v>
      </c>
      <c r="C4970" s="5" t="s">
        <v>41</v>
      </c>
      <c r="D4970" s="5" t="s">
        <v>42</v>
      </c>
      <c r="E4970" s="5" t="s">
        <v>493</v>
      </c>
      <c r="F4970" s="9" t="s">
        <v>494</v>
      </c>
      <c r="G4970" s="9">
        <v>46</v>
      </c>
      <c r="H4970" s="5" t="s">
        <v>21</v>
      </c>
      <c r="I4970" s="5" t="s">
        <v>11989</v>
      </c>
      <c r="J4970" s="12" t="str">
        <f>HYPERLINK("https://www.boe.es/gazeta/dias/1808/01/12/pdfs/GMD-1808-4.pdf#page=10","Abrir facsímil")</f>
        <v>Abrir facsímil</v>
      </c>
      <c r="K4970" s="15" t="s">
        <v>23</v>
      </c>
    </row>
    <row r="4971" spans="1:11" ht="42" customHeight="1">
      <c r="A4971" s="4" t="s">
        <v>11990</v>
      </c>
      <c r="B4971" s="5" t="s">
        <v>11990</v>
      </c>
      <c r="C4971" s="5" t="s">
        <v>17</v>
      </c>
      <c r="D4971" s="5" t="s">
        <v>18</v>
      </c>
      <c r="E4971" s="5" t="s">
        <v>19</v>
      </c>
      <c r="F4971" s="9" t="s">
        <v>59</v>
      </c>
      <c r="G4971" s="9">
        <v>1230</v>
      </c>
      <c r="H4971" s="5" t="s">
        <v>21</v>
      </c>
      <c r="I4971" s="5" t="s">
        <v>11991</v>
      </c>
      <c r="J4971" s="12" t="str">
        <f>HYPERLINK("https://www.boe.es/gazeta/dias/1808/09/30/pdfs/GMD-1808-130.pdf#page=10","Abrir facsímil")</f>
        <v>Abrir facsímil</v>
      </c>
      <c r="K4971" s="15" t="s">
        <v>23</v>
      </c>
    </row>
    <row r="4972" spans="1:11" ht="42" customHeight="1">
      <c r="A4972" s="4" t="s">
        <v>11992</v>
      </c>
      <c r="B4972" s="5" t="s">
        <v>11992</v>
      </c>
      <c r="C4972" s="5" t="s">
        <v>33</v>
      </c>
      <c r="D4972" s="5" t="s">
        <v>34</v>
      </c>
      <c r="E4972" s="5" t="s">
        <v>197</v>
      </c>
      <c r="F4972" s="9" t="s">
        <v>198</v>
      </c>
      <c r="G4972" s="9" t="s">
        <v>199</v>
      </c>
      <c r="H4972" s="5" t="s">
        <v>21</v>
      </c>
      <c r="I4972" s="5" t="s">
        <v>11993</v>
      </c>
      <c r="J4972" s="12" t="str">
        <f>HYPERLINK("https://www.boe.es/gazeta/dias/1808/11/01/pdfs/GMD-D-1808-140.pdf#page=2","Abrir facsímil")</f>
        <v>Abrir facsímil</v>
      </c>
      <c r="K4972" s="15" t="s">
        <v>23</v>
      </c>
    </row>
    <row r="4973" spans="1:11" ht="42" customHeight="1">
      <c r="A4973" s="4" t="s">
        <v>11992</v>
      </c>
      <c r="B4973" s="5" t="s">
        <v>11992</v>
      </c>
      <c r="C4973" s="5" t="s">
        <v>17</v>
      </c>
      <c r="D4973" s="5" t="s">
        <v>18</v>
      </c>
      <c r="E4973" s="5" t="s">
        <v>461</v>
      </c>
      <c r="F4973" s="9" t="s">
        <v>733</v>
      </c>
      <c r="G4973" s="9">
        <v>1447</v>
      </c>
      <c r="H4973" s="5" t="s">
        <v>21</v>
      </c>
      <c r="I4973" s="5" t="s">
        <v>11994</v>
      </c>
      <c r="J4973" s="12" t="str">
        <f>HYPERLINK("https://www.boe.es/gazeta/dias/1808/11/08/pdfs/GMD-1808-142.pdf#page=9","Abrir facsímil")</f>
        <v>Abrir facsímil</v>
      </c>
      <c r="K4973" s="15" t="s">
        <v>23</v>
      </c>
    </row>
    <row r="4974" spans="1:11" ht="42" customHeight="1">
      <c r="A4974" s="4" t="s">
        <v>11995</v>
      </c>
      <c r="B4974" s="5" t="s">
        <v>11995</v>
      </c>
      <c r="C4974" s="5" t="s">
        <v>17</v>
      </c>
      <c r="D4974" s="5" t="s">
        <v>18</v>
      </c>
      <c r="E4974" s="5" t="s">
        <v>363</v>
      </c>
      <c r="F4974" s="9" t="s">
        <v>1224</v>
      </c>
      <c r="G4974" s="9">
        <v>1186</v>
      </c>
      <c r="H4974" s="5" t="s">
        <v>21</v>
      </c>
      <c r="I4974" s="5" t="s">
        <v>11996</v>
      </c>
      <c r="J4974" s="12" t="str">
        <f>HYPERLINK("https://www.boe.es/gazeta/dias/1808/09/20/pdfs/GMD-1808-126.pdf#page=6","Abrir facsímil")</f>
        <v>Abrir facsímil</v>
      </c>
      <c r="K4974" s="15" t="s">
        <v>23</v>
      </c>
    </row>
    <row r="4975" spans="1:11" ht="42" customHeight="1">
      <c r="A4975" s="4" t="s">
        <v>11997</v>
      </c>
      <c r="B4975" s="5" t="s">
        <v>11997</v>
      </c>
      <c r="C4975" s="5" t="s">
        <v>41</v>
      </c>
      <c r="D4975" s="5" t="s">
        <v>42</v>
      </c>
      <c r="E4975" s="5" t="s">
        <v>461</v>
      </c>
      <c r="F4975" s="9" t="s">
        <v>733</v>
      </c>
      <c r="G4975" s="9">
        <v>1444</v>
      </c>
      <c r="H4975" s="5" t="s">
        <v>21</v>
      </c>
      <c r="I4975" s="5" t="s">
        <v>11998</v>
      </c>
      <c r="J4975" s="12" t="str">
        <f>HYPERLINK("https://www.boe.es/gazeta/dias/1808/11/08/pdfs/GMD-1808-142.pdf#page=6","Abrir facsímil")</f>
        <v>Abrir facsímil</v>
      </c>
      <c r="K4975" s="15" t="s">
        <v>23</v>
      </c>
    </row>
    <row r="4976" spans="1:11" ht="42" customHeight="1">
      <c r="A4976" s="4" t="s">
        <v>11999</v>
      </c>
      <c r="B4976" s="5" t="s">
        <v>11999</v>
      </c>
      <c r="C4976" s="5" t="s">
        <v>94</v>
      </c>
      <c r="D4976" s="5" t="s">
        <v>95</v>
      </c>
      <c r="E4976" s="5" t="s">
        <v>287</v>
      </c>
      <c r="F4976" s="9" t="s">
        <v>489</v>
      </c>
      <c r="G4976" s="9">
        <v>1003</v>
      </c>
      <c r="H4976" s="5" t="s">
        <v>21</v>
      </c>
      <c r="I4976" s="5" t="s">
        <v>12000</v>
      </c>
      <c r="J4976" s="12" t="str">
        <f>HYPERLINK("https://www.boe.es/gazeta/dias/1808/08/12/pdfs/GMD-1808-112.pdf#page=7","Abrir facsímil")</f>
        <v>Abrir facsímil</v>
      </c>
      <c r="K4976" s="15" t="s">
        <v>23</v>
      </c>
    </row>
    <row r="4977" spans="1:11" ht="42" customHeight="1">
      <c r="A4977" s="4" t="s">
        <v>12001</v>
      </c>
      <c r="B4977" s="5" t="s">
        <v>12001</v>
      </c>
      <c r="C4977" s="5" t="s">
        <v>33</v>
      </c>
      <c r="D4977" s="5" t="s">
        <v>34</v>
      </c>
      <c r="E4977" s="5" t="s">
        <v>89</v>
      </c>
      <c r="F4977" s="9" t="s">
        <v>563</v>
      </c>
      <c r="G4977" s="9" t="s">
        <v>75</v>
      </c>
      <c r="H4977" s="5" t="s">
        <v>21</v>
      </c>
      <c r="I4977" s="5" t="s">
        <v>12002</v>
      </c>
      <c r="J4977" s="12" t="str">
        <f>HYPERLINK("https://www.boe.es/gazeta/dias/1808/10/25/pdfs/GMD-D-1808-137.pdf#page=4","Abrir facsímil")</f>
        <v>Abrir facsímil</v>
      </c>
      <c r="K4977" s="15" t="s">
        <v>23</v>
      </c>
    </row>
    <row r="4978" spans="1:11" ht="42" customHeight="1">
      <c r="A4978" s="4" t="s">
        <v>12003</v>
      </c>
      <c r="B4978" s="5" t="s">
        <v>12003</v>
      </c>
      <c r="C4978" s="5" t="s">
        <v>33</v>
      </c>
      <c r="D4978" s="5" t="s">
        <v>34</v>
      </c>
      <c r="E4978" s="5" t="s">
        <v>180</v>
      </c>
      <c r="F4978" s="9" t="s">
        <v>768</v>
      </c>
      <c r="G4978" s="9" t="s">
        <v>117</v>
      </c>
      <c r="H4978" s="5" t="s">
        <v>21</v>
      </c>
      <c r="I4978" s="5" t="s">
        <v>12004</v>
      </c>
      <c r="J4978" s="12" t="str">
        <f>HYPERLINK("https://www.boe.es/gazeta/dias/1808/11/15/pdfs/GMD-D-1808-144.pdf#page=1","Abrir facsímil")</f>
        <v>Abrir facsímil</v>
      </c>
      <c r="K4978" s="15" t="s">
        <v>23</v>
      </c>
    </row>
    <row r="4979" spans="1:11" ht="42" customHeight="1">
      <c r="A4979" s="4" t="s">
        <v>12005</v>
      </c>
      <c r="B4979" s="5" t="s">
        <v>12005</v>
      </c>
      <c r="C4979" s="5" t="s">
        <v>33</v>
      </c>
      <c r="D4979" s="5" t="s">
        <v>34</v>
      </c>
      <c r="E4979" s="5" t="s">
        <v>35</v>
      </c>
      <c r="F4979" s="9" t="s">
        <v>36</v>
      </c>
      <c r="G4979" s="9" t="s">
        <v>956</v>
      </c>
      <c r="H4979" s="5" t="s">
        <v>21</v>
      </c>
      <c r="I4979" s="5" t="s">
        <v>12006</v>
      </c>
      <c r="J4979" s="12" t="str">
        <f>HYPERLINK("https://www.boe.es/gazeta/dias/1808/04/22/pdfs/GMD-C-1808-38.pdf#page=41","Abrir facsímil")</f>
        <v>Abrir facsímil</v>
      </c>
      <c r="K4979" s="15" t="s">
        <v>23</v>
      </c>
    </row>
    <row r="4980" spans="1:11" ht="42" customHeight="1">
      <c r="A4980" s="4" t="s">
        <v>12007</v>
      </c>
      <c r="B4980" s="5" t="s">
        <v>12007</v>
      </c>
      <c r="C4980" s="5" t="s">
        <v>94</v>
      </c>
      <c r="D4980" s="5" t="s">
        <v>95</v>
      </c>
      <c r="E4980" s="5" t="s">
        <v>493</v>
      </c>
      <c r="F4980" s="9" t="s">
        <v>494</v>
      </c>
      <c r="G4980" s="9">
        <v>44</v>
      </c>
      <c r="H4980" s="5" t="s">
        <v>21</v>
      </c>
      <c r="I4980" s="5" t="s">
        <v>12008</v>
      </c>
      <c r="J4980" s="12" t="str">
        <f>HYPERLINK("https://www.boe.es/gazeta/dias/1808/01/12/pdfs/GMD-1808-4.pdf#page=8","Abrir facsímil")</f>
        <v>Abrir facsímil</v>
      </c>
      <c r="K4980" s="15" t="s">
        <v>23</v>
      </c>
    </row>
    <row r="4981" spans="1:11" ht="42" customHeight="1">
      <c r="A4981" s="4" t="s">
        <v>12009</v>
      </c>
      <c r="B4981" s="5" t="s">
        <v>12009</v>
      </c>
      <c r="C4981" s="5" t="s">
        <v>17</v>
      </c>
      <c r="D4981" s="5" t="s">
        <v>18</v>
      </c>
      <c r="E4981" s="5" t="s">
        <v>870</v>
      </c>
      <c r="F4981" s="9" t="s">
        <v>871</v>
      </c>
      <c r="G4981" s="9">
        <v>586</v>
      </c>
      <c r="H4981" s="5" t="s">
        <v>21</v>
      </c>
      <c r="I4981" s="5" t="s">
        <v>12010</v>
      </c>
      <c r="J4981" s="12" t="str">
        <f>HYPERLINK("https://www.boe.es/gazeta/dias/1808/06/17/pdfs/GMD-1808-59.pdf#page=8","Abrir facsímil")</f>
        <v>Abrir facsímil</v>
      </c>
      <c r="K4981" s="15" t="s">
        <v>23</v>
      </c>
    </row>
    <row r="4982" spans="1:11" ht="42" customHeight="1">
      <c r="A4982" s="4" t="s">
        <v>12011</v>
      </c>
      <c r="B4982" s="5" t="s">
        <v>12011</v>
      </c>
      <c r="C4982" s="5" t="s">
        <v>33</v>
      </c>
      <c r="D4982" s="5" t="s">
        <v>34</v>
      </c>
      <c r="E4982" s="5" t="s">
        <v>363</v>
      </c>
      <c r="F4982" s="9" t="s">
        <v>364</v>
      </c>
      <c r="G4982" s="9" t="s">
        <v>117</v>
      </c>
      <c r="H4982" s="5" t="s">
        <v>21</v>
      </c>
      <c r="I4982" s="5" t="s">
        <v>12012</v>
      </c>
      <c r="J4982" s="12" t="str">
        <f>HYPERLINK("https://www.boe.es/gazeta/dias/1808/09/20/pdfs/GMD-C-1808-126.pdf#page=1","Abrir facsímil")</f>
        <v>Abrir facsímil</v>
      </c>
      <c r="K4982" s="15" t="s">
        <v>23</v>
      </c>
    </row>
    <row r="4983" spans="1:11" ht="42" customHeight="1">
      <c r="A4983" s="4" t="s">
        <v>12013</v>
      </c>
      <c r="B4983" s="5" t="s">
        <v>12013</v>
      </c>
      <c r="C4983" s="5" t="s">
        <v>33</v>
      </c>
      <c r="D4983" s="5" t="s">
        <v>34</v>
      </c>
      <c r="E4983" s="5" t="s">
        <v>125</v>
      </c>
      <c r="F4983" s="9" t="s">
        <v>126</v>
      </c>
      <c r="G4983" s="9" t="s">
        <v>106</v>
      </c>
      <c r="H4983" s="5" t="s">
        <v>21</v>
      </c>
      <c r="I4983" s="5" t="s">
        <v>12014</v>
      </c>
      <c r="J4983" s="12" t="str">
        <f>HYPERLINK("https://www.boe.es/gazeta/dias/1808/10/07/pdfs/GMD-C-1808-132.pdf#page=3","Abrir facsímil")</f>
        <v>Abrir facsímil</v>
      </c>
      <c r="K4983" s="15" t="s">
        <v>23</v>
      </c>
    </row>
    <row r="4984" spans="1:11" ht="42" customHeight="1">
      <c r="A4984" s="4" t="s">
        <v>12015</v>
      </c>
      <c r="B4984" s="5" t="s">
        <v>12015</v>
      </c>
      <c r="C4984" s="5" t="s">
        <v>33</v>
      </c>
      <c r="D4984" s="5" t="s">
        <v>34</v>
      </c>
      <c r="E4984" s="5" t="s">
        <v>461</v>
      </c>
      <c r="F4984" s="9" t="s">
        <v>462</v>
      </c>
      <c r="G4984" s="9" t="s">
        <v>199</v>
      </c>
      <c r="H4984" s="5" t="s">
        <v>21</v>
      </c>
      <c r="I4984" s="5" t="s">
        <v>12016</v>
      </c>
      <c r="J4984" s="12" t="str">
        <f>HYPERLINK("https://www.boe.es/gazeta/dias/1808/11/08/pdfs/GMD-D-1808-142.pdf#page=2","Abrir facsímil")</f>
        <v>Abrir facsímil</v>
      </c>
      <c r="K4984" s="15" t="s">
        <v>23</v>
      </c>
    </row>
    <row r="4985" spans="1:11" ht="42" customHeight="1">
      <c r="A4985" s="4" t="s">
        <v>12017</v>
      </c>
      <c r="B4985" s="5" t="s">
        <v>12017</v>
      </c>
      <c r="C4985" s="5" t="s">
        <v>17</v>
      </c>
      <c r="D4985" s="5" t="s">
        <v>18</v>
      </c>
      <c r="E4985" s="5" t="s">
        <v>115</v>
      </c>
      <c r="F4985" s="9" t="s">
        <v>1650</v>
      </c>
      <c r="G4985" s="9">
        <v>1176</v>
      </c>
      <c r="H4985" s="5" t="s">
        <v>21</v>
      </c>
      <c r="I4985" s="5" t="s">
        <v>12018</v>
      </c>
      <c r="J4985" s="12" t="str">
        <f>HYPERLINK("https://www.boe.es/gazeta/dias/1808/09/16/pdfs/GMD-1808-125.pdf#page=8","Abrir facsímil")</f>
        <v>Abrir facsímil</v>
      </c>
      <c r="K4985" s="15" t="s">
        <v>23</v>
      </c>
    </row>
    <row r="4986" spans="1:11" ht="42" customHeight="1">
      <c r="A4986" s="4" t="s">
        <v>12019</v>
      </c>
      <c r="B4986" s="5" t="s">
        <v>12019</v>
      </c>
      <c r="C4986" s="5" t="s">
        <v>94</v>
      </c>
      <c r="D4986" s="5" t="s">
        <v>95</v>
      </c>
      <c r="E4986" s="5" t="s">
        <v>210</v>
      </c>
      <c r="F4986" s="9" t="s">
        <v>211</v>
      </c>
      <c r="G4986" s="9">
        <v>254</v>
      </c>
      <c r="H4986" s="5" t="s">
        <v>21</v>
      </c>
      <c r="I4986" s="5" t="s">
        <v>12020</v>
      </c>
      <c r="J4986" s="12" t="str">
        <f>HYPERLINK("https://www.boe.es/gazeta/dias/1808/03/11/pdfs/GMD-1808-21.pdf#page=8","Abrir facsímil")</f>
        <v>Abrir facsímil</v>
      </c>
      <c r="K4986" s="15" t="s">
        <v>23</v>
      </c>
    </row>
    <row r="4987" spans="1:11" ht="42" customHeight="1">
      <c r="A4987" s="4" t="s">
        <v>12021</v>
      </c>
      <c r="B4987" s="5" t="s">
        <v>12021</v>
      </c>
      <c r="C4987" s="5" t="s">
        <v>94</v>
      </c>
      <c r="D4987" s="5" t="s">
        <v>95</v>
      </c>
      <c r="E4987" s="5" t="s">
        <v>974</v>
      </c>
      <c r="F4987" s="9" t="s">
        <v>975</v>
      </c>
      <c r="G4987" s="9">
        <v>391</v>
      </c>
      <c r="H4987" s="5" t="s">
        <v>21</v>
      </c>
      <c r="I4987" s="5" t="s">
        <v>12022</v>
      </c>
      <c r="J4987" s="12" t="str">
        <f>HYPERLINK("https://www.boe.es/gazeta/dias/1808/04/19/pdfs/GMD-1808-37.pdf#page=7","Abrir facsímil")</f>
        <v>Abrir facsímil</v>
      </c>
      <c r="K4987" s="15" t="s">
        <v>23</v>
      </c>
    </row>
    <row r="4988" spans="1:11" ht="42" customHeight="1">
      <c r="A4988" s="4" t="s">
        <v>12023</v>
      </c>
      <c r="B4988" s="5" t="s">
        <v>12023</v>
      </c>
      <c r="C4988" s="5" t="s">
        <v>41</v>
      </c>
      <c r="D4988" s="5" t="s">
        <v>42</v>
      </c>
      <c r="E4988" s="5" t="s">
        <v>19</v>
      </c>
      <c r="F4988" s="9" t="s">
        <v>949</v>
      </c>
      <c r="G4988" s="9" t="s">
        <v>75</v>
      </c>
      <c r="H4988" s="5" t="s">
        <v>21</v>
      </c>
      <c r="I4988" s="5" t="s">
        <v>12024</v>
      </c>
      <c r="J4988" s="12" t="str">
        <f>HYPERLINK("https://www.boe.es/gazeta/dias/1808/09/30/pdfs/GMD-C-1808-130.pdf#page=4","Abrir facsímil")</f>
        <v>Abrir facsímil</v>
      </c>
      <c r="K4988" s="15" t="s">
        <v>23</v>
      </c>
    </row>
    <row r="4989" spans="1:11" ht="42" customHeight="1">
      <c r="A4989" s="4" t="s">
        <v>12025</v>
      </c>
      <c r="B4989" s="5" t="s">
        <v>12025</v>
      </c>
      <c r="C4989" s="5" t="s">
        <v>41</v>
      </c>
      <c r="D4989" s="5" t="s">
        <v>42</v>
      </c>
      <c r="E4989" s="5" t="s">
        <v>3365</v>
      </c>
      <c r="F4989" s="9" t="s">
        <v>3366</v>
      </c>
      <c r="G4989" s="9">
        <v>122</v>
      </c>
      <c r="H4989" s="5" t="s">
        <v>21</v>
      </c>
      <c r="I4989" s="5" t="s">
        <v>12026</v>
      </c>
      <c r="J4989" s="12" t="str">
        <f>HYPERLINK("https://www.boe.es/gazeta/dias/1808/07/23/pdfs/GMS-1808-16.pdf#page=2","Abrir facsímil")</f>
        <v>Abrir facsímil</v>
      </c>
      <c r="K4989" s="15" t="s">
        <v>23</v>
      </c>
    </row>
    <row r="4990" spans="1:11" ht="42" customHeight="1">
      <c r="A4990" s="4" t="s">
        <v>12027</v>
      </c>
      <c r="B4990" s="5" t="s">
        <v>12027</v>
      </c>
      <c r="C4990" s="5" t="s">
        <v>33</v>
      </c>
      <c r="D4990" s="5" t="s">
        <v>34</v>
      </c>
      <c r="E4990" s="5" t="s">
        <v>334</v>
      </c>
      <c r="F4990" s="9" t="s">
        <v>335</v>
      </c>
      <c r="G4990" s="9">
        <v>1251</v>
      </c>
      <c r="H4990" s="5" t="s">
        <v>21</v>
      </c>
      <c r="I4990" s="5" t="s">
        <v>12028</v>
      </c>
      <c r="J4990" s="12" t="str">
        <f>HYPERLINK("https://www.boe.es/gazeta/dias/1808/10/04/pdfs/GMD-C-1808-131.pdf#page=3","Abrir facsímil")</f>
        <v>Abrir facsímil</v>
      </c>
      <c r="K4990" s="15" t="s">
        <v>23</v>
      </c>
    </row>
    <row r="4991" spans="1:11" ht="42" customHeight="1">
      <c r="A4991" s="4" t="s">
        <v>12029</v>
      </c>
      <c r="B4991" s="5" t="s">
        <v>12029</v>
      </c>
      <c r="C4991" s="5" t="s">
        <v>33</v>
      </c>
      <c r="D4991" s="5" t="s">
        <v>34</v>
      </c>
      <c r="E4991" s="5" t="s">
        <v>197</v>
      </c>
      <c r="F4991" s="9" t="s">
        <v>198</v>
      </c>
      <c r="G4991" s="9" t="s">
        <v>199</v>
      </c>
      <c r="H4991" s="5" t="s">
        <v>21</v>
      </c>
      <c r="I4991" s="5" t="s">
        <v>12030</v>
      </c>
      <c r="J4991" s="12" t="str">
        <f>HYPERLINK("https://www.boe.es/gazeta/dias/1808/11/01/pdfs/GMD-D-1808-140.pdf#page=2","Abrir facsímil")</f>
        <v>Abrir facsímil</v>
      </c>
      <c r="K4991" s="15" t="s">
        <v>23</v>
      </c>
    </row>
    <row r="4992" spans="1:11" ht="42" customHeight="1">
      <c r="A4992" s="4" t="s">
        <v>12031</v>
      </c>
      <c r="B4992" s="5" t="s">
        <v>12031</v>
      </c>
      <c r="C4992" s="5" t="s">
        <v>41</v>
      </c>
      <c r="D4992" s="5" t="s">
        <v>42</v>
      </c>
      <c r="E4992" s="5" t="s">
        <v>180</v>
      </c>
      <c r="F4992" s="9" t="s">
        <v>768</v>
      </c>
      <c r="G4992" s="9" t="s">
        <v>199</v>
      </c>
      <c r="H4992" s="5" t="s">
        <v>21</v>
      </c>
      <c r="I4992" s="5" t="s">
        <v>12032</v>
      </c>
      <c r="J4992" s="12" t="str">
        <f>HYPERLINK("https://www.boe.es/gazeta/dias/1808/11/15/pdfs/GMD-D-1808-144.pdf#page=2","Abrir facsímil")</f>
        <v>Abrir facsímil</v>
      </c>
      <c r="K4992" s="15" t="s">
        <v>23</v>
      </c>
    </row>
    <row r="4993" spans="1:11" ht="42" customHeight="1">
      <c r="A4993" s="4" t="s">
        <v>12033</v>
      </c>
      <c r="B4993" s="5" t="s">
        <v>12033</v>
      </c>
      <c r="C4993" s="5" t="s">
        <v>17</v>
      </c>
      <c r="D4993" s="5" t="s">
        <v>18</v>
      </c>
      <c r="E4993" s="5" t="s">
        <v>473</v>
      </c>
      <c r="F4993" s="9" t="s">
        <v>4258</v>
      </c>
      <c r="G4993" s="9">
        <v>75</v>
      </c>
      <c r="H4993" s="5" t="s">
        <v>21</v>
      </c>
      <c r="I4993" s="5" t="s">
        <v>12034</v>
      </c>
      <c r="J4993" s="12" t="str">
        <f>HYPERLINK("https://www.boe.es/gazeta/dias/1808/07/02/pdfs/GMS-1808-10.pdf#page=3","Abrir facsímil")</f>
        <v>Abrir facsímil</v>
      </c>
      <c r="K4993" s="15" t="s">
        <v>23</v>
      </c>
    </row>
    <row r="4994" spans="1:11" ht="42" customHeight="1">
      <c r="A4994" s="4" t="s">
        <v>12035</v>
      </c>
      <c r="B4994" s="5" t="s">
        <v>12035</v>
      </c>
      <c r="C4994" s="5" t="s">
        <v>389</v>
      </c>
      <c r="D4994" s="5" t="s">
        <v>390</v>
      </c>
      <c r="E4994" s="5" t="s">
        <v>35</v>
      </c>
      <c r="F4994" s="9" t="s">
        <v>3452</v>
      </c>
      <c r="G4994" s="9">
        <v>403</v>
      </c>
      <c r="H4994" s="5" t="s">
        <v>21</v>
      </c>
      <c r="I4994" s="5" t="s">
        <v>12036</v>
      </c>
      <c r="J4994" s="12" t="str">
        <f>HYPERLINK("https://www.boe.es/gazeta/dias/1808/04/22/pdfs/GMD-1808-38.pdf#page=11","Abrir facsímil")</f>
        <v>Abrir facsímil</v>
      </c>
      <c r="K4994" s="15" t="s">
        <v>23</v>
      </c>
    </row>
    <row r="4995" spans="1:11" ht="42" customHeight="1">
      <c r="A4995" s="4" t="s">
        <v>12037</v>
      </c>
      <c r="B4995" s="5" t="s">
        <v>12037</v>
      </c>
      <c r="C4995" s="5" t="s">
        <v>17</v>
      </c>
      <c r="D4995" s="5" t="s">
        <v>18</v>
      </c>
      <c r="E4995" s="5" t="s">
        <v>616</v>
      </c>
      <c r="F4995" s="9" t="s">
        <v>617</v>
      </c>
      <c r="G4995" s="9">
        <v>1038</v>
      </c>
      <c r="H4995" s="5" t="s">
        <v>21</v>
      </c>
      <c r="I4995" s="5" t="s">
        <v>12038</v>
      </c>
      <c r="J4995" s="12" t="str">
        <f>HYPERLINK("https://www.boe.es/gazeta/dias/1808/08/19/pdfs/GMD-1808-115.pdf#page=4","Abrir facsímil")</f>
        <v>Abrir facsímil</v>
      </c>
      <c r="K4995" s="15" t="s">
        <v>23</v>
      </c>
    </row>
    <row r="4996" spans="1:11" ht="42" customHeight="1">
      <c r="A4996" s="4" t="s">
        <v>12039</v>
      </c>
      <c r="B4996" s="5" t="s">
        <v>12039</v>
      </c>
      <c r="C4996" s="5" t="s">
        <v>33</v>
      </c>
      <c r="D4996" s="5" t="s">
        <v>34</v>
      </c>
      <c r="E4996" s="5" t="s">
        <v>35</v>
      </c>
      <c r="F4996" s="9" t="s">
        <v>36</v>
      </c>
      <c r="G4996" s="9" t="s">
        <v>279</v>
      </c>
      <c r="H4996" s="5" t="s">
        <v>21</v>
      </c>
      <c r="I4996" s="5" t="s">
        <v>12040</v>
      </c>
      <c r="J4996" s="12" t="str">
        <f>HYPERLINK("https://www.boe.es/gazeta/dias/1808/04/22/pdfs/GMD-C-1808-38.pdf#page=44","Abrir facsímil")</f>
        <v>Abrir facsímil</v>
      </c>
      <c r="K4996" s="15" t="s">
        <v>23</v>
      </c>
    </row>
    <row r="4997" spans="1:11" ht="42" customHeight="1">
      <c r="A4997" s="4" t="s">
        <v>12041</v>
      </c>
      <c r="B4997" s="5" t="s">
        <v>12041</v>
      </c>
      <c r="C4997" s="5" t="s">
        <v>33</v>
      </c>
      <c r="D4997" s="5" t="s">
        <v>34</v>
      </c>
      <c r="E4997" s="5" t="s">
        <v>125</v>
      </c>
      <c r="F4997" s="9" t="s">
        <v>126</v>
      </c>
      <c r="G4997" s="9" t="s">
        <v>106</v>
      </c>
      <c r="H4997" s="5" t="s">
        <v>21</v>
      </c>
      <c r="I4997" s="5" t="s">
        <v>12042</v>
      </c>
      <c r="J4997" s="12" t="str">
        <f>HYPERLINK("https://www.boe.es/gazeta/dias/1808/10/07/pdfs/GMD-C-1808-132.pdf#page=3","Abrir facsímil")</f>
        <v>Abrir facsímil</v>
      </c>
      <c r="K4997" s="15" t="s">
        <v>23</v>
      </c>
    </row>
    <row r="4998" spans="1:11" ht="42" customHeight="1">
      <c r="A4998" s="4" t="s">
        <v>12043</v>
      </c>
      <c r="B4998" s="5" t="s">
        <v>12043</v>
      </c>
      <c r="C4998" s="5" t="s">
        <v>260</v>
      </c>
      <c r="D4998" s="5" t="s">
        <v>42</v>
      </c>
      <c r="E4998" s="5" t="s">
        <v>516</v>
      </c>
      <c r="F4998" s="9" t="s">
        <v>517</v>
      </c>
      <c r="G4998" s="9">
        <v>602</v>
      </c>
      <c r="H4998" s="5" t="s">
        <v>21</v>
      </c>
      <c r="I4998" s="5" t="s">
        <v>12044</v>
      </c>
      <c r="J4998" s="12" t="str">
        <f>HYPERLINK("https://www.boe.es/gazeta/dias/1808/06/19/pdfs/GMD-1808-61.pdf#page=8","Abrir facsímil")</f>
        <v>Abrir facsímil</v>
      </c>
      <c r="K4998" s="15" t="s">
        <v>23</v>
      </c>
    </row>
    <row r="4999" spans="1:11" ht="42" customHeight="1">
      <c r="A4999" s="4" t="s">
        <v>12045</v>
      </c>
      <c r="B4999" s="5" t="s">
        <v>12045</v>
      </c>
      <c r="C4999" s="5" t="s">
        <v>94</v>
      </c>
      <c r="D4999" s="5" t="s">
        <v>95</v>
      </c>
      <c r="E4999" s="5" t="s">
        <v>68</v>
      </c>
      <c r="F4999" s="9" t="s">
        <v>849</v>
      </c>
      <c r="G4999" s="9">
        <v>1350</v>
      </c>
      <c r="H4999" s="5" t="s">
        <v>21</v>
      </c>
      <c r="I4999" s="5" t="s">
        <v>12046</v>
      </c>
      <c r="J4999" s="12" t="str">
        <f>HYPERLINK("https://www.boe.es/gazeta/dias/1808/10/21/pdfs/GMD-C-1808-136.pdf#page=10","Abrir facsímil")</f>
        <v>Abrir facsímil</v>
      </c>
      <c r="K4999" s="15" t="s">
        <v>23</v>
      </c>
    </row>
    <row r="5000" spans="1:11" ht="42" customHeight="1">
      <c r="A5000" s="4" t="s">
        <v>12047</v>
      </c>
      <c r="B5000" s="5" t="s">
        <v>12047</v>
      </c>
      <c r="C5000" s="5" t="s">
        <v>17</v>
      </c>
      <c r="D5000" s="5" t="s">
        <v>18</v>
      </c>
      <c r="E5000" s="5" t="s">
        <v>478</v>
      </c>
      <c r="F5000" s="9" t="s">
        <v>479</v>
      </c>
      <c r="G5000" s="9">
        <v>244</v>
      </c>
      <c r="H5000" s="5" t="s">
        <v>21</v>
      </c>
      <c r="I5000" s="5" t="s">
        <v>12048</v>
      </c>
      <c r="J5000" s="12" t="str">
        <f>HYPERLINK("https://www.boe.es/gazeta/dias/1808/03/08/pdfs/GMD-1808-20.pdf#page=10","Abrir facsímil")</f>
        <v>Abrir facsímil</v>
      </c>
      <c r="K5000" s="15" t="s">
        <v>23</v>
      </c>
    </row>
    <row r="5001" spans="1:11" ht="42" customHeight="1">
      <c r="A5001" s="4" t="s">
        <v>12049</v>
      </c>
      <c r="B5001" s="5" t="s">
        <v>12049</v>
      </c>
      <c r="C5001" s="5" t="s">
        <v>33</v>
      </c>
      <c r="D5001" s="5" t="s">
        <v>34</v>
      </c>
      <c r="E5001" s="5" t="s">
        <v>139</v>
      </c>
      <c r="F5001" s="9" t="s">
        <v>1089</v>
      </c>
      <c r="G5001" s="9" t="s">
        <v>75</v>
      </c>
      <c r="H5001" s="5" t="s">
        <v>21</v>
      </c>
      <c r="I5001" s="5" t="s">
        <v>12050</v>
      </c>
      <c r="J5001" s="12" t="str">
        <f>HYPERLINK("https://www.boe.es/gazeta/dias/1808/09/23/pdfs/GMD-C-1808-127.pdf#page=4","Abrir facsímil")</f>
        <v>Abrir facsímil</v>
      </c>
      <c r="K5001" s="15" t="s">
        <v>23</v>
      </c>
    </row>
    <row r="5002" spans="1:11" ht="42" customHeight="1">
      <c r="A5002" s="4" t="s">
        <v>12051</v>
      </c>
      <c r="B5002" s="5" t="s">
        <v>12052</v>
      </c>
      <c r="C5002" s="5" t="s">
        <v>33</v>
      </c>
      <c r="D5002" s="5" t="s">
        <v>34</v>
      </c>
      <c r="E5002" s="5" t="s">
        <v>35</v>
      </c>
      <c r="F5002" s="9" t="s">
        <v>36</v>
      </c>
      <c r="G5002" s="9" t="s">
        <v>299</v>
      </c>
      <c r="H5002" s="5" t="s">
        <v>21</v>
      </c>
      <c r="I5002" s="5" t="s">
        <v>12053</v>
      </c>
      <c r="J5002" s="12" t="str">
        <f>HYPERLINK("https://www.boe.es/gazeta/dias/1808/04/22/pdfs/GMD-C-1808-38.pdf#page=14","Abrir facsímil")</f>
        <v>Abrir facsímil</v>
      </c>
      <c r="K5002" s="15" t="s">
        <v>23</v>
      </c>
    </row>
    <row r="5003" spans="1:11" ht="42" customHeight="1">
      <c r="A5003" s="4" t="s">
        <v>12054</v>
      </c>
      <c r="B5003" s="5" t="s">
        <v>12054</v>
      </c>
      <c r="C5003" s="5" t="s">
        <v>17</v>
      </c>
      <c r="D5003" s="5" t="s">
        <v>18</v>
      </c>
      <c r="E5003" s="5" t="s">
        <v>461</v>
      </c>
      <c r="F5003" s="9" t="s">
        <v>733</v>
      </c>
      <c r="G5003" s="9">
        <v>1447</v>
      </c>
      <c r="H5003" s="5" t="s">
        <v>21</v>
      </c>
      <c r="I5003" s="5" t="s">
        <v>12055</v>
      </c>
      <c r="J5003" s="12" t="str">
        <f>HYPERLINK("https://www.boe.es/gazeta/dias/1808/11/08/pdfs/GMD-1808-142.pdf#page=9","Abrir facsímil")</f>
        <v>Abrir facsímil</v>
      </c>
      <c r="K5003" s="15" t="s">
        <v>23</v>
      </c>
    </row>
    <row r="5004" spans="1:11" ht="42" customHeight="1">
      <c r="A5004" s="4" t="s">
        <v>12056</v>
      </c>
      <c r="B5004" s="5" t="s">
        <v>12056</v>
      </c>
      <c r="C5004" s="5" t="s">
        <v>17</v>
      </c>
      <c r="D5004" s="5" t="s">
        <v>18</v>
      </c>
      <c r="E5004" s="5" t="s">
        <v>89</v>
      </c>
      <c r="F5004" s="9" t="s">
        <v>2031</v>
      </c>
      <c r="G5004" s="9">
        <v>343</v>
      </c>
      <c r="H5004" s="5" t="s">
        <v>21</v>
      </c>
      <c r="I5004" s="5" t="s">
        <v>12057</v>
      </c>
      <c r="J5004" s="12" t="str">
        <f>HYPERLINK("https://www.boe.es/gazeta/dias/1808/10/25/pdfs/GMS-1808-43.pdf#page=7","Abrir facsímil")</f>
        <v>Abrir facsímil</v>
      </c>
      <c r="K5004" s="15" t="s">
        <v>23</v>
      </c>
    </row>
    <row r="5005" spans="1:11" ht="42" customHeight="1">
      <c r="A5005" s="4" t="s">
        <v>12056</v>
      </c>
      <c r="B5005" s="5" t="s">
        <v>12056</v>
      </c>
      <c r="C5005" s="5" t="s">
        <v>33</v>
      </c>
      <c r="D5005" s="5" t="s">
        <v>34</v>
      </c>
      <c r="E5005" s="5" t="s">
        <v>28</v>
      </c>
      <c r="F5005" s="9" t="s">
        <v>71</v>
      </c>
      <c r="G5005" s="9">
        <v>1431</v>
      </c>
      <c r="H5005" s="5" t="s">
        <v>21</v>
      </c>
      <c r="I5005" s="5" t="s">
        <v>12058</v>
      </c>
      <c r="J5005" s="12" t="str">
        <f>HYPERLINK("https://www.boe.es/gazeta/dias/1808/11/04/pdfs/GMD-C-1808-141.pdf#page=1","Abrir facsímil")</f>
        <v>Abrir facsímil</v>
      </c>
      <c r="K5005" s="15" t="s">
        <v>23</v>
      </c>
    </row>
    <row r="5006" spans="1:11" ht="42" customHeight="1">
      <c r="A5006" s="4" t="s">
        <v>12059</v>
      </c>
      <c r="B5006" s="5" t="s">
        <v>12059</v>
      </c>
      <c r="C5006" s="5" t="s">
        <v>17</v>
      </c>
      <c r="D5006" s="5" t="s">
        <v>18</v>
      </c>
      <c r="E5006" s="5" t="s">
        <v>719</v>
      </c>
      <c r="F5006" s="9" t="s">
        <v>1377</v>
      </c>
      <c r="G5006" s="9">
        <v>462</v>
      </c>
      <c r="H5006" s="5" t="s">
        <v>21</v>
      </c>
      <c r="I5006" s="5" t="s">
        <v>12060</v>
      </c>
      <c r="J5006" s="12" t="str">
        <f>HYPERLINK("https://www.boe.es/gazeta/dias/1808/12/16/pdfs/GMS-1808-58.pdf#page=6","Abrir facsímil")</f>
        <v>Abrir facsímil</v>
      </c>
      <c r="K5006" s="15" t="s">
        <v>23</v>
      </c>
    </row>
    <row r="5007" spans="1:11" ht="42" customHeight="1">
      <c r="A5007" s="4" t="s">
        <v>12061</v>
      </c>
      <c r="B5007" s="5" t="s">
        <v>12061</v>
      </c>
      <c r="C5007" s="5" t="s">
        <v>33</v>
      </c>
      <c r="D5007" s="5" t="s">
        <v>34</v>
      </c>
      <c r="E5007" s="5" t="s">
        <v>110</v>
      </c>
      <c r="F5007" s="9" t="s">
        <v>828</v>
      </c>
      <c r="G5007" s="9" t="s">
        <v>117</v>
      </c>
      <c r="H5007" s="5" t="s">
        <v>21</v>
      </c>
      <c r="I5007" s="5" t="s">
        <v>12062</v>
      </c>
      <c r="J5007" s="12" t="str">
        <f>HYPERLINK("https://www.boe.es/gazeta/dias/1808/10/28/pdfs/GMD-D-1808-138.pdf#page=1","Abrir facsímil")</f>
        <v>Abrir facsímil</v>
      </c>
      <c r="K5007" s="15" t="s">
        <v>23</v>
      </c>
    </row>
    <row r="5008" spans="1:11" ht="42" customHeight="1">
      <c r="A5008" s="4" t="s">
        <v>12063</v>
      </c>
      <c r="B5008" s="5" t="s">
        <v>12063</v>
      </c>
      <c r="C5008" s="5" t="s">
        <v>41</v>
      </c>
      <c r="D5008" s="5" t="s">
        <v>42</v>
      </c>
      <c r="E5008" s="5" t="s">
        <v>478</v>
      </c>
      <c r="F5008" s="9" t="s">
        <v>479</v>
      </c>
      <c r="G5008" s="9">
        <v>244</v>
      </c>
      <c r="H5008" s="5" t="s">
        <v>21</v>
      </c>
      <c r="I5008" s="5" t="s">
        <v>12064</v>
      </c>
      <c r="J5008" s="12" t="str">
        <f>HYPERLINK("https://www.boe.es/gazeta/dias/1808/03/08/pdfs/GMD-1808-20.pdf#page=10","Abrir facsímil")</f>
        <v>Abrir facsímil</v>
      </c>
      <c r="K5008" s="15" t="s">
        <v>23</v>
      </c>
    </row>
    <row r="5009" spans="1:11" ht="42" customHeight="1">
      <c r="A5009" s="4" t="s">
        <v>12065</v>
      </c>
      <c r="B5009" s="5" t="s">
        <v>12065</v>
      </c>
      <c r="C5009" s="5" t="s">
        <v>17</v>
      </c>
      <c r="D5009" s="5" t="s">
        <v>18</v>
      </c>
      <c r="E5009" s="5" t="s">
        <v>290</v>
      </c>
      <c r="F5009" s="9" t="s">
        <v>291</v>
      </c>
      <c r="G5009" s="9">
        <v>1058</v>
      </c>
      <c r="H5009" s="5" t="s">
        <v>21</v>
      </c>
      <c r="I5009" s="5" t="s">
        <v>12066</v>
      </c>
      <c r="J5009" s="12" t="str">
        <f>HYPERLINK("https://www.boe.es/gazeta/dias/1808/08/23/pdfs/GMD-1808-116.pdf#page=4","Abrir facsímil")</f>
        <v>Abrir facsímil</v>
      </c>
      <c r="K5009" s="15" t="s">
        <v>23</v>
      </c>
    </row>
    <row r="5010" spans="1:11" ht="42" customHeight="1">
      <c r="A5010" s="4" t="s">
        <v>12067</v>
      </c>
      <c r="B5010" s="5" t="s">
        <v>12067</v>
      </c>
      <c r="C5010" s="5" t="s">
        <v>389</v>
      </c>
      <c r="D5010" s="5" t="s">
        <v>390</v>
      </c>
      <c r="E5010" s="5" t="s">
        <v>290</v>
      </c>
      <c r="F5010" s="9" t="s">
        <v>291</v>
      </c>
      <c r="G5010" s="9">
        <v>1065</v>
      </c>
      <c r="H5010" s="5" t="s">
        <v>21</v>
      </c>
      <c r="I5010" s="5" t="s">
        <v>12068</v>
      </c>
      <c r="J5010" s="12" t="str">
        <f>HYPERLINK("https://www.boe.es/gazeta/dias/1808/08/23/pdfs/GMD-1808-116.pdf#page=11","Abrir facsímil")</f>
        <v>Abrir facsímil</v>
      </c>
      <c r="K5010" s="15" t="s">
        <v>23</v>
      </c>
    </row>
    <row r="5011" spans="1:11" ht="42" customHeight="1">
      <c r="A5011" s="4" t="s">
        <v>12069</v>
      </c>
      <c r="B5011" s="5" t="s">
        <v>12070</v>
      </c>
      <c r="C5011" s="5" t="s">
        <v>33</v>
      </c>
      <c r="D5011" s="5" t="s">
        <v>34</v>
      </c>
      <c r="E5011" s="5" t="s">
        <v>125</v>
      </c>
      <c r="F5011" s="9" t="s">
        <v>126</v>
      </c>
      <c r="G5011" s="9" t="s">
        <v>106</v>
      </c>
      <c r="H5011" s="5" t="s">
        <v>21</v>
      </c>
      <c r="I5011" s="5" t="s">
        <v>12071</v>
      </c>
      <c r="J5011" s="12" t="str">
        <f>HYPERLINK("https://www.boe.es/gazeta/dias/1808/10/07/pdfs/GMD-C-1808-132.pdf#page=3","Abrir facsímil")</f>
        <v>Abrir facsímil</v>
      </c>
      <c r="K5011" s="15" t="s">
        <v>23</v>
      </c>
    </row>
    <row r="5012" spans="1:11" ht="42" customHeight="1">
      <c r="A5012" s="4" t="s">
        <v>12072</v>
      </c>
      <c r="B5012" s="5" t="s">
        <v>12072</v>
      </c>
      <c r="C5012" s="5" t="s">
        <v>17</v>
      </c>
      <c r="D5012" s="5" t="s">
        <v>18</v>
      </c>
      <c r="E5012" s="5" t="s">
        <v>427</v>
      </c>
      <c r="F5012" s="9" t="s">
        <v>1802</v>
      </c>
      <c r="G5012" s="9">
        <v>1519</v>
      </c>
      <c r="H5012" s="5" t="s">
        <v>21</v>
      </c>
      <c r="I5012" s="5" t="s">
        <v>12073</v>
      </c>
      <c r="J5012" s="12" t="str">
        <f>HYPERLINK("https://www.boe.es/gazeta/dias/1808/11/22/pdfs/GMD-1808-146.pdf#page=5","Abrir facsímil")</f>
        <v>Abrir facsímil</v>
      </c>
      <c r="K5012" s="15" t="s">
        <v>23</v>
      </c>
    </row>
    <row r="5013" spans="1:11" ht="42" customHeight="1">
      <c r="A5013" s="4" t="s">
        <v>12074</v>
      </c>
      <c r="B5013" s="5" t="s">
        <v>12074</v>
      </c>
      <c r="C5013" s="5" t="s">
        <v>389</v>
      </c>
      <c r="D5013" s="5" t="s">
        <v>390</v>
      </c>
      <c r="E5013" s="5" t="s">
        <v>418</v>
      </c>
      <c r="F5013" s="9" t="s">
        <v>1218</v>
      </c>
      <c r="G5013" s="9">
        <v>1121</v>
      </c>
      <c r="H5013" s="5" t="s">
        <v>21</v>
      </c>
      <c r="I5013" s="5" t="s">
        <v>12075</v>
      </c>
      <c r="J5013" s="12" t="str">
        <f>HYPERLINK("https://www.boe.es/gazeta/dias/1808/09/06/pdfs/GMD-1808-120.pdf#page=3","Abrir facsímil")</f>
        <v>Abrir facsímil</v>
      </c>
      <c r="K5013" s="15" t="s">
        <v>23</v>
      </c>
    </row>
    <row r="5014" spans="1:11" ht="42" customHeight="1">
      <c r="A5014" s="4" t="s">
        <v>12076</v>
      </c>
      <c r="B5014" s="5" t="s">
        <v>12077</v>
      </c>
      <c r="C5014" s="5" t="s">
        <v>17</v>
      </c>
      <c r="D5014" s="5" t="s">
        <v>18</v>
      </c>
      <c r="E5014" s="5" t="s">
        <v>1676</v>
      </c>
      <c r="F5014" s="9" t="s">
        <v>1677</v>
      </c>
      <c r="G5014" s="9">
        <v>557</v>
      </c>
      <c r="H5014" s="5" t="s">
        <v>21</v>
      </c>
      <c r="I5014" s="5" t="s">
        <v>12078</v>
      </c>
      <c r="J5014" s="12" t="str">
        <f>HYPERLINK("https://www.boe.es/gazeta/dias/1808/06/10/pdfs/GMD-1808-55.pdf#page=11","Abrir facsímil")</f>
        <v>Abrir facsímil</v>
      </c>
      <c r="K5014" s="15" t="s">
        <v>23</v>
      </c>
    </row>
    <row r="5015" spans="1:11" ht="42" customHeight="1">
      <c r="A5015" s="4" t="s">
        <v>12079</v>
      </c>
      <c r="B5015" s="5" t="s">
        <v>12079</v>
      </c>
      <c r="C5015" s="5" t="s">
        <v>17</v>
      </c>
      <c r="D5015" s="5" t="s">
        <v>18</v>
      </c>
      <c r="E5015" s="5" t="s">
        <v>363</v>
      </c>
      <c r="F5015" s="9" t="s">
        <v>3718</v>
      </c>
      <c r="G5015" s="9">
        <v>264</v>
      </c>
      <c r="H5015" s="5" t="s">
        <v>21</v>
      </c>
      <c r="I5015" s="5" t="s">
        <v>12080</v>
      </c>
      <c r="J5015" s="12" t="str">
        <f>HYPERLINK("https://www.boe.es/gazeta/dias/1808/09/20/pdfs/GMS-1808-33.pdf#page=8","Abrir facsímil")</f>
        <v>Abrir facsímil</v>
      </c>
      <c r="K5015" s="15" t="s">
        <v>23</v>
      </c>
    </row>
    <row r="5016" spans="1:11" ht="42" customHeight="1">
      <c r="A5016" s="4" t="s">
        <v>12081</v>
      </c>
      <c r="B5016" s="5" t="s">
        <v>12081</v>
      </c>
      <c r="C5016" s="5" t="s">
        <v>94</v>
      </c>
      <c r="D5016" s="5" t="s">
        <v>95</v>
      </c>
      <c r="E5016" s="5" t="s">
        <v>68</v>
      </c>
      <c r="F5016" s="9" t="s">
        <v>849</v>
      </c>
      <c r="G5016" s="9">
        <v>1349</v>
      </c>
      <c r="H5016" s="5" t="s">
        <v>21</v>
      </c>
      <c r="I5016" s="5" t="s">
        <v>12082</v>
      </c>
      <c r="J5016" s="12" t="str">
        <f>HYPERLINK("https://www.boe.es/gazeta/dias/1808/10/21/pdfs/GMD-C-1808-136.pdf#page=9","Abrir facsímil")</f>
        <v>Abrir facsímil</v>
      </c>
      <c r="K5016" s="15" t="s">
        <v>23</v>
      </c>
    </row>
    <row r="5017" spans="1:11" ht="42" customHeight="1">
      <c r="A5017" s="4" t="s">
        <v>12083</v>
      </c>
      <c r="B5017" s="5" t="s">
        <v>12083</v>
      </c>
      <c r="C5017" s="5" t="s">
        <v>642</v>
      </c>
      <c r="D5017" s="5" t="s">
        <v>643</v>
      </c>
      <c r="E5017" s="5" t="s">
        <v>2143</v>
      </c>
      <c r="F5017" s="9" t="s">
        <v>2144</v>
      </c>
      <c r="G5017" s="9">
        <v>1218</v>
      </c>
      <c r="H5017" s="5" t="s">
        <v>21</v>
      </c>
      <c r="I5017" s="5" t="s">
        <v>12084</v>
      </c>
      <c r="J5017" s="12" t="str">
        <f>HYPERLINK("https://www.boe.es/gazeta/dias/1808/09/29/pdfs/GMD-1808-129E.pdf#page=2","Abrir facsímil")</f>
        <v>Abrir facsímil</v>
      </c>
      <c r="K5017" s="15" t="s">
        <v>23</v>
      </c>
    </row>
    <row r="5018" spans="1:11" ht="42" customHeight="1">
      <c r="A5018" s="4" t="s">
        <v>12083</v>
      </c>
      <c r="B5018" s="5" t="s">
        <v>12083</v>
      </c>
      <c r="C5018" s="5" t="s">
        <v>17</v>
      </c>
      <c r="D5018" s="5" t="s">
        <v>18</v>
      </c>
      <c r="E5018" s="5" t="s">
        <v>197</v>
      </c>
      <c r="F5018" s="9" t="s">
        <v>857</v>
      </c>
      <c r="G5018" s="9">
        <v>356</v>
      </c>
      <c r="H5018" s="5" t="s">
        <v>21</v>
      </c>
      <c r="I5018" s="5" t="s">
        <v>12085</v>
      </c>
      <c r="J5018" s="12" t="str">
        <f>HYPERLINK("https://www.boe.es/gazeta/dias/1808/11/01/pdfs/GMS-1808-45.pdf#page=4","Abrir facsímil")</f>
        <v>Abrir facsímil</v>
      </c>
      <c r="K5018" s="15" t="s">
        <v>23</v>
      </c>
    </row>
    <row r="5019" spans="1:11" ht="42" customHeight="1">
      <c r="A5019" s="4" t="s">
        <v>12086</v>
      </c>
      <c r="B5019" s="5" t="s">
        <v>12086</v>
      </c>
      <c r="C5019" s="5" t="s">
        <v>94</v>
      </c>
      <c r="D5019" s="5" t="s">
        <v>95</v>
      </c>
      <c r="E5019" s="5" t="s">
        <v>65</v>
      </c>
      <c r="F5019" s="9" t="s">
        <v>66</v>
      </c>
      <c r="G5019" s="9">
        <v>1314</v>
      </c>
      <c r="H5019" s="5" t="s">
        <v>21</v>
      </c>
      <c r="I5019" s="5" t="s">
        <v>12087</v>
      </c>
      <c r="J5019" s="12" t="str">
        <f>HYPERLINK("https://www.boe.es/gazeta/dias/1808/10/18/pdfs/GMD-1808-135.pdf#page=14","Abrir facsímil")</f>
        <v>Abrir facsímil</v>
      </c>
      <c r="K5019" s="15" t="s">
        <v>23</v>
      </c>
    </row>
    <row r="5020" spans="1:11" ht="42" customHeight="1">
      <c r="A5020" s="4" t="s">
        <v>12088</v>
      </c>
      <c r="B5020" s="5" t="s">
        <v>12088</v>
      </c>
      <c r="C5020" s="5" t="s">
        <v>17</v>
      </c>
      <c r="D5020" s="5" t="s">
        <v>18</v>
      </c>
      <c r="E5020" s="5" t="s">
        <v>461</v>
      </c>
      <c r="F5020" s="9" t="s">
        <v>733</v>
      </c>
      <c r="G5020" s="9">
        <v>1447</v>
      </c>
      <c r="H5020" s="5" t="s">
        <v>21</v>
      </c>
      <c r="I5020" s="5" t="s">
        <v>12089</v>
      </c>
      <c r="J5020" s="12" t="str">
        <f>HYPERLINK("https://www.boe.es/gazeta/dias/1808/11/08/pdfs/GMD-1808-142.pdf#page=9","Abrir facsímil")</f>
        <v>Abrir facsímil</v>
      </c>
      <c r="K5020" s="15" t="s">
        <v>23</v>
      </c>
    </row>
    <row r="5021" spans="1:11" ht="42" customHeight="1">
      <c r="A5021" s="4" t="s">
        <v>12090</v>
      </c>
      <c r="B5021" s="5" t="s">
        <v>12090</v>
      </c>
      <c r="C5021" s="5" t="s">
        <v>94</v>
      </c>
      <c r="D5021" s="5" t="s">
        <v>95</v>
      </c>
      <c r="E5021" s="5" t="s">
        <v>203</v>
      </c>
      <c r="F5021" s="9" t="s">
        <v>204</v>
      </c>
      <c r="G5021" s="9">
        <v>141</v>
      </c>
      <c r="H5021" s="5" t="s">
        <v>21</v>
      </c>
      <c r="I5021" s="5" t="s">
        <v>12091</v>
      </c>
      <c r="J5021" s="12" t="str">
        <f>HYPERLINK("https://www.boe.es/gazeta/dias/1808/02/09/pdfs/GMD-1808-12.pdf#page=9","Abrir facsímil")</f>
        <v>Abrir facsímil</v>
      </c>
      <c r="K5021" s="15" t="s">
        <v>23</v>
      </c>
    </row>
    <row r="5022" spans="1:11" ht="42" customHeight="1">
      <c r="A5022" s="4" t="s">
        <v>12092</v>
      </c>
      <c r="B5022" s="5" t="s">
        <v>12092</v>
      </c>
      <c r="C5022" s="5" t="s">
        <v>33</v>
      </c>
      <c r="D5022" s="5" t="s">
        <v>34</v>
      </c>
      <c r="E5022" s="5" t="s">
        <v>35</v>
      </c>
      <c r="F5022" s="9" t="s">
        <v>36</v>
      </c>
      <c r="G5022" s="9" t="s">
        <v>284</v>
      </c>
      <c r="H5022" s="5" t="s">
        <v>21</v>
      </c>
      <c r="I5022" s="5" t="s">
        <v>12093</v>
      </c>
      <c r="J5022" s="12" t="str">
        <f>HYPERLINK("https://www.boe.es/gazeta/dias/1808/04/22/pdfs/GMD-C-1808-38.pdf#page=35","Abrir facsímil")</f>
        <v>Abrir facsímil</v>
      </c>
      <c r="K5022" s="15" t="s">
        <v>23</v>
      </c>
    </row>
    <row r="5023" spans="1:11" ht="42" customHeight="1">
      <c r="A5023" s="4" t="s">
        <v>12094</v>
      </c>
      <c r="B5023" s="5" t="s">
        <v>12095</v>
      </c>
      <c r="C5023" s="5" t="s">
        <v>260</v>
      </c>
      <c r="D5023" s="5" t="s">
        <v>42</v>
      </c>
      <c r="E5023" s="5" t="s">
        <v>210</v>
      </c>
      <c r="F5023" s="9" t="s">
        <v>211</v>
      </c>
      <c r="G5023" s="9">
        <v>254</v>
      </c>
      <c r="H5023" s="5" t="s">
        <v>21</v>
      </c>
      <c r="I5023" s="5" t="s">
        <v>12096</v>
      </c>
      <c r="J5023" s="12" t="str">
        <f>HYPERLINK("https://www.boe.es/gazeta/dias/1808/03/11/pdfs/GMD-1808-21.pdf#page=8","Abrir facsímil")</f>
        <v>Abrir facsímil</v>
      </c>
      <c r="K5023" s="15" t="s">
        <v>23</v>
      </c>
    </row>
    <row r="5024" spans="1:11" ht="42" customHeight="1">
      <c r="A5024" s="4" t="s">
        <v>12094</v>
      </c>
      <c r="B5024" s="5" t="s">
        <v>12095</v>
      </c>
      <c r="C5024" s="5" t="s">
        <v>33</v>
      </c>
      <c r="D5024" s="5" t="s">
        <v>34</v>
      </c>
      <c r="E5024" s="5" t="s">
        <v>139</v>
      </c>
      <c r="F5024" s="9" t="s">
        <v>1089</v>
      </c>
      <c r="G5024" s="9" t="s">
        <v>117</v>
      </c>
      <c r="H5024" s="5" t="s">
        <v>21</v>
      </c>
      <c r="I5024" s="5" t="s">
        <v>12097</v>
      </c>
      <c r="J5024" s="12" t="str">
        <f>HYPERLINK("https://www.boe.es/gazeta/dias/1808/09/23/pdfs/GMD-C-1808-127.pdf#page=1","Abrir facsímil")</f>
        <v>Abrir facsímil</v>
      </c>
      <c r="K5024" s="15" t="s">
        <v>23</v>
      </c>
    </row>
    <row r="5025" spans="1:11" ht="42" customHeight="1">
      <c r="A5025" s="4" t="s">
        <v>12098</v>
      </c>
      <c r="B5025" s="5" t="s">
        <v>12099</v>
      </c>
      <c r="C5025" s="5" t="s">
        <v>94</v>
      </c>
      <c r="D5025" s="5" t="s">
        <v>95</v>
      </c>
      <c r="E5025" s="5" t="s">
        <v>832</v>
      </c>
      <c r="F5025" s="9" t="s">
        <v>833</v>
      </c>
      <c r="G5025" s="9">
        <v>518</v>
      </c>
      <c r="H5025" s="5" t="s">
        <v>21</v>
      </c>
      <c r="I5025" s="5" t="s">
        <v>12100</v>
      </c>
      <c r="J5025" s="12" t="str">
        <f>HYPERLINK("https://www.boe.es/gazeta/dias/1808/05/31/pdfs/GMD-1808-52.pdf#page=8","Abrir facsímil")</f>
        <v>Abrir facsímil</v>
      </c>
      <c r="K5025" s="15" t="s">
        <v>23</v>
      </c>
    </row>
    <row r="5026" spans="1:11" ht="42" customHeight="1">
      <c r="A5026" s="4" t="s">
        <v>12101</v>
      </c>
      <c r="B5026" s="5" t="s">
        <v>12101</v>
      </c>
      <c r="C5026" s="5" t="s">
        <v>17</v>
      </c>
      <c r="D5026" s="5" t="s">
        <v>18</v>
      </c>
      <c r="E5026" s="5" t="s">
        <v>3313</v>
      </c>
      <c r="F5026" s="9" t="s">
        <v>3314</v>
      </c>
      <c r="G5026" s="9">
        <v>814</v>
      </c>
      <c r="H5026" s="5" t="s">
        <v>21</v>
      </c>
      <c r="I5026" s="5" t="s">
        <v>12102</v>
      </c>
      <c r="J5026" s="12" t="str">
        <f>HYPERLINK("https://www.boe.es/gazeta/dias/1808/07/15/pdfs/GMD-1808-87.pdf#page=8","Abrir facsímil")</f>
        <v>Abrir facsímil</v>
      </c>
      <c r="K5026" s="15" t="s">
        <v>23</v>
      </c>
    </row>
    <row r="5027" spans="1:11" ht="42" customHeight="1">
      <c r="A5027" s="4" t="s">
        <v>12103</v>
      </c>
      <c r="B5027" s="5" t="s">
        <v>12104</v>
      </c>
      <c r="C5027" s="5" t="s">
        <v>41</v>
      </c>
      <c r="D5027" s="5" t="s">
        <v>42</v>
      </c>
      <c r="E5027" s="5" t="s">
        <v>73</v>
      </c>
      <c r="F5027" s="9" t="s">
        <v>74</v>
      </c>
      <c r="G5027" s="9" t="s">
        <v>75</v>
      </c>
      <c r="H5027" s="5" t="s">
        <v>21</v>
      </c>
      <c r="I5027" s="5" t="s">
        <v>12105</v>
      </c>
      <c r="J5027" s="12" t="str">
        <f>HYPERLINK("https://www.boe.es/gazeta/dias/1808/11/11/pdfs/GMD-D-1808-143.pdf#page=4","Abrir facsímil")</f>
        <v>Abrir facsímil</v>
      </c>
      <c r="K5027" s="15" t="s">
        <v>23</v>
      </c>
    </row>
    <row r="5028" spans="1:11" ht="42" customHeight="1">
      <c r="A5028" s="4" t="s">
        <v>12106</v>
      </c>
      <c r="B5028" s="5" t="s">
        <v>12106</v>
      </c>
      <c r="C5028" s="5" t="s">
        <v>41</v>
      </c>
      <c r="D5028" s="5" t="s">
        <v>42</v>
      </c>
      <c r="E5028" s="5" t="s">
        <v>28</v>
      </c>
      <c r="F5028" s="9" t="s">
        <v>29</v>
      </c>
      <c r="G5028" s="9">
        <v>1429</v>
      </c>
      <c r="H5028" s="5" t="s">
        <v>21</v>
      </c>
      <c r="I5028" s="5" t="s">
        <v>12107</v>
      </c>
      <c r="J5028" s="12" t="str">
        <f>HYPERLINK("https://www.boe.es/gazeta/dias/1808/11/04/pdfs/GMD-1808-141.pdf#page=11","Abrir facsímil")</f>
        <v>Abrir facsímil</v>
      </c>
      <c r="K5028" s="15" t="s">
        <v>23</v>
      </c>
    </row>
    <row r="5029" spans="1:11" ht="42" customHeight="1">
      <c r="A5029" s="4" t="s">
        <v>12108</v>
      </c>
      <c r="B5029" s="5" t="s">
        <v>12108</v>
      </c>
      <c r="C5029" s="5" t="s">
        <v>33</v>
      </c>
      <c r="D5029" s="5" t="s">
        <v>34</v>
      </c>
      <c r="E5029" s="5" t="s">
        <v>35</v>
      </c>
      <c r="F5029" s="9" t="s">
        <v>36</v>
      </c>
      <c r="G5029" s="9" t="s">
        <v>1860</v>
      </c>
      <c r="H5029" s="5" t="s">
        <v>21</v>
      </c>
      <c r="I5029" s="5" t="s">
        <v>12109</v>
      </c>
      <c r="J5029" s="12" t="str">
        <f>HYPERLINK("https://www.boe.es/gazeta/dias/1808/04/22/pdfs/GMD-C-1808-38.pdf#page=37","Abrir facsímil")</f>
        <v>Abrir facsímil</v>
      </c>
      <c r="K5029" s="15" t="s">
        <v>23</v>
      </c>
    </row>
    <row r="5030" spans="1:11" ht="42" customHeight="1">
      <c r="A5030" s="4" t="s">
        <v>12110</v>
      </c>
      <c r="B5030" s="5" t="s">
        <v>12110</v>
      </c>
      <c r="C5030" s="5" t="s">
        <v>17</v>
      </c>
      <c r="D5030" s="5" t="s">
        <v>18</v>
      </c>
      <c r="E5030" s="5" t="s">
        <v>663</v>
      </c>
      <c r="F5030" s="9" t="s">
        <v>664</v>
      </c>
      <c r="G5030" s="9">
        <v>207</v>
      </c>
      <c r="H5030" s="5" t="s">
        <v>21</v>
      </c>
      <c r="I5030" s="5" t="s">
        <v>12111</v>
      </c>
      <c r="J5030" s="12" t="str">
        <f>HYPERLINK("https://www.boe.es/gazeta/dias/1808/02/26/pdfs/GMD-1808-17.pdf#page=9","Abrir facsímil")</f>
        <v>Abrir facsímil</v>
      </c>
      <c r="K5030" s="15" t="s">
        <v>23</v>
      </c>
    </row>
    <row r="5031" spans="1:11" ht="42" customHeight="1">
      <c r="A5031" s="4" t="s">
        <v>12112</v>
      </c>
      <c r="B5031" s="5" t="s">
        <v>12113</v>
      </c>
      <c r="C5031" s="5" t="s">
        <v>33</v>
      </c>
      <c r="D5031" s="5" t="s">
        <v>34</v>
      </c>
      <c r="E5031" s="5" t="s">
        <v>35</v>
      </c>
      <c r="F5031" s="9" t="s">
        <v>36</v>
      </c>
      <c r="G5031" s="9" t="s">
        <v>1178</v>
      </c>
      <c r="H5031" s="5" t="s">
        <v>21</v>
      </c>
      <c r="I5031" s="5" t="s">
        <v>12114</v>
      </c>
      <c r="J5031" s="12" t="str">
        <f>HYPERLINK("https://www.boe.es/gazeta/dias/1808/04/22/pdfs/GMD-C-1808-38.pdf#page=9","Abrir facsímil")</f>
        <v>Abrir facsímil</v>
      </c>
      <c r="K5031" s="15" t="s">
        <v>23</v>
      </c>
    </row>
    <row r="5032" spans="1:11" ht="42" customHeight="1">
      <c r="A5032" s="4" t="s">
        <v>12115</v>
      </c>
      <c r="B5032" s="5" t="s">
        <v>12115</v>
      </c>
      <c r="C5032" s="5" t="s">
        <v>33</v>
      </c>
      <c r="D5032" s="5" t="s">
        <v>34</v>
      </c>
      <c r="E5032" s="5" t="s">
        <v>28</v>
      </c>
      <c r="F5032" s="9" t="s">
        <v>446</v>
      </c>
      <c r="G5032" s="9" t="s">
        <v>106</v>
      </c>
      <c r="H5032" s="5" t="s">
        <v>21</v>
      </c>
      <c r="I5032" s="5" t="s">
        <v>12116</v>
      </c>
      <c r="J5032" s="12" t="str">
        <f>HYPERLINK("https://www.boe.es/gazeta/dias/1808/11/04/pdfs/GMD-D-1808-141.pdf#page=3","Abrir facsímil")</f>
        <v>Abrir facsímil</v>
      </c>
      <c r="K5032" s="15" t="s">
        <v>23</v>
      </c>
    </row>
    <row r="5033" spans="1:11" ht="42" customHeight="1">
      <c r="A5033" s="4" t="s">
        <v>12117</v>
      </c>
      <c r="B5033" s="5" t="s">
        <v>12117</v>
      </c>
      <c r="C5033" s="5" t="s">
        <v>17</v>
      </c>
      <c r="D5033" s="5" t="s">
        <v>18</v>
      </c>
      <c r="E5033" s="5" t="s">
        <v>110</v>
      </c>
      <c r="F5033" s="9" t="s">
        <v>111</v>
      </c>
      <c r="G5033" s="9">
        <v>1384</v>
      </c>
      <c r="H5033" s="5" t="s">
        <v>21</v>
      </c>
      <c r="I5033" s="5" t="s">
        <v>12118</v>
      </c>
      <c r="J5033" s="12" t="str">
        <f>HYPERLINK("https://www.boe.es/gazeta/dias/1808/10/28/pdfs/GMD-1808-138.pdf#page=10","Abrir facsímil")</f>
        <v>Abrir facsímil</v>
      </c>
      <c r="K5033" s="15" t="s">
        <v>23</v>
      </c>
    </row>
    <row r="5034" spans="1:11" ht="42" customHeight="1">
      <c r="A5034" s="4" t="s">
        <v>12119</v>
      </c>
      <c r="B5034" s="5" t="s">
        <v>12119</v>
      </c>
      <c r="C5034" s="5" t="s">
        <v>33</v>
      </c>
      <c r="D5034" s="5" t="s">
        <v>34</v>
      </c>
      <c r="E5034" s="5" t="s">
        <v>35</v>
      </c>
      <c r="F5034" s="9" t="s">
        <v>36</v>
      </c>
      <c r="G5034" s="9" t="s">
        <v>47</v>
      </c>
      <c r="H5034" s="5" t="s">
        <v>21</v>
      </c>
      <c r="I5034" s="5" t="s">
        <v>12120</v>
      </c>
      <c r="J5034" s="12" t="str">
        <f>HYPERLINK("https://www.boe.es/gazeta/dias/1808/04/22/pdfs/GMD-C-1808-38.pdf#page=13","Abrir facsímil")</f>
        <v>Abrir facsímil</v>
      </c>
      <c r="K5034" s="15" t="s">
        <v>23</v>
      </c>
    </row>
    <row r="5035" spans="1:11" ht="42" customHeight="1">
      <c r="A5035" s="4" t="s">
        <v>12121</v>
      </c>
      <c r="B5035" s="5" t="s">
        <v>12121</v>
      </c>
      <c r="C5035" s="5" t="s">
        <v>33</v>
      </c>
      <c r="D5035" s="5" t="s">
        <v>34</v>
      </c>
      <c r="E5035" s="5" t="s">
        <v>35</v>
      </c>
      <c r="F5035" s="9" t="s">
        <v>36</v>
      </c>
      <c r="G5035" s="9" t="s">
        <v>795</v>
      </c>
      <c r="H5035" s="5" t="s">
        <v>21</v>
      </c>
      <c r="I5035" s="5" t="s">
        <v>12122</v>
      </c>
      <c r="J5035" s="12" t="str">
        <f>HYPERLINK("https://www.boe.es/gazeta/dias/1808/04/22/pdfs/GMD-C-1808-38.pdf#page=21","Abrir facsímil")</f>
        <v>Abrir facsímil</v>
      </c>
      <c r="K5035" s="15" t="s">
        <v>23</v>
      </c>
    </row>
    <row r="5036" spans="1:11" ht="42" customHeight="1">
      <c r="A5036" s="4" t="s">
        <v>12123</v>
      </c>
      <c r="B5036" s="5" t="s">
        <v>12123</v>
      </c>
      <c r="C5036" s="5" t="s">
        <v>33</v>
      </c>
      <c r="D5036" s="5" t="s">
        <v>34</v>
      </c>
      <c r="E5036" s="5" t="s">
        <v>35</v>
      </c>
      <c r="F5036" s="9" t="s">
        <v>36</v>
      </c>
      <c r="G5036" s="9" t="s">
        <v>135</v>
      </c>
      <c r="H5036" s="5" t="s">
        <v>21</v>
      </c>
      <c r="I5036" s="5" t="s">
        <v>12124</v>
      </c>
      <c r="J5036" s="12" t="str">
        <f>HYPERLINK("https://www.boe.es/gazeta/dias/1808/04/22/pdfs/GMD-C-1808-38.pdf#page=26","Abrir facsímil")</f>
        <v>Abrir facsímil</v>
      </c>
      <c r="K5036" s="15" t="s">
        <v>23</v>
      </c>
    </row>
    <row r="5037" spans="1:11" ht="42" customHeight="1">
      <c r="A5037" s="4" t="s">
        <v>12125</v>
      </c>
      <c r="B5037" s="5" t="s">
        <v>12126</v>
      </c>
      <c r="C5037" s="5" t="s">
        <v>17</v>
      </c>
      <c r="D5037" s="5" t="s">
        <v>18</v>
      </c>
      <c r="E5037" s="5" t="s">
        <v>110</v>
      </c>
      <c r="F5037" s="9" t="s">
        <v>111</v>
      </c>
      <c r="G5037" s="9">
        <v>1384</v>
      </c>
      <c r="H5037" s="5" t="s">
        <v>21</v>
      </c>
      <c r="I5037" s="5" t="s">
        <v>12127</v>
      </c>
      <c r="J5037" s="12" t="str">
        <f>HYPERLINK("https://www.boe.es/gazeta/dias/1808/10/28/pdfs/GMD-1808-138.pdf#page=10","Abrir facsímil")</f>
        <v>Abrir facsímil</v>
      </c>
      <c r="K5037" s="15" t="s">
        <v>23</v>
      </c>
    </row>
    <row r="5038" spans="1:11" ht="42" customHeight="1">
      <c r="A5038" s="4" t="s">
        <v>12128</v>
      </c>
      <c r="B5038" s="5" t="s">
        <v>12128</v>
      </c>
      <c r="C5038" s="5" t="s">
        <v>33</v>
      </c>
      <c r="D5038" s="5" t="s">
        <v>34</v>
      </c>
      <c r="E5038" s="5" t="s">
        <v>35</v>
      </c>
      <c r="F5038" s="9" t="s">
        <v>36</v>
      </c>
      <c r="G5038" s="9" t="s">
        <v>1806</v>
      </c>
      <c r="H5038" s="5" t="s">
        <v>21</v>
      </c>
      <c r="I5038" s="5" t="s">
        <v>12129</v>
      </c>
      <c r="J5038" s="12" t="str">
        <f>HYPERLINK("https://www.boe.es/gazeta/dias/1808/04/22/pdfs/GMD-C-1808-38.pdf#page=6","Abrir facsímil")</f>
        <v>Abrir facsímil</v>
      </c>
      <c r="K5038" s="15" t="s">
        <v>23</v>
      </c>
    </row>
    <row r="5039" spans="1:11" ht="42" customHeight="1">
      <c r="A5039" s="4" t="s">
        <v>12130</v>
      </c>
      <c r="B5039" s="5" t="s">
        <v>12130</v>
      </c>
      <c r="C5039" s="5" t="s">
        <v>17</v>
      </c>
      <c r="D5039" s="5" t="s">
        <v>18</v>
      </c>
      <c r="E5039" s="5" t="s">
        <v>73</v>
      </c>
      <c r="F5039" s="9" t="s">
        <v>581</v>
      </c>
      <c r="G5039" s="9">
        <v>1468</v>
      </c>
      <c r="H5039" s="5" t="s">
        <v>21</v>
      </c>
      <c r="I5039" s="5" t="s">
        <v>12131</v>
      </c>
      <c r="J5039" s="12" t="str">
        <f>HYPERLINK("https://www.boe.es/gazeta/dias/1808/11/11/pdfs/GMD-1808-143.pdf#page=10","Abrir facsímil")</f>
        <v>Abrir facsímil</v>
      </c>
      <c r="K5039" s="15" t="s">
        <v>23</v>
      </c>
    </row>
    <row r="5040" spans="1:11" ht="42" customHeight="1">
      <c r="A5040" s="4" t="s">
        <v>12132</v>
      </c>
      <c r="B5040" s="5" t="s">
        <v>12133</v>
      </c>
      <c r="C5040" s="5" t="s">
        <v>33</v>
      </c>
      <c r="D5040" s="5" t="s">
        <v>34</v>
      </c>
      <c r="E5040" s="5" t="s">
        <v>35</v>
      </c>
      <c r="F5040" s="9" t="s">
        <v>36</v>
      </c>
      <c r="G5040" s="9" t="s">
        <v>443</v>
      </c>
      <c r="H5040" s="5" t="s">
        <v>21</v>
      </c>
      <c r="I5040" s="5" t="s">
        <v>12134</v>
      </c>
      <c r="J5040" s="12" t="str">
        <f>HYPERLINK("https://www.boe.es/gazeta/dias/1808/04/22/pdfs/GMD-C-1808-38.pdf#page=16","Abrir facsímil")</f>
        <v>Abrir facsímil</v>
      </c>
      <c r="K5040" s="15" t="s">
        <v>23</v>
      </c>
    </row>
    <row r="5041" spans="1:11" ht="42" customHeight="1">
      <c r="A5041" s="4" t="s">
        <v>12135</v>
      </c>
      <c r="B5041" s="5" t="s">
        <v>12136</v>
      </c>
      <c r="C5041" s="5" t="s">
        <v>41</v>
      </c>
      <c r="D5041" s="5" t="s">
        <v>42</v>
      </c>
      <c r="E5041" s="5" t="s">
        <v>558</v>
      </c>
      <c r="F5041" s="9" t="s">
        <v>758</v>
      </c>
      <c r="G5041" s="9" t="s">
        <v>199</v>
      </c>
      <c r="H5041" s="5" t="s">
        <v>21</v>
      </c>
      <c r="I5041" s="5" t="s">
        <v>12137</v>
      </c>
      <c r="J5041" s="12" t="str">
        <f>HYPERLINK("https://www.boe.es/gazeta/dias/1808/11/25/pdfs/GMD-E-1808-147.pdf#page=2","Abrir facsímil")</f>
        <v>Abrir facsímil</v>
      </c>
      <c r="K5041" s="15" t="s">
        <v>23</v>
      </c>
    </row>
    <row r="5042" spans="1:11" ht="42" customHeight="1">
      <c r="A5042" s="4" t="s">
        <v>12138</v>
      </c>
      <c r="B5042" s="5" t="s">
        <v>12138</v>
      </c>
      <c r="C5042" s="5" t="s">
        <v>17</v>
      </c>
      <c r="D5042" s="5" t="s">
        <v>18</v>
      </c>
      <c r="E5042" s="5" t="s">
        <v>89</v>
      </c>
      <c r="F5042" s="9" t="s">
        <v>90</v>
      </c>
      <c r="G5042" s="9">
        <v>1363</v>
      </c>
      <c r="H5042" s="5" t="s">
        <v>21</v>
      </c>
      <c r="I5042" s="5" t="s">
        <v>12139</v>
      </c>
      <c r="J5042" s="12" t="str">
        <f>HYPERLINK("https://www.boe.es/gazeta/dias/1808/10/25/pdfs/GMD-1808-137.pdf#page=11","Abrir facsímil")</f>
        <v>Abrir facsímil</v>
      </c>
      <c r="K5042" s="15" t="s">
        <v>23</v>
      </c>
    </row>
    <row r="5043" spans="1:11" ht="42" customHeight="1">
      <c r="A5043" s="4" t="s">
        <v>12140</v>
      </c>
      <c r="B5043" s="5" t="s">
        <v>12141</v>
      </c>
      <c r="C5043" s="5" t="s">
        <v>17</v>
      </c>
      <c r="D5043" s="5" t="s">
        <v>18</v>
      </c>
      <c r="E5043" s="5" t="s">
        <v>558</v>
      </c>
      <c r="F5043" s="9" t="s">
        <v>559</v>
      </c>
      <c r="G5043" s="9">
        <v>1545</v>
      </c>
      <c r="H5043" s="5" t="s">
        <v>21</v>
      </c>
      <c r="I5043" s="5" t="s">
        <v>12142</v>
      </c>
      <c r="J5043" s="12" t="str">
        <f>HYPERLINK("https://www.boe.es/gazeta/dias/1808/11/25/pdfs/GMD-1808-147.pdf#page=11","Abrir facsímil")</f>
        <v>Abrir facsímil</v>
      </c>
      <c r="K5043" s="15" t="s">
        <v>23</v>
      </c>
    </row>
    <row r="5044" spans="1:11" ht="42" customHeight="1">
      <c r="A5044" s="4" t="s">
        <v>12143</v>
      </c>
      <c r="B5044" s="5" t="s">
        <v>12144</v>
      </c>
      <c r="C5044" s="5" t="s">
        <v>33</v>
      </c>
      <c r="D5044" s="5" t="s">
        <v>34</v>
      </c>
      <c r="E5044" s="5" t="s">
        <v>363</v>
      </c>
      <c r="F5044" s="9" t="s">
        <v>364</v>
      </c>
      <c r="G5044" s="9" t="s">
        <v>117</v>
      </c>
      <c r="H5044" s="5" t="s">
        <v>21</v>
      </c>
      <c r="I5044" s="5" t="s">
        <v>12145</v>
      </c>
      <c r="J5044" s="12" t="str">
        <f>HYPERLINK("https://www.boe.es/gazeta/dias/1808/09/20/pdfs/GMD-C-1808-126.pdf#page=1","Abrir facsímil")</f>
        <v>Abrir facsímil</v>
      </c>
      <c r="K5044" s="15" t="s">
        <v>23</v>
      </c>
    </row>
    <row r="5045" spans="1:11" ht="42" customHeight="1">
      <c r="A5045" s="4" t="s">
        <v>12146</v>
      </c>
      <c r="B5045" s="5" t="s">
        <v>12146</v>
      </c>
      <c r="C5045" s="5" t="s">
        <v>260</v>
      </c>
      <c r="D5045" s="5" t="s">
        <v>42</v>
      </c>
      <c r="E5045" s="5" t="s">
        <v>115</v>
      </c>
      <c r="F5045" s="9" t="s">
        <v>1650</v>
      </c>
      <c r="G5045" s="9">
        <v>1177</v>
      </c>
      <c r="H5045" s="5" t="s">
        <v>21</v>
      </c>
      <c r="I5045" s="5" t="s">
        <v>12147</v>
      </c>
      <c r="J5045" s="12" t="str">
        <f>HYPERLINK("https://www.boe.es/gazeta/dias/1808/09/16/pdfs/GMD-1808-125.pdf#page=9","Abrir facsímil")</f>
        <v>Abrir facsímil</v>
      </c>
      <c r="K5045" s="15" t="s">
        <v>23</v>
      </c>
    </row>
    <row r="5046" spans="1:11" ht="42" customHeight="1">
      <c r="A5046" s="4" t="s">
        <v>12148</v>
      </c>
      <c r="B5046" s="5" t="s">
        <v>12149</v>
      </c>
      <c r="C5046" s="5" t="s">
        <v>33</v>
      </c>
      <c r="D5046" s="5" t="s">
        <v>34</v>
      </c>
      <c r="E5046" s="5" t="s">
        <v>35</v>
      </c>
      <c r="F5046" s="9" t="s">
        <v>36</v>
      </c>
      <c r="G5046" s="9" t="s">
        <v>414</v>
      </c>
      <c r="H5046" s="5" t="s">
        <v>21</v>
      </c>
      <c r="I5046" s="5" t="s">
        <v>12150</v>
      </c>
      <c r="J5046" s="12" t="str">
        <f>HYPERLINK("https://www.boe.es/gazeta/dias/1808/04/22/pdfs/GMD-C-1808-38.pdf#page=20","Abrir facsímil")</f>
        <v>Abrir facsímil</v>
      </c>
      <c r="K5046" s="15" t="s">
        <v>23</v>
      </c>
    </row>
    <row r="5047" spans="1:11" ht="42" customHeight="1">
      <c r="A5047" s="4" t="s">
        <v>12151</v>
      </c>
      <c r="B5047" s="5" t="s">
        <v>12151</v>
      </c>
      <c r="C5047" s="5" t="s">
        <v>33</v>
      </c>
      <c r="D5047" s="5" t="s">
        <v>34</v>
      </c>
      <c r="E5047" s="5" t="s">
        <v>35</v>
      </c>
      <c r="F5047" s="9" t="s">
        <v>36</v>
      </c>
      <c r="G5047" s="9" t="s">
        <v>1294</v>
      </c>
      <c r="H5047" s="5" t="s">
        <v>21</v>
      </c>
      <c r="I5047" s="5" t="s">
        <v>12152</v>
      </c>
      <c r="J5047" s="12" t="str">
        <f>HYPERLINK("https://www.boe.es/gazeta/dias/1808/04/22/pdfs/GMD-C-1808-38.pdf#page=8","Abrir facsímil")</f>
        <v>Abrir facsímil</v>
      </c>
      <c r="K5047" s="15" t="s">
        <v>23</v>
      </c>
    </row>
    <row r="5048" spans="1:11" ht="42" customHeight="1">
      <c r="A5048" s="4" t="s">
        <v>12153</v>
      </c>
      <c r="B5048" s="5" t="s">
        <v>12153</v>
      </c>
      <c r="C5048" s="5" t="s">
        <v>33</v>
      </c>
      <c r="D5048" s="5" t="s">
        <v>34</v>
      </c>
      <c r="E5048" s="5" t="s">
        <v>35</v>
      </c>
      <c r="F5048" s="9" t="s">
        <v>36</v>
      </c>
      <c r="G5048" s="9" t="s">
        <v>1294</v>
      </c>
      <c r="H5048" s="5" t="s">
        <v>21</v>
      </c>
      <c r="I5048" s="5" t="s">
        <v>12154</v>
      </c>
      <c r="J5048" s="12" t="str">
        <f>HYPERLINK("https://www.boe.es/gazeta/dias/1808/04/22/pdfs/GMD-C-1808-38.pdf#page=8","Abrir facsímil")</f>
        <v>Abrir facsímil</v>
      </c>
      <c r="K5048" s="15" t="s">
        <v>23</v>
      </c>
    </row>
    <row r="5049" spans="1:11" ht="42" customHeight="1">
      <c r="A5049" s="4" t="s">
        <v>12155</v>
      </c>
      <c r="B5049" s="5" t="s">
        <v>12155</v>
      </c>
      <c r="C5049" s="5" t="s">
        <v>33</v>
      </c>
      <c r="D5049" s="5" t="s">
        <v>34</v>
      </c>
      <c r="E5049" s="5" t="s">
        <v>35</v>
      </c>
      <c r="F5049" s="9" t="s">
        <v>36</v>
      </c>
      <c r="G5049" s="9" t="s">
        <v>1006</v>
      </c>
      <c r="H5049" s="5" t="s">
        <v>21</v>
      </c>
      <c r="I5049" s="5" t="s">
        <v>12156</v>
      </c>
      <c r="J5049" s="12" t="str">
        <f>HYPERLINK("https://www.boe.es/gazeta/dias/1808/04/22/pdfs/GMD-C-1808-38.pdf#page=46","Abrir facsímil")</f>
        <v>Abrir facsímil</v>
      </c>
      <c r="K5049" s="15" t="s">
        <v>23</v>
      </c>
    </row>
    <row r="5050" spans="1:11" ht="42" customHeight="1">
      <c r="A5050" s="4" t="s">
        <v>12157</v>
      </c>
      <c r="B5050" s="5" t="s">
        <v>12157</v>
      </c>
      <c r="C5050" s="5" t="s">
        <v>17</v>
      </c>
      <c r="D5050" s="5" t="s">
        <v>18</v>
      </c>
      <c r="E5050" s="5" t="s">
        <v>61</v>
      </c>
      <c r="F5050" s="9" t="s">
        <v>62</v>
      </c>
      <c r="G5050" s="9">
        <v>1286</v>
      </c>
      <c r="H5050" s="5" t="s">
        <v>21</v>
      </c>
      <c r="I5050" s="5" t="s">
        <v>12158</v>
      </c>
      <c r="J5050" s="12" t="str">
        <f>HYPERLINK("https://www.boe.es/gazeta/dias/1808/10/11/pdfs/GMD-1808-133.pdf#page=14","Abrir facsímil")</f>
        <v>Abrir facsímil</v>
      </c>
      <c r="K5050" s="15" t="s">
        <v>23</v>
      </c>
    </row>
    <row r="5051" spans="1:11" ht="42" customHeight="1">
      <c r="A5051" s="4" t="s">
        <v>12159</v>
      </c>
      <c r="B5051" s="5" t="s">
        <v>12159</v>
      </c>
      <c r="C5051" s="5" t="s">
        <v>17</v>
      </c>
      <c r="D5051" s="5" t="s">
        <v>18</v>
      </c>
      <c r="E5051" s="5" t="s">
        <v>19</v>
      </c>
      <c r="F5051" s="9" t="s">
        <v>59</v>
      </c>
      <c r="G5051" s="9">
        <v>1228</v>
      </c>
      <c r="H5051" s="5" t="s">
        <v>21</v>
      </c>
      <c r="I5051" s="5" t="s">
        <v>12160</v>
      </c>
      <c r="J5051" s="12" t="str">
        <f>HYPERLINK("https://www.boe.es/gazeta/dias/1808/09/30/pdfs/GMD-1808-130.pdf#page=8","Abrir facsímil")</f>
        <v>Abrir facsímil</v>
      </c>
      <c r="K5051" s="15" t="s">
        <v>23</v>
      </c>
    </row>
    <row r="5052" spans="1:11" ht="42" customHeight="1">
      <c r="A5052" s="4" t="s">
        <v>12161</v>
      </c>
      <c r="B5052" s="5" t="s">
        <v>12161</v>
      </c>
      <c r="C5052" s="5" t="s">
        <v>94</v>
      </c>
      <c r="D5052" s="5" t="s">
        <v>95</v>
      </c>
      <c r="E5052" s="5" t="s">
        <v>19</v>
      </c>
      <c r="F5052" s="9" t="s">
        <v>59</v>
      </c>
      <c r="G5052" s="9">
        <v>1228</v>
      </c>
      <c r="H5052" s="5" t="s">
        <v>21</v>
      </c>
      <c r="I5052" s="5" t="s">
        <v>12162</v>
      </c>
      <c r="J5052" s="12" t="str">
        <f>HYPERLINK("https://www.boe.es/gazeta/dias/1808/09/30/pdfs/GMD-1808-130.pdf#page=8","Abrir facsímil")</f>
        <v>Abrir facsímil</v>
      </c>
      <c r="K5052" s="15" t="s">
        <v>23</v>
      </c>
    </row>
    <row r="5053" spans="1:11" ht="42" customHeight="1">
      <c r="A5053" s="4" t="s">
        <v>12163</v>
      </c>
      <c r="B5053" s="5" t="s">
        <v>12164</v>
      </c>
      <c r="C5053" s="5" t="s">
        <v>41</v>
      </c>
      <c r="D5053" s="5" t="s">
        <v>42</v>
      </c>
      <c r="E5053" s="5" t="s">
        <v>35</v>
      </c>
      <c r="F5053" s="9" t="s">
        <v>36</v>
      </c>
      <c r="G5053" s="9" t="s">
        <v>1860</v>
      </c>
      <c r="H5053" s="5" t="s">
        <v>21</v>
      </c>
      <c r="I5053" s="5" t="s">
        <v>12165</v>
      </c>
      <c r="J5053" s="12" t="str">
        <f>HYPERLINK("https://www.boe.es/gazeta/dias/1808/04/22/pdfs/GMD-C-1808-38.pdf#page=37","Abrir facsímil")</f>
        <v>Abrir facsímil</v>
      </c>
      <c r="K5053" s="15" t="s">
        <v>23</v>
      </c>
    </row>
    <row r="5054" spans="1:11" ht="42" customHeight="1">
      <c r="A5054" s="4" t="s">
        <v>12166</v>
      </c>
      <c r="B5054" s="5" t="s">
        <v>12167</v>
      </c>
      <c r="C5054" s="5" t="s">
        <v>33</v>
      </c>
      <c r="D5054" s="5" t="s">
        <v>34</v>
      </c>
      <c r="E5054" s="5" t="s">
        <v>35</v>
      </c>
      <c r="F5054" s="9" t="s">
        <v>36</v>
      </c>
      <c r="G5054" s="9" t="s">
        <v>1006</v>
      </c>
      <c r="H5054" s="5" t="s">
        <v>21</v>
      </c>
      <c r="I5054" s="5" t="s">
        <v>12168</v>
      </c>
      <c r="J5054" s="12" t="str">
        <f>HYPERLINK("https://www.boe.es/gazeta/dias/1808/04/22/pdfs/GMD-C-1808-38.pdf#page=46","Abrir facsímil")</f>
        <v>Abrir facsímil</v>
      </c>
      <c r="K5054" s="15" t="s">
        <v>23</v>
      </c>
    </row>
    <row r="5055" spans="1:11" ht="42" customHeight="1">
      <c r="A5055" s="4" t="s">
        <v>12169</v>
      </c>
      <c r="B5055" s="5" t="s">
        <v>12169</v>
      </c>
      <c r="C5055" s="5" t="s">
        <v>17</v>
      </c>
      <c r="D5055" s="5" t="s">
        <v>18</v>
      </c>
      <c r="E5055" s="5" t="s">
        <v>73</v>
      </c>
      <c r="F5055" s="9" t="s">
        <v>581</v>
      </c>
      <c r="G5055" s="9">
        <v>1468</v>
      </c>
      <c r="H5055" s="5" t="s">
        <v>21</v>
      </c>
      <c r="I5055" s="5" t="s">
        <v>12170</v>
      </c>
      <c r="J5055" s="12" t="str">
        <f>HYPERLINK("https://www.boe.es/gazeta/dias/1808/11/11/pdfs/GMD-1808-143.pdf#page=10","Abrir facsímil")</f>
        <v>Abrir facsímil</v>
      </c>
      <c r="K5055" s="15" t="s">
        <v>23</v>
      </c>
    </row>
    <row r="5056" spans="1:11" ht="42" customHeight="1">
      <c r="A5056" s="4" t="s">
        <v>12171</v>
      </c>
      <c r="B5056" s="5" t="s">
        <v>12171</v>
      </c>
      <c r="C5056" s="5" t="s">
        <v>33</v>
      </c>
      <c r="D5056" s="5" t="s">
        <v>34</v>
      </c>
      <c r="E5056" s="5" t="s">
        <v>28</v>
      </c>
      <c r="F5056" s="9" t="s">
        <v>446</v>
      </c>
      <c r="G5056" s="9" t="s">
        <v>106</v>
      </c>
      <c r="H5056" s="5" t="s">
        <v>21</v>
      </c>
      <c r="I5056" s="5" t="s">
        <v>12172</v>
      </c>
      <c r="J5056" s="12" t="str">
        <f>HYPERLINK("https://www.boe.es/gazeta/dias/1808/11/04/pdfs/GMD-D-1808-141.pdf#page=3","Abrir facsímil")</f>
        <v>Abrir facsímil</v>
      </c>
      <c r="K5056" s="15" t="s">
        <v>23</v>
      </c>
    </row>
    <row r="5057" spans="1:11" ht="42" customHeight="1">
      <c r="A5057" s="4" t="s">
        <v>12173</v>
      </c>
      <c r="B5057" s="5" t="s">
        <v>12173</v>
      </c>
      <c r="C5057" s="5" t="s">
        <v>94</v>
      </c>
      <c r="D5057" s="5" t="s">
        <v>95</v>
      </c>
      <c r="E5057" s="5" t="s">
        <v>65</v>
      </c>
      <c r="F5057" s="9" t="s">
        <v>691</v>
      </c>
      <c r="G5057" s="9">
        <v>1326</v>
      </c>
      <c r="H5057" s="5" t="s">
        <v>21</v>
      </c>
      <c r="I5057" s="5" t="s">
        <v>12174</v>
      </c>
      <c r="J5057" s="12" t="str">
        <f>HYPERLINK("https://www.boe.es/gazeta/dias/1808/10/18/pdfs/GMD-C-1808-135.pdf#page=10","Abrir facsímil")</f>
        <v>Abrir facsímil</v>
      </c>
      <c r="K5057" s="15" t="s">
        <v>23</v>
      </c>
    </row>
    <row r="5058" spans="1:11" ht="42" customHeight="1">
      <c r="A5058" s="4" t="s">
        <v>12175</v>
      </c>
      <c r="B5058" s="5" t="s">
        <v>12175</v>
      </c>
      <c r="C5058" s="5" t="s">
        <v>33</v>
      </c>
      <c r="D5058" s="5" t="s">
        <v>34</v>
      </c>
      <c r="E5058" s="5" t="s">
        <v>35</v>
      </c>
      <c r="F5058" s="9" t="s">
        <v>36</v>
      </c>
      <c r="G5058" s="9" t="s">
        <v>501</v>
      </c>
      <c r="H5058" s="5" t="s">
        <v>21</v>
      </c>
      <c r="I5058" s="5" t="s">
        <v>12176</v>
      </c>
      <c r="J5058" s="12" t="str">
        <f>HYPERLINK("https://www.boe.es/gazeta/dias/1808/04/22/pdfs/GMD-C-1808-38.pdf#page=5","Abrir facsímil")</f>
        <v>Abrir facsímil</v>
      </c>
      <c r="K5058" s="15" t="s">
        <v>23</v>
      </c>
    </row>
    <row r="5059" spans="1:11" ht="42" customHeight="1">
      <c r="A5059" s="4" t="s">
        <v>12177</v>
      </c>
      <c r="B5059" s="5" t="s">
        <v>12177</v>
      </c>
      <c r="C5059" s="5" t="s">
        <v>33</v>
      </c>
      <c r="D5059" s="5" t="s">
        <v>34</v>
      </c>
      <c r="E5059" s="5" t="s">
        <v>35</v>
      </c>
      <c r="F5059" s="9" t="s">
        <v>36</v>
      </c>
      <c r="G5059" s="9" t="s">
        <v>273</v>
      </c>
      <c r="H5059" s="5" t="s">
        <v>21</v>
      </c>
      <c r="I5059" s="5" t="s">
        <v>12178</v>
      </c>
      <c r="J5059" s="12" t="str">
        <f>HYPERLINK("https://www.boe.es/gazeta/dias/1808/04/22/pdfs/GMD-C-1808-38.pdf#page=12","Abrir facsímil")</f>
        <v>Abrir facsímil</v>
      </c>
      <c r="K5059" s="15" t="s">
        <v>23</v>
      </c>
    </row>
    <row r="5060" spans="1:11" ht="42" customHeight="1">
      <c r="A5060" s="4" t="s">
        <v>12179</v>
      </c>
      <c r="B5060" s="5" t="s">
        <v>12180</v>
      </c>
      <c r="C5060" s="5" t="s">
        <v>33</v>
      </c>
      <c r="D5060" s="5" t="s">
        <v>34</v>
      </c>
      <c r="E5060" s="5" t="s">
        <v>363</v>
      </c>
      <c r="F5060" s="9" t="s">
        <v>364</v>
      </c>
      <c r="G5060" s="9" t="s">
        <v>199</v>
      </c>
      <c r="H5060" s="5" t="s">
        <v>21</v>
      </c>
      <c r="I5060" s="5" t="s">
        <v>12181</v>
      </c>
      <c r="J5060" s="12" t="str">
        <f>HYPERLINK("https://www.boe.es/gazeta/dias/1808/09/20/pdfs/GMD-C-1808-126.pdf#page=2","Abrir facsímil")</f>
        <v>Abrir facsímil</v>
      </c>
      <c r="K5060" s="15" t="s">
        <v>23</v>
      </c>
    </row>
    <row r="5061" spans="1:11" ht="42" customHeight="1">
      <c r="A5061" s="4" t="s">
        <v>12182</v>
      </c>
      <c r="B5061" s="5" t="s">
        <v>12182</v>
      </c>
      <c r="C5061" s="5" t="s">
        <v>33</v>
      </c>
      <c r="D5061" s="5" t="s">
        <v>34</v>
      </c>
      <c r="E5061" s="5" t="s">
        <v>65</v>
      </c>
      <c r="F5061" s="9" t="s">
        <v>691</v>
      </c>
      <c r="G5061" s="9">
        <v>1327</v>
      </c>
      <c r="H5061" s="5" t="s">
        <v>21</v>
      </c>
      <c r="I5061" s="5" t="s">
        <v>12183</v>
      </c>
      <c r="J5061" s="12" t="str">
        <f>HYPERLINK("https://www.boe.es/gazeta/dias/1808/10/18/pdfs/GMD-C-1808-135.pdf#page=11","Abrir facsímil")</f>
        <v>Abrir facsímil</v>
      </c>
      <c r="K5061" s="15" t="s">
        <v>23</v>
      </c>
    </row>
    <row r="5062" spans="1:11" ht="42" customHeight="1">
      <c r="A5062" s="4" t="s">
        <v>12184</v>
      </c>
      <c r="B5062" s="5" t="s">
        <v>12184</v>
      </c>
      <c r="C5062" s="5" t="s">
        <v>33</v>
      </c>
      <c r="D5062" s="5" t="s">
        <v>34</v>
      </c>
      <c r="E5062" s="5" t="s">
        <v>35</v>
      </c>
      <c r="F5062" s="9" t="s">
        <v>36</v>
      </c>
      <c r="G5062" s="9" t="s">
        <v>1006</v>
      </c>
      <c r="H5062" s="5" t="s">
        <v>21</v>
      </c>
      <c r="I5062" s="5" t="s">
        <v>12185</v>
      </c>
      <c r="J5062" s="12" t="str">
        <f>HYPERLINK("https://www.boe.es/gazeta/dias/1808/04/22/pdfs/GMD-C-1808-38.pdf#page=46","Abrir facsímil")</f>
        <v>Abrir facsímil</v>
      </c>
      <c r="K5062" s="15" t="s">
        <v>23</v>
      </c>
    </row>
    <row r="5063" spans="1:11" ht="42" customHeight="1">
      <c r="A5063" s="4" t="s">
        <v>12186</v>
      </c>
      <c r="B5063" s="5" t="s">
        <v>12187</v>
      </c>
      <c r="C5063" s="5" t="s">
        <v>17</v>
      </c>
      <c r="D5063" s="5" t="s">
        <v>18</v>
      </c>
      <c r="E5063" s="5" t="s">
        <v>61</v>
      </c>
      <c r="F5063" s="9" t="s">
        <v>62</v>
      </c>
      <c r="G5063" s="9">
        <v>1286</v>
      </c>
      <c r="H5063" s="5" t="s">
        <v>21</v>
      </c>
      <c r="I5063" s="5" t="s">
        <v>12188</v>
      </c>
      <c r="J5063" s="12" t="str">
        <f>HYPERLINK("https://www.boe.es/gazeta/dias/1808/10/11/pdfs/GMD-1808-133.pdf#page=14","Abrir facsímil")</f>
        <v>Abrir facsímil</v>
      </c>
      <c r="K5063" s="15" t="s">
        <v>23</v>
      </c>
    </row>
    <row r="5064" spans="1:11" ht="42" customHeight="1">
      <c r="A5064" s="4" t="s">
        <v>12189</v>
      </c>
      <c r="B5064" s="5" t="s">
        <v>12190</v>
      </c>
      <c r="C5064" s="5" t="s">
        <v>33</v>
      </c>
      <c r="D5064" s="5" t="s">
        <v>34</v>
      </c>
      <c r="E5064" s="5" t="s">
        <v>35</v>
      </c>
      <c r="F5064" s="9" t="s">
        <v>36</v>
      </c>
      <c r="G5064" s="9" t="s">
        <v>814</v>
      </c>
      <c r="H5064" s="5" t="s">
        <v>21</v>
      </c>
      <c r="I5064" s="5" t="s">
        <v>12191</v>
      </c>
      <c r="J5064" s="12" t="str">
        <f>HYPERLINK("https://www.boe.es/gazeta/dias/1808/04/22/pdfs/GMD-C-1808-38.pdf#page=25","Abrir facsímil")</f>
        <v>Abrir facsímil</v>
      </c>
      <c r="K5064" s="15" t="s">
        <v>23</v>
      </c>
    </row>
    <row r="5065" spans="1:11" ht="42" customHeight="1">
      <c r="A5065" s="4" t="s">
        <v>12192</v>
      </c>
      <c r="B5065" s="5" t="s">
        <v>12192</v>
      </c>
      <c r="C5065" s="5" t="s">
        <v>17</v>
      </c>
      <c r="D5065" s="5" t="s">
        <v>18</v>
      </c>
      <c r="E5065" s="5" t="s">
        <v>558</v>
      </c>
      <c r="F5065" s="9" t="s">
        <v>559</v>
      </c>
      <c r="G5065" s="9">
        <v>1544</v>
      </c>
      <c r="H5065" s="5" t="s">
        <v>21</v>
      </c>
      <c r="I5065" s="5" t="s">
        <v>12193</v>
      </c>
      <c r="J5065" s="12" t="str">
        <f>HYPERLINK("https://www.boe.es/gazeta/dias/1808/11/25/pdfs/GMD-1808-147.pdf#page=10","Abrir facsímil")</f>
        <v>Abrir facsímil</v>
      </c>
      <c r="K5065" s="15" t="s">
        <v>23</v>
      </c>
    </row>
    <row r="5066" spans="1:11" ht="42" customHeight="1">
      <c r="A5066" s="4" t="s">
        <v>12194</v>
      </c>
      <c r="B5066" s="5" t="s">
        <v>12194</v>
      </c>
      <c r="C5066" s="5" t="s">
        <v>17</v>
      </c>
      <c r="D5066" s="5" t="s">
        <v>18</v>
      </c>
      <c r="E5066" s="5" t="s">
        <v>115</v>
      </c>
      <c r="F5066" s="9" t="s">
        <v>1650</v>
      </c>
      <c r="G5066" s="9">
        <v>1177</v>
      </c>
      <c r="H5066" s="5" t="s">
        <v>21</v>
      </c>
      <c r="I5066" s="5" t="s">
        <v>12195</v>
      </c>
      <c r="J5066" s="12" t="str">
        <f>HYPERLINK("https://www.boe.es/gazeta/dias/1808/09/16/pdfs/GMD-1808-125.pdf#page=9","Abrir facsímil")</f>
        <v>Abrir facsímil</v>
      </c>
      <c r="K5066" s="15" t="s">
        <v>23</v>
      </c>
    </row>
    <row r="5067" spans="1:11" ht="42" customHeight="1">
      <c r="A5067" s="4" t="s">
        <v>12196</v>
      </c>
      <c r="B5067" s="5" t="s">
        <v>12196</v>
      </c>
      <c r="C5067" s="5" t="s">
        <v>33</v>
      </c>
      <c r="D5067" s="5" t="s">
        <v>34</v>
      </c>
      <c r="E5067" s="5" t="s">
        <v>427</v>
      </c>
      <c r="F5067" s="9" t="s">
        <v>428</v>
      </c>
      <c r="G5067" s="9" t="s">
        <v>117</v>
      </c>
      <c r="H5067" s="5" t="s">
        <v>21</v>
      </c>
      <c r="I5067" s="5" t="s">
        <v>12197</v>
      </c>
      <c r="J5067" s="12" t="str">
        <f>HYPERLINK("https://www.boe.es/gazeta/dias/1808/11/22/pdfs/GMD-D-1808-146.pdf#page=1","Abrir facsímil")</f>
        <v>Abrir facsímil</v>
      </c>
      <c r="K5067" s="15" t="s">
        <v>23</v>
      </c>
    </row>
    <row r="5068" spans="1:11" ht="42" customHeight="1">
      <c r="A5068" s="4" t="s">
        <v>12198</v>
      </c>
      <c r="B5068" s="5" t="s">
        <v>12198</v>
      </c>
      <c r="C5068" s="5" t="s">
        <v>33</v>
      </c>
      <c r="D5068" s="5" t="s">
        <v>34</v>
      </c>
      <c r="E5068" s="5" t="s">
        <v>391</v>
      </c>
      <c r="F5068" s="9" t="s">
        <v>588</v>
      </c>
      <c r="G5068" s="9" t="s">
        <v>199</v>
      </c>
      <c r="H5068" s="5" t="s">
        <v>21</v>
      </c>
      <c r="I5068" s="5" t="s">
        <v>12199</v>
      </c>
      <c r="J5068" s="12" t="str">
        <f>HYPERLINK("https://www.boe.es/gazeta/dias/1808/09/27/pdfs/GMD-C-1808-128.pdf#page=2","Abrir facsímil")</f>
        <v>Abrir facsímil</v>
      </c>
      <c r="K5068" s="15" t="s">
        <v>23</v>
      </c>
    </row>
    <row r="5069" spans="1:11" ht="42" customHeight="1">
      <c r="A5069" s="4" t="s">
        <v>12200</v>
      </c>
      <c r="B5069" s="5" t="s">
        <v>12201</v>
      </c>
      <c r="C5069" s="5" t="s">
        <v>33</v>
      </c>
      <c r="D5069" s="5" t="s">
        <v>34</v>
      </c>
      <c r="E5069" s="5" t="s">
        <v>19</v>
      </c>
      <c r="F5069" s="9" t="s">
        <v>949</v>
      </c>
      <c r="G5069" s="9" t="s">
        <v>75</v>
      </c>
      <c r="H5069" s="5" t="s">
        <v>21</v>
      </c>
      <c r="I5069" s="5" t="s">
        <v>12202</v>
      </c>
      <c r="J5069" s="12" t="str">
        <f>HYPERLINK("https://www.boe.es/gazeta/dias/1808/09/30/pdfs/GMD-C-1808-130.pdf#page=4","Abrir facsímil")</f>
        <v>Abrir facsímil</v>
      </c>
      <c r="K5069" s="15" t="s">
        <v>23</v>
      </c>
    </row>
    <row r="5070" spans="1:11" ht="42" customHeight="1">
      <c r="A5070" s="4" t="s">
        <v>12203</v>
      </c>
      <c r="B5070" s="5" t="s">
        <v>12203</v>
      </c>
      <c r="C5070" s="5" t="s">
        <v>33</v>
      </c>
      <c r="D5070" s="5" t="s">
        <v>34</v>
      </c>
      <c r="E5070" s="5" t="s">
        <v>65</v>
      </c>
      <c r="F5070" s="9" t="s">
        <v>691</v>
      </c>
      <c r="G5070" s="9">
        <v>1327</v>
      </c>
      <c r="H5070" s="5" t="s">
        <v>21</v>
      </c>
      <c r="I5070" s="5" t="s">
        <v>12204</v>
      </c>
      <c r="J5070" s="12" t="str">
        <f>HYPERLINK("https://www.boe.es/gazeta/dias/1808/10/18/pdfs/GMD-C-1808-135.pdf#page=11","Abrir facsímil")</f>
        <v>Abrir facsímil</v>
      </c>
      <c r="K5070" s="15" t="s">
        <v>23</v>
      </c>
    </row>
    <row r="5071" spans="1:11" ht="42" customHeight="1">
      <c r="A5071" s="4" t="s">
        <v>12205</v>
      </c>
      <c r="B5071" s="5" t="s">
        <v>12205</v>
      </c>
      <c r="C5071" s="5" t="s">
        <v>33</v>
      </c>
      <c r="D5071" s="5" t="s">
        <v>34</v>
      </c>
      <c r="E5071" s="5" t="s">
        <v>65</v>
      </c>
      <c r="F5071" s="9" t="s">
        <v>691</v>
      </c>
      <c r="G5071" s="9">
        <v>1327</v>
      </c>
      <c r="H5071" s="5" t="s">
        <v>21</v>
      </c>
      <c r="I5071" s="5" t="s">
        <v>12206</v>
      </c>
      <c r="J5071" s="12" t="str">
        <f>HYPERLINK("https://www.boe.es/gazeta/dias/1808/10/18/pdfs/GMD-C-1808-135.pdf#page=11","Abrir facsímil")</f>
        <v>Abrir facsímil</v>
      </c>
      <c r="K5071" s="15" t="s">
        <v>23</v>
      </c>
    </row>
    <row r="5072" spans="1:11" ht="42" customHeight="1">
      <c r="A5072" s="4" t="s">
        <v>12207</v>
      </c>
      <c r="B5072" s="5" t="s">
        <v>12208</v>
      </c>
      <c r="C5072" s="5" t="s">
        <v>33</v>
      </c>
      <c r="D5072" s="5" t="s">
        <v>34</v>
      </c>
      <c r="E5072" s="5" t="s">
        <v>35</v>
      </c>
      <c r="F5072" s="9" t="s">
        <v>36</v>
      </c>
      <c r="G5072" s="9" t="s">
        <v>75</v>
      </c>
      <c r="H5072" s="5" t="s">
        <v>21</v>
      </c>
      <c r="I5072" s="5" t="s">
        <v>12209</v>
      </c>
      <c r="J5072" s="12" t="str">
        <f>HYPERLINK("https://www.boe.es/gazeta/dias/1808/04/22/pdfs/GMD-C-1808-38.pdf#page=4","Abrir facsímil")</f>
        <v>Abrir facsímil</v>
      </c>
      <c r="K5072" s="15" t="s">
        <v>23</v>
      </c>
    </row>
    <row r="5073" spans="1:11" ht="42" customHeight="1">
      <c r="A5073" s="4" t="s">
        <v>12210</v>
      </c>
      <c r="B5073" s="5" t="s">
        <v>12210</v>
      </c>
      <c r="C5073" s="5" t="s">
        <v>17</v>
      </c>
      <c r="D5073" s="5" t="s">
        <v>18</v>
      </c>
      <c r="E5073" s="5" t="s">
        <v>197</v>
      </c>
      <c r="F5073" s="9" t="s">
        <v>790</v>
      </c>
      <c r="G5073" s="9">
        <v>1408</v>
      </c>
      <c r="H5073" s="5" t="s">
        <v>21</v>
      </c>
      <c r="I5073" s="5" t="s">
        <v>12211</v>
      </c>
      <c r="J5073" s="12" t="str">
        <f>HYPERLINK("https://www.boe.es/gazeta/dias/1808/11/01/pdfs/GMD-1808-140.pdf#page=10","Abrir facsímil")</f>
        <v>Abrir facsímil</v>
      </c>
      <c r="K5073" s="15" t="s">
        <v>23</v>
      </c>
    </row>
    <row r="5074" spans="1:11" ht="42" customHeight="1">
      <c r="A5074" s="4" t="s">
        <v>12212</v>
      </c>
      <c r="B5074" s="5" t="s">
        <v>12212</v>
      </c>
      <c r="C5074" s="5" t="s">
        <v>17</v>
      </c>
      <c r="D5074" s="5" t="s">
        <v>18</v>
      </c>
      <c r="E5074" s="5" t="s">
        <v>558</v>
      </c>
      <c r="F5074" s="9" t="s">
        <v>559</v>
      </c>
      <c r="G5074" s="9">
        <v>1545</v>
      </c>
      <c r="H5074" s="5" t="s">
        <v>21</v>
      </c>
      <c r="I5074" s="5" t="s">
        <v>12213</v>
      </c>
      <c r="J5074" s="12" t="str">
        <f>HYPERLINK("https://www.boe.es/gazeta/dias/1808/11/25/pdfs/GMD-1808-147.pdf#page=11","Abrir facsímil")</f>
        <v>Abrir facsímil</v>
      </c>
      <c r="K5074" s="15" t="s">
        <v>23</v>
      </c>
    </row>
    <row r="5075" spans="1:11" ht="42" customHeight="1">
      <c r="A5075" s="4" t="s">
        <v>12214</v>
      </c>
      <c r="B5075" s="5" t="s">
        <v>12214</v>
      </c>
      <c r="C5075" s="5" t="s">
        <v>17</v>
      </c>
      <c r="D5075" s="5" t="s">
        <v>18</v>
      </c>
      <c r="E5075" s="5" t="s">
        <v>19</v>
      </c>
      <c r="F5075" s="9" t="s">
        <v>59</v>
      </c>
      <c r="G5075" s="9">
        <v>1228</v>
      </c>
      <c r="H5075" s="5" t="s">
        <v>21</v>
      </c>
      <c r="I5075" s="5" t="s">
        <v>12215</v>
      </c>
      <c r="J5075" s="12" t="str">
        <f>HYPERLINK("https://www.boe.es/gazeta/dias/1808/09/30/pdfs/GMD-1808-130.pdf#page=8","Abrir facsímil")</f>
        <v>Abrir facsímil</v>
      </c>
      <c r="K5075" s="15" t="s">
        <v>23</v>
      </c>
    </row>
    <row r="5076" spans="1:11" ht="42" customHeight="1">
      <c r="A5076" s="4" t="s">
        <v>12216</v>
      </c>
      <c r="B5076" s="5" t="s">
        <v>12216</v>
      </c>
      <c r="C5076" s="5" t="s">
        <v>17</v>
      </c>
      <c r="D5076" s="5" t="s">
        <v>18</v>
      </c>
      <c r="E5076" s="5" t="s">
        <v>197</v>
      </c>
      <c r="F5076" s="9" t="s">
        <v>790</v>
      </c>
      <c r="G5076" s="9">
        <v>1407</v>
      </c>
      <c r="H5076" s="5" t="s">
        <v>21</v>
      </c>
      <c r="I5076" s="5" t="s">
        <v>12217</v>
      </c>
      <c r="J5076" s="12" t="str">
        <f>HYPERLINK("https://www.boe.es/gazeta/dias/1808/11/01/pdfs/GMD-1808-140.pdf#page=9","Abrir facsímil")</f>
        <v>Abrir facsímil</v>
      </c>
      <c r="K5076" s="15" t="s">
        <v>23</v>
      </c>
    </row>
    <row r="5077" spans="1:11" ht="42" customHeight="1">
      <c r="A5077" s="4" t="s">
        <v>12218</v>
      </c>
      <c r="B5077" s="5" t="s">
        <v>12219</v>
      </c>
      <c r="C5077" s="5" t="s">
        <v>33</v>
      </c>
      <c r="D5077" s="5" t="s">
        <v>34</v>
      </c>
      <c r="E5077" s="5" t="s">
        <v>363</v>
      </c>
      <c r="F5077" s="9" t="s">
        <v>364</v>
      </c>
      <c r="G5077" s="9" t="s">
        <v>106</v>
      </c>
      <c r="H5077" s="5" t="s">
        <v>21</v>
      </c>
      <c r="I5077" s="5" t="s">
        <v>12220</v>
      </c>
      <c r="J5077" s="12" t="str">
        <f>HYPERLINK("https://www.boe.es/gazeta/dias/1808/09/20/pdfs/GMD-C-1808-126.pdf#page=3","Abrir facsímil")</f>
        <v>Abrir facsímil</v>
      </c>
      <c r="K5077" s="15" t="s">
        <v>23</v>
      </c>
    </row>
    <row r="5078" spans="1:11" ht="42" customHeight="1">
      <c r="A5078" s="4" t="s">
        <v>12221</v>
      </c>
      <c r="B5078" s="5" t="s">
        <v>12221</v>
      </c>
      <c r="C5078" s="5" t="s">
        <v>17</v>
      </c>
      <c r="D5078" s="5" t="s">
        <v>18</v>
      </c>
      <c r="E5078" s="5" t="s">
        <v>19</v>
      </c>
      <c r="F5078" s="9" t="s">
        <v>59</v>
      </c>
      <c r="G5078" s="9">
        <v>1228</v>
      </c>
      <c r="H5078" s="5" t="s">
        <v>21</v>
      </c>
      <c r="I5078" s="5" t="s">
        <v>12222</v>
      </c>
      <c r="J5078" s="12" t="str">
        <f>HYPERLINK("https://www.boe.es/gazeta/dias/1808/09/30/pdfs/GMD-1808-130.pdf#page=8","Abrir facsímil")</f>
        <v>Abrir facsímil</v>
      </c>
      <c r="K5078" s="15" t="s">
        <v>23</v>
      </c>
    </row>
    <row r="5079" spans="1:11" ht="42" customHeight="1">
      <c r="A5079" s="4" t="s">
        <v>12223</v>
      </c>
      <c r="B5079" s="5" t="s">
        <v>12223</v>
      </c>
      <c r="C5079" s="5" t="s">
        <v>17</v>
      </c>
      <c r="D5079" s="5" t="s">
        <v>18</v>
      </c>
      <c r="E5079" s="5" t="s">
        <v>139</v>
      </c>
      <c r="F5079" s="9" t="s">
        <v>140</v>
      </c>
      <c r="G5079" s="9">
        <v>1203</v>
      </c>
      <c r="H5079" s="5" t="s">
        <v>21</v>
      </c>
      <c r="I5079" s="5" t="s">
        <v>12224</v>
      </c>
      <c r="J5079" s="12" t="str">
        <f>HYPERLINK("https://www.boe.es/gazeta/dias/1808/09/23/pdfs/GMD-1808-127.pdf#page=11","Abrir facsímil")</f>
        <v>Abrir facsímil</v>
      </c>
      <c r="K5079" s="15" t="s">
        <v>23</v>
      </c>
    </row>
    <row r="5080" spans="1:11" ht="42" customHeight="1">
      <c r="A5080" s="4" t="s">
        <v>12225</v>
      </c>
      <c r="B5080" s="5" t="s">
        <v>12226</v>
      </c>
      <c r="C5080" s="5" t="s">
        <v>33</v>
      </c>
      <c r="D5080" s="5" t="s">
        <v>34</v>
      </c>
      <c r="E5080" s="5" t="s">
        <v>35</v>
      </c>
      <c r="F5080" s="9" t="s">
        <v>36</v>
      </c>
      <c r="G5080" s="9" t="s">
        <v>279</v>
      </c>
      <c r="H5080" s="5" t="s">
        <v>21</v>
      </c>
      <c r="I5080" s="5" t="s">
        <v>12227</v>
      </c>
      <c r="J5080" s="12" t="str">
        <f>HYPERLINK("https://www.boe.es/gazeta/dias/1808/04/22/pdfs/GMD-C-1808-38.pdf#page=44","Abrir facsímil")</f>
        <v>Abrir facsímil</v>
      </c>
      <c r="K5080" s="15" t="s">
        <v>23</v>
      </c>
    </row>
    <row r="5081" spans="1:11" ht="42" customHeight="1">
      <c r="A5081" s="4" t="s">
        <v>12228</v>
      </c>
      <c r="B5081" s="5" t="s">
        <v>12228</v>
      </c>
      <c r="C5081" s="5" t="s">
        <v>41</v>
      </c>
      <c r="D5081" s="5" t="s">
        <v>42</v>
      </c>
      <c r="E5081" s="5" t="s">
        <v>35</v>
      </c>
      <c r="F5081" s="9" t="s">
        <v>36</v>
      </c>
      <c r="G5081" s="9" t="s">
        <v>43</v>
      </c>
      <c r="H5081" s="5" t="s">
        <v>21</v>
      </c>
      <c r="I5081" s="5" t="s">
        <v>12229</v>
      </c>
      <c r="J5081" s="12" t="str">
        <f>HYPERLINK("https://www.boe.es/gazeta/dias/1808/04/22/pdfs/GMD-C-1808-38.pdf#page=30","Abrir facsímil")</f>
        <v>Abrir facsímil</v>
      </c>
      <c r="K5081" s="15" t="s">
        <v>23</v>
      </c>
    </row>
    <row r="5082" spans="1:11" ht="42" customHeight="1">
      <c r="A5082" s="4" t="s">
        <v>12230</v>
      </c>
      <c r="B5082" s="5" t="s">
        <v>12230</v>
      </c>
      <c r="C5082" s="5" t="s">
        <v>41</v>
      </c>
      <c r="D5082" s="5" t="s">
        <v>42</v>
      </c>
      <c r="E5082" s="5" t="s">
        <v>35</v>
      </c>
      <c r="F5082" s="9" t="s">
        <v>36</v>
      </c>
      <c r="G5082" s="9" t="s">
        <v>924</v>
      </c>
      <c r="H5082" s="5" t="s">
        <v>21</v>
      </c>
      <c r="I5082" s="5" t="s">
        <v>12231</v>
      </c>
      <c r="J5082" s="12" t="str">
        <f>HYPERLINK("https://www.boe.es/gazeta/dias/1808/04/22/pdfs/GMD-C-1808-38.pdf#page=27","Abrir facsímil")</f>
        <v>Abrir facsímil</v>
      </c>
      <c r="K5082" s="15" t="s">
        <v>23</v>
      </c>
    </row>
    <row r="5083" spans="1:11" ht="42" customHeight="1">
      <c r="A5083" s="4" t="s">
        <v>12232</v>
      </c>
      <c r="B5083" s="5" t="s">
        <v>12232</v>
      </c>
      <c r="C5083" s="5" t="s">
        <v>41</v>
      </c>
      <c r="D5083" s="5" t="s">
        <v>42</v>
      </c>
      <c r="E5083" s="5" t="s">
        <v>28</v>
      </c>
      <c r="F5083" s="9" t="s">
        <v>29</v>
      </c>
      <c r="G5083" s="9">
        <v>1429</v>
      </c>
      <c r="H5083" s="5" t="s">
        <v>21</v>
      </c>
      <c r="I5083" s="5" t="s">
        <v>12233</v>
      </c>
      <c r="J5083" s="12" t="str">
        <f>HYPERLINK("https://www.boe.es/gazeta/dias/1808/11/04/pdfs/GMD-1808-141.pdf#page=11","Abrir facsímil")</f>
        <v>Abrir facsímil</v>
      </c>
      <c r="K5083" s="15" t="s">
        <v>23</v>
      </c>
    </row>
    <row r="5084" spans="1:11" ht="42" customHeight="1">
      <c r="A5084" s="4" t="s">
        <v>12234</v>
      </c>
      <c r="B5084" s="5" t="s">
        <v>12235</v>
      </c>
      <c r="C5084" s="5" t="s">
        <v>33</v>
      </c>
      <c r="D5084" s="5" t="s">
        <v>34</v>
      </c>
      <c r="E5084" s="5" t="s">
        <v>35</v>
      </c>
      <c r="F5084" s="9" t="s">
        <v>36</v>
      </c>
      <c r="G5084" s="9" t="s">
        <v>284</v>
      </c>
      <c r="H5084" s="5" t="s">
        <v>21</v>
      </c>
      <c r="I5084" s="5" t="s">
        <v>12236</v>
      </c>
      <c r="J5084" s="12" t="str">
        <f>HYPERLINK("https://www.boe.es/gazeta/dias/1808/04/22/pdfs/GMD-C-1808-38.pdf#page=35","Abrir facsímil")</f>
        <v>Abrir facsímil</v>
      </c>
      <c r="K5084" s="15" t="s">
        <v>23</v>
      </c>
    </row>
    <row r="5085" spans="1:11" ht="42" customHeight="1">
      <c r="A5085" s="4" t="s">
        <v>12237</v>
      </c>
      <c r="B5085" s="5" t="s">
        <v>12237</v>
      </c>
      <c r="C5085" s="5" t="s">
        <v>33</v>
      </c>
      <c r="D5085" s="5" t="s">
        <v>34</v>
      </c>
      <c r="E5085" s="5" t="s">
        <v>35</v>
      </c>
      <c r="F5085" s="9" t="s">
        <v>36</v>
      </c>
      <c r="G5085" s="9" t="s">
        <v>299</v>
      </c>
      <c r="H5085" s="5" t="s">
        <v>21</v>
      </c>
      <c r="I5085" s="5" t="s">
        <v>12238</v>
      </c>
      <c r="J5085" s="12" t="str">
        <f>HYPERLINK("https://www.boe.es/gazeta/dias/1808/04/22/pdfs/GMD-C-1808-38.pdf#page=14","Abrir facsímil")</f>
        <v>Abrir facsímil</v>
      </c>
      <c r="K5085" s="15" t="s">
        <v>23</v>
      </c>
    </row>
    <row r="5086" spans="1:11" ht="42" customHeight="1">
      <c r="A5086" s="4" t="s">
        <v>12239</v>
      </c>
      <c r="B5086" s="5" t="s">
        <v>12240</v>
      </c>
      <c r="C5086" s="5" t="s">
        <v>260</v>
      </c>
      <c r="D5086" s="5" t="s">
        <v>42</v>
      </c>
      <c r="E5086" s="5" t="s">
        <v>28</v>
      </c>
      <c r="F5086" s="9" t="s">
        <v>29</v>
      </c>
      <c r="G5086" s="9">
        <v>1430</v>
      </c>
      <c r="H5086" s="5" t="s">
        <v>21</v>
      </c>
      <c r="I5086" s="5" t="s">
        <v>12241</v>
      </c>
      <c r="J5086" s="12" t="str">
        <f>HYPERLINK("https://www.boe.es/gazeta/dias/1808/11/04/pdfs/GMD-1808-141.pdf#page=12","Abrir facsímil")</f>
        <v>Abrir facsímil</v>
      </c>
      <c r="K5086" s="15" t="s">
        <v>23</v>
      </c>
    </row>
    <row r="5087" spans="1:11" ht="42" customHeight="1">
      <c r="A5087" s="4" t="s">
        <v>12242</v>
      </c>
      <c r="B5087" s="5" t="s">
        <v>12243</v>
      </c>
      <c r="C5087" s="5" t="s">
        <v>260</v>
      </c>
      <c r="D5087" s="5" t="s">
        <v>42</v>
      </c>
      <c r="E5087" s="5" t="s">
        <v>2204</v>
      </c>
      <c r="F5087" s="9" t="s">
        <v>2285</v>
      </c>
      <c r="G5087" s="9">
        <v>685</v>
      </c>
      <c r="H5087" s="5" t="s">
        <v>21</v>
      </c>
      <c r="I5087" s="5" t="s">
        <v>12244</v>
      </c>
      <c r="J5087" s="12" t="str">
        <f>HYPERLINK("https://www.boe.es/gazeta/dias/1808/06/29/pdfs/GMD-1808-71.pdf#page=7","Abrir facsímil")</f>
        <v>Abrir facsímil</v>
      </c>
      <c r="K5087" s="15" t="s">
        <v>23</v>
      </c>
    </row>
    <row r="5088" spans="1:11" ht="42" customHeight="1">
      <c r="A5088" s="4" t="s">
        <v>12245</v>
      </c>
      <c r="B5088" s="5" t="s">
        <v>12245</v>
      </c>
      <c r="C5088" s="5" t="s">
        <v>41</v>
      </c>
      <c r="D5088" s="5" t="s">
        <v>42</v>
      </c>
      <c r="E5088" s="5" t="s">
        <v>264</v>
      </c>
      <c r="F5088" s="9" t="s">
        <v>318</v>
      </c>
      <c r="G5088" s="9" t="s">
        <v>117</v>
      </c>
      <c r="H5088" s="5" t="s">
        <v>21</v>
      </c>
      <c r="I5088" s="5" t="s">
        <v>12246</v>
      </c>
      <c r="J5088" s="12" t="str">
        <f>HYPERLINK("https://www.boe.es/gazeta/dias/1808/11/29/pdfs/GMD-C-1808-148.pdf#page=1","Abrir facsímil")</f>
        <v>Abrir facsímil</v>
      </c>
      <c r="K5088" s="15" t="s">
        <v>23</v>
      </c>
    </row>
    <row r="5089" spans="1:11" ht="42" customHeight="1">
      <c r="A5089" s="4" t="s">
        <v>12247</v>
      </c>
      <c r="B5089" s="5" t="s">
        <v>12248</v>
      </c>
      <c r="C5089" s="5" t="s">
        <v>33</v>
      </c>
      <c r="D5089" s="5" t="s">
        <v>34</v>
      </c>
      <c r="E5089" s="5" t="s">
        <v>35</v>
      </c>
      <c r="F5089" s="9" t="s">
        <v>36</v>
      </c>
      <c r="G5089" s="9" t="s">
        <v>655</v>
      </c>
      <c r="H5089" s="5" t="s">
        <v>21</v>
      </c>
      <c r="I5089" s="5" t="s">
        <v>12249</v>
      </c>
      <c r="J5089" s="12" t="str">
        <f>HYPERLINK("https://www.boe.es/gazeta/dias/1808/04/22/pdfs/GMD-C-1808-38.pdf#page=43","Abrir facsímil")</f>
        <v>Abrir facsímil</v>
      </c>
      <c r="K5089" s="15" t="s">
        <v>23</v>
      </c>
    </row>
    <row r="5090" spans="1:11" ht="42" customHeight="1">
      <c r="A5090" s="4" t="s">
        <v>12250</v>
      </c>
      <c r="B5090" s="5" t="s">
        <v>12250</v>
      </c>
      <c r="C5090" s="5" t="s">
        <v>389</v>
      </c>
      <c r="D5090" s="5" t="s">
        <v>390</v>
      </c>
      <c r="E5090" s="5" t="s">
        <v>180</v>
      </c>
      <c r="F5090" s="9" t="s">
        <v>768</v>
      </c>
      <c r="G5090" s="9" t="s">
        <v>117</v>
      </c>
      <c r="H5090" s="5" t="s">
        <v>21</v>
      </c>
      <c r="I5090" s="5" t="s">
        <v>12251</v>
      </c>
      <c r="J5090" s="12" t="str">
        <f>HYPERLINK("https://www.boe.es/gazeta/dias/1808/11/15/pdfs/GMD-D-1808-144.pdf#page=1","Abrir facsímil")</f>
        <v>Abrir facsímil</v>
      </c>
      <c r="K5090" s="15" t="s">
        <v>23</v>
      </c>
    </row>
    <row r="5091" spans="1:11" ht="42" customHeight="1">
      <c r="A5091" s="4" t="s">
        <v>12252</v>
      </c>
      <c r="B5091" s="5" t="s">
        <v>12252</v>
      </c>
      <c r="C5091" s="5" t="s">
        <v>94</v>
      </c>
      <c r="D5091" s="5" t="s">
        <v>95</v>
      </c>
      <c r="E5091" s="5" t="s">
        <v>238</v>
      </c>
      <c r="F5091" s="9" t="s">
        <v>239</v>
      </c>
      <c r="G5091" s="9">
        <v>35</v>
      </c>
      <c r="H5091" s="5" t="s">
        <v>21</v>
      </c>
      <c r="I5091" s="5" t="s">
        <v>12253</v>
      </c>
      <c r="J5091" s="12" t="str">
        <f>HYPERLINK("https://www.boe.es/gazeta/dias/1808/01/08/pdfs/GMD-1808-3.pdf#page=11","Abrir facsímil")</f>
        <v>Abrir facsímil</v>
      </c>
      <c r="K5091" s="15" t="s">
        <v>23</v>
      </c>
    </row>
    <row r="5092" spans="1:11" ht="42" customHeight="1">
      <c r="A5092" s="4" t="s">
        <v>12254</v>
      </c>
      <c r="B5092" s="5" t="s">
        <v>12254</v>
      </c>
      <c r="C5092" s="5" t="s">
        <v>33</v>
      </c>
      <c r="D5092" s="5" t="s">
        <v>34</v>
      </c>
      <c r="E5092" s="5" t="s">
        <v>197</v>
      </c>
      <c r="F5092" s="9" t="s">
        <v>2269</v>
      </c>
      <c r="G5092" s="9">
        <v>1415</v>
      </c>
      <c r="H5092" s="5" t="s">
        <v>21</v>
      </c>
      <c r="I5092" s="5" t="s">
        <v>12255</v>
      </c>
      <c r="J5092" s="12" t="str">
        <f>HYPERLINK("https://www.boe.es/gazeta/dias/1808/11/01/pdfs/GMD-C-1808-140.pdf#page=5","Abrir facsímil")</f>
        <v>Abrir facsímil</v>
      </c>
      <c r="K5092" s="15" t="s">
        <v>23</v>
      </c>
    </row>
    <row r="5093" spans="1:11" ht="42" customHeight="1">
      <c r="A5093" s="4" t="s">
        <v>12256</v>
      </c>
      <c r="B5093" s="5" t="s">
        <v>12256</v>
      </c>
      <c r="C5093" s="5" t="s">
        <v>94</v>
      </c>
      <c r="D5093" s="5" t="s">
        <v>95</v>
      </c>
      <c r="E5093" s="5" t="s">
        <v>35</v>
      </c>
      <c r="F5093" s="9" t="s">
        <v>3452</v>
      </c>
      <c r="G5093" s="9">
        <v>402</v>
      </c>
      <c r="H5093" s="5" t="s">
        <v>21</v>
      </c>
      <c r="I5093" s="5" t="s">
        <v>12257</v>
      </c>
      <c r="J5093" s="12" t="str">
        <f>HYPERLINK("https://www.boe.es/gazeta/dias/1808/04/22/pdfs/GMD-1808-38.pdf#page=10","Abrir facsímil")</f>
        <v>Abrir facsímil</v>
      </c>
      <c r="K5093" s="15" t="s">
        <v>23</v>
      </c>
    </row>
    <row r="5094" spans="1:11" ht="42" customHeight="1">
      <c r="A5094" s="4" t="s">
        <v>12258</v>
      </c>
      <c r="B5094" s="5" t="s">
        <v>12259</v>
      </c>
      <c r="C5094" s="5" t="s">
        <v>642</v>
      </c>
      <c r="D5094" s="5" t="s">
        <v>643</v>
      </c>
      <c r="E5094" s="5" t="s">
        <v>644</v>
      </c>
      <c r="F5094" s="9" t="s">
        <v>645</v>
      </c>
      <c r="G5094" s="9">
        <v>321</v>
      </c>
      <c r="H5094" s="5" t="s">
        <v>21</v>
      </c>
      <c r="I5094" s="5" t="s">
        <v>12260</v>
      </c>
      <c r="J5094" s="12" t="str">
        <f>HYPERLINK("https://www.boe.es/gazeta/dias/1808/03/31/pdfs/GMD-1808-28E.pdf#page=5","Abrir facsímil")</f>
        <v>Abrir facsímil</v>
      </c>
      <c r="K5094" s="15" t="s">
        <v>23</v>
      </c>
    </row>
    <row r="5095" spans="1:11" ht="42" customHeight="1">
      <c r="A5095" s="4" t="s">
        <v>12261</v>
      </c>
      <c r="B5095" s="5" t="s">
        <v>12261</v>
      </c>
      <c r="C5095" s="5" t="s">
        <v>94</v>
      </c>
      <c r="D5095" s="5" t="s">
        <v>95</v>
      </c>
      <c r="E5095" s="5" t="s">
        <v>210</v>
      </c>
      <c r="F5095" s="9" t="s">
        <v>211</v>
      </c>
      <c r="G5095" s="9">
        <v>253</v>
      </c>
      <c r="H5095" s="5" t="s">
        <v>21</v>
      </c>
      <c r="I5095" s="5" t="s">
        <v>12262</v>
      </c>
      <c r="J5095" s="12" t="str">
        <f>HYPERLINK("https://www.boe.es/gazeta/dias/1808/03/11/pdfs/GMD-1808-21.pdf#page=7","Abrir facsímil")</f>
        <v>Abrir facsímil</v>
      </c>
      <c r="K5095" s="15" t="s">
        <v>23</v>
      </c>
    </row>
    <row r="5096" spans="1:11" ht="42" customHeight="1">
      <c r="A5096" s="4" t="s">
        <v>12263</v>
      </c>
      <c r="B5096" s="5" t="s">
        <v>12264</v>
      </c>
      <c r="C5096" s="5" t="s">
        <v>94</v>
      </c>
      <c r="D5096" s="5" t="s">
        <v>95</v>
      </c>
      <c r="E5096" s="5" t="s">
        <v>238</v>
      </c>
      <c r="F5096" s="9" t="s">
        <v>239</v>
      </c>
      <c r="G5096" s="9">
        <v>30</v>
      </c>
      <c r="H5096" s="5" t="s">
        <v>21</v>
      </c>
      <c r="I5096" s="5" t="s">
        <v>12265</v>
      </c>
      <c r="J5096" s="12" t="str">
        <f>HYPERLINK("https://www.boe.es/gazeta/dias/1808/01/08/pdfs/GMD-1808-3.pdf#page=6","Abrir facsímil")</f>
        <v>Abrir facsímil</v>
      </c>
      <c r="K5096" s="15" t="s">
        <v>23</v>
      </c>
    </row>
    <row r="5097" spans="1:11" ht="42" customHeight="1">
      <c r="A5097" s="4" t="s">
        <v>12266</v>
      </c>
      <c r="B5097" s="5" t="s">
        <v>12266</v>
      </c>
      <c r="C5097" s="5" t="s">
        <v>94</v>
      </c>
      <c r="D5097" s="5" t="s">
        <v>95</v>
      </c>
      <c r="E5097" s="5" t="s">
        <v>493</v>
      </c>
      <c r="F5097" s="9" t="s">
        <v>494</v>
      </c>
      <c r="G5097" s="9">
        <v>45</v>
      </c>
      <c r="H5097" s="5" t="s">
        <v>21</v>
      </c>
      <c r="I5097" s="5" t="s">
        <v>12267</v>
      </c>
      <c r="J5097" s="12" t="str">
        <f>HYPERLINK("https://www.boe.es/gazeta/dias/1808/01/12/pdfs/GMD-1808-4.pdf#page=9","Abrir facsímil")</f>
        <v>Abrir facsímil</v>
      </c>
      <c r="K5097" s="15" t="s">
        <v>23</v>
      </c>
    </row>
    <row r="5098" spans="1:11" ht="42" customHeight="1">
      <c r="A5098" s="4" t="s">
        <v>12268</v>
      </c>
      <c r="B5098" s="5" t="s">
        <v>12268</v>
      </c>
      <c r="C5098" s="5" t="s">
        <v>41</v>
      </c>
      <c r="D5098" s="5" t="s">
        <v>42</v>
      </c>
      <c r="E5098" s="5" t="s">
        <v>203</v>
      </c>
      <c r="F5098" s="9" t="s">
        <v>204</v>
      </c>
      <c r="G5098" s="9">
        <v>143</v>
      </c>
      <c r="H5098" s="5" t="s">
        <v>21</v>
      </c>
      <c r="I5098" s="5" t="s">
        <v>12269</v>
      </c>
      <c r="J5098" s="12" t="str">
        <f>HYPERLINK("https://www.boe.es/gazeta/dias/1808/02/09/pdfs/GMD-1808-12.pdf#page=11","Abrir facsímil")</f>
        <v>Abrir facsímil</v>
      </c>
      <c r="K5098" s="15" t="s">
        <v>23</v>
      </c>
    </row>
    <row r="5099" spans="1:11" ht="42" customHeight="1">
      <c r="A5099" s="4" t="s">
        <v>12270</v>
      </c>
      <c r="B5099" s="5" t="s">
        <v>12270</v>
      </c>
      <c r="C5099" s="5" t="s">
        <v>94</v>
      </c>
      <c r="D5099" s="5" t="s">
        <v>95</v>
      </c>
      <c r="E5099" s="5" t="s">
        <v>203</v>
      </c>
      <c r="F5099" s="9" t="s">
        <v>204</v>
      </c>
      <c r="G5099" s="9">
        <v>141</v>
      </c>
      <c r="H5099" s="5" t="s">
        <v>21</v>
      </c>
      <c r="I5099" s="5" t="s">
        <v>12271</v>
      </c>
      <c r="J5099" s="12" t="str">
        <f>HYPERLINK("https://www.boe.es/gazeta/dias/1808/02/09/pdfs/GMD-1808-12.pdf#page=9","Abrir facsímil")</f>
        <v>Abrir facsímil</v>
      </c>
      <c r="K5099" s="15" t="s">
        <v>23</v>
      </c>
    </row>
    <row r="5100" spans="1:11" ht="42" customHeight="1">
      <c r="A5100" s="4" t="s">
        <v>12272</v>
      </c>
      <c r="B5100" s="5" t="s">
        <v>12272</v>
      </c>
      <c r="C5100" s="5" t="s">
        <v>17</v>
      </c>
      <c r="D5100" s="5" t="s">
        <v>18</v>
      </c>
      <c r="E5100" s="5" t="s">
        <v>2555</v>
      </c>
      <c r="F5100" s="9" t="s">
        <v>2556</v>
      </c>
      <c r="G5100" s="9">
        <v>131</v>
      </c>
      <c r="H5100" s="5" t="s">
        <v>21</v>
      </c>
      <c r="I5100" s="5" t="s">
        <v>12273</v>
      </c>
      <c r="J5100" s="12" t="str">
        <f>HYPERLINK("https://www.boe.es/gazeta/dias/1808/02/05/pdfs/GMD-1808-11.pdf#page=11","Abrir facsímil")</f>
        <v>Abrir facsímil</v>
      </c>
      <c r="K5100" s="15" t="s">
        <v>23</v>
      </c>
    </row>
    <row r="5101" spans="1:11" ht="42" customHeight="1">
      <c r="A5101" s="4" t="s">
        <v>12274</v>
      </c>
      <c r="B5101" s="5" t="s">
        <v>12274</v>
      </c>
      <c r="C5101" s="5" t="s">
        <v>260</v>
      </c>
      <c r="D5101" s="5" t="s">
        <v>42</v>
      </c>
      <c r="E5101" s="5" t="s">
        <v>548</v>
      </c>
      <c r="F5101" s="9" t="s">
        <v>549</v>
      </c>
      <c r="G5101" s="9">
        <v>277</v>
      </c>
      <c r="H5101" s="5" t="s">
        <v>21</v>
      </c>
      <c r="I5101" s="5" t="s">
        <v>12275</v>
      </c>
      <c r="J5101" s="12" t="str">
        <f>HYPERLINK("https://www.boe.es/gazeta/dias/1808/03/18/pdfs/GMD-1808-23.pdf#page=7","Abrir facsímil")</f>
        <v>Abrir facsímil</v>
      </c>
      <c r="K5101" s="15" t="s">
        <v>23</v>
      </c>
    </row>
    <row r="5102" spans="1:11" ht="42" customHeight="1">
      <c r="A5102" s="4" t="s">
        <v>12276</v>
      </c>
      <c r="B5102" s="5" t="s">
        <v>12276</v>
      </c>
      <c r="C5102" s="5" t="s">
        <v>33</v>
      </c>
      <c r="D5102" s="5" t="s">
        <v>34</v>
      </c>
      <c r="E5102" s="5" t="s">
        <v>35</v>
      </c>
      <c r="F5102" s="9" t="s">
        <v>36</v>
      </c>
      <c r="G5102" s="9" t="s">
        <v>144</v>
      </c>
      <c r="H5102" s="5" t="s">
        <v>21</v>
      </c>
      <c r="I5102" s="5" t="s">
        <v>12277</v>
      </c>
      <c r="J5102" s="12" t="str">
        <f>HYPERLINK("https://www.boe.es/gazeta/dias/1808/04/22/pdfs/GMD-C-1808-38.pdf#page=40","Abrir facsímil")</f>
        <v>Abrir facsímil</v>
      </c>
      <c r="K5102" s="15" t="s">
        <v>23</v>
      </c>
    </row>
    <row r="5103" spans="1:11" ht="42" customHeight="1">
      <c r="A5103" s="4" t="s">
        <v>12278</v>
      </c>
      <c r="B5103" s="5" t="s">
        <v>12278</v>
      </c>
      <c r="C5103" s="5" t="s">
        <v>94</v>
      </c>
      <c r="D5103" s="5" t="s">
        <v>95</v>
      </c>
      <c r="E5103" s="5" t="s">
        <v>287</v>
      </c>
      <c r="F5103" s="9" t="s">
        <v>489</v>
      </c>
      <c r="G5103" s="9">
        <v>1003</v>
      </c>
      <c r="H5103" s="5" t="s">
        <v>21</v>
      </c>
      <c r="I5103" s="5" t="s">
        <v>12279</v>
      </c>
      <c r="J5103" s="12" t="str">
        <f>HYPERLINK("https://www.boe.es/gazeta/dias/1808/08/12/pdfs/GMD-1808-112.pdf#page=7","Abrir facsímil")</f>
        <v>Abrir facsímil</v>
      </c>
      <c r="K5103" s="15" t="s">
        <v>23</v>
      </c>
    </row>
    <row r="5104" spans="1:11" ht="42" customHeight="1">
      <c r="A5104" s="4" t="s">
        <v>12280</v>
      </c>
      <c r="B5104" s="5" t="s">
        <v>12280</v>
      </c>
      <c r="C5104" s="5" t="s">
        <v>260</v>
      </c>
      <c r="D5104" s="5" t="s">
        <v>42</v>
      </c>
      <c r="E5104" s="5" t="s">
        <v>222</v>
      </c>
      <c r="F5104" s="9" t="s">
        <v>223</v>
      </c>
      <c r="G5104" s="9">
        <v>355</v>
      </c>
      <c r="H5104" s="5" t="s">
        <v>21</v>
      </c>
      <c r="I5104" s="5" t="s">
        <v>12281</v>
      </c>
      <c r="J5104" s="12" t="str">
        <f>HYPERLINK("https://www.boe.es/gazeta/dias/1808/04/08/pdfs/GMD-1808-32.pdf#page=9","Abrir facsímil")</f>
        <v>Abrir facsímil</v>
      </c>
      <c r="K5104" s="15" t="s">
        <v>23</v>
      </c>
    </row>
    <row r="5105" spans="1:11" ht="42" customHeight="1">
      <c r="A5105" s="4" t="s">
        <v>12282</v>
      </c>
      <c r="B5105" s="5" t="s">
        <v>12282</v>
      </c>
      <c r="C5105" s="5" t="s">
        <v>33</v>
      </c>
      <c r="D5105" s="5" t="s">
        <v>34</v>
      </c>
      <c r="E5105" s="5" t="s">
        <v>65</v>
      </c>
      <c r="F5105" s="9" t="s">
        <v>105</v>
      </c>
      <c r="G5105" s="9" t="s">
        <v>106</v>
      </c>
      <c r="H5105" s="5" t="s">
        <v>21</v>
      </c>
      <c r="I5105" s="5" t="s">
        <v>12283</v>
      </c>
      <c r="J5105" s="12" t="str">
        <f>HYPERLINK("https://www.boe.es/gazeta/dias/1808/10/18/pdfs/GMD-D-1808-135.pdf#page=3","Abrir facsímil")</f>
        <v>Abrir facsímil</v>
      </c>
      <c r="K5105" s="15" t="s">
        <v>23</v>
      </c>
    </row>
    <row r="5106" spans="1:11" ht="42" customHeight="1">
      <c r="A5106" s="4" t="s">
        <v>12284</v>
      </c>
      <c r="B5106" s="5" t="s">
        <v>12284</v>
      </c>
      <c r="C5106" s="5" t="s">
        <v>17</v>
      </c>
      <c r="D5106" s="5" t="s">
        <v>18</v>
      </c>
      <c r="E5106" s="5" t="s">
        <v>493</v>
      </c>
      <c r="F5106" s="9" t="s">
        <v>494</v>
      </c>
      <c r="G5106" s="9">
        <v>45</v>
      </c>
      <c r="H5106" s="5" t="s">
        <v>21</v>
      </c>
      <c r="I5106" s="5" t="s">
        <v>12285</v>
      </c>
      <c r="J5106" s="12" t="str">
        <f>HYPERLINK("https://www.boe.es/gazeta/dias/1808/01/12/pdfs/GMD-1808-4.pdf#page=9","Abrir facsímil")</f>
        <v>Abrir facsímil</v>
      </c>
      <c r="K5106" s="15" t="s">
        <v>23</v>
      </c>
    </row>
    <row r="5107" spans="1:11" ht="42" customHeight="1">
      <c r="A5107" s="4" t="s">
        <v>12286</v>
      </c>
      <c r="B5107" s="5" t="s">
        <v>12286</v>
      </c>
      <c r="C5107" s="5" t="s">
        <v>94</v>
      </c>
      <c r="D5107" s="5" t="s">
        <v>95</v>
      </c>
      <c r="E5107" s="5" t="s">
        <v>210</v>
      </c>
      <c r="F5107" s="9" t="s">
        <v>211</v>
      </c>
      <c r="G5107" s="9">
        <v>254</v>
      </c>
      <c r="H5107" s="5" t="s">
        <v>21</v>
      </c>
      <c r="I5107" s="5" t="s">
        <v>12287</v>
      </c>
      <c r="J5107" s="12" t="str">
        <f>HYPERLINK("https://www.boe.es/gazeta/dias/1808/03/11/pdfs/GMD-1808-21.pdf#page=8","Abrir facsímil")</f>
        <v>Abrir facsímil</v>
      </c>
      <c r="K5107" s="15" t="s">
        <v>23</v>
      </c>
    </row>
    <row r="5108" spans="1:11" ht="42" customHeight="1">
      <c r="A5108" s="4" t="s">
        <v>12288</v>
      </c>
      <c r="B5108" s="5" t="s">
        <v>12288</v>
      </c>
      <c r="C5108" s="5" t="s">
        <v>33</v>
      </c>
      <c r="D5108" s="5" t="s">
        <v>34</v>
      </c>
      <c r="E5108" s="5" t="s">
        <v>264</v>
      </c>
      <c r="F5108" s="9" t="s">
        <v>318</v>
      </c>
      <c r="G5108" s="9" t="s">
        <v>117</v>
      </c>
      <c r="H5108" s="5" t="s">
        <v>21</v>
      </c>
      <c r="I5108" s="5" t="s">
        <v>12289</v>
      </c>
      <c r="J5108" s="12" t="str">
        <f>HYPERLINK("https://www.boe.es/gazeta/dias/1808/11/29/pdfs/GMD-C-1808-148.pdf#page=1","Abrir facsímil")</f>
        <v>Abrir facsímil</v>
      </c>
      <c r="K5108" s="15" t="s">
        <v>23</v>
      </c>
    </row>
    <row r="5109" spans="1:11" ht="42" customHeight="1">
      <c r="A5109" s="4" t="s">
        <v>12290</v>
      </c>
      <c r="B5109" s="5" t="s">
        <v>12290</v>
      </c>
      <c r="C5109" s="5" t="s">
        <v>17</v>
      </c>
      <c r="D5109" s="5" t="s">
        <v>18</v>
      </c>
      <c r="E5109" s="5" t="s">
        <v>376</v>
      </c>
      <c r="F5109" s="9" t="s">
        <v>377</v>
      </c>
      <c r="G5109" s="9">
        <v>455</v>
      </c>
      <c r="H5109" s="5" t="s">
        <v>21</v>
      </c>
      <c r="I5109" s="5" t="s">
        <v>12291</v>
      </c>
      <c r="J5109" s="12" t="str">
        <f>HYPERLINK("https://www.boe.es/gazeta/dias/1808/12/13/pdfs/GMS-1808-57.pdf#page=7","Abrir facsímil")</f>
        <v>Abrir facsímil</v>
      </c>
      <c r="K5109" s="15" t="s">
        <v>23</v>
      </c>
    </row>
    <row r="5110" spans="1:11" ht="42" customHeight="1">
      <c r="A5110" s="4" t="s">
        <v>12292</v>
      </c>
      <c r="B5110" s="5" t="s">
        <v>12292</v>
      </c>
      <c r="C5110" s="5" t="s">
        <v>94</v>
      </c>
      <c r="D5110" s="5" t="s">
        <v>95</v>
      </c>
      <c r="E5110" s="5" t="s">
        <v>290</v>
      </c>
      <c r="F5110" s="9" t="s">
        <v>3150</v>
      </c>
      <c r="G5110" s="9">
        <v>197</v>
      </c>
      <c r="H5110" s="5" t="s">
        <v>21</v>
      </c>
      <c r="I5110" s="5" t="s">
        <v>12293</v>
      </c>
      <c r="J5110" s="12" t="str">
        <f>HYPERLINK("https://www.boe.es/gazeta/dias/1808/08/23/pdfs/GMS-1808-25.pdf#page=5","Abrir facsímil")</f>
        <v>Abrir facsímil</v>
      </c>
      <c r="K5110" s="15" t="s">
        <v>23</v>
      </c>
    </row>
    <row r="5111" spans="1:11" ht="42" customHeight="1">
      <c r="A5111" s="4" t="s">
        <v>12294</v>
      </c>
      <c r="B5111" s="5" t="s">
        <v>12294</v>
      </c>
      <c r="C5111" s="5" t="s">
        <v>101</v>
      </c>
      <c r="D5111" s="5" t="s">
        <v>102</v>
      </c>
      <c r="E5111" s="5" t="s">
        <v>222</v>
      </c>
      <c r="F5111" s="9" t="s">
        <v>223</v>
      </c>
      <c r="G5111" s="9">
        <v>347</v>
      </c>
      <c r="H5111" s="5" t="s">
        <v>21</v>
      </c>
      <c r="I5111" s="5" t="s">
        <v>12295</v>
      </c>
      <c r="J5111" s="12" t="str">
        <f>HYPERLINK("https://www.boe.es/gazeta/dias/1808/04/08/pdfs/GMD-1808-32.pdf#page=1","Abrir facsímil")</f>
        <v>Abrir facsímil</v>
      </c>
      <c r="K5111" s="15" t="s">
        <v>23</v>
      </c>
    </row>
    <row r="5112" spans="1:11" ht="42" customHeight="1">
      <c r="A5112" s="4" t="s">
        <v>12296</v>
      </c>
      <c r="B5112" s="5" t="s">
        <v>12296</v>
      </c>
      <c r="C5112" s="5" t="s">
        <v>94</v>
      </c>
      <c r="D5112" s="5" t="s">
        <v>95</v>
      </c>
      <c r="E5112" s="5" t="s">
        <v>35</v>
      </c>
      <c r="F5112" s="9" t="s">
        <v>36</v>
      </c>
      <c r="G5112" s="9" t="s">
        <v>450</v>
      </c>
      <c r="H5112" s="5" t="s">
        <v>21</v>
      </c>
      <c r="I5112" s="5" t="s">
        <v>12297</v>
      </c>
      <c r="J5112" s="12" t="str">
        <f>HYPERLINK("https://www.boe.es/gazeta/dias/1808/04/22/pdfs/GMD-C-1808-38.pdf#page=45","Abrir facsímil")</f>
        <v>Abrir facsímil</v>
      </c>
      <c r="K5112" s="15" t="s">
        <v>23</v>
      </c>
    </row>
    <row r="5113" spans="1:11" ht="42" customHeight="1">
      <c r="A5113" s="4" t="s">
        <v>12298</v>
      </c>
      <c r="B5113" s="5" t="s">
        <v>12298</v>
      </c>
      <c r="C5113" s="5" t="s">
        <v>33</v>
      </c>
      <c r="D5113" s="5" t="s">
        <v>34</v>
      </c>
      <c r="E5113" s="5" t="s">
        <v>125</v>
      </c>
      <c r="F5113" s="9" t="s">
        <v>126</v>
      </c>
      <c r="G5113" s="9" t="s">
        <v>117</v>
      </c>
      <c r="H5113" s="5" t="s">
        <v>21</v>
      </c>
      <c r="I5113" s="5" t="s">
        <v>12299</v>
      </c>
      <c r="J5113" s="12" t="str">
        <f>HYPERLINK("https://www.boe.es/gazeta/dias/1808/10/07/pdfs/GMD-C-1808-132.pdf#page=1","Abrir facsímil")</f>
        <v>Abrir facsímil</v>
      </c>
      <c r="K5113" s="15" t="s">
        <v>23</v>
      </c>
    </row>
    <row r="5114" spans="1:11" ht="42" customHeight="1">
      <c r="A5114" s="4" t="s">
        <v>12300</v>
      </c>
      <c r="B5114" s="5" t="s">
        <v>12300</v>
      </c>
      <c r="C5114" s="5" t="s">
        <v>33</v>
      </c>
      <c r="D5114" s="5" t="s">
        <v>34</v>
      </c>
      <c r="E5114" s="5" t="s">
        <v>139</v>
      </c>
      <c r="F5114" s="9" t="s">
        <v>1089</v>
      </c>
      <c r="G5114" s="9" t="s">
        <v>117</v>
      </c>
      <c r="H5114" s="5" t="s">
        <v>21</v>
      </c>
      <c r="I5114" s="5" t="s">
        <v>12301</v>
      </c>
      <c r="J5114" s="12" t="str">
        <f>HYPERLINK("https://www.boe.es/gazeta/dias/1808/09/23/pdfs/GMD-C-1808-127.pdf#page=1","Abrir facsímil")</f>
        <v>Abrir facsímil</v>
      </c>
      <c r="K5114" s="15" t="s">
        <v>23</v>
      </c>
    </row>
    <row r="5115" spans="1:11" ht="42" customHeight="1">
      <c r="A5115" s="4" t="s">
        <v>12302</v>
      </c>
      <c r="B5115" s="5" t="s">
        <v>12302</v>
      </c>
      <c r="C5115" s="5" t="s">
        <v>260</v>
      </c>
      <c r="D5115" s="5" t="s">
        <v>42</v>
      </c>
      <c r="E5115" s="5" t="s">
        <v>572</v>
      </c>
      <c r="F5115" s="9" t="s">
        <v>573</v>
      </c>
      <c r="G5115" s="9">
        <v>19</v>
      </c>
      <c r="H5115" s="5" t="s">
        <v>21</v>
      </c>
      <c r="I5115" s="5" t="s">
        <v>12303</v>
      </c>
      <c r="J5115" s="12" t="str">
        <f>HYPERLINK("https://www.boe.es/gazeta/dias/1808/01/05/pdfs/GMD-1808-2.pdf#page=7","Abrir facsímil")</f>
        <v>Abrir facsímil</v>
      </c>
      <c r="K5115" s="15" t="s">
        <v>23</v>
      </c>
    </row>
    <row r="5116" spans="1:11" ht="42" customHeight="1">
      <c r="A5116" s="4" t="s">
        <v>12304</v>
      </c>
      <c r="B5116" s="5" t="s">
        <v>12304</v>
      </c>
      <c r="C5116" s="5" t="s">
        <v>17</v>
      </c>
      <c r="D5116" s="5" t="s">
        <v>18</v>
      </c>
      <c r="E5116" s="5" t="s">
        <v>269</v>
      </c>
      <c r="F5116" s="9" t="s">
        <v>270</v>
      </c>
      <c r="G5116" s="9">
        <v>69</v>
      </c>
      <c r="H5116" s="5" t="s">
        <v>21</v>
      </c>
      <c r="I5116" s="5" t="s">
        <v>12305</v>
      </c>
      <c r="J5116" s="12" t="str">
        <f>HYPERLINK("https://www.boe.es/gazeta/dias/1808/01/19/pdfs/GMD-1808-6.pdf#page=9","Abrir facsímil")</f>
        <v>Abrir facsímil</v>
      </c>
      <c r="K5116" s="15" t="s">
        <v>23</v>
      </c>
    </row>
    <row r="5117" spans="1:11" ht="42" customHeight="1">
      <c r="A5117" s="4" t="s">
        <v>12306</v>
      </c>
      <c r="B5117" s="5" t="s">
        <v>12306</v>
      </c>
      <c r="C5117" s="5" t="s">
        <v>389</v>
      </c>
      <c r="D5117" s="5" t="s">
        <v>390</v>
      </c>
      <c r="E5117" s="5" t="s">
        <v>115</v>
      </c>
      <c r="F5117" s="9" t="s">
        <v>116</v>
      </c>
      <c r="G5117" s="9" t="s">
        <v>106</v>
      </c>
      <c r="H5117" s="5" t="s">
        <v>21</v>
      </c>
      <c r="I5117" s="5" t="s">
        <v>12307</v>
      </c>
      <c r="J5117" s="12" t="str">
        <f>HYPERLINK("https://www.boe.es/gazeta/dias/1808/09/16/pdfs/GMD-C-1808-125.pdf#page=3","Abrir facsímil")</f>
        <v>Abrir facsímil</v>
      </c>
      <c r="K5117" s="15" t="s">
        <v>23</v>
      </c>
    </row>
    <row r="5118" spans="1:11" ht="42" customHeight="1">
      <c r="A5118" s="4" t="s">
        <v>12308</v>
      </c>
      <c r="B5118" s="5" t="s">
        <v>12308</v>
      </c>
      <c r="C5118" s="5" t="s">
        <v>389</v>
      </c>
      <c r="D5118" s="5" t="s">
        <v>390</v>
      </c>
      <c r="E5118" s="5" t="s">
        <v>210</v>
      </c>
      <c r="F5118" s="9" t="s">
        <v>211</v>
      </c>
      <c r="G5118" s="9">
        <v>258</v>
      </c>
      <c r="H5118" s="5" t="s">
        <v>21</v>
      </c>
      <c r="I5118" s="5" t="s">
        <v>12309</v>
      </c>
      <c r="J5118" s="12" t="str">
        <f>HYPERLINK("https://www.boe.es/gazeta/dias/1808/03/11/pdfs/GMD-1808-21.pdf#page=12","Abrir facsímil")</f>
        <v>Abrir facsímil</v>
      </c>
      <c r="K5118" s="15" t="s">
        <v>23</v>
      </c>
    </row>
    <row r="5119" spans="1:11" ht="42" customHeight="1">
      <c r="A5119" s="4" t="s">
        <v>12310</v>
      </c>
      <c r="B5119" s="5" t="s">
        <v>12310</v>
      </c>
      <c r="C5119" s="5" t="s">
        <v>33</v>
      </c>
      <c r="D5119" s="5" t="s">
        <v>34</v>
      </c>
      <c r="E5119" s="5" t="s">
        <v>363</v>
      </c>
      <c r="F5119" s="9" t="s">
        <v>364</v>
      </c>
      <c r="G5119" s="9" t="s">
        <v>106</v>
      </c>
      <c r="H5119" s="5" t="s">
        <v>21</v>
      </c>
      <c r="I5119" s="5" t="s">
        <v>12311</v>
      </c>
      <c r="J5119" s="12" t="str">
        <f>HYPERLINK("https://www.boe.es/gazeta/dias/1808/09/20/pdfs/GMD-C-1808-126.pdf#page=3","Abrir facsímil")</f>
        <v>Abrir facsímil</v>
      </c>
      <c r="K5119" s="15" t="s">
        <v>23</v>
      </c>
    </row>
    <row r="5120" spans="1:11" ht="42" customHeight="1">
      <c r="A5120" s="4" t="s">
        <v>12312</v>
      </c>
      <c r="B5120" s="5" t="s">
        <v>12312</v>
      </c>
      <c r="C5120" s="5" t="s">
        <v>17</v>
      </c>
      <c r="D5120" s="5" t="s">
        <v>18</v>
      </c>
      <c r="E5120" s="5" t="s">
        <v>2935</v>
      </c>
      <c r="F5120" s="9" t="s">
        <v>2936</v>
      </c>
      <c r="G5120" s="9">
        <v>426</v>
      </c>
      <c r="H5120" s="5" t="s">
        <v>21</v>
      </c>
      <c r="I5120" s="5" t="s">
        <v>12313</v>
      </c>
      <c r="J5120" s="12" t="str">
        <f>HYPERLINK("https://www.boe.es/gazeta/dias/1808/12/02/pdfs/GMS-1808-54.pdf#page=2","Abrir facsímil")</f>
        <v>Abrir facsímil</v>
      </c>
      <c r="K5120" s="15" t="s">
        <v>23</v>
      </c>
    </row>
    <row r="5121" spans="1:11" ht="42" customHeight="1">
      <c r="A5121" s="4" t="s">
        <v>12314</v>
      </c>
      <c r="B5121" s="5" t="s">
        <v>12315</v>
      </c>
      <c r="C5121" s="5" t="s">
        <v>33</v>
      </c>
      <c r="D5121" s="5" t="s">
        <v>34</v>
      </c>
      <c r="E5121" s="5" t="s">
        <v>35</v>
      </c>
      <c r="F5121" s="9" t="s">
        <v>36</v>
      </c>
      <c r="G5121" s="9" t="s">
        <v>818</v>
      </c>
      <c r="H5121" s="5" t="s">
        <v>21</v>
      </c>
      <c r="I5121" s="5" t="s">
        <v>12316</v>
      </c>
      <c r="J5121" s="12" t="str">
        <f>HYPERLINK("https://www.boe.es/gazeta/dias/1808/04/22/pdfs/GMD-C-1808-38.pdf#page=7","Abrir facsímil")</f>
        <v>Abrir facsímil</v>
      </c>
      <c r="K5121" s="15" t="s">
        <v>23</v>
      </c>
    </row>
    <row r="5122" spans="1:11" ht="42" customHeight="1">
      <c r="A5122" s="4" t="s">
        <v>12317</v>
      </c>
      <c r="B5122" s="5" t="s">
        <v>12317</v>
      </c>
      <c r="C5122" s="5" t="s">
        <v>41</v>
      </c>
      <c r="D5122" s="5" t="s">
        <v>42</v>
      </c>
      <c r="E5122" s="5" t="s">
        <v>35</v>
      </c>
      <c r="F5122" s="9" t="s">
        <v>36</v>
      </c>
      <c r="G5122" s="9" t="s">
        <v>277</v>
      </c>
      <c r="H5122" s="5" t="s">
        <v>21</v>
      </c>
      <c r="I5122" s="5" t="s">
        <v>12318</v>
      </c>
      <c r="J5122" s="12" t="str">
        <f>HYPERLINK("https://www.boe.es/gazeta/dias/1808/04/22/pdfs/GMD-C-1808-38.pdf#page=34","Abrir facsímil")</f>
        <v>Abrir facsímil</v>
      </c>
      <c r="K5122" s="15" t="s">
        <v>23</v>
      </c>
    </row>
    <row r="5123" spans="1:11" ht="42" customHeight="1">
      <c r="A5123" s="4" t="s">
        <v>12319</v>
      </c>
      <c r="B5123" s="5" t="s">
        <v>12319</v>
      </c>
      <c r="C5123" s="5" t="s">
        <v>33</v>
      </c>
      <c r="D5123" s="5" t="s">
        <v>34</v>
      </c>
      <c r="E5123" s="5" t="s">
        <v>35</v>
      </c>
      <c r="F5123" s="9" t="s">
        <v>36</v>
      </c>
      <c r="G5123" s="9" t="s">
        <v>501</v>
      </c>
      <c r="H5123" s="5" t="s">
        <v>21</v>
      </c>
      <c r="I5123" s="5" t="s">
        <v>12320</v>
      </c>
      <c r="J5123" s="12" t="str">
        <f>HYPERLINK("https://www.boe.es/gazeta/dias/1808/04/22/pdfs/GMD-C-1808-38.pdf#page=5","Abrir facsímil")</f>
        <v>Abrir facsímil</v>
      </c>
      <c r="K5123" s="15" t="s">
        <v>23</v>
      </c>
    </row>
    <row r="5124" spans="1:11" ht="42" customHeight="1">
      <c r="A5124" s="4" t="s">
        <v>12321</v>
      </c>
      <c r="B5124" s="5" t="s">
        <v>12321</v>
      </c>
      <c r="C5124" s="5" t="s">
        <v>41</v>
      </c>
      <c r="D5124" s="5" t="s">
        <v>42</v>
      </c>
      <c r="E5124" s="5" t="s">
        <v>478</v>
      </c>
      <c r="F5124" s="9" t="s">
        <v>479</v>
      </c>
      <c r="G5124" s="9">
        <v>243</v>
      </c>
      <c r="H5124" s="5" t="s">
        <v>21</v>
      </c>
      <c r="I5124" s="5" t="s">
        <v>12322</v>
      </c>
      <c r="J5124" s="12" t="str">
        <f>HYPERLINK("https://www.boe.es/gazeta/dias/1808/03/08/pdfs/GMD-1808-20.pdf#page=9","Abrir facsímil")</f>
        <v>Abrir facsímil</v>
      </c>
      <c r="K5124" s="15" t="s">
        <v>23</v>
      </c>
    </row>
    <row r="5125" spans="1:11" ht="42" customHeight="1">
      <c r="A5125" s="4" t="s">
        <v>12321</v>
      </c>
      <c r="B5125" s="5" t="s">
        <v>12321</v>
      </c>
      <c r="C5125" s="5" t="s">
        <v>33</v>
      </c>
      <c r="D5125" s="5" t="s">
        <v>34</v>
      </c>
      <c r="E5125" s="5" t="s">
        <v>35</v>
      </c>
      <c r="F5125" s="9" t="s">
        <v>36</v>
      </c>
      <c r="G5125" s="9" t="s">
        <v>273</v>
      </c>
      <c r="H5125" s="5" t="s">
        <v>21</v>
      </c>
      <c r="I5125" s="5" t="s">
        <v>12323</v>
      </c>
      <c r="J5125" s="12" t="str">
        <f>HYPERLINK("https://www.boe.es/gazeta/dias/1808/04/22/pdfs/GMD-C-1808-38.pdf#page=12","Abrir facsímil")</f>
        <v>Abrir facsímil</v>
      </c>
      <c r="K5125" s="15" t="s">
        <v>23</v>
      </c>
    </row>
    <row r="5126" spans="1:11" ht="42" customHeight="1">
      <c r="A5126" s="4" t="s">
        <v>12324</v>
      </c>
      <c r="B5126" s="5" t="s">
        <v>12324</v>
      </c>
      <c r="C5126" s="5" t="s">
        <v>260</v>
      </c>
      <c r="D5126" s="5" t="s">
        <v>42</v>
      </c>
      <c r="E5126" s="5" t="s">
        <v>2204</v>
      </c>
      <c r="F5126" s="9" t="s">
        <v>2285</v>
      </c>
      <c r="G5126" s="9">
        <v>685</v>
      </c>
      <c r="H5126" s="5" t="s">
        <v>21</v>
      </c>
      <c r="I5126" s="5" t="s">
        <v>12325</v>
      </c>
      <c r="J5126" s="12" t="str">
        <f>HYPERLINK("https://www.boe.es/gazeta/dias/1808/06/29/pdfs/GMD-1808-71.pdf#page=7","Abrir facsímil")</f>
        <v>Abrir facsímil</v>
      </c>
      <c r="K5126" s="15" t="s">
        <v>23</v>
      </c>
    </row>
    <row r="5127" spans="1:11" ht="42" customHeight="1">
      <c r="A5127" s="4" t="s">
        <v>12324</v>
      </c>
      <c r="B5127" s="5" t="s">
        <v>12324</v>
      </c>
      <c r="C5127" s="5" t="s">
        <v>17</v>
      </c>
      <c r="D5127" s="5" t="s">
        <v>18</v>
      </c>
      <c r="E5127" s="5" t="s">
        <v>110</v>
      </c>
      <c r="F5127" s="9" t="s">
        <v>111</v>
      </c>
      <c r="G5127" s="9">
        <v>1383</v>
      </c>
      <c r="H5127" s="5" t="s">
        <v>21</v>
      </c>
      <c r="I5127" s="5" t="s">
        <v>12326</v>
      </c>
      <c r="J5127" s="12" t="str">
        <f>HYPERLINK("https://www.boe.es/gazeta/dias/1808/10/28/pdfs/GMD-1808-138.pdf#page=9","Abrir facsímil")</f>
        <v>Abrir facsímil</v>
      </c>
      <c r="K5127" s="15" t="s">
        <v>23</v>
      </c>
    </row>
    <row r="5128" spans="1:11" ht="42" customHeight="1">
      <c r="A5128" s="4" t="s">
        <v>12324</v>
      </c>
      <c r="B5128" s="5" t="s">
        <v>12324</v>
      </c>
      <c r="C5128" s="5" t="s">
        <v>260</v>
      </c>
      <c r="D5128" s="5" t="s">
        <v>42</v>
      </c>
      <c r="E5128" s="5" t="s">
        <v>28</v>
      </c>
      <c r="F5128" s="9" t="s">
        <v>29</v>
      </c>
      <c r="G5128" s="9">
        <v>1430</v>
      </c>
      <c r="H5128" s="5" t="s">
        <v>21</v>
      </c>
      <c r="I5128" s="5" t="s">
        <v>12327</v>
      </c>
      <c r="J5128" s="12" t="str">
        <f>HYPERLINK("https://www.boe.es/gazeta/dias/1808/11/04/pdfs/GMD-1808-141.pdf#page=12","Abrir facsímil")</f>
        <v>Abrir facsímil</v>
      </c>
      <c r="K5128" s="15" t="s">
        <v>23</v>
      </c>
    </row>
    <row r="5129" spans="1:11" ht="42" customHeight="1">
      <c r="A5129" s="4" t="s">
        <v>12328</v>
      </c>
      <c r="B5129" s="5" t="s">
        <v>12328</v>
      </c>
      <c r="C5129" s="5" t="s">
        <v>33</v>
      </c>
      <c r="D5129" s="5" t="s">
        <v>34</v>
      </c>
      <c r="E5129" s="5" t="s">
        <v>65</v>
      </c>
      <c r="F5129" s="9" t="s">
        <v>105</v>
      </c>
      <c r="G5129" s="9" t="s">
        <v>106</v>
      </c>
      <c r="H5129" s="5" t="s">
        <v>21</v>
      </c>
      <c r="I5129" s="5" t="s">
        <v>12329</v>
      </c>
      <c r="J5129" s="12" t="str">
        <f>HYPERLINK("https://www.boe.es/gazeta/dias/1808/10/18/pdfs/GMD-D-1808-135.pdf#page=3","Abrir facsímil")</f>
        <v>Abrir facsímil</v>
      </c>
      <c r="K5129" s="15" t="s">
        <v>23</v>
      </c>
    </row>
    <row r="5130" spans="1:11" ht="42" customHeight="1">
      <c r="A5130" s="4" t="s">
        <v>12328</v>
      </c>
      <c r="B5130" s="5" t="s">
        <v>12328</v>
      </c>
      <c r="C5130" s="5" t="s">
        <v>41</v>
      </c>
      <c r="D5130" s="5" t="s">
        <v>42</v>
      </c>
      <c r="E5130" s="5" t="s">
        <v>558</v>
      </c>
      <c r="F5130" s="9" t="s">
        <v>758</v>
      </c>
      <c r="G5130" s="9" t="s">
        <v>117</v>
      </c>
      <c r="H5130" s="5" t="s">
        <v>21</v>
      </c>
      <c r="I5130" s="5" t="s">
        <v>12330</v>
      </c>
      <c r="J5130" s="12" t="str">
        <f>HYPERLINK("https://www.boe.es/gazeta/dias/1808/11/25/pdfs/GMD-E-1808-147.pdf#page=1","Abrir facsímil")</f>
        <v>Abrir facsímil</v>
      </c>
      <c r="K5130" s="15" t="s">
        <v>23</v>
      </c>
    </row>
    <row r="5131" spans="1:11" ht="42" customHeight="1">
      <c r="A5131" s="4" t="s">
        <v>12331</v>
      </c>
      <c r="B5131" s="5" t="s">
        <v>12331</v>
      </c>
      <c r="C5131" s="5" t="s">
        <v>33</v>
      </c>
      <c r="D5131" s="5" t="s">
        <v>34</v>
      </c>
      <c r="E5131" s="5" t="s">
        <v>334</v>
      </c>
      <c r="F5131" s="9" t="s">
        <v>335</v>
      </c>
      <c r="G5131" s="9">
        <v>1258</v>
      </c>
      <c r="H5131" s="5" t="s">
        <v>21</v>
      </c>
      <c r="I5131" s="5" t="s">
        <v>12332</v>
      </c>
      <c r="J5131" s="12" t="str">
        <f>HYPERLINK("https://www.boe.es/gazeta/dias/1808/10/04/pdfs/GMD-C-1808-131.pdf#page=10","Abrir facsímil")</f>
        <v>Abrir facsímil</v>
      </c>
      <c r="K5131" s="15" t="s">
        <v>23</v>
      </c>
    </row>
    <row r="5132" spans="1:11" ht="42" customHeight="1">
      <c r="A5132" s="4" t="s">
        <v>12333</v>
      </c>
      <c r="B5132" s="5" t="s">
        <v>12333</v>
      </c>
      <c r="C5132" s="5" t="s">
        <v>33</v>
      </c>
      <c r="D5132" s="5" t="s">
        <v>34</v>
      </c>
      <c r="E5132" s="5" t="s">
        <v>391</v>
      </c>
      <c r="F5132" s="9" t="s">
        <v>588</v>
      </c>
      <c r="G5132" s="9" t="s">
        <v>117</v>
      </c>
      <c r="H5132" s="5" t="s">
        <v>21</v>
      </c>
      <c r="I5132" s="5" t="s">
        <v>12334</v>
      </c>
      <c r="J5132" s="12" t="str">
        <f>HYPERLINK("https://www.boe.es/gazeta/dias/1808/09/27/pdfs/GMD-C-1808-128.pdf#page=1","Abrir facsímil")</f>
        <v>Abrir facsímil</v>
      </c>
      <c r="K5132" s="15" t="s">
        <v>23</v>
      </c>
    </row>
    <row r="5133" spans="1:11" ht="42" customHeight="1">
      <c r="A5133" s="4" t="s">
        <v>12335</v>
      </c>
      <c r="B5133" s="5" t="s">
        <v>12335</v>
      </c>
      <c r="C5133" s="5" t="s">
        <v>94</v>
      </c>
      <c r="D5133" s="5" t="s">
        <v>95</v>
      </c>
      <c r="E5133" s="5" t="s">
        <v>203</v>
      </c>
      <c r="F5133" s="9" t="s">
        <v>204</v>
      </c>
      <c r="G5133" s="9">
        <v>141</v>
      </c>
      <c r="H5133" s="5" t="s">
        <v>21</v>
      </c>
      <c r="I5133" s="5" t="s">
        <v>12336</v>
      </c>
      <c r="J5133" s="12" t="str">
        <f>HYPERLINK("https://www.boe.es/gazeta/dias/1808/02/09/pdfs/GMD-1808-12.pdf#page=9","Abrir facsímil")</f>
        <v>Abrir facsímil</v>
      </c>
      <c r="K5133" s="15" t="s">
        <v>23</v>
      </c>
    </row>
    <row r="5134" spans="1:11" ht="42" customHeight="1">
      <c r="A5134" s="4" t="s">
        <v>12335</v>
      </c>
      <c r="B5134" s="5" t="s">
        <v>12335</v>
      </c>
      <c r="C5134" s="5" t="s">
        <v>94</v>
      </c>
      <c r="D5134" s="5" t="s">
        <v>95</v>
      </c>
      <c r="E5134" s="5" t="s">
        <v>203</v>
      </c>
      <c r="F5134" s="9" t="s">
        <v>204</v>
      </c>
      <c r="G5134" s="9">
        <v>142</v>
      </c>
      <c r="H5134" s="5" t="s">
        <v>21</v>
      </c>
      <c r="I5134" s="5" t="s">
        <v>12337</v>
      </c>
      <c r="J5134" s="12" t="str">
        <f>HYPERLINK("https://www.boe.es/gazeta/dias/1808/02/09/pdfs/GMD-1808-12.pdf#page=10","Abrir facsímil")</f>
        <v>Abrir facsímil</v>
      </c>
      <c r="K5134" s="15" t="s">
        <v>23</v>
      </c>
    </row>
    <row r="5135" spans="1:11" ht="42" customHeight="1">
      <c r="A5135" s="4" t="s">
        <v>12338</v>
      </c>
      <c r="B5135" s="5" t="s">
        <v>12338</v>
      </c>
      <c r="C5135" s="5" t="s">
        <v>389</v>
      </c>
      <c r="D5135" s="5" t="s">
        <v>390</v>
      </c>
      <c r="E5135" s="5" t="s">
        <v>1385</v>
      </c>
      <c r="F5135" s="9" t="s">
        <v>1386</v>
      </c>
      <c r="G5135" s="9">
        <v>234</v>
      </c>
      <c r="H5135" s="5" t="s">
        <v>21</v>
      </c>
      <c r="I5135" s="5" t="s">
        <v>12339</v>
      </c>
      <c r="J5135" s="12" t="str">
        <f>HYPERLINK("https://www.boe.es/gazeta/dias/1808/03/04/pdfs/GMD-1808-19.pdf#page=12","Abrir facsímil")</f>
        <v>Abrir facsímil</v>
      </c>
      <c r="K5135" s="15" t="s">
        <v>23</v>
      </c>
    </row>
    <row r="5136" spans="1:11" ht="42" customHeight="1">
      <c r="A5136" s="4" t="s">
        <v>12340</v>
      </c>
      <c r="B5136" s="5" t="s">
        <v>12340</v>
      </c>
      <c r="C5136" s="5" t="s">
        <v>33</v>
      </c>
      <c r="D5136" s="5" t="s">
        <v>34</v>
      </c>
      <c r="E5136" s="5" t="s">
        <v>35</v>
      </c>
      <c r="F5136" s="9" t="s">
        <v>36</v>
      </c>
      <c r="G5136" s="9" t="s">
        <v>1128</v>
      </c>
      <c r="H5136" s="5" t="s">
        <v>21</v>
      </c>
      <c r="I5136" s="5" t="s">
        <v>12341</v>
      </c>
      <c r="J5136" s="12" t="str">
        <f>HYPERLINK("https://www.boe.es/gazeta/dias/1808/04/22/pdfs/GMD-C-1808-38.pdf#page=11","Abrir facsímil")</f>
        <v>Abrir facsímil</v>
      </c>
      <c r="K5136" s="15" t="s">
        <v>23</v>
      </c>
    </row>
    <row r="5137" spans="1:11" ht="42" customHeight="1">
      <c r="A5137" s="4" t="s">
        <v>12340</v>
      </c>
      <c r="B5137" s="5" t="s">
        <v>12340</v>
      </c>
      <c r="C5137" s="5" t="s">
        <v>33</v>
      </c>
      <c r="D5137" s="5" t="s">
        <v>34</v>
      </c>
      <c r="E5137" s="5" t="s">
        <v>35</v>
      </c>
      <c r="F5137" s="9" t="s">
        <v>36</v>
      </c>
      <c r="G5137" s="9" t="s">
        <v>299</v>
      </c>
      <c r="H5137" s="5" t="s">
        <v>21</v>
      </c>
      <c r="I5137" s="5" t="s">
        <v>12342</v>
      </c>
      <c r="J5137" s="12" t="str">
        <f>HYPERLINK("https://www.boe.es/gazeta/dias/1808/04/22/pdfs/GMD-C-1808-38.pdf#page=14","Abrir facsímil")</f>
        <v>Abrir facsímil</v>
      </c>
      <c r="K5137" s="15" t="s">
        <v>23</v>
      </c>
    </row>
    <row r="5138" spans="1:11" ht="42" customHeight="1">
      <c r="A5138" s="4" t="s">
        <v>12340</v>
      </c>
      <c r="B5138" s="5" t="s">
        <v>12340</v>
      </c>
      <c r="C5138" s="5" t="s">
        <v>33</v>
      </c>
      <c r="D5138" s="5" t="s">
        <v>34</v>
      </c>
      <c r="E5138" s="5" t="s">
        <v>35</v>
      </c>
      <c r="F5138" s="9" t="s">
        <v>36</v>
      </c>
      <c r="G5138" s="9" t="s">
        <v>985</v>
      </c>
      <c r="H5138" s="5" t="s">
        <v>21</v>
      </c>
      <c r="I5138" s="5" t="s">
        <v>12343</v>
      </c>
      <c r="J5138" s="12" t="str">
        <f>HYPERLINK("https://www.boe.es/gazeta/dias/1808/04/22/pdfs/GMD-C-1808-38.pdf#page=39","Abrir facsímil")</f>
        <v>Abrir facsímil</v>
      </c>
      <c r="K5138" s="15" t="s">
        <v>23</v>
      </c>
    </row>
    <row r="5139" spans="1:11" ht="42" customHeight="1">
      <c r="A5139" s="4" t="s">
        <v>12340</v>
      </c>
      <c r="B5139" s="5" t="s">
        <v>12340</v>
      </c>
      <c r="C5139" s="5" t="s">
        <v>33</v>
      </c>
      <c r="D5139" s="5" t="s">
        <v>34</v>
      </c>
      <c r="E5139" s="5" t="s">
        <v>35</v>
      </c>
      <c r="F5139" s="9" t="s">
        <v>36</v>
      </c>
      <c r="G5139" s="9" t="s">
        <v>655</v>
      </c>
      <c r="H5139" s="5" t="s">
        <v>21</v>
      </c>
      <c r="I5139" s="5" t="s">
        <v>12344</v>
      </c>
      <c r="J5139" s="12" t="str">
        <f>HYPERLINK("https://www.boe.es/gazeta/dias/1808/04/22/pdfs/GMD-C-1808-38.pdf#page=43","Abrir facsímil")</f>
        <v>Abrir facsímil</v>
      </c>
      <c r="K5139" s="15" t="s">
        <v>23</v>
      </c>
    </row>
    <row r="5140" spans="1:11" ht="42" customHeight="1">
      <c r="A5140" s="4" t="s">
        <v>12340</v>
      </c>
      <c r="B5140" s="5" t="s">
        <v>12340</v>
      </c>
      <c r="C5140" s="5" t="s">
        <v>33</v>
      </c>
      <c r="D5140" s="5" t="s">
        <v>34</v>
      </c>
      <c r="E5140" s="5" t="s">
        <v>35</v>
      </c>
      <c r="F5140" s="9" t="s">
        <v>36</v>
      </c>
      <c r="G5140" s="9" t="s">
        <v>450</v>
      </c>
      <c r="H5140" s="5" t="s">
        <v>21</v>
      </c>
      <c r="I5140" s="5" t="s">
        <v>12345</v>
      </c>
      <c r="J5140" s="12" t="str">
        <f>HYPERLINK("https://www.boe.es/gazeta/dias/1808/04/22/pdfs/GMD-C-1808-38.pdf#page=45","Abrir facsímil")</f>
        <v>Abrir facsímil</v>
      </c>
      <c r="K5140" s="15" t="s">
        <v>23</v>
      </c>
    </row>
    <row r="5141" spans="1:11" ht="42" customHeight="1">
      <c r="A5141" s="4" t="s">
        <v>12346</v>
      </c>
      <c r="B5141" s="5" t="s">
        <v>12346</v>
      </c>
      <c r="C5141" s="5" t="s">
        <v>94</v>
      </c>
      <c r="D5141" s="5" t="s">
        <v>95</v>
      </c>
      <c r="E5141" s="5" t="s">
        <v>493</v>
      </c>
      <c r="F5141" s="9" t="s">
        <v>494</v>
      </c>
      <c r="G5141" s="9">
        <v>45</v>
      </c>
      <c r="H5141" s="5" t="s">
        <v>21</v>
      </c>
      <c r="I5141" s="5" t="s">
        <v>12347</v>
      </c>
      <c r="J5141" s="12" t="str">
        <f>HYPERLINK("https://www.boe.es/gazeta/dias/1808/01/12/pdfs/GMD-1808-4.pdf#page=9","Abrir facsímil")</f>
        <v>Abrir facsímil</v>
      </c>
      <c r="K5141" s="15" t="s">
        <v>23</v>
      </c>
    </row>
    <row r="5142" spans="1:11" ht="42" customHeight="1">
      <c r="A5142" s="4" t="s">
        <v>12346</v>
      </c>
      <c r="B5142" s="5" t="s">
        <v>12346</v>
      </c>
      <c r="C5142" s="5" t="s">
        <v>33</v>
      </c>
      <c r="D5142" s="5" t="s">
        <v>34</v>
      </c>
      <c r="E5142" s="5" t="s">
        <v>73</v>
      </c>
      <c r="F5142" s="9" t="s">
        <v>74</v>
      </c>
      <c r="G5142" s="9" t="s">
        <v>117</v>
      </c>
      <c r="H5142" s="5" t="s">
        <v>21</v>
      </c>
      <c r="I5142" s="5" t="s">
        <v>12348</v>
      </c>
      <c r="J5142" s="12" t="str">
        <f>HYPERLINK("https://www.boe.es/gazeta/dias/1808/11/11/pdfs/GMD-D-1808-143.pdf#page=1","Abrir facsímil")</f>
        <v>Abrir facsímil</v>
      </c>
      <c r="K5142" s="15" t="s">
        <v>23</v>
      </c>
    </row>
    <row r="5143" spans="1:11" ht="42" customHeight="1">
      <c r="A5143" s="4" t="s">
        <v>12349</v>
      </c>
      <c r="B5143" s="5" t="s">
        <v>12349</v>
      </c>
      <c r="C5143" s="5" t="s">
        <v>33</v>
      </c>
      <c r="D5143" s="5" t="s">
        <v>34</v>
      </c>
      <c r="E5143" s="5" t="s">
        <v>115</v>
      </c>
      <c r="F5143" s="9" t="s">
        <v>116</v>
      </c>
      <c r="G5143" s="9" t="s">
        <v>117</v>
      </c>
      <c r="H5143" s="5" t="s">
        <v>21</v>
      </c>
      <c r="I5143" s="5" t="s">
        <v>12350</v>
      </c>
      <c r="J5143" s="12" t="str">
        <f>HYPERLINK("https://www.boe.es/gazeta/dias/1808/09/16/pdfs/GMD-C-1808-125.pdf#page=1","Abrir facsímil")</f>
        <v>Abrir facsímil</v>
      </c>
      <c r="K5143" s="15" t="s">
        <v>23</v>
      </c>
    </row>
    <row r="5144" spans="1:11" ht="42" customHeight="1">
      <c r="A5144" s="4" t="s">
        <v>12351</v>
      </c>
      <c r="B5144" s="5" t="s">
        <v>12351</v>
      </c>
      <c r="C5144" s="5" t="s">
        <v>33</v>
      </c>
      <c r="D5144" s="5" t="s">
        <v>34</v>
      </c>
      <c r="E5144" s="5" t="s">
        <v>35</v>
      </c>
      <c r="F5144" s="9" t="s">
        <v>36</v>
      </c>
      <c r="G5144" s="9" t="s">
        <v>324</v>
      </c>
      <c r="H5144" s="5" t="s">
        <v>21</v>
      </c>
      <c r="I5144" s="5" t="s">
        <v>12352</v>
      </c>
      <c r="J5144" s="12" t="str">
        <f>HYPERLINK("https://www.boe.es/gazeta/dias/1808/04/22/pdfs/GMD-C-1808-38.pdf#page=24","Abrir facsímil")</f>
        <v>Abrir facsímil</v>
      </c>
      <c r="K5144" s="15" t="s">
        <v>23</v>
      </c>
    </row>
    <row r="5145" spans="1:11" ht="42" customHeight="1">
      <c r="A5145" s="4" t="s">
        <v>12353</v>
      </c>
      <c r="B5145" s="5" t="s">
        <v>12353</v>
      </c>
      <c r="C5145" s="5" t="s">
        <v>33</v>
      </c>
      <c r="D5145" s="5" t="s">
        <v>34</v>
      </c>
      <c r="E5145" s="5" t="s">
        <v>35</v>
      </c>
      <c r="F5145" s="9" t="s">
        <v>36</v>
      </c>
      <c r="G5145" s="9" t="s">
        <v>199</v>
      </c>
      <c r="H5145" s="5" t="s">
        <v>21</v>
      </c>
      <c r="I5145" s="5" t="s">
        <v>12354</v>
      </c>
      <c r="J5145" s="12" t="str">
        <f>HYPERLINK("https://www.boe.es/gazeta/dias/1808/04/22/pdfs/GMD-C-1808-38.pdf#page=2","Abrir facsímil")</f>
        <v>Abrir facsímil</v>
      </c>
      <c r="K5145" s="15" t="s">
        <v>23</v>
      </c>
    </row>
    <row r="5146" spans="1:11" ht="42" customHeight="1">
      <c r="A5146" s="4" t="s">
        <v>12355</v>
      </c>
      <c r="B5146" s="5" t="s">
        <v>12355</v>
      </c>
      <c r="C5146" s="5" t="s">
        <v>33</v>
      </c>
      <c r="D5146" s="5" t="s">
        <v>34</v>
      </c>
      <c r="E5146" s="5" t="s">
        <v>35</v>
      </c>
      <c r="F5146" s="9" t="s">
        <v>36</v>
      </c>
      <c r="G5146" s="9" t="s">
        <v>1006</v>
      </c>
      <c r="H5146" s="5" t="s">
        <v>21</v>
      </c>
      <c r="I5146" s="5" t="s">
        <v>12356</v>
      </c>
      <c r="J5146" s="12" t="str">
        <f>HYPERLINK("https://www.boe.es/gazeta/dias/1808/04/22/pdfs/GMD-C-1808-38.pdf#page=46","Abrir facsímil")</f>
        <v>Abrir facsímil</v>
      </c>
      <c r="K5146" s="15" t="s">
        <v>23</v>
      </c>
    </row>
    <row r="5147" spans="1:11" ht="42" customHeight="1">
      <c r="A5147" s="4" t="s">
        <v>12357</v>
      </c>
      <c r="B5147" s="5" t="s">
        <v>12357</v>
      </c>
      <c r="C5147" s="5" t="s">
        <v>33</v>
      </c>
      <c r="D5147" s="5" t="s">
        <v>34</v>
      </c>
      <c r="E5147" s="5" t="s">
        <v>35</v>
      </c>
      <c r="F5147" s="9" t="s">
        <v>36</v>
      </c>
      <c r="G5147" s="9" t="s">
        <v>818</v>
      </c>
      <c r="H5147" s="5" t="s">
        <v>21</v>
      </c>
      <c r="I5147" s="5" t="s">
        <v>12358</v>
      </c>
      <c r="J5147" s="12" t="str">
        <f>HYPERLINK("https://www.boe.es/gazeta/dias/1808/04/22/pdfs/GMD-C-1808-38.pdf#page=7","Abrir facsímil")</f>
        <v>Abrir facsímil</v>
      </c>
      <c r="K5147" s="15" t="s">
        <v>23</v>
      </c>
    </row>
    <row r="5148" spans="1:11" ht="42" customHeight="1">
      <c r="A5148" s="4" t="s">
        <v>12359</v>
      </c>
      <c r="B5148" s="5" t="s">
        <v>12360</v>
      </c>
      <c r="C5148" s="5" t="s">
        <v>101</v>
      </c>
      <c r="D5148" s="5" t="s">
        <v>102</v>
      </c>
      <c r="E5148" s="5" t="s">
        <v>1466</v>
      </c>
      <c r="F5148" s="9" t="s">
        <v>1467</v>
      </c>
      <c r="G5148" s="9">
        <v>53</v>
      </c>
      <c r="H5148" s="5" t="s">
        <v>21</v>
      </c>
      <c r="I5148" s="5" t="s">
        <v>12361</v>
      </c>
      <c r="J5148" s="12" t="str">
        <f>HYPERLINK("https://www.boe.es/gazeta/dias/1808/01/15/pdfs/GMD-1808-5.pdf#page=5","Abrir facsímil")</f>
        <v>Abrir facsímil</v>
      </c>
      <c r="K5148" s="15" t="s">
        <v>23</v>
      </c>
    </row>
    <row r="5149" spans="1:11" ht="42" customHeight="1">
      <c r="A5149" s="4" t="s">
        <v>12359</v>
      </c>
      <c r="B5149" s="5" t="s">
        <v>12360</v>
      </c>
      <c r="C5149" s="5" t="s">
        <v>17</v>
      </c>
      <c r="D5149" s="5" t="s">
        <v>18</v>
      </c>
      <c r="E5149" s="5" t="s">
        <v>1182</v>
      </c>
      <c r="F5149" s="9" t="s">
        <v>1183</v>
      </c>
      <c r="G5149" s="9">
        <v>57</v>
      </c>
      <c r="H5149" s="5" t="s">
        <v>21</v>
      </c>
      <c r="I5149" s="5" t="s">
        <v>12362</v>
      </c>
      <c r="J5149" s="12" t="str">
        <f>HYPERLINK("https://www.boe.es/gazeta/dias/1808/06/26/pdfs/GMS-1808-8.pdf#page=1","Abrir facsímil")</f>
        <v>Abrir facsímil</v>
      </c>
      <c r="K5149" s="15" t="s">
        <v>23</v>
      </c>
    </row>
    <row r="5150" spans="1:11" ht="42" customHeight="1">
      <c r="A5150" s="4" t="s">
        <v>12363</v>
      </c>
      <c r="B5150" s="5" t="s">
        <v>12363</v>
      </c>
      <c r="C5150" s="5" t="s">
        <v>33</v>
      </c>
      <c r="D5150" s="5" t="s">
        <v>34</v>
      </c>
      <c r="E5150" s="5" t="s">
        <v>264</v>
      </c>
      <c r="F5150" s="9" t="s">
        <v>318</v>
      </c>
      <c r="G5150" s="9" t="s">
        <v>75</v>
      </c>
      <c r="H5150" s="5" t="s">
        <v>21</v>
      </c>
      <c r="I5150" s="5" t="s">
        <v>12364</v>
      </c>
      <c r="J5150" s="12" t="str">
        <f>HYPERLINK("https://www.boe.es/gazeta/dias/1808/11/29/pdfs/GMD-C-1808-148.pdf#page=4","Abrir facsímil")</f>
        <v>Abrir facsímil</v>
      </c>
      <c r="K5150" s="15" t="s">
        <v>23</v>
      </c>
    </row>
    <row r="5151" spans="1:11" ht="42" customHeight="1">
      <c r="A5151" s="4" t="s">
        <v>12365</v>
      </c>
      <c r="B5151" s="5" t="s">
        <v>12365</v>
      </c>
      <c r="C5151" s="5" t="s">
        <v>33</v>
      </c>
      <c r="D5151" s="5" t="s">
        <v>34</v>
      </c>
      <c r="E5151" s="5" t="s">
        <v>35</v>
      </c>
      <c r="F5151" s="9" t="s">
        <v>36</v>
      </c>
      <c r="G5151" s="9" t="s">
        <v>299</v>
      </c>
      <c r="H5151" s="5" t="s">
        <v>21</v>
      </c>
      <c r="I5151" s="5" t="s">
        <v>12366</v>
      </c>
      <c r="J5151" s="12" t="str">
        <f>HYPERLINK("https://www.boe.es/gazeta/dias/1808/04/22/pdfs/GMD-C-1808-38.pdf#page=14","Abrir facsímil")</f>
        <v>Abrir facsímil</v>
      </c>
      <c r="K5151" s="15" t="s">
        <v>23</v>
      </c>
    </row>
    <row r="5152" spans="1:11" ht="42" customHeight="1">
      <c r="A5152" s="4" t="s">
        <v>12365</v>
      </c>
      <c r="B5152" s="5" t="s">
        <v>12365</v>
      </c>
      <c r="C5152" s="5" t="s">
        <v>260</v>
      </c>
      <c r="D5152" s="5" t="s">
        <v>42</v>
      </c>
      <c r="E5152" s="5" t="s">
        <v>290</v>
      </c>
      <c r="F5152" s="9" t="s">
        <v>291</v>
      </c>
      <c r="G5152" s="9">
        <v>1060</v>
      </c>
      <c r="H5152" s="5" t="s">
        <v>21</v>
      </c>
      <c r="I5152" s="5" t="s">
        <v>12367</v>
      </c>
      <c r="J5152" s="12" t="str">
        <f>HYPERLINK("https://www.boe.es/gazeta/dias/1808/08/23/pdfs/GMD-1808-116.pdf#page=6","Abrir facsímil")</f>
        <v>Abrir facsímil</v>
      </c>
      <c r="K5152" s="15" t="s">
        <v>23</v>
      </c>
    </row>
    <row r="5153" spans="1:11" ht="42" customHeight="1">
      <c r="A5153" s="4" t="s">
        <v>12365</v>
      </c>
      <c r="B5153" s="5" t="s">
        <v>12365</v>
      </c>
      <c r="C5153" s="5" t="s">
        <v>41</v>
      </c>
      <c r="D5153" s="5" t="s">
        <v>42</v>
      </c>
      <c r="E5153" s="5" t="s">
        <v>456</v>
      </c>
      <c r="F5153" s="9" t="s">
        <v>748</v>
      </c>
      <c r="G5153" s="9" t="s">
        <v>117</v>
      </c>
      <c r="H5153" s="5" t="s">
        <v>21</v>
      </c>
      <c r="I5153" s="5" t="s">
        <v>12368</v>
      </c>
      <c r="J5153" s="12" t="str">
        <f>HYPERLINK("https://www.boe.es/gazeta/dias/1808/10/14/pdfs/GMD-C-1808-134.pdf#page=1","Abrir facsímil")</f>
        <v>Abrir facsímil</v>
      </c>
      <c r="K5153" s="15" t="s">
        <v>23</v>
      </c>
    </row>
    <row r="5154" spans="1:11" ht="42" customHeight="1">
      <c r="A5154" s="4" t="s">
        <v>12369</v>
      </c>
      <c r="B5154" s="5" t="s">
        <v>12369</v>
      </c>
      <c r="C5154" s="5" t="s">
        <v>17</v>
      </c>
      <c r="D5154" s="5" t="s">
        <v>18</v>
      </c>
      <c r="E5154" s="5" t="s">
        <v>264</v>
      </c>
      <c r="F5154" s="9" t="s">
        <v>2256</v>
      </c>
      <c r="G5154" s="9">
        <v>1565</v>
      </c>
      <c r="H5154" s="5" t="s">
        <v>21</v>
      </c>
      <c r="I5154" s="5" t="s">
        <v>12370</v>
      </c>
      <c r="J5154" s="12" t="str">
        <f>HYPERLINK("https://www.boe.es/gazeta/dias/1808/11/29/pdfs/GMD-1808-148.pdf#page=11","Abrir facsímil")</f>
        <v>Abrir facsímil</v>
      </c>
      <c r="K5154" s="15" t="s">
        <v>23</v>
      </c>
    </row>
    <row r="5155" spans="1:11" ht="42" customHeight="1">
      <c r="A5155" s="4" t="s">
        <v>12371</v>
      </c>
      <c r="B5155" s="5" t="s">
        <v>12371</v>
      </c>
      <c r="C5155" s="5" t="s">
        <v>33</v>
      </c>
      <c r="D5155" s="5" t="s">
        <v>34</v>
      </c>
      <c r="E5155" s="5" t="s">
        <v>68</v>
      </c>
      <c r="F5155" s="9" t="s">
        <v>309</v>
      </c>
      <c r="G5155" s="9" t="s">
        <v>199</v>
      </c>
      <c r="H5155" s="5" t="s">
        <v>21</v>
      </c>
      <c r="I5155" s="5" t="s">
        <v>12372</v>
      </c>
      <c r="J5155" s="12" t="str">
        <f>HYPERLINK("https://www.boe.es/gazeta/dias/1808/10/21/pdfs/GMD-D-1808-136.pdf#page=2","Abrir facsímil")</f>
        <v>Abrir facsímil</v>
      </c>
      <c r="K5155" s="15" t="s">
        <v>23</v>
      </c>
    </row>
    <row r="5156" spans="1:11" ht="42" customHeight="1">
      <c r="A5156" s="4" t="s">
        <v>12373</v>
      </c>
      <c r="B5156" s="5" t="s">
        <v>12373</v>
      </c>
      <c r="C5156" s="5" t="s">
        <v>33</v>
      </c>
      <c r="D5156" s="5" t="s">
        <v>34</v>
      </c>
      <c r="E5156" s="5" t="s">
        <v>35</v>
      </c>
      <c r="F5156" s="9" t="s">
        <v>36</v>
      </c>
      <c r="G5156" s="9" t="s">
        <v>47</v>
      </c>
      <c r="H5156" s="5" t="s">
        <v>21</v>
      </c>
      <c r="I5156" s="5" t="s">
        <v>12374</v>
      </c>
      <c r="J5156" s="12" t="str">
        <f>HYPERLINK("https://www.boe.es/gazeta/dias/1808/04/22/pdfs/GMD-C-1808-38.pdf#page=13","Abrir facsímil")</f>
        <v>Abrir facsímil</v>
      </c>
      <c r="K5156" s="15" t="s">
        <v>23</v>
      </c>
    </row>
    <row r="5157" spans="1:11" ht="42" customHeight="1">
      <c r="A5157" s="4" t="s">
        <v>12375</v>
      </c>
      <c r="B5157" s="5" t="s">
        <v>12376</v>
      </c>
      <c r="C5157" s="5" t="s">
        <v>94</v>
      </c>
      <c r="D5157" s="5" t="s">
        <v>95</v>
      </c>
      <c r="E5157" s="5" t="s">
        <v>35</v>
      </c>
      <c r="F5157" s="9" t="s">
        <v>36</v>
      </c>
      <c r="G5157" s="9" t="s">
        <v>1178</v>
      </c>
      <c r="H5157" s="5" t="s">
        <v>21</v>
      </c>
      <c r="I5157" s="5" t="s">
        <v>12377</v>
      </c>
      <c r="J5157" s="12" t="str">
        <f>HYPERLINK("https://www.boe.es/gazeta/dias/1808/04/22/pdfs/GMD-C-1808-38.pdf#page=9","Abrir facsímil")</f>
        <v>Abrir facsímil</v>
      </c>
      <c r="K5157" s="15" t="s">
        <v>23</v>
      </c>
    </row>
    <row r="5158" spans="1:11" ht="42" customHeight="1">
      <c r="A5158" s="4" t="s">
        <v>12378</v>
      </c>
      <c r="B5158" s="5" t="s">
        <v>12378</v>
      </c>
      <c r="C5158" s="5" t="s">
        <v>41</v>
      </c>
      <c r="D5158" s="5" t="s">
        <v>42</v>
      </c>
      <c r="E5158" s="5" t="s">
        <v>19</v>
      </c>
      <c r="F5158" s="9" t="s">
        <v>949</v>
      </c>
      <c r="G5158" s="9" t="s">
        <v>199</v>
      </c>
      <c r="H5158" s="5" t="s">
        <v>21</v>
      </c>
      <c r="I5158" s="5" t="s">
        <v>12379</v>
      </c>
      <c r="J5158" s="12" t="str">
        <f>HYPERLINK("https://www.boe.es/gazeta/dias/1808/09/30/pdfs/GMD-C-1808-130.pdf#page=2","Abrir facsímil")</f>
        <v>Abrir facsímil</v>
      </c>
      <c r="K5158" s="15" t="s">
        <v>23</v>
      </c>
    </row>
    <row r="5159" spans="1:11" ht="42" customHeight="1">
      <c r="A5159" s="4" t="s">
        <v>12380</v>
      </c>
      <c r="B5159" s="5" t="s">
        <v>12380</v>
      </c>
      <c r="C5159" s="5" t="s">
        <v>17</v>
      </c>
      <c r="D5159" s="5" t="s">
        <v>18</v>
      </c>
      <c r="E5159" s="5" t="s">
        <v>125</v>
      </c>
      <c r="F5159" s="9" t="s">
        <v>397</v>
      </c>
      <c r="G5159" s="9">
        <v>1270</v>
      </c>
      <c r="H5159" s="5" t="s">
        <v>21</v>
      </c>
      <c r="I5159" s="5" t="s">
        <v>12381</v>
      </c>
      <c r="J5159" s="12" t="str">
        <f>HYPERLINK("https://www.boe.es/gazeta/dias/1808/10/07/pdfs/GMD-1808-132.pdf#page=10","Abrir facsímil")</f>
        <v>Abrir facsímil</v>
      </c>
      <c r="K5159" s="15" t="s">
        <v>23</v>
      </c>
    </row>
    <row r="5160" spans="1:11" ht="42" customHeight="1">
      <c r="A5160" s="4" t="s">
        <v>12382</v>
      </c>
      <c r="B5160" s="5" t="s">
        <v>12382</v>
      </c>
      <c r="C5160" s="5" t="s">
        <v>17</v>
      </c>
      <c r="D5160" s="5" t="s">
        <v>18</v>
      </c>
      <c r="E5160" s="5" t="s">
        <v>61</v>
      </c>
      <c r="F5160" s="9" t="s">
        <v>62</v>
      </c>
      <c r="G5160" s="9">
        <v>1285</v>
      </c>
      <c r="H5160" s="5" t="s">
        <v>21</v>
      </c>
      <c r="I5160" s="5" t="s">
        <v>12383</v>
      </c>
      <c r="J5160" s="12" t="str">
        <f>HYPERLINK("https://www.boe.es/gazeta/dias/1808/10/11/pdfs/GMD-1808-133.pdf#page=13","Abrir facsímil")</f>
        <v>Abrir facsímil</v>
      </c>
      <c r="K5160" s="15" t="s">
        <v>23</v>
      </c>
    </row>
    <row r="5161" spans="1:11" ht="42" customHeight="1">
      <c r="A5161" s="4" t="s">
        <v>12384</v>
      </c>
      <c r="B5161" s="5" t="s">
        <v>12384</v>
      </c>
      <c r="C5161" s="5" t="s">
        <v>17</v>
      </c>
      <c r="D5161" s="5" t="s">
        <v>18</v>
      </c>
      <c r="E5161" s="5" t="s">
        <v>28</v>
      </c>
      <c r="F5161" s="9" t="s">
        <v>29</v>
      </c>
      <c r="G5161" s="9">
        <v>1428</v>
      </c>
      <c r="H5161" s="5" t="s">
        <v>21</v>
      </c>
      <c r="I5161" s="5" t="s">
        <v>12385</v>
      </c>
      <c r="J5161" s="12" t="str">
        <f>HYPERLINK("https://www.boe.es/gazeta/dias/1808/11/04/pdfs/GMD-1808-141.pdf#page=10","Abrir facsímil")</f>
        <v>Abrir facsímil</v>
      </c>
      <c r="K5161" s="15" t="s">
        <v>23</v>
      </c>
    </row>
    <row r="5162" spans="1:11" ht="42" customHeight="1">
      <c r="A5162" s="4" t="s">
        <v>12386</v>
      </c>
      <c r="B5162" s="5" t="s">
        <v>12386</v>
      </c>
      <c r="C5162" s="5" t="s">
        <v>33</v>
      </c>
      <c r="D5162" s="5" t="s">
        <v>34</v>
      </c>
      <c r="E5162" s="5" t="s">
        <v>35</v>
      </c>
      <c r="F5162" s="9" t="s">
        <v>36</v>
      </c>
      <c r="G5162" s="9" t="s">
        <v>818</v>
      </c>
      <c r="H5162" s="5" t="s">
        <v>21</v>
      </c>
      <c r="I5162" s="5" t="s">
        <v>12387</v>
      </c>
      <c r="J5162" s="12" t="str">
        <f>HYPERLINK("https://www.boe.es/gazeta/dias/1808/04/22/pdfs/GMD-C-1808-38.pdf#page=7","Abrir facsímil")</f>
        <v>Abrir facsímil</v>
      </c>
      <c r="K5162" s="15" t="s">
        <v>23</v>
      </c>
    </row>
    <row r="5163" spans="1:11" ht="42" customHeight="1">
      <c r="A5163" s="4" t="s">
        <v>12388</v>
      </c>
      <c r="B5163" s="5" t="s">
        <v>12388</v>
      </c>
      <c r="C5163" s="5" t="s">
        <v>33</v>
      </c>
      <c r="D5163" s="5" t="s">
        <v>34</v>
      </c>
      <c r="E5163" s="5" t="s">
        <v>35</v>
      </c>
      <c r="F5163" s="9" t="s">
        <v>36</v>
      </c>
      <c r="G5163" s="9" t="s">
        <v>144</v>
      </c>
      <c r="H5163" s="5" t="s">
        <v>21</v>
      </c>
      <c r="I5163" s="5" t="s">
        <v>12389</v>
      </c>
      <c r="J5163" s="12" t="str">
        <f>HYPERLINK("https://www.boe.es/gazeta/dias/1808/04/22/pdfs/GMD-C-1808-38.pdf#page=40","Abrir facsímil")</f>
        <v>Abrir facsímil</v>
      </c>
      <c r="K5163" s="15" t="s">
        <v>23</v>
      </c>
    </row>
    <row r="5164" spans="1:11" ht="42" customHeight="1">
      <c r="A5164" s="4" t="s">
        <v>12390</v>
      </c>
      <c r="B5164" s="5" t="s">
        <v>12391</v>
      </c>
      <c r="C5164" s="5" t="s">
        <v>17</v>
      </c>
      <c r="D5164" s="5" t="s">
        <v>18</v>
      </c>
      <c r="E5164" s="5" t="s">
        <v>73</v>
      </c>
      <c r="F5164" s="9" t="s">
        <v>581</v>
      </c>
      <c r="G5164" s="9">
        <v>1468</v>
      </c>
      <c r="H5164" s="5" t="s">
        <v>21</v>
      </c>
      <c r="I5164" s="5" t="s">
        <v>12392</v>
      </c>
      <c r="J5164" s="12" t="str">
        <f>HYPERLINK("https://www.boe.es/gazeta/dias/1808/11/11/pdfs/GMD-1808-143.pdf#page=10","Abrir facsímil")</f>
        <v>Abrir facsímil</v>
      </c>
      <c r="K5164" s="15" t="s">
        <v>23</v>
      </c>
    </row>
    <row r="5165" spans="1:11" ht="42" customHeight="1">
      <c r="A5165" s="4" t="s">
        <v>12393</v>
      </c>
      <c r="B5165" s="5" t="s">
        <v>12393</v>
      </c>
      <c r="C5165" s="5" t="s">
        <v>17</v>
      </c>
      <c r="D5165" s="5" t="s">
        <v>18</v>
      </c>
      <c r="E5165" s="5" t="s">
        <v>139</v>
      </c>
      <c r="F5165" s="9" t="s">
        <v>140</v>
      </c>
      <c r="G5165" s="9">
        <v>1203</v>
      </c>
      <c r="H5165" s="5" t="s">
        <v>21</v>
      </c>
      <c r="I5165" s="5" t="s">
        <v>12394</v>
      </c>
      <c r="J5165" s="12" t="str">
        <f>HYPERLINK("https://www.boe.es/gazeta/dias/1808/09/23/pdfs/GMD-1808-127.pdf#page=11","Abrir facsímil")</f>
        <v>Abrir facsímil</v>
      </c>
      <c r="K5165" s="15" t="s">
        <v>23</v>
      </c>
    </row>
    <row r="5166" spans="1:11" ht="42" customHeight="1">
      <c r="A5166" s="4" t="s">
        <v>12395</v>
      </c>
      <c r="B5166" s="5" t="s">
        <v>12395</v>
      </c>
      <c r="C5166" s="5" t="s">
        <v>41</v>
      </c>
      <c r="D5166" s="5" t="s">
        <v>42</v>
      </c>
      <c r="E5166" s="5" t="s">
        <v>35</v>
      </c>
      <c r="F5166" s="9" t="s">
        <v>36</v>
      </c>
      <c r="G5166" s="9" t="s">
        <v>924</v>
      </c>
      <c r="H5166" s="5" t="s">
        <v>21</v>
      </c>
      <c r="I5166" s="5" t="s">
        <v>12396</v>
      </c>
      <c r="J5166" s="12" t="str">
        <f>HYPERLINK("https://www.boe.es/gazeta/dias/1808/04/22/pdfs/GMD-C-1808-38.pdf#page=27","Abrir facsímil")</f>
        <v>Abrir facsímil</v>
      </c>
      <c r="K5166" s="15" t="s">
        <v>23</v>
      </c>
    </row>
    <row r="5167" spans="1:11" ht="42" customHeight="1">
      <c r="A5167" s="4" t="s">
        <v>12397</v>
      </c>
      <c r="B5167" s="5" t="s">
        <v>12397</v>
      </c>
      <c r="C5167" s="5" t="s">
        <v>94</v>
      </c>
      <c r="D5167" s="5" t="s">
        <v>95</v>
      </c>
      <c r="E5167" s="5" t="s">
        <v>130</v>
      </c>
      <c r="F5167" s="9" t="s">
        <v>131</v>
      </c>
      <c r="G5167" s="9">
        <v>1602</v>
      </c>
      <c r="H5167" s="5" t="s">
        <v>21</v>
      </c>
      <c r="I5167" s="5" t="s">
        <v>12398</v>
      </c>
      <c r="J5167" s="12" t="str">
        <f>HYPERLINK("https://www.boe.es/gazeta/dias/1808/12/15/pdfs/GMD-1808-155.pdf#page=6","Abrir facsímil")</f>
        <v>Abrir facsímil</v>
      </c>
      <c r="K5167" s="15" t="s">
        <v>23</v>
      </c>
    </row>
    <row r="5168" spans="1:11" ht="42" customHeight="1">
      <c r="A5168" s="4" t="s">
        <v>12399</v>
      </c>
      <c r="B5168" s="5" t="s">
        <v>12399</v>
      </c>
      <c r="C5168" s="5" t="s">
        <v>17</v>
      </c>
      <c r="D5168" s="5" t="s">
        <v>18</v>
      </c>
      <c r="E5168" s="5" t="s">
        <v>7114</v>
      </c>
      <c r="F5168" s="9" t="s">
        <v>7115</v>
      </c>
      <c r="G5168" s="9">
        <v>440</v>
      </c>
      <c r="H5168" s="5" t="s">
        <v>21</v>
      </c>
      <c r="I5168" s="5" t="s">
        <v>12400</v>
      </c>
      <c r="J5168" s="12" t="str">
        <f>HYPERLINK("https://www.boe.es/gazeta/dias/1808/05/06/pdfs/GMD-1808-44.pdf#page=8","Abrir facsímil")</f>
        <v>Abrir facsímil</v>
      </c>
      <c r="K5168" s="15" t="s">
        <v>23</v>
      </c>
    </row>
    <row r="5169" spans="1:11" ht="42" customHeight="1">
      <c r="A5169" s="4" t="s">
        <v>12401</v>
      </c>
      <c r="B5169" s="5" t="s">
        <v>12401</v>
      </c>
      <c r="C5169" s="5" t="s">
        <v>94</v>
      </c>
      <c r="D5169" s="5" t="s">
        <v>95</v>
      </c>
      <c r="E5169" s="5" t="s">
        <v>68</v>
      </c>
      <c r="F5169" s="9" t="s">
        <v>849</v>
      </c>
      <c r="G5169" s="9">
        <v>1341</v>
      </c>
      <c r="H5169" s="5" t="s">
        <v>21</v>
      </c>
      <c r="I5169" s="5" t="s">
        <v>12402</v>
      </c>
      <c r="J5169" s="12" t="str">
        <f>HYPERLINK("https://www.boe.es/gazeta/dias/1808/10/21/pdfs/GMD-C-1808-136.pdf#page=1","Abrir facsímil")</f>
        <v>Abrir facsímil</v>
      </c>
      <c r="K5169" s="15" t="s">
        <v>23</v>
      </c>
    </row>
    <row r="5170" spans="1:11" ht="42" customHeight="1">
      <c r="A5170" s="4" t="s">
        <v>12403</v>
      </c>
      <c r="B5170" s="5" t="s">
        <v>12403</v>
      </c>
      <c r="C5170" s="5" t="s">
        <v>94</v>
      </c>
      <c r="D5170" s="5" t="s">
        <v>95</v>
      </c>
      <c r="E5170" s="5" t="s">
        <v>1385</v>
      </c>
      <c r="F5170" s="9" t="s">
        <v>1386</v>
      </c>
      <c r="G5170" s="9">
        <v>231</v>
      </c>
      <c r="H5170" s="5" t="s">
        <v>21</v>
      </c>
      <c r="I5170" s="5" t="s">
        <v>12404</v>
      </c>
      <c r="J5170" s="12" t="str">
        <f>HYPERLINK("https://www.boe.es/gazeta/dias/1808/03/04/pdfs/GMD-1808-19.pdf#page=9","Abrir facsímil")</f>
        <v>Abrir facsímil</v>
      </c>
      <c r="K5170" s="15" t="s">
        <v>23</v>
      </c>
    </row>
    <row r="5171" spans="1:11" ht="42" customHeight="1">
      <c r="A5171" s="4" t="s">
        <v>12405</v>
      </c>
      <c r="B5171" s="5" t="s">
        <v>12405</v>
      </c>
      <c r="C5171" s="5" t="s">
        <v>33</v>
      </c>
      <c r="D5171" s="5" t="s">
        <v>34</v>
      </c>
      <c r="E5171" s="5" t="s">
        <v>73</v>
      </c>
      <c r="F5171" s="9" t="s">
        <v>1570</v>
      </c>
      <c r="G5171" s="9">
        <v>1473</v>
      </c>
      <c r="H5171" s="5" t="s">
        <v>21</v>
      </c>
      <c r="I5171" s="5" t="s">
        <v>12406</v>
      </c>
      <c r="J5171" s="12" t="str">
        <f>HYPERLINK("https://www.boe.es/gazeta/dias/1808/11/11/pdfs/GMD-C-1808-143.pdf#page=3","Abrir facsímil")</f>
        <v>Abrir facsímil</v>
      </c>
      <c r="K5171" s="15" t="s">
        <v>23</v>
      </c>
    </row>
    <row r="5172" spans="1:11" ht="42" customHeight="1">
      <c r="A5172" s="4" t="s">
        <v>12407</v>
      </c>
      <c r="B5172" s="5" t="s">
        <v>12407</v>
      </c>
      <c r="C5172" s="5" t="s">
        <v>33</v>
      </c>
      <c r="D5172" s="5" t="s">
        <v>34</v>
      </c>
      <c r="E5172" s="5" t="s">
        <v>35</v>
      </c>
      <c r="F5172" s="9" t="s">
        <v>36</v>
      </c>
      <c r="G5172" s="9" t="s">
        <v>279</v>
      </c>
      <c r="H5172" s="5" t="s">
        <v>21</v>
      </c>
      <c r="I5172" s="5" t="s">
        <v>12408</v>
      </c>
      <c r="J5172" s="12" t="str">
        <f>HYPERLINK("https://www.boe.es/gazeta/dias/1808/04/22/pdfs/GMD-C-1808-38.pdf#page=44","Abrir facsímil")</f>
        <v>Abrir facsímil</v>
      </c>
      <c r="K5172" s="15" t="s">
        <v>23</v>
      </c>
    </row>
    <row r="5173" spans="1:11" ht="42" customHeight="1">
      <c r="A5173" s="4" t="s">
        <v>12409</v>
      </c>
      <c r="B5173" s="5" t="s">
        <v>12409</v>
      </c>
      <c r="C5173" s="5" t="s">
        <v>33</v>
      </c>
      <c r="D5173" s="5" t="s">
        <v>34</v>
      </c>
      <c r="E5173" s="5" t="s">
        <v>35</v>
      </c>
      <c r="F5173" s="9" t="s">
        <v>36</v>
      </c>
      <c r="G5173" s="9" t="s">
        <v>498</v>
      </c>
      <c r="H5173" s="5" t="s">
        <v>21</v>
      </c>
      <c r="I5173" s="5" t="s">
        <v>12410</v>
      </c>
      <c r="J5173" s="12" t="str">
        <f>HYPERLINK("https://www.boe.es/gazeta/dias/1808/04/22/pdfs/GMD-C-1808-38.pdf#page=22","Abrir facsímil")</f>
        <v>Abrir facsímil</v>
      </c>
      <c r="K5173" s="15" t="s">
        <v>23</v>
      </c>
    </row>
    <row r="5174" spans="1:11" ht="42" customHeight="1">
      <c r="A5174" s="4" t="s">
        <v>12411</v>
      </c>
      <c r="B5174" s="5" t="s">
        <v>12411</v>
      </c>
      <c r="C5174" s="5" t="s">
        <v>33</v>
      </c>
      <c r="D5174" s="5" t="s">
        <v>34</v>
      </c>
      <c r="E5174" s="5" t="s">
        <v>35</v>
      </c>
      <c r="F5174" s="9" t="s">
        <v>36</v>
      </c>
      <c r="G5174" s="9" t="s">
        <v>1006</v>
      </c>
      <c r="H5174" s="5" t="s">
        <v>21</v>
      </c>
      <c r="I5174" s="5" t="s">
        <v>12412</v>
      </c>
      <c r="J5174" s="12" t="str">
        <f>HYPERLINK("https://www.boe.es/gazeta/dias/1808/04/22/pdfs/GMD-C-1808-38.pdf#page=46","Abrir facsímil")</f>
        <v>Abrir facsímil</v>
      </c>
      <c r="K5174" s="15" t="s">
        <v>23</v>
      </c>
    </row>
    <row r="5175" spans="1:11" ht="42" customHeight="1">
      <c r="A5175" s="4" t="s">
        <v>12413</v>
      </c>
      <c r="B5175" s="5" t="s">
        <v>12413</v>
      </c>
      <c r="C5175" s="5" t="s">
        <v>41</v>
      </c>
      <c r="D5175" s="5" t="s">
        <v>42</v>
      </c>
      <c r="E5175" s="5" t="s">
        <v>461</v>
      </c>
      <c r="F5175" s="9" t="s">
        <v>1404</v>
      </c>
      <c r="G5175" s="9">
        <v>1455</v>
      </c>
      <c r="H5175" s="5" t="s">
        <v>21</v>
      </c>
      <c r="I5175" s="5" t="s">
        <v>12414</v>
      </c>
      <c r="J5175" s="12" t="str">
        <f>HYPERLINK("https://www.boe.es/gazeta/dias/1808/11/08/pdfs/GMD-C-1808-142.pdf#page=5","Abrir facsímil")</f>
        <v>Abrir facsímil</v>
      </c>
      <c r="K5175" s="15" t="s">
        <v>23</v>
      </c>
    </row>
    <row r="5176" spans="1:11" ht="42" customHeight="1">
      <c r="A5176" s="4" t="s">
        <v>12415</v>
      </c>
      <c r="B5176" s="5" t="s">
        <v>12415</v>
      </c>
      <c r="C5176" s="5" t="s">
        <v>33</v>
      </c>
      <c r="D5176" s="5" t="s">
        <v>34</v>
      </c>
      <c r="E5176" s="5" t="s">
        <v>35</v>
      </c>
      <c r="F5176" s="9" t="s">
        <v>36</v>
      </c>
      <c r="G5176" s="9" t="s">
        <v>284</v>
      </c>
      <c r="H5176" s="5" t="s">
        <v>21</v>
      </c>
      <c r="I5176" s="5" t="s">
        <v>12416</v>
      </c>
      <c r="J5176" s="12" t="str">
        <f>HYPERLINK("https://www.boe.es/gazeta/dias/1808/04/22/pdfs/GMD-C-1808-38.pdf#page=35","Abrir facsímil")</f>
        <v>Abrir facsímil</v>
      </c>
      <c r="K5176" s="15" t="s">
        <v>23</v>
      </c>
    </row>
    <row r="5177" spans="1:11" ht="42" customHeight="1">
      <c r="A5177" s="4" t="s">
        <v>12417</v>
      </c>
      <c r="B5177" s="5" t="s">
        <v>12417</v>
      </c>
      <c r="C5177" s="5" t="s">
        <v>101</v>
      </c>
      <c r="D5177" s="5" t="s">
        <v>102</v>
      </c>
      <c r="E5177" s="5" t="s">
        <v>2204</v>
      </c>
      <c r="F5177" s="9" t="s">
        <v>2285</v>
      </c>
      <c r="G5177" s="9">
        <v>679</v>
      </c>
      <c r="H5177" s="5" t="s">
        <v>21</v>
      </c>
      <c r="I5177" s="5" t="s">
        <v>12418</v>
      </c>
      <c r="J5177" s="12" t="str">
        <f>HYPERLINK("https://www.boe.es/gazeta/dias/1808/06/29/pdfs/GMD-1808-71.pdf#page=1","Abrir facsímil")</f>
        <v>Abrir facsímil</v>
      </c>
      <c r="K5177" s="15" t="s">
        <v>23</v>
      </c>
    </row>
    <row r="5178" spans="1:11" ht="42" customHeight="1">
      <c r="A5178" s="4" t="s">
        <v>12419</v>
      </c>
      <c r="B5178" s="5" t="s">
        <v>12419</v>
      </c>
      <c r="C5178" s="5" t="s">
        <v>389</v>
      </c>
      <c r="D5178" s="5" t="s">
        <v>390</v>
      </c>
      <c r="E5178" s="5" t="s">
        <v>391</v>
      </c>
      <c r="F5178" s="9" t="s">
        <v>392</v>
      </c>
      <c r="G5178" s="9">
        <v>1216</v>
      </c>
      <c r="H5178" s="5" t="s">
        <v>21</v>
      </c>
      <c r="I5178" s="5" t="s">
        <v>12420</v>
      </c>
      <c r="J5178" s="12" t="str">
        <f>HYPERLINK("https://www.boe.es/gazeta/dias/1808/09/27/pdfs/GMD-1808-128.pdf#page=12","Abrir facsímil")</f>
        <v>Abrir facsímil</v>
      </c>
      <c r="K5178" s="15" t="s">
        <v>23</v>
      </c>
    </row>
    <row r="5179" spans="1:11" ht="42" customHeight="1">
      <c r="A5179" s="4" t="s">
        <v>12421</v>
      </c>
      <c r="B5179" s="5" t="s">
        <v>12421</v>
      </c>
      <c r="C5179" s="5" t="s">
        <v>17</v>
      </c>
      <c r="D5179" s="5" t="s">
        <v>18</v>
      </c>
      <c r="E5179" s="5" t="s">
        <v>339</v>
      </c>
      <c r="F5179" s="9" t="s">
        <v>340</v>
      </c>
      <c r="G5179" s="9">
        <v>80</v>
      </c>
      <c r="H5179" s="5" t="s">
        <v>21</v>
      </c>
      <c r="I5179" s="5" t="s">
        <v>12422</v>
      </c>
      <c r="J5179" s="12" t="str">
        <f>HYPERLINK("https://www.boe.es/gazeta/dias/1808/01/22/pdfs/GMD-1808-7.pdf#page=8","Abrir facsímil")</f>
        <v>Abrir facsímil</v>
      </c>
      <c r="K5179" s="15" t="s">
        <v>23</v>
      </c>
    </row>
    <row r="5180" spans="1:11" ht="42" customHeight="1">
      <c r="A5180" s="4" t="s">
        <v>12423</v>
      </c>
      <c r="B5180" s="5" t="s">
        <v>12424</v>
      </c>
      <c r="C5180" s="5" t="s">
        <v>33</v>
      </c>
      <c r="D5180" s="5" t="s">
        <v>34</v>
      </c>
      <c r="E5180" s="5" t="s">
        <v>35</v>
      </c>
      <c r="F5180" s="9" t="s">
        <v>36</v>
      </c>
      <c r="G5180" s="9" t="s">
        <v>80</v>
      </c>
      <c r="H5180" s="5" t="s">
        <v>21</v>
      </c>
      <c r="I5180" s="5" t="s">
        <v>12425</v>
      </c>
      <c r="J5180" s="12" t="str">
        <f>HYPERLINK("https://www.boe.es/gazeta/dias/1808/04/22/pdfs/GMD-C-1808-38.pdf#page=18","Abrir facsímil")</f>
        <v>Abrir facsímil</v>
      </c>
      <c r="K5180" s="15" t="s">
        <v>23</v>
      </c>
    </row>
    <row r="5181" spans="1:11" ht="42" customHeight="1">
      <c r="A5181" s="4" t="s">
        <v>12426</v>
      </c>
      <c r="B5181" s="5" t="s">
        <v>12426</v>
      </c>
      <c r="C5181" s="5" t="s">
        <v>94</v>
      </c>
      <c r="D5181" s="5" t="s">
        <v>95</v>
      </c>
      <c r="E5181" s="5" t="s">
        <v>3439</v>
      </c>
      <c r="F5181" s="9" t="s">
        <v>3440</v>
      </c>
      <c r="G5181" s="9">
        <v>941</v>
      </c>
      <c r="H5181" s="5" t="s">
        <v>21</v>
      </c>
      <c r="I5181" s="5" t="s">
        <v>12427</v>
      </c>
      <c r="J5181" s="12" t="str">
        <f>HYPERLINK("https://www.boe.es/gazeta/dias/1808/07/31/pdfs/GMD-1808-103.pdf#page=7","Abrir facsímil")</f>
        <v>Abrir facsímil</v>
      </c>
      <c r="K5181" s="15" t="s">
        <v>23</v>
      </c>
    </row>
    <row r="5182" spans="1:11" ht="42" customHeight="1">
      <c r="A5182" s="4" t="s">
        <v>12428</v>
      </c>
      <c r="B5182" s="5" t="s">
        <v>12428</v>
      </c>
      <c r="C5182" s="5" t="s">
        <v>33</v>
      </c>
      <c r="D5182" s="5" t="s">
        <v>34</v>
      </c>
      <c r="E5182" s="5" t="s">
        <v>35</v>
      </c>
      <c r="F5182" s="9" t="s">
        <v>36</v>
      </c>
      <c r="G5182" s="9" t="s">
        <v>277</v>
      </c>
      <c r="H5182" s="5" t="s">
        <v>21</v>
      </c>
      <c r="I5182" s="5" t="s">
        <v>12429</v>
      </c>
      <c r="J5182" s="12" t="str">
        <f>HYPERLINK("https://www.boe.es/gazeta/dias/1808/04/22/pdfs/GMD-C-1808-38.pdf#page=34","Abrir facsímil")</f>
        <v>Abrir facsímil</v>
      </c>
      <c r="K5182" s="15" t="s">
        <v>23</v>
      </c>
    </row>
    <row r="5183" spans="1:11" ht="42" customHeight="1">
      <c r="A5183" s="4" t="s">
        <v>12430</v>
      </c>
      <c r="B5183" s="5" t="s">
        <v>12430</v>
      </c>
      <c r="C5183" s="5" t="s">
        <v>389</v>
      </c>
      <c r="D5183" s="5" t="s">
        <v>390</v>
      </c>
      <c r="E5183" s="5" t="s">
        <v>1676</v>
      </c>
      <c r="F5183" s="9" t="s">
        <v>1677</v>
      </c>
      <c r="G5183" s="9">
        <v>550</v>
      </c>
      <c r="H5183" s="5" t="s">
        <v>21</v>
      </c>
      <c r="I5183" s="5" t="s">
        <v>12431</v>
      </c>
      <c r="J5183" s="12" t="str">
        <f>HYPERLINK("https://www.boe.es/gazeta/dias/1808/06/10/pdfs/GMD-1808-55.pdf#page=4","Abrir facsímil")</f>
        <v>Abrir facsímil</v>
      </c>
      <c r="K5183" s="15" t="s">
        <v>23</v>
      </c>
    </row>
    <row r="5184" spans="1:11" ht="42" customHeight="1">
      <c r="A5184" s="4" t="s">
        <v>12432</v>
      </c>
      <c r="B5184" s="5" t="s">
        <v>12432</v>
      </c>
      <c r="C5184" s="5" t="s">
        <v>33</v>
      </c>
      <c r="D5184" s="5" t="s">
        <v>34</v>
      </c>
      <c r="E5184" s="5" t="s">
        <v>68</v>
      </c>
      <c r="F5184" s="9" t="s">
        <v>849</v>
      </c>
      <c r="G5184" s="9">
        <v>1344</v>
      </c>
      <c r="H5184" s="5" t="s">
        <v>21</v>
      </c>
      <c r="I5184" s="5" t="s">
        <v>12433</v>
      </c>
      <c r="J5184" s="12" t="str">
        <f>HYPERLINK("https://www.boe.es/gazeta/dias/1808/10/21/pdfs/GMD-C-1808-136.pdf#page=4","Abrir facsímil")</f>
        <v>Abrir facsímil</v>
      </c>
      <c r="K5184" s="15" t="s">
        <v>23</v>
      </c>
    </row>
    <row r="5185" spans="1:11" ht="42" customHeight="1">
      <c r="A5185" s="4" t="s">
        <v>12434</v>
      </c>
      <c r="B5185" s="5" t="s">
        <v>12434</v>
      </c>
      <c r="C5185" s="5" t="s">
        <v>101</v>
      </c>
      <c r="D5185" s="5" t="s">
        <v>102</v>
      </c>
      <c r="E5185" s="5" t="s">
        <v>919</v>
      </c>
      <c r="F5185" s="9" t="s">
        <v>920</v>
      </c>
      <c r="G5185" s="9">
        <v>488</v>
      </c>
      <c r="H5185" s="5" t="s">
        <v>21</v>
      </c>
      <c r="I5185" s="5" t="s">
        <v>12435</v>
      </c>
      <c r="J5185" s="12" t="str">
        <f>HYPERLINK("https://www.boe.es/gazeta/dias/1808/05/24/pdfs/GMD-1808-49.pdf#page=4","Abrir facsímil")</f>
        <v>Abrir facsímil</v>
      </c>
      <c r="K5185" s="15" t="s">
        <v>23</v>
      </c>
    </row>
    <row r="5186" spans="1:11" ht="42" customHeight="1">
      <c r="A5186" s="4" t="s">
        <v>12436</v>
      </c>
      <c r="B5186" s="5" t="s">
        <v>12437</v>
      </c>
      <c r="C5186" s="5" t="s">
        <v>17</v>
      </c>
      <c r="D5186" s="5" t="s">
        <v>18</v>
      </c>
      <c r="E5186" s="5" t="s">
        <v>522</v>
      </c>
      <c r="F5186" s="9" t="s">
        <v>523</v>
      </c>
      <c r="G5186" s="9">
        <v>983</v>
      </c>
      <c r="H5186" s="5" t="s">
        <v>21</v>
      </c>
      <c r="I5186" s="5" t="s">
        <v>12438</v>
      </c>
      <c r="J5186" s="12" t="str">
        <f>HYPERLINK("https://www.boe.es/gazeta/dias/1808/08/07/pdfs/GMD-1808-110.pdf#page=5","Abrir facsímil")</f>
        <v>Abrir facsímil</v>
      </c>
      <c r="K5186" s="15" t="s">
        <v>23</v>
      </c>
    </row>
    <row r="5187" spans="1:11" ht="42" customHeight="1">
      <c r="A5187" s="4" t="s">
        <v>12436</v>
      </c>
      <c r="B5187" s="5" t="s">
        <v>12437</v>
      </c>
      <c r="C5187" s="5" t="s">
        <v>33</v>
      </c>
      <c r="D5187" s="5" t="s">
        <v>34</v>
      </c>
      <c r="E5187" s="5" t="s">
        <v>28</v>
      </c>
      <c r="F5187" s="9" t="s">
        <v>71</v>
      </c>
      <c r="G5187" s="9">
        <v>1437</v>
      </c>
      <c r="H5187" s="5" t="s">
        <v>21</v>
      </c>
      <c r="I5187" s="5" t="s">
        <v>12439</v>
      </c>
      <c r="J5187" s="12" t="str">
        <f>HYPERLINK("https://www.boe.es/gazeta/dias/1808/11/04/pdfs/GMD-C-1808-141.pdf#page=7","Abrir facsímil")</f>
        <v>Abrir facsímil</v>
      </c>
      <c r="K5187" s="15" t="s">
        <v>23</v>
      </c>
    </row>
    <row r="5188" spans="1:11" ht="42" customHeight="1">
      <c r="A5188" s="4" t="s">
        <v>12440</v>
      </c>
      <c r="B5188" s="5" t="s">
        <v>12440</v>
      </c>
      <c r="C5188" s="5" t="s">
        <v>94</v>
      </c>
      <c r="D5188" s="5" t="s">
        <v>95</v>
      </c>
      <c r="E5188" s="5" t="s">
        <v>2159</v>
      </c>
      <c r="F5188" s="9" t="s">
        <v>2160</v>
      </c>
      <c r="G5188" s="9">
        <v>172</v>
      </c>
      <c r="H5188" s="5" t="s">
        <v>21</v>
      </c>
      <c r="I5188" s="5" t="s">
        <v>12441</v>
      </c>
      <c r="J5188" s="12" t="str">
        <f>HYPERLINK("https://www.boe.es/gazeta/dias/1808/02/19/pdfs/GMD-1808-15.pdf#page=2","Abrir facsímil")</f>
        <v>Abrir facsímil</v>
      </c>
      <c r="K5188" s="15" t="s">
        <v>23</v>
      </c>
    </row>
    <row r="5189" spans="1:11" ht="42" customHeight="1">
      <c r="A5189" s="4" t="s">
        <v>12442</v>
      </c>
      <c r="B5189" s="5" t="s">
        <v>12443</v>
      </c>
      <c r="C5189" s="5" t="s">
        <v>17</v>
      </c>
      <c r="D5189" s="5" t="s">
        <v>18</v>
      </c>
      <c r="E5189" s="5" t="s">
        <v>3235</v>
      </c>
      <c r="F5189" s="9" t="s">
        <v>3236</v>
      </c>
      <c r="G5189" s="9">
        <v>23</v>
      </c>
      <c r="H5189" s="5" t="s">
        <v>21</v>
      </c>
      <c r="I5189" s="5" t="s">
        <v>12444</v>
      </c>
      <c r="J5189" s="12" t="str">
        <f>HYPERLINK("https://www.boe.es/gazeta/dias/1808/06/08/pdfs/GMS-1808-3.pdf#page=7","Abrir facsímil")</f>
        <v>Abrir facsímil</v>
      </c>
      <c r="K5189" s="15" t="s">
        <v>23</v>
      </c>
    </row>
    <row r="5190" spans="1:11" ht="42" customHeight="1">
      <c r="A5190" s="4" t="s">
        <v>12445</v>
      </c>
      <c r="B5190" s="5" t="s">
        <v>12446</v>
      </c>
      <c r="C5190" s="5" t="s">
        <v>17</v>
      </c>
      <c r="D5190" s="5" t="s">
        <v>18</v>
      </c>
      <c r="E5190" s="5" t="s">
        <v>5928</v>
      </c>
      <c r="F5190" s="9" t="s">
        <v>5929</v>
      </c>
      <c r="G5190" s="9">
        <v>34</v>
      </c>
      <c r="H5190" s="5" t="s">
        <v>21</v>
      </c>
      <c r="I5190" s="5" t="s">
        <v>12447</v>
      </c>
      <c r="J5190" s="12" t="str">
        <f>HYPERLINK("https://www.boe.es/gazeta/dias/1808/06/15/pdfs/GMS-1808-5.pdf#page=2","Abrir facsímil")</f>
        <v>Abrir facsímil</v>
      </c>
      <c r="K5190" s="15" t="s">
        <v>23</v>
      </c>
    </row>
    <row r="5191" spans="1:11" ht="42" customHeight="1">
      <c r="A5191" s="4" t="s">
        <v>12445</v>
      </c>
      <c r="B5191" s="5" t="s">
        <v>12446</v>
      </c>
      <c r="C5191" s="5" t="s">
        <v>17</v>
      </c>
      <c r="D5191" s="5" t="s">
        <v>18</v>
      </c>
      <c r="E5191" s="5" t="s">
        <v>1821</v>
      </c>
      <c r="F5191" s="9" t="s">
        <v>1822</v>
      </c>
      <c r="G5191" s="9">
        <v>51</v>
      </c>
      <c r="H5191" s="5" t="s">
        <v>21</v>
      </c>
      <c r="I5191" s="5" t="s">
        <v>12448</v>
      </c>
      <c r="J5191" s="12" t="str">
        <f>HYPERLINK("https://www.boe.es/gazeta/dias/1808/06/22/pdfs/GMS-1808-7.pdf#page=3","Abrir facsímil")</f>
        <v>Abrir facsímil</v>
      </c>
      <c r="K5191" s="15" t="s">
        <v>23</v>
      </c>
    </row>
    <row r="5192" spans="1:11" ht="42" customHeight="1">
      <c r="A5192" s="4" t="s">
        <v>12449</v>
      </c>
      <c r="B5192" s="5" t="s">
        <v>12450</v>
      </c>
      <c r="C5192" s="5" t="s">
        <v>33</v>
      </c>
      <c r="D5192" s="5" t="s">
        <v>34</v>
      </c>
      <c r="E5192" s="5" t="s">
        <v>139</v>
      </c>
      <c r="F5192" s="9" t="s">
        <v>1089</v>
      </c>
      <c r="G5192" s="9" t="s">
        <v>106</v>
      </c>
      <c r="H5192" s="5" t="s">
        <v>21</v>
      </c>
      <c r="I5192" s="5" t="s">
        <v>12451</v>
      </c>
      <c r="J5192" s="12" t="str">
        <f>HYPERLINK("https://www.boe.es/gazeta/dias/1808/09/23/pdfs/GMD-C-1808-127.pdf#page=3","Abrir facsímil")</f>
        <v>Abrir facsímil</v>
      </c>
      <c r="K5192" s="15" t="s">
        <v>23</v>
      </c>
    </row>
    <row r="5193" spans="1:11" ht="42" customHeight="1">
      <c r="A5193" s="4" t="s">
        <v>12452</v>
      </c>
      <c r="B5193" s="5" t="s">
        <v>12453</v>
      </c>
      <c r="C5193" s="5" t="s">
        <v>94</v>
      </c>
      <c r="D5193" s="5" t="s">
        <v>95</v>
      </c>
      <c r="E5193" s="5" t="s">
        <v>493</v>
      </c>
      <c r="F5193" s="9" t="s">
        <v>494</v>
      </c>
      <c r="G5193" s="9">
        <v>45</v>
      </c>
      <c r="H5193" s="5" t="s">
        <v>21</v>
      </c>
      <c r="I5193" s="5" t="s">
        <v>12454</v>
      </c>
      <c r="J5193" s="12" t="str">
        <f>HYPERLINK("https://www.boe.es/gazeta/dias/1808/01/12/pdfs/GMD-1808-4.pdf#page=9","Abrir facsímil")</f>
        <v>Abrir facsímil</v>
      </c>
      <c r="K5193" s="15" t="s">
        <v>23</v>
      </c>
    </row>
    <row r="5194" spans="1:11" ht="42" customHeight="1">
      <c r="A5194" s="4" t="s">
        <v>12455</v>
      </c>
      <c r="B5194" s="5" t="s">
        <v>12456</v>
      </c>
      <c r="C5194" s="5" t="s">
        <v>94</v>
      </c>
      <c r="D5194" s="5" t="s">
        <v>95</v>
      </c>
      <c r="E5194" s="5" t="s">
        <v>210</v>
      </c>
      <c r="F5194" s="9" t="s">
        <v>211</v>
      </c>
      <c r="G5194" s="9">
        <v>254</v>
      </c>
      <c r="H5194" s="5" t="s">
        <v>21</v>
      </c>
      <c r="I5194" s="5" t="s">
        <v>12457</v>
      </c>
      <c r="J5194" s="12" t="str">
        <f>HYPERLINK("https://www.boe.es/gazeta/dias/1808/03/11/pdfs/GMD-1808-21.pdf#page=8","Abrir facsímil")</f>
        <v>Abrir facsímil</v>
      </c>
      <c r="K5194" s="15" t="s">
        <v>23</v>
      </c>
    </row>
    <row r="5195" spans="1:11" ht="42" customHeight="1">
      <c r="A5195" s="4" t="s">
        <v>12458</v>
      </c>
      <c r="B5195" s="5" t="s">
        <v>12458</v>
      </c>
      <c r="C5195" s="5" t="s">
        <v>33</v>
      </c>
      <c r="D5195" s="5" t="s">
        <v>34</v>
      </c>
      <c r="E5195" s="5" t="s">
        <v>35</v>
      </c>
      <c r="F5195" s="9" t="s">
        <v>36</v>
      </c>
      <c r="G5195" s="9" t="s">
        <v>144</v>
      </c>
      <c r="H5195" s="5" t="s">
        <v>21</v>
      </c>
      <c r="I5195" s="5" t="s">
        <v>12459</v>
      </c>
      <c r="J5195" s="12" t="str">
        <f>HYPERLINK("https://www.boe.es/gazeta/dias/1808/04/22/pdfs/GMD-C-1808-38.pdf#page=40","Abrir facsímil")</f>
        <v>Abrir facsímil</v>
      </c>
      <c r="K5195" s="15" t="s">
        <v>23</v>
      </c>
    </row>
    <row r="5196" spans="1:11" ht="42" customHeight="1">
      <c r="A5196" s="4" t="s">
        <v>12460</v>
      </c>
      <c r="B5196" s="5" t="s">
        <v>12460</v>
      </c>
      <c r="C5196" s="5" t="s">
        <v>17</v>
      </c>
      <c r="D5196" s="5" t="s">
        <v>18</v>
      </c>
      <c r="E5196" s="5" t="s">
        <v>130</v>
      </c>
      <c r="F5196" s="9" t="s">
        <v>131</v>
      </c>
      <c r="G5196" s="9">
        <v>1603</v>
      </c>
      <c r="H5196" s="5" t="s">
        <v>21</v>
      </c>
      <c r="I5196" s="5" t="s">
        <v>12461</v>
      </c>
      <c r="J5196" s="12" t="str">
        <f>HYPERLINK("https://www.boe.es/gazeta/dias/1808/12/15/pdfs/GMD-1808-155.pdf#page=7","Abrir facsímil")</f>
        <v>Abrir facsímil</v>
      </c>
      <c r="K5196" s="15" t="s">
        <v>23</v>
      </c>
    </row>
    <row r="5197" spans="1:11" ht="42" customHeight="1">
      <c r="A5197" s="4" t="s">
        <v>12462</v>
      </c>
      <c r="B5197" s="5" t="s">
        <v>12463</v>
      </c>
      <c r="C5197" s="5" t="s">
        <v>41</v>
      </c>
      <c r="D5197" s="5" t="s">
        <v>42</v>
      </c>
      <c r="E5197" s="5" t="s">
        <v>35</v>
      </c>
      <c r="F5197" s="9" t="s">
        <v>36</v>
      </c>
      <c r="G5197" s="9" t="s">
        <v>414</v>
      </c>
      <c r="H5197" s="5" t="s">
        <v>21</v>
      </c>
      <c r="I5197" s="5" t="s">
        <v>12464</v>
      </c>
      <c r="J5197" s="12" t="str">
        <f>HYPERLINK("https://www.boe.es/gazeta/dias/1808/04/22/pdfs/GMD-C-1808-38.pdf#page=20","Abrir facsímil")</f>
        <v>Abrir facsímil</v>
      </c>
      <c r="K5197" s="15" t="s">
        <v>23</v>
      </c>
    </row>
    <row r="5198" spans="1:11" ht="42" customHeight="1">
      <c r="A5198" s="4" t="s">
        <v>12465</v>
      </c>
      <c r="B5198" s="5" t="s">
        <v>12466</v>
      </c>
      <c r="C5198" s="5" t="s">
        <v>389</v>
      </c>
      <c r="D5198" s="5" t="s">
        <v>390</v>
      </c>
      <c r="E5198" s="5" t="s">
        <v>1472</v>
      </c>
      <c r="F5198" s="9" t="s">
        <v>1473</v>
      </c>
      <c r="G5198" s="9">
        <v>96</v>
      </c>
      <c r="H5198" s="5" t="s">
        <v>21</v>
      </c>
      <c r="I5198" s="5" t="s">
        <v>12467</v>
      </c>
      <c r="J5198" s="12" t="str">
        <f>HYPERLINK("https://www.boe.es/gazeta/dias/1808/01/26/pdfs/GMD-1808-8.pdf#page=12","Abrir facsímil")</f>
        <v>Abrir facsímil</v>
      </c>
      <c r="K5198" s="15" t="s">
        <v>23</v>
      </c>
    </row>
    <row r="5199" spans="1:11" ht="42" customHeight="1">
      <c r="A5199" s="4" t="s">
        <v>12468</v>
      </c>
      <c r="B5199" s="5" t="s">
        <v>12468</v>
      </c>
      <c r="C5199" s="5" t="s">
        <v>41</v>
      </c>
      <c r="D5199" s="5" t="s">
        <v>42</v>
      </c>
      <c r="E5199" s="5" t="s">
        <v>558</v>
      </c>
      <c r="F5199" s="9" t="s">
        <v>758</v>
      </c>
      <c r="G5199" s="9" t="s">
        <v>75</v>
      </c>
      <c r="H5199" s="5" t="s">
        <v>21</v>
      </c>
      <c r="I5199" s="5" t="s">
        <v>12469</v>
      </c>
      <c r="J5199" s="12" t="str">
        <f>HYPERLINK("https://www.boe.es/gazeta/dias/1808/11/25/pdfs/GMD-E-1808-147.pdf#page=4","Abrir facsímil")</f>
        <v>Abrir facsímil</v>
      </c>
      <c r="K5199" s="15" t="s">
        <v>23</v>
      </c>
    </row>
    <row r="5200" spans="1:11" ht="42" customHeight="1">
      <c r="A5200" s="4" t="s">
        <v>12470</v>
      </c>
      <c r="B5200" s="5" t="s">
        <v>12470</v>
      </c>
      <c r="C5200" s="5" t="s">
        <v>33</v>
      </c>
      <c r="D5200" s="5" t="s">
        <v>34</v>
      </c>
      <c r="E5200" s="5" t="s">
        <v>391</v>
      </c>
      <c r="F5200" s="9" t="s">
        <v>588</v>
      </c>
      <c r="G5200" s="9" t="s">
        <v>106</v>
      </c>
      <c r="H5200" s="5" t="s">
        <v>21</v>
      </c>
      <c r="I5200" s="5" t="s">
        <v>12471</v>
      </c>
      <c r="J5200" s="12" t="str">
        <f>HYPERLINK("https://www.boe.es/gazeta/dias/1808/09/27/pdfs/GMD-C-1808-128.pdf#page=3","Abrir facsímil")</f>
        <v>Abrir facsímil</v>
      </c>
      <c r="K5200" s="15" t="s">
        <v>23</v>
      </c>
    </row>
    <row r="5201" spans="1:11" ht="42" customHeight="1">
      <c r="A5201" s="4" t="s">
        <v>12472</v>
      </c>
      <c r="B5201" s="5" t="s">
        <v>12472</v>
      </c>
      <c r="C5201" s="5" t="s">
        <v>17</v>
      </c>
      <c r="D5201" s="5" t="s">
        <v>18</v>
      </c>
      <c r="E5201" s="5" t="s">
        <v>65</v>
      </c>
      <c r="F5201" s="9" t="s">
        <v>66</v>
      </c>
      <c r="G5201" s="9">
        <v>1307</v>
      </c>
      <c r="H5201" s="5" t="s">
        <v>21</v>
      </c>
      <c r="I5201" s="5" t="s">
        <v>12473</v>
      </c>
      <c r="J5201" s="12" t="str">
        <f>HYPERLINK("https://www.boe.es/gazeta/dias/1808/10/18/pdfs/GMD-1808-135.pdf#page=7","Abrir facsímil")</f>
        <v>Abrir facsímil</v>
      </c>
      <c r="K5201" s="15" t="s">
        <v>23</v>
      </c>
    </row>
    <row r="5202" spans="1:11" ht="42" customHeight="1">
      <c r="A5202" s="4" t="s">
        <v>12474</v>
      </c>
      <c r="B5202" s="5" t="s">
        <v>12474</v>
      </c>
      <c r="C5202" s="5" t="s">
        <v>41</v>
      </c>
      <c r="D5202" s="5" t="s">
        <v>42</v>
      </c>
      <c r="E5202" s="5" t="s">
        <v>684</v>
      </c>
      <c r="F5202" s="9" t="s">
        <v>685</v>
      </c>
      <c r="G5202" s="9">
        <v>382</v>
      </c>
      <c r="H5202" s="5" t="s">
        <v>21</v>
      </c>
      <c r="I5202" s="5" t="s">
        <v>12475</v>
      </c>
      <c r="J5202" s="12" t="str">
        <f>HYPERLINK("https://www.boe.es/gazeta/dias/1808/04/15/pdfs/GMD-1808-35.pdf#page=8","Abrir facsímil")</f>
        <v>Abrir facsímil</v>
      </c>
      <c r="K5202" s="15" t="s">
        <v>23</v>
      </c>
    </row>
    <row r="5203" spans="1:11" ht="42" customHeight="1">
      <c r="A5203" s="4" t="s">
        <v>12476</v>
      </c>
      <c r="B5203" s="5" t="s">
        <v>12477</v>
      </c>
      <c r="C5203" s="5" t="s">
        <v>33</v>
      </c>
      <c r="D5203" s="5" t="s">
        <v>34</v>
      </c>
      <c r="E5203" s="5" t="s">
        <v>89</v>
      </c>
      <c r="F5203" s="9" t="s">
        <v>563</v>
      </c>
      <c r="G5203" s="9" t="s">
        <v>106</v>
      </c>
      <c r="H5203" s="5" t="s">
        <v>21</v>
      </c>
      <c r="I5203" s="5" t="s">
        <v>12478</v>
      </c>
      <c r="J5203" s="12" t="str">
        <f>HYPERLINK("https://www.boe.es/gazeta/dias/1808/10/25/pdfs/GMD-D-1808-137.pdf#page=3","Abrir facsímil")</f>
        <v>Abrir facsímil</v>
      </c>
      <c r="K5203" s="15" t="s">
        <v>23</v>
      </c>
    </row>
    <row r="5204" spans="1:11" ht="42" customHeight="1">
      <c r="A5204" s="4" t="s">
        <v>12479</v>
      </c>
      <c r="B5204" s="5" t="s">
        <v>12480</v>
      </c>
      <c r="C5204" s="5" t="s">
        <v>94</v>
      </c>
      <c r="D5204" s="5" t="s">
        <v>95</v>
      </c>
      <c r="E5204" s="5" t="s">
        <v>238</v>
      </c>
      <c r="F5204" s="9" t="s">
        <v>239</v>
      </c>
      <c r="G5204" s="9">
        <v>34</v>
      </c>
      <c r="H5204" s="5" t="s">
        <v>21</v>
      </c>
      <c r="I5204" s="5" t="s">
        <v>12481</v>
      </c>
      <c r="J5204" s="12" t="str">
        <f>HYPERLINK("https://www.boe.es/gazeta/dias/1808/01/08/pdfs/GMD-1808-3.pdf#page=10","Abrir facsímil")</f>
        <v>Abrir facsímil</v>
      </c>
      <c r="K5204" s="15" t="s">
        <v>23</v>
      </c>
    </row>
    <row r="5205" spans="1:11" ht="42" customHeight="1">
      <c r="A5205" s="4" t="s">
        <v>12482</v>
      </c>
      <c r="B5205" s="5" t="s">
        <v>12482</v>
      </c>
      <c r="C5205" s="5" t="s">
        <v>17</v>
      </c>
      <c r="D5205" s="5" t="s">
        <v>18</v>
      </c>
      <c r="E5205" s="5" t="s">
        <v>185</v>
      </c>
      <c r="F5205" s="9" t="s">
        <v>6822</v>
      </c>
      <c r="G5205" s="9">
        <v>211</v>
      </c>
      <c r="H5205" s="5" t="s">
        <v>21</v>
      </c>
      <c r="I5205" s="5" t="s">
        <v>12483</v>
      </c>
      <c r="J5205" s="12" t="str">
        <f>HYPERLINK("https://www.boe.es/gazeta/dias/1808/08/30/pdfs/GMS-1808-27.pdf#page=3","Abrir facsímil")</f>
        <v>Abrir facsímil</v>
      </c>
      <c r="K5205" s="15" t="s">
        <v>23</v>
      </c>
    </row>
    <row r="5206" spans="1:11" ht="42" customHeight="1">
      <c r="A5206" s="4" t="s">
        <v>12484</v>
      </c>
      <c r="B5206" s="5" t="s">
        <v>12485</v>
      </c>
      <c r="C5206" s="5" t="s">
        <v>94</v>
      </c>
      <c r="D5206" s="5" t="s">
        <v>95</v>
      </c>
      <c r="E5206" s="5" t="s">
        <v>238</v>
      </c>
      <c r="F5206" s="9" t="s">
        <v>239</v>
      </c>
      <c r="G5206" s="9">
        <v>35</v>
      </c>
      <c r="H5206" s="5" t="s">
        <v>21</v>
      </c>
      <c r="I5206" s="5" t="s">
        <v>12486</v>
      </c>
      <c r="J5206" s="12" t="str">
        <f>HYPERLINK("https://www.boe.es/gazeta/dias/1808/01/08/pdfs/GMD-1808-3.pdf#page=11","Abrir facsímil")</f>
        <v>Abrir facsímil</v>
      </c>
      <c r="K5206" s="15" t="s">
        <v>23</v>
      </c>
    </row>
    <row r="5207" spans="1:11" ht="42" customHeight="1">
      <c r="A5207" s="4" t="s">
        <v>12487</v>
      </c>
      <c r="B5207" s="5" t="s">
        <v>12487</v>
      </c>
      <c r="C5207" s="5" t="s">
        <v>94</v>
      </c>
      <c r="D5207" s="5" t="s">
        <v>95</v>
      </c>
      <c r="E5207" s="5" t="s">
        <v>197</v>
      </c>
      <c r="F5207" s="9" t="s">
        <v>790</v>
      </c>
      <c r="G5207" s="9">
        <v>1399</v>
      </c>
      <c r="H5207" s="5" t="s">
        <v>21</v>
      </c>
      <c r="I5207" s="5" t="s">
        <v>12488</v>
      </c>
      <c r="J5207" s="12" t="str">
        <f>HYPERLINK("https://www.boe.es/gazeta/dias/1808/11/01/pdfs/GMD-1808-140.pdf#page=1","Abrir facsímil")</f>
        <v>Abrir facsímil</v>
      </c>
      <c r="K5207" s="15" t="s">
        <v>23</v>
      </c>
    </row>
    <row r="5208" spans="1:11" ht="42" customHeight="1">
      <c r="A5208" s="4" t="s">
        <v>12489</v>
      </c>
      <c r="B5208" s="5" t="s">
        <v>12489</v>
      </c>
      <c r="C5208" s="5" t="s">
        <v>101</v>
      </c>
      <c r="D5208" s="5" t="s">
        <v>102</v>
      </c>
      <c r="E5208" s="5" t="s">
        <v>870</v>
      </c>
      <c r="F5208" s="9" t="s">
        <v>871</v>
      </c>
      <c r="G5208" s="9">
        <v>580</v>
      </c>
      <c r="H5208" s="5" t="s">
        <v>21</v>
      </c>
      <c r="I5208" s="5" t="s">
        <v>12490</v>
      </c>
      <c r="J5208" s="12" t="str">
        <f>HYPERLINK("https://www.boe.es/gazeta/dias/1808/06/17/pdfs/GMD-1808-59.pdf#page=2","Abrir facsímil")</f>
        <v>Abrir facsímil</v>
      </c>
      <c r="K5208" s="15" t="s">
        <v>23</v>
      </c>
    </row>
    <row r="5209" spans="1:11" ht="42" customHeight="1">
      <c r="A5209" s="4" t="s">
        <v>12491</v>
      </c>
      <c r="B5209" s="5" t="s">
        <v>12492</v>
      </c>
      <c r="C5209" s="5" t="s">
        <v>101</v>
      </c>
      <c r="D5209" s="5" t="s">
        <v>102</v>
      </c>
      <c r="E5209" s="5" t="s">
        <v>1866</v>
      </c>
      <c r="F5209" s="9" t="s">
        <v>1867</v>
      </c>
      <c r="G5209" s="9">
        <v>1590</v>
      </c>
      <c r="H5209" s="5" t="s">
        <v>21</v>
      </c>
      <c r="I5209" s="5" t="s">
        <v>12493</v>
      </c>
      <c r="J5209" s="12" t="str">
        <f>HYPERLINK("https://www.boe.es/gazeta/dias/1808/12/14/pdfs/GMD-1808-154.pdf#page=2","Abrir facsímil")</f>
        <v>Abrir facsímil</v>
      </c>
      <c r="K5209" s="15" t="s">
        <v>23</v>
      </c>
    </row>
    <row r="5210" spans="1:11" ht="42" customHeight="1">
      <c r="A5210" s="4" t="s">
        <v>12494</v>
      </c>
      <c r="B5210" s="5" t="s">
        <v>12494</v>
      </c>
      <c r="C5210" s="5" t="s">
        <v>101</v>
      </c>
      <c r="D5210" s="5" t="s">
        <v>102</v>
      </c>
      <c r="E5210" s="5" t="s">
        <v>1821</v>
      </c>
      <c r="F5210" s="9" t="s">
        <v>1874</v>
      </c>
      <c r="G5210" s="9">
        <v>623</v>
      </c>
      <c r="H5210" s="5" t="s">
        <v>21</v>
      </c>
      <c r="I5210" s="5" t="s">
        <v>12495</v>
      </c>
      <c r="J5210" s="12" t="str">
        <f>HYPERLINK("https://www.boe.es/gazeta/dias/1808/06/22/pdfs/GMD-1808-64.pdf#page=1","Abrir facsímil")</f>
        <v>Abrir facsímil</v>
      </c>
      <c r="K5210" s="15" t="s">
        <v>23</v>
      </c>
    </row>
    <row r="5211" spans="1:11" ht="42" customHeight="1">
      <c r="A5211" s="4" t="s">
        <v>12496</v>
      </c>
      <c r="B5211" s="5" t="s">
        <v>12497</v>
      </c>
      <c r="C5211" s="5" t="s">
        <v>94</v>
      </c>
      <c r="D5211" s="5" t="s">
        <v>95</v>
      </c>
      <c r="E5211" s="5" t="s">
        <v>210</v>
      </c>
      <c r="F5211" s="9" t="s">
        <v>211</v>
      </c>
      <c r="G5211" s="9">
        <v>253</v>
      </c>
      <c r="H5211" s="5" t="s">
        <v>21</v>
      </c>
      <c r="I5211" s="5" t="s">
        <v>12498</v>
      </c>
      <c r="J5211" s="12" t="str">
        <f>HYPERLINK("https://www.boe.es/gazeta/dias/1808/03/11/pdfs/GMD-1808-21.pdf#page=7","Abrir facsímil")</f>
        <v>Abrir facsímil</v>
      </c>
      <c r="K5211" s="15" t="s">
        <v>23</v>
      </c>
    </row>
    <row r="5212" spans="1:11" ht="42" customHeight="1">
      <c r="A5212" s="4" t="s">
        <v>12499</v>
      </c>
      <c r="B5212" s="5" t="s">
        <v>12499</v>
      </c>
      <c r="C5212" s="5" t="s">
        <v>101</v>
      </c>
      <c r="D5212" s="5" t="s">
        <v>102</v>
      </c>
      <c r="E5212" s="5" t="s">
        <v>572</v>
      </c>
      <c r="F5212" s="9" t="s">
        <v>573</v>
      </c>
      <c r="G5212" s="9">
        <v>15</v>
      </c>
      <c r="H5212" s="5" t="s">
        <v>21</v>
      </c>
      <c r="I5212" s="5" t="s">
        <v>12500</v>
      </c>
      <c r="J5212" s="12" t="str">
        <f>HYPERLINK("https://www.boe.es/gazeta/dias/1808/01/05/pdfs/GMD-1808-2.pdf#page=3","Abrir facsímil")</f>
        <v>Abrir facsímil</v>
      </c>
      <c r="K5212" s="15" t="s">
        <v>23</v>
      </c>
    </row>
    <row r="5213" spans="1:11" ht="42" customHeight="1">
      <c r="A5213" s="4" t="s">
        <v>12501</v>
      </c>
      <c r="B5213" s="5" t="s">
        <v>12501</v>
      </c>
      <c r="C5213" s="5" t="s">
        <v>101</v>
      </c>
      <c r="D5213" s="5" t="s">
        <v>102</v>
      </c>
      <c r="E5213" s="5" t="s">
        <v>35</v>
      </c>
      <c r="F5213" s="9" t="s">
        <v>3452</v>
      </c>
      <c r="G5213" s="9">
        <v>398</v>
      </c>
      <c r="H5213" s="5" t="s">
        <v>21</v>
      </c>
      <c r="I5213" s="5" t="s">
        <v>12502</v>
      </c>
      <c r="J5213" s="12" t="str">
        <f>HYPERLINK("https://www.boe.es/gazeta/dias/1808/04/22/pdfs/GMD-1808-38.pdf#page=6","Abrir facsímil")</f>
        <v>Abrir facsímil</v>
      </c>
      <c r="K5213" s="15" t="s">
        <v>23</v>
      </c>
    </row>
    <row r="5214" spans="1:11" ht="42" customHeight="1">
      <c r="A5214" s="4" t="s">
        <v>12503</v>
      </c>
      <c r="B5214" s="5" t="s">
        <v>12504</v>
      </c>
      <c r="C5214" s="5" t="s">
        <v>17</v>
      </c>
      <c r="D5214" s="5" t="s">
        <v>18</v>
      </c>
      <c r="E5214" s="5" t="s">
        <v>461</v>
      </c>
      <c r="F5214" s="9" t="s">
        <v>733</v>
      </c>
      <c r="G5214" s="9">
        <v>1446</v>
      </c>
      <c r="H5214" s="5" t="s">
        <v>21</v>
      </c>
      <c r="I5214" s="5" t="s">
        <v>12505</v>
      </c>
      <c r="J5214" s="12" t="str">
        <f>HYPERLINK("https://www.boe.es/gazeta/dias/1808/11/08/pdfs/GMD-1808-142.pdf#page=8","Abrir facsímil")</f>
        <v>Abrir facsímil</v>
      </c>
      <c r="K5214" s="15" t="s">
        <v>23</v>
      </c>
    </row>
    <row r="5215" spans="1:11" ht="42" customHeight="1">
      <c r="A5215" s="4" t="s">
        <v>12503</v>
      </c>
      <c r="B5215" s="5" t="s">
        <v>12504</v>
      </c>
      <c r="C5215" s="5" t="s">
        <v>94</v>
      </c>
      <c r="D5215" s="5" t="s">
        <v>95</v>
      </c>
      <c r="E5215" s="5" t="s">
        <v>427</v>
      </c>
      <c r="F5215" s="9" t="s">
        <v>1802</v>
      </c>
      <c r="G5215" s="9">
        <v>1519</v>
      </c>
      <c r="H5215" s="5" t="s">
        <v>21</v>
      </c>
      <c r="I5215" s="5" t="s">
        <v>12506</v>
      </c>
      <c r="J5215" s="12" t="str">
        <f>HYPERLINK("https://www.boe.es/gazeta/dias/1808/11/22/pdfs/GMD-1808-146.pdf#page=5","Abrir facsímil")</f>
        <v>Abrir facsímil</v>
      </c>
      <c r="K5215" s="15" t="s">
        <v>23</v>
      </c>
    </row>
    <row r="5216" spans="1:11" ht="42" customHeight="1">
      <c r="A5216" s="4" t="s">
        <v>12507</v>
      </c>
      <c r="B5216" s="5" t="s">
        <v>12508</v>
      </c>
      <c r="C5216" s="5" t="s">
        <v>17</v>
      </c>
      <c r="D5216" s="5" t="s">
        <v>18</v>
      </c>
      <c r="E5216" s="5" t="s">
        <v>427</v>
      </c>
      <c r="F5216" s="9" t="s">
        <v>1802</v>
      </c>
      <c r="G5216" s="9">
        <v>1518</v>
      </c>
      <c r="H5216" s="5" t="s">
        <v>21</v>
      </c>
      <c r="I5216" s="5" t="s">
        <v>12509</v>
      </c>
      <c r="J5216" s="12" t="str">
        <f>HYPERLINK("https://www.boe.es/gazeta/dias/1808/11/22/pdfs/GMD-1808-146.pdf#page=4","Abrir facsímil")</f>
        <v>Abrir facsímil</v>
      </c>
      <c r="K5216" s="15" t="s">
        <v>23</v>
      </c>
    </row>
    <row r="5217" spans="1:11" ht="42" customHeight="1">
      <c r="A5217" s="4" t="s">
        <v>12510</v>
      </c>
      <c r="B5217" s="5" t="s">
        <v>12511</v>
      </c>
      <c r="C5217" s="5" t="s">
        <v>389</v>
      </c>
      <c r="D5217" s="5" t="s">
        <v>390</v>
      </c>
      <c r="E5217" s="5" t="s">
        <v>5928</v>
      </c>
      <c r="F5217" s="9" t="s">
        <v>5929</v>
      </c>
      <c r="G5217" s="9">
        <v>40</v>
      </c>
      <c r="H5217" s="5" t="s">
        <v>21</v>
      </c>
      <c r="I5217" s="5" t="s">
        <v>12512</v>
      </c>
      <c r="J5217" s="12" t="str">
        <f>HYPERLINK("https://www.boe.es/gazeta/dias/1808/06/15/pdfs/GMS-1808-5.pdf#page=8","Abrir facsímil")</f>
        <v>Abrir facsímil</v>
      </c>
      <c r="K5217" s="15" t="s">
        <v>23</v>
      </c>
    </row>
    <row r="5218" spans="1:11" ht="42" customHeight="1">
      <c r="A5218" s="4" t="s">
        <v>12513</v>
      </c>
      <c r="B5218" s="5" t="s">
        <v>12514</v>
      </c>
      <c r="C5218" s="5" t="s">
        <v>17</v>
      </c>
      <c r="D5218" s="5" t="s">
        <v>18</v>
      </c>
      <c r="E5218" s="5" t="s">
        <v>2651</v>
      </c>
      <c r="F5218" s="9" t="s">
        <v>2652</v>
      </c>
      <c r="G5218" s="9">
        <v>634</v>
      </c>
      <c r="H5218" s="5" t="s">
        <v>21</v>
      </c>
      <c r="I5218" s="5" t="s">
        <v>12515</v>
      </c>
      <c r="J5218" s="12" t="str">
        <f>HYPERLINK("https://www.boe.es/gazeta/dias/1808/06/23/pdfs/GMD-1808-65.pdf#page=4","Abrir facsímil")</f>
        <v>Abrir facsímil</v>
      </c>
      <c r="K5218" s="15" t="s">
        <v>23</v>
      </c>
    </row>
    <row r="5219" spans="1:11" ht="42" customHeight="1">
      <c r="A5219" s="4" t="s">
        <v>12516</v>
      </c>
      <c r="B5219" s="5" t="s">
        <v>12517</v>
      </c>
      <c r="C5219" s="5" t="s">
        <v>17</v>
      </c>
      <c r="D5219" s="5" t="s">
        <v>18</v>
      </c>
      <c r="E5219" s="5" t="s">
        <v>2651</v>
      </c>
      <c r="F5219" s="9" t="s">
        <v>2652</v>
      </c>
      <c r="G5219" s="9">
        <v>634</v>
      </c>
      <c r="H5219" s="5" t="s">
        <v>21</v>
      </c>
      <c r="I5219" s="5" t="s">
        <v>12518</v>
      </c>
      <c r="J5219" s="12" t="str">
        <f>HYPERLINK("https://www.boe.es/gazeta/dias/1808/06/23/pdfs/GMD-1808-65.pdf#page=4","Abrir facsímil")</f>
        <v>Abrir facsímil</v>
      </c>
      <c r="K5219" s="15" t="s">
        <v>23</v>
      </c>
    </row>
    <row r="5220" spans="1:11" ht="42" customHeight="1">
      <c r="A5220" s="4" t="s">
        <v>12519</v>
      </c>
      <c r="B5220" s="5" t="s">
        <v>12520</v>
      </c>
      <c r="C5220" s="5" t="s">
        <v>260</v>
      </c>
      <c r="D5220" s="5" t="s">
        <v>42</v>
      </c>
      <c r="E5220" s="5" t="s">
        <v>1472</v>
      </c>
      <c r="F5220" s="9" t="s">
        <v>1473</v>
      </c>
      <c r="G5220" s="9">
        <v>85</v>
      </c>
      <c r="H5220" s="5" t="s">
        <v>21</v>
      </c>
      <c r="I5220" s="5" t="s">
        <v>12521</v>
      </c>
      <c r="J5220" s="12" t="str">
        <f>HYPERLINK("https://www.boe.es/gazeta/dias/1808/01/26/pdfs/GMD-1808-8.pdf#page=1","Abrir facsímil")</f>
        <v>Abrir facsímil</v>
      </c>
      <c r="K5220" s="15" t="s">
        <v>23</v>
      </c>
    </row>
    <row r="5221" spans="1:11" ht="42" customHeight="1">
      <c r="A5221" s="4" t="s">
        <v>12519</v>
      </c>
      <c r="B5221" s="5" t="s">
        <v>12520</v>
      </c>
      <c r="C5221" s="5" t="s">
        <v>94</v>
      </c>
      <c r="D5221" s="5" t="s">
        <v>95</v>
      </c>
      <c r="E5221" s="5" t="s">
        <v>478</v>
      </c>
      <c r="F5221" s="9" t="s">
        <v>479</v>
      </c>
      <c r="G5221" s="9">
        <v>238</v>
      </c>
      <c r="H5221" s="5" t="s">
        <v>21</v>
      </c>
      <c r="I5221" s="5" t="s">
        <v>12522</v>
      </c>
      <c r="J5221" s="12" t="str">
        <f>HYPERLINK("https://www.boe.es/gazeta/dias/1808/03/08/pdfs/GMD-1808-20.pdf#page=4","Abrir facsímil")</f>
        <v>Abrir facsímil</v>
      </c>
      <c r="K5221" s="15" t="s">
        <v>23</v>
      </c>
    </row>
    <row r="5222" spans="1:11" ht="42" customHeight="1">
      <c r="A5222" s="4" t="s">
        <v>12523</v>
      </c>
      <c r="B5222" s="5" t="s">
        <v>12524</v>
      </c>
      <c r="C5222" s="5" t="s">
        <v>17</v>
      </c>
      <c r="D5222" s="5" t="s">
        <v>18</v>
      </c>
      <c r="E5222" s="5" t="s">
        <v>461</v>
      </c>
      <c r="F5222" s="9" t="s">
        <v>733</v>
      </c>
      <c r="G5222" s="9">
        <v>1448</v>
      </c>
      <c r="H5222" s="5" t="s">
        <v>21</v>
      </c>
      <c r="I5222" s="5" t="s">
        <v>12525</v>
      </c>
      <c r="J5222" s="12" t="str">
        <f>HYPERLINK("https://www.boe.es/gazeta/dias/1808/11/08/pdfs/GMD-1808-142.pdf#page=10","Abrir facsímil")</f>
        <v>Abrir facsímil</v>
      </c>
      <c r="K5222" s="15" t="s">
        <v>23</v>
      </c>
    </row>
    <row r="5223" spans="1:11" ht="42" customHeight="1">
      <c r="A5223" s="4" t="s">
        <v>12526</v>
      </c>
      <c r="B5223" s="5" t="s">
        <v>12527</v>
      </c>
      <c r="C5223" s="5" t="s">
        <v>33</v>
      </c>
      <c r="D5223" s="5" t="s">
        <v>34</v>
      </c>
      <c r="E5223" s="5" t="s">
        <v>35</v>
      </c>
      <c r="F5223" s="9" t="s">
        <v>36</v>
      </c>
      <c r="G5223" s="9" t="s">
        <v>135</v>
      </c>
      <c r="H5223" s="5" t="s">
        <v>21</v>
      </c>
      <c r="I5223" s="5" t="s">
        <v>12528</v>
      </c>
      <c r="J5223" s="12" t="str">
        <f>HYPERLINK("https://www.boe.es/gazeta/dias/1808/04/22/pdfs/GMD-C-1808-38.pdf#page=26","Abrir facsímil")</f>
        <v>Abrir facsímil</v>
      </c>
      <c r="K5223" s="15" t="s">
        <v>23</v>
      </c>
    </row>
    <row r="5224" spans="1:11" ht="42" customHeight="1">
      <c r="A5224" s="4" t="s">
        <v>12529</v>
      </c>
      <c r="B5224" s="5" t="s">
        <v>12530</v>
      </c>
      <c r="C5224" s="5" t="s">
        <v>17</v>
      </c>
      <c r="D5224" s="5" t="s">
        <v>18</v>
      </c>
      <c r="E5224" s="5" t="s">
        <v>125</v>
      </c>
      <c r="F5224" s="9" t="s">
        <v>397</v>
      </c>
      <c r="G5224" s="9">
        <v>1269</v>
      </c>
      <c r="H5224" s="5" t="s">
        <v>21</v>
      </c>
      <c r="I5224" s="5" t="s">
        <v>12531</v>
      </c>
      <c r="J5224" s="12" t="str">
        <f>HYPERLINK("https://www.boe.es/gazeta/dias/1808/10/07/pdfs/GMD-1808-132.pdf#page=9","Abrir facsímil")</f>
        <v>Abrir facsímil</v>
      </c>
      <c r="K5224" s="15" t="s">
        <v>23</v>
      </c>
    </row>
    <row r="5225" spans="1:11" ht="42" customHeight="1">
      <c r="A5225" s="4" t="s">
        <v>12532</v>
      </c>
      <c r="B5225" s="5" t="s">
        <v>12533</v>
      </c>
      <c r="C5225" s="5" t="s">
        <v>17</v>
      </c>
      <c r="D5225" s="5" t="s">
        <v>18</v>
      </c>
      <c r="E5225" s="5" t="s">
        <v>539</v>
      </c>
      <c r="F5225" s="9" t="s">
        <v>908</v>
      </c>
      <c r="G5225" s="9">
        <v>222</v>
      </c>
      <c r="H5225" s="5" t="s">
        <v>21</v>
      </c>
      <c r="I5225" s="5" t="s">
        <v>12534</v>
      </c>
      <c r="J5225" s="12" t="str">
        <f>HYPERLINK("https://www.boe.es/gazeta/dias/1808/09/02/pdfs/GMS-1808-28.pdf#page=6","Abrir facsímil")</f>
        <v>Abrir facsímil</v>
      </c>
      <c r="K5225" s="15" t="s">
        <v>23</v>
      </c>
    </row>
    <row r="5226" spans="1:11" ht="42" customHeight="1">
      <c r="A5226" s="4" t="s">
        <v>12535</v>
      </c>
      <c r="B5226" s="5" t="s">
        <v>12536</v>
      </c>
      <c r="C5226" s="5" t="s">
        <v>33</v>
      </c>
      <c r="D5226" s="5" t="s">
        <v>34</v>
      </c>
      <c r="E5226" s="5" t="s">
        <v>35</v>
      </c>
      <c r="F5226" s="9" t="s">
        <v>36</v>
      </c>
      <c r="G5226" s="9" t="s">
        <v>322</v>
      </c>
      <c r="H5226" s="5" t="s">
        <v>21</v>
      </c>
      <c r="I5226" s="5" t="s">
        <v>12537</v>
      </c>
      <c r="J5226" s="12" t="str">
        <f>HYPERLINK("https://www.boe.es/gazeta/dias/1808/04/22/pdfs/GMD-C-1808-38.pdf#page=15","Abrir facsímil")</f>
        <v>Abrir facsímil</v>
      </c>
      <c r="K5226" s="15" t="s">
        <v>23</v>
      </c>
    </row>
    <row r="5227" spans="1:11" ht="42" customHeight="1">
      <c r="A5227" s="4" t="s">
        <v>12538</v>
      </c>
      <c r="B5227" s="5" t="s">
        <v>12539</v>
      </c>
      <c r="C5227" s="5" t="s">
        <v>94</v>
      </c>
      <c r="D5227" s="5" t="s">
        <v>95</v>
      </c>
      <c r="E5227" s="5" t="s">
        <v>54</v>
      </c>
      <c r="F5227" s="9" t="s">
        <v>55</v>
      </c>
      <c r="G5227" s="9">
        <v>1087</v>
      </c>
      <c r="H5227" s="5" t="s">
        <v>21</v>
      </c>
      <c r="I5227" s="5" t="s">
        <v>12540</v>
      </c>
      <c r="J5227" s="12" t="str">
        <f>HYPERLINK("https://www.boe.es/gazeta/dias/1808/08/26/pdfs/GMD-1808-117.pdf#page=9","Abrir facsímil")</f>
        <v>Abrir facsímil</v>
      </c>
      <c r="K5227" s="15" t="s">
        <v>23</v>
      </c>
    </row>
    <row r="5228" spans="1:11" ht="42" customHeight="1">
      <c r="A5228" s="4" t="s">
        <v>12541</v>
      </c>
      <c r="B5228" s="5" t="s">
        <v>12542</v>
      </c>
      <c r="C5228" s="5" t="s">
        <v>17</v>
      </c>
      <c r="D5228" s="5" t="s">
        <v>18</v>
      </c>
      <c r="E5228" s="5" t="s">
        <v>877</v>
      </c>
      <c r="F5228" s="9" t="s">
        <v>878</v>
      </c>
      <c r="G5228" s="9">
        <v>118</v>
      </c>
      <c r="H5228" s="5" t="s">
        <v>21</v>
      </c>
      <c r="I5228" s="5" t="s">
        <v>12543</v>
      </c>
      <c r="J5228" s="12" t="str">
        <f>HYPERLINK("https://www.boe.es/gazeta/dias/1808/02/02/pdfs/GMD-1808-10.pdf#page=10","Abrir facsímil")</f>
        <v>Abrir facsímil</v>
      </c>
      <c r="K5228" s="15" t="s">
        <v>23</v>
      </c>
    </row>
    <row r="5229" spans="1:11" ht="42" customHeight="1">
      <c r="A5229" s="4" t="s">
        <v>12544</v>
      </c>
      <c r="B5229" s="5" t="s">
        <v>12545</v>
      </c>
      <c r="C5229" s="5" t="s">
        <v>33</v>
      </c>
      <c r="D5229" s="5" t="s">
        <v>34</v>
      </c>
      <c r="E5229" s="5" t="s">
        <v>153</v>
      </c>
      <c r="F5229" s="9" t="s">
        <v>154</v>
      </c>
      <c r="G5229" s="9" t="s">
        <v>75</v>
      </c>
      <c r="H5229" s="5" t="s">
        <v>21</v>
      </c>
      <c r="I5229" s="5" t="s">
        <v>12546</v>
      </c>
      <c r="J5229" s="12" t="str">
        <f>HYPERLINK("https://www.boe.es/gazeta/dias/1808/09/09/pdfs/GMD-C-1808-121.pdf#page=4","Abrir facsímil")</f>
        <v>Abrir facsímil</v>
      </c>
      <c r="K5229" s="15" t="s">
        <v>23</v>
      </c>
    </row>
    <row r="5230" spans="1:11" ht="42" customHeight="1">
      <c r="A5230" s="4" t="s">
        <v>12547</v>
      </c>
      <c r="B5230" s="5" t="s">
        <v>12547</v>
      </c>
      <c r="C5230" s="5" t="s">
        <v>94</v>
      </c>
      <c r="D5230" s="5" t="s">
        <v>95</v>
      </c>
      <c r="E5230" s="5" t="s">
        <v>7114</v>
      </c>
      <c r="F5230" s="9" t="s">
        <v>7115</v>
      </c>
      <c r="G5230" s="9">
        <v>433</v>
      </c>
      <c r="H5230" s="5" t="s">
        <v>21</v>
      </c>
      <c r="I5230" s="5" t="s">
        <v>12548</v>
      </c>
      <c r="J5230" s="12" t="str">
        <f>HYPERLINK("https://www.boe.es/gazeta/dias/1808/05/06/pdfs/GMD-1808-44.pdf#page=1","Abrir facsímil")</f>
        <v>Abrir facsímil</v>
      </c>
      <c r="K5230" s="15" t="s">
        <v>23</v>
      </c>
    </row>
    <row r="5231" spans="1:11" ht="42" customHeight="1">
      <c r="A5231" s="4" t="s">
        <v>12549</v>
      </c>
      <c r="B5231" s="5" t="s">
        <v>12550</v>
      </c>
      <c r="C5231" s="5" t="s">
        <v>33</v>
      </c>
      <c r="D5231" s="5" t="s">
        <v>34</v>
      </c>
      <c r="E5231" s="5" t="s">
        <v>68</v>
      </c>
      <c r="F5231" s="9" t="s">
        <v>849</v>
      </c>
      <c r="G5231" s="9">
        <v>1344</v>
      </c>
      <c r="H5231" s="5" t="s">
        <v>21</v>
      </c>
      <c r="I5231" s="5" t="s">
        <v>12551</v>
      </c>
      <c r="J5231" s="12" t="str">
        <f>HYPERLINK("https://www.boe.es/gazeta/dias/1808/10/21/pdfs/GMD-C-1808-136.pdf#page=4","Abrir facsímil")</f>
        <v>Abrir facsímil</v>
      </c>
      <c r="K5231" s="15" t="s">
        <v>23</v>
      </c>
    </row>
    <row r="5232" spans="1:11" ht="42" customHeight="1">
      <c r="A5232" s="4" t="s">
        <v>12552</v>
      </c>
      <c r="B5232" s="5" t="s">
        <v>12553</v>
      </c>
      <c r="C5232" s="5" t="s">
        <v>17</v>
      </c>
      <c r="D5232" s="5" t="s">
        <v>18</v>
      </c>
      <c r="E5232" s="5" t="s">
        <v>19</v>
      </c>
      <c r="F5232" s="9" t="s">
        <v>59</v>
      </c>
      <c r="G5232" s="9">
        <v>1228</v>
      </c>
      <c r="H5232" s="5" t="s">
        <v>21</v>
      </c>
      <c r="I5232" s="5" t="s">
        <v>12554</v>
      </c>
      <c r="J5232" s="12" t="str">
        <f>HYPERLINK("https://www.boe.es/gazeta/dias/1808/09/30/pdfs/GMD-1808-130.pdf#page=8","Abrir facsímil")</f>
        <v>Abrir facsímil</v>
      </c>
      <c r="K5232" s="15" t="s">
        <v>23</v>
      </c>
    </row>
    <row r="5233" spans="1:11" ht="42" customHeight="1">
      <c r="A5233" s="4" t="s">
        <v>12555</v>
      </c>
      <c r="B5233" s="5" t="s">
        <v>12555</v>
      </c>
      <c r="C5233" s="5" t="s">
        <v>101</v>
      </c>
      <c r="D5233" s="5" t="s">
        <v>102</v>
      </c>
      <c r="E5233" s="5" t="s">
        <v>120</v>
      </c>
      <c r="F5233" s="9" t="s">
        <v>121</v>
      </c>
      <c r="G5233" s="9">
        <v>313</v>
      </c>
      <c r="H5233" s="5" t="s">
        <v>21</v>
      </c>
      <c r="I5233" s="5" t="s">
        <v>12556</v>
      </c>
      <c r="J5233" s="12" t="str">
        <f>HYPERLINK("https://www.boe.es/gazeta/dias/1808/03/29/pdfs/GMD-1808-27.pdf#page=9","Abrir facsímil")</f>
        <v>Abrir facsímil</v>
      </c>
      <c r="K5233" s="15" t="s">
        <v>23</v>
      </c>
    </row>
    <row r="5234" spans="1:11" ht="42" customHeight="1">
      <c r="A5234" s="4" t="s">
        <v>12557</v>
      </c>
      <c r="B5234" s="5" t="s">
        <v>12558</v>
      </c>
      <c r="C5234" s="5" t="s">
        <v>17</v>
      </c>
      <c r="D5234" s="5" t="s">
        <v>18</v>
      </c>
      <c r="E5234" s="5" t="s">
        <v>334</v>
      </c>
      <c r="F5234" s="9" t="s">
        <v>1814</v>
      </c>
      <c r="G5234" s="9">
        <v>1244</v>
      </c>
      <c r="H5234" s="5" t="s">
        <v>21</v>
      </c>
      <c r="I5234" s="5" t="s">
        <v>12559</v>
      </c>
      <c r="J5234" s="12" t="str">
        <f>HYPERLINK("https://www.boe.es/gazeta/dias/1808/10/04/pdfs/GMD-1808-131.pdf#page=12","Abrir facsímil")</f>
        <v>Abrir facsímil</v>
      </c>
      <c r="K5234" s="15" t="s">
        <v>23</v>
      </c>
    </row>
    <row r="5235" spans="1:11" ht="42" customHeight="1">
      <c r="A5235" s="4" t="s">
        <v>12560</v>
      </c>
      <c r="B5235" s="5" t="s">
        <v>12561</v>
      </c>
      <c r="C5235" s="5" t="s">
        <v>41</v>
      </c>
      <c r="D5235" s="5" t="s">
        <v>42</v>
      </c>
      <c r="E5235" s="5" t="s">
        <v>35</v>
      </c>
      <c r="F5235" s="9" t="s">
        <v>36</v>
      </c>
      <c r="G5235" s="9" t="s">
        <v>414</v>
      </c>
      <c r="H5235" s="5" t="s">
        <v>21</v>
      </c>
      <c r="I5235" s="5" t="s">
        <v>12562</v>
      </c>
      <c r="J5235" s="12" t="str">
        <f>HYPERLINK("https://www.boe.es/gazeta/dias/1808/04/22/pdfs/GMD-C-1808-38.pdf#page=20","Abrir facsímil")</f>
        <v>Abrir facsímil</v>
      </c>
      <c r="K5235" s="15" t="s">
        <v>23</v>
      </c>
    </row>
    <row r="5236" spans="1:11" ht="42" customHeight="1">
      <c r="A5236" s="4" t="s">
        <v>12563</v>
      </c>
      <c r="B5236" s="5" t="s">
        <v>12564</v>
      </c>
      <c r="C5236" s="5" t="s">
        <v>33</v>
      </c>
      <c r="D5236" s="5" t="s">
        <v>34</v>
      </c>
      <c r="E5236" s="5" t="s">
        <v>35</v>
      </c>
      <c r="F5236" s="9" t="s">
        <v>36</v>
      </c>
      <c r="G5236" s="9" t="s">
        <v>1294</v>
      </c>
      <c r="H5236" s="5" t="s">
        <v>21</v>
      </c>
      <c r="I5236" s="5" t="s">
        <v>12565</v>
      </c>
      <c r="J5236" s="12" t="str">
        <f>HYPERLINK("https://www.boe.es/gazeta/dias/1808/04/22/pdfs/GMD-C-1808-38.pdf#page=8","Abrir facsímil")</f>
        <v>Abrir facsímil</v>
      </c>
      <c r="K5236" s="15" t="s">
        <v>23</v>
      </c>
    </row>
    <row r="5237" spans="1:11" ht="42" customHeight="1">
      <c r="A5237" s="4" t="s">
        <v>12566</v>
      </c>
      <c r="B5237" s="5" t="s">
        <v>12567</v>
      </c>
      <c r="C5237" s="5" t="s">
        <v>33</v>
      </c>
      <c r="D5237" s="5" t="s">
        <v>34</v>
      </c>
      <c r="E5237" s="5" t="s">
        <v>35</v>
      </c>
      <c r="F5237" s="9" t="s">
        <v>36</v>
      </c>
      <c r="G5237" s="9" t="s">
        <v>501</v>
      </c>
      <c r="H5237" s="5" t="s">
        <v>21</v>
      </c>
      <c r="I5237" s="5" t="s">
        <v>12568</v>
      </c>
      <c r="J5237" s="12" t="str">
        <f>HYPERLINK("https://www.boe.es/gazeta/dias/1808/04/22/pdfs/GMD-C-1808-38.pdf#page=5","Abrir facsímil")</f>
        <v>Abrir facsímil</v>
      </c>
      <c r="K5237" s="15" t="s">
        <v>23</v>
      </c>
    </row>
    <row r="5238" spans="1:11" ht="42" customHeight="1">
      <c r="A5238" s="4" t="s">
        <v>12569</v>
      </c>
      <c r="B5238" s="5" t="s">
        <v>12570</v>
      </c>
      <c r="C5238" s="5" t="s">
        <v>94</v>
      </c>
      <c r="D5238" s="5" t="s">
        <v>95</v>
      </c>
      <c r="E5238" s="5" t="s">
        <v>663</v>
      </c>
      <c r="F5238" s="9" t="s">
        <v>664</v>
      </c>
      <c r="G5238" s="9">
        <v>208</v>
      </c>
      <c r="H5238" s="5" t="s">
        <v>21</v>
      </c>
      <c r="I5238" s="5" t="s">
        <v>12571</v>
      </c>
      <c r="J5238" s="12" t="str">
        <f>HYPERLINK("https://www.boe.es/gazeta/dias/1808/02/26/pdfs/GMD-1808-17.pdf#page=10","Abrir facsímil")</f>
        <v>Abrir facsímil</v>
      </c>
      <c r="K5238" s="15" t="s">
        <v>23</v>
      </c>
    </row>
    <row r="5239" spans="1:11" ht="42" customHeight="1">
      <c r="A5239" s="4" t="s">
        <v>12572</v>
      </c>
      <c r="B5239" s="5" t="s">
        <v>12573</v>
      </c>
      <c r="C5239" s="5" t="s">
        <v>94</v>
      </c>
      <c r="D5239" s="5" t="s">
        <v>95</v>
      </c>
      <c r="E5239" s="5" t="s">
        <v>368</v>
      </c>
      <c r="F5239" s="9" t="s">
        <v>369</v>
      </c>
      <c r="G5239" s="9">
        <v>167</v>
      </c>
      <c r="H5239" s="5" t="s">
        <v>21</v>
      </c>
      <c r="I5239" s="5" t="s">
        <v>12574</v>
      </c>
      <c r="J5239" s="12" t="str">
        <f>HYPERLINK("https://www.boe.es/gazeta/dias/1808/02/16/pdfs/GMD-1808-14.pdf#page=9","Abrir facsímil")</f>
        <v>Abrir facsímil</v>
      </c>
      <c r="K5239" s="15" t="s">
        <v>23</v>
      </c>
    </row>
    <row r="5240" spans="1:11" ht="42" customHeight="1">
      <c r="A5240" s="4" t="s">
        <v>12575</v>
      </c>
      <c r="B5240" s="5" t="s">
        <v>12575</v>
      </c>
      <c r="C5240" s="5" t="s">
        <v>94</v>
      </c>
      <c r="D5240" s="5" t="s">
        <v>95</v>
      </c>
      <c r="E5240" s="5" t="s">
        <v>877</v>
      </c>
      <c r="F5240" s="9" t="s">
        <v>878</v>
      </c>
      <c r="G5240" s="9">
        <v>120</v>
      </c>
      <c r="H5240" s="5" t="s">
        <v>21</v>
      </c>
      <c r="I5240" s="5" t="s">
        <v>12576</v>
      </c>
      <c r="J5240" s="12" t="str">
        <f>HYPERLINK("https://www.boe.es/gazeta/dias/1808/02/02/pdfs/GMD-1808-10.pdf#page=12","Abrir facsímil")</f>
        <v>Abrir facsímil</v>
      </c>
      <c r="K5240" s="15" t="s">
        <v>23</v>
      </c>
    </row>
    <row r="5241" spans="1:11" ht="42" customHeight="1">
      <c r="A5241" s="4" t="s">
        <v>12577</v>
      </c>
      <c r="B5241" s="5" t="s">
        <v>12578</v>
      </c>
      <c r="C5241" s="5" t="s">
        <v>33</v>
      </c>
      <c r="D5241" s="5" t="s">
        <v>34</v>
      </c>
      <c r="E5241" s="5" t="s">
        <v>35</v>
      </c>
      <c r="F5241" s="9" t="s">
        <v>36</v>
      </c>
      <c r="G5241" s="9" t="s">
        <v>443</v>
      </c>
      <c r="H5241" s="5" t="s">
        <v>21</v>
      </c>
      <c r="I5241" s="5" t="s">
        <v>12579</v>
      </c>
      <c r="J5241" s="12" t="str">
        <f>HYPERLINK("https://www.boe.es/gazeta/dias/1808/04/22/pdfs/GMD-C-1808-38.pdf#page=16","Abrir facsímil")</f>
        <v>Abrir facsímil</v>
      </c>
      <c r="K5241" s="15" t="s">
        <v>23</v>
      </c>
    </row>
    <row r="5242" spans="1:11" ht="42" customHeight="1">
      <c r="A5242" s="4" t="s">
        <v>12580</v>
      </c>
      <c r="B5242" s="5" t="s">
        <v>12580</v>
      </c>
      <c r="C5242" s="5" t="s">
        <v>94</v>
      </c>
      <c r="D5242" s="5" t="s">
        <v>95</v>
      </c>
      <c r="E5242" s="5" t="s">
        <v>469</v>
      </c>
      <c r="F5242" s="9" t="s">
        <v>470</v>
      </c>
      <c r="G5242" s="9">
        <v>152</v>
      </c>
      <c r="H5242" s="5" t="s">
        <v>21</v>
      </c>
      <c r="I5242" s="5" t="s">
        <v>12581</v>
      </c>
      <c r="J5242" s="12" t="str">
        <f>HYPERLINK("https://www.boe.es/gazeta/dias/1808/02/12/pdfs/GMD-1808-13.pdf#page=8","Abrir facsímil")</f>
        <v>Abrir facsímil</v>
      </c>
      <c r="K5242" s="15" t="s">
        <v>23</v>
      </c>
    </row>
    <row r="5243" spans="1:11" ht="42" customHeight="1">
      <c r="A5243" s="4" t="s">
        <v>12582</v>
      </c>
      <c r="B5243" s="5" t="s">
        <v>12582</v>
      </c>
      <c r="C5243" s="5" t="s">
        <v>389</v>
      </c>
      <c r="D5243" s="5" t="s">
        <v>390</v>
      </c>
      <c r="E5243" s="5" t="s">
        <v>516</v>
      </c>
      <c r="F5243" s="9" t="s">
        <v>517</v>
      </c>
      <c r="G5243" s="9">
        <v>602</v>
      </c>
      <c r="H5243" s="5" t="s">
        <v>21</v>
      </c>
      <c r="I5243" s="5" t="s">
        <v>12583</v>
      </c>
      <c r="J5243" s="12" t="str">
        <f>HYPERLINK("https://www.boe.es/gazeta/dias/1808/06/19/pdfs/GMD-1808-61.pdf#page=8","Abrir facsímil")</f>
        <v>Abrir facsímil</v>
      </c>
      <c r="K5243" s="15" t="s">
        <v>23</v>
      </c>
    </row>
    <row r="5244" spans="1:11" ht="42" customHeight="1">
      <c r="A5244" s="4" t="s">
        <v>12584</v>
      </c>
      <c r="B5244" s="5" t="s">
        <v>12585</v>
      </c>
      <c r="C5244" s="5" t="s">
        <v>33</v>
      </c>
      <c r="D5244" s="5" t="s">
        <v>34</v>
      </c>
      <c r="E5244" s="5" t="s">
        <v>68</v>
      </c>
      <c r="F5244" s="9" t="s">
        <v>309</v>
      </c>
      <c r="G5244" s="9" t="s">
        <v>199</v>
      </c>
      <c r="H5244" s="5" t="s">
        <v>21</v>
      </c>
      <c r="I5244" s="5" t="s">
        <v>12586</v>
      </c>
      <c r="J5244" s="12" t="str">
        <f>HYPERLINK("https://www.boe.es/gazeta/dias/1808/10/21/pdfs/GMD-D-1808-136.pdf#page=2","Abrir facsímil")</f>
        <v>Abrir facsímil</v>
      </c>
      <c r="K5244" s="15" t="s">
        <v>23</v>
      </c>
    </row>
    <row r="5245" spans="1:11" ht="42" customHeight="1">
      <c r="A5245" s="4" t="s">
        <v>12587</v>
      </c>
      <c r="B5245" s="5" t="s">
        <v>12588</v>
      </c>
      <c r="C5245" s="5" t="s">
        <v>17</v>
      </c>
      <c r="D5245" s="5" t="s">
        <v>18</v>
      </c>
      <c r="E5245" s="5" t="s">
        <v>125</v>
      </c>
      <c r="F5245" s="9" t="s">
        <v>397</v>
      </c>
      <c r="G5245" s="9">
        <v>1266</v>
      </c>
      <c r="H5245" s="5" t="s">
        <v>21</v>
      </c>
      <c r="I5245" s="5" t="s">
        <v>12589</v>
      </c>
      <c r="J5245" s="12" t="str">
        <f>HYPERLINK("https://www.boe.es/gazeta/dias/1808/10/07/pdfs/GMD-1808-132.pdf#page=6","Abrir facsímil")</f>
        <v>Abrir facsímil</v>
      </c>
      <c r="K5245" s="15" t="s">
        <v>23</v>
      </c>
    </row>
    <row r="5246" spans="1:11" ht="42" customHeight="1">
      <c r="A5246" s="4" t="s">
        <v>12587</v>
      </c>
      <c r="B5246" s="5" t="s">
        <v>12588</v>
      </c>
      <c r="C5246" s="5" t="s">
        <v>17</v>
      </c>
      <c r="D5246" s="5" t="s">
        <v>18</v>
      </c>
      <c r="E5246" s="5" t="s">
        <v>125</v>
      </c>
      <c r="F5246" s="9" t="s">
        <v>397</v>
      </c>
      <c r="G5246" s="9">
        <v>1267</v>
      </c>
      <c r="H5246" s="5" t="s">
        <v>21</v>
      </c>
      <c r="I5246" s="5" t="s">
        <v>12590</v>
      </c>
      <c r="J5246" s="12" t="str">
        <f>HYPERLINK("https://www.boe.es/gazeta/dias/1808/10/07/pdfs/GMD-1808-132.pdf#page=7","Abrir facsímil")</f>
        <v>Abrir facsímil</v>
      </c>
      <c r="K5246" s="15" t="s">
        <v>23</v>
      </c>
    </row>
    <row r="5247" spans="1:11" ht="42" customHeight="1">
      <c r="A5247" s="4" t="s">
        <v>12587</v>
      </c>
      <c r="B5247" s="5" t="s">
        <v>12588</v>
      </c>
      <c r="C5247" s="5" t="s">
        <v>26</v>
      </c>
      <c r="D5247" s="5" t="s">
        <v>27</v>
      </c>
      <c r="E5247" s="5" t="s">
        <v>197</v>
      </c>
      <c r="F5247" s="9" t="s">
        <v>790</v>
      </c>
      <c r="G5247" s="9">
        <v>1407</v>
      </c>
      <c r="H5247" s="5" t="s">
        <v>21</v>
      </c>
      <c r="I5247" s="5" t="s">
        <v>12591</v>
      </c>
      <c r="J5247" s="12" t="str">
        <f>HYPERLINK("https://www.boe.es/gazeta/dias/1808/11/01/pdfs/GMD-1808-140.pdf#page=9","Abrir facsímil")</f>
        <v>Abrir facsímil</v>
      </c>
      <c r="K5247" s="15" t="s">
        <v>23</v>
      </c>
    </row>
    <row r="5248" spans="1:11" ht="42" customHeight="1">
      <c r="A5248" s="4" t="s">
        <v>12592</v>
      </c>
      <c r="B5248" s="5" t="s">
        <v>12593</v>
      </c>
      <c r="C5248" s="5" t="s">
        <v>94</v>
      </c>
      <c r="D5248" s="5" t="s">
        <v>95</v>
      </c>
      <c r="E5248" s="5" t="s">
        <v>68</v>
      </c>
      <c r="F5248" s="9" t="s">
        <v>849</v>
      </c>
      <c r="G5248" s="9">
        <v>1344</v>
      </c>
      <c r="H5248" s="5" t="s">
        <v>21</v>
      </c>
      <c r="I5248" s="5" t="s">
        <v>12594</v>
      </c>
      <c r="J5248" s="12" t="str">
        <f>HYPERLINK("https://www.boe.es/gazeta/dias/1808/10/21/pdfs/GMD-C-1808-136.pdf#page=4","Abrir facsímil")</f>
        <v>Abrir facsímil</v>
      </c>
      <c r="K5248" s="15" t="s">
        <v>23</v>
      </c>
    </row>
    <row r="5249" spans="1:11" ht="42" customHeight="1">
      <c r="A5249" s="4" t="s">
        <v>12595</v>
      </c>
      <c r="B5249" s="5" t="s">
        <v>12596</v>
      </c>
      <c r="C5249" s="5" t="s">
        <v>94</v>
      </c>
      <c r="D5249" s="5" t="s">
        <v>95</v>
      </c>
      <c r="E5249" s="5" t="s">
        <v>339</v>
      </c>
      <c r="F5249" s="9" t="s">
        <v>340</v>
      </c>
      <c r="G5249" s="9">
        <v>81</v>
      </c>
      <c r="H5249" s="5" t="s">
        <v>21</v>
      </c>
      <c r="I5249" s="5" t="s">
        <v>12597</v>
      </c>
      <c r="J5249" s="12" t="str">
        <f>HYPERLINK("https://www.boe.es/gazeta/dias/1808/01/22/pdfs/GMD-1808-7.pdf#page=9","Abrir facsímil")</f>
        <v>Abrir facsímil</v>
      </c>
      <c r="K5249" s="15" t="s">
        <v>23</v>
      </c>
    </row>
    <row r="5250" spans="1:11" ht="42" customHeight="1">
      <c r="A5250" s="4" t="s">
        <v>12598</v>
      </c>
      <c r="B5250" s="5" t="s">
        <v>12599</v>
      </c>
      <c r="C5250" s="5" t="s">
        <v>33</v>
      </c>
      <c r="D5250" s="5" t="s">
        <v>34</v>
      </c>
      <c r="E5250" s="5" t="s">
        <v>35</v>
      </c>
      <c r="F5250" s="9" t="s">
        <v>36</v>
      </c>
      <c r="G5250" s="9" t="s">
        <v>106</v>
      </c>
      <c r="H5250" s="5" t="s">
        <v>21</v>
      </c>
      <c r="I5250" s="5" t="s">
        <v>12600</v>
      </c>
      <c r="J5250" s="12" t="str">
        <f>HYPERLINK("https://www.boe.es/gazeta/dias/1808/04/22/pdfs/GMD-C-1808-38.pdf#page=3","Abrir facsímil")</f>
        <v>Abrir facsímil</v>
      </c>
      <c r="K5250" s="15" t="s">
        <v>23</v>
      </c>
    </row>
    <row r="5251" spans="1:11" ht="42" customHeight="1">
      <c r="A5251" s="4" t="s">
        <v>12601</v>
      </c>
      <c r="B5251" s="5" t="s">
        <v>12602</v>
      </c>
      <c r="C5251" s="5" t="s">
        <v>94</v>
      </c>
      <c r="D5251" s="5" t="s">
        <v>95</v>
      </c>
      <c r="E5251" s="5" t="s">
        <v>215</v>
      </c>
      <c r="F5251" s="9" t="s">
        <v>216</v>
      </c>
      <c r="G5251" s="9">
        <v>300</v>
      </c>
      <c r="H5251" s="5" t="s">
        <v>21</v>
      </c>
      <c r="I5251" s="5" t="s">
        <v>12603</v>
      </c>
      <c r="J5251" s="12" t="str">
        <f>HYPERLINK("https://www.boe.es/gazeta/dias/1808/03/25/pdfs/GMD-1808-25.pdf#page=10","Abrir facsímil")</f>
        <v>Abrir facsímil</v>
      </c>
      <c r="K5251" s="15" t="s">
        <v>23</v>
      </c>
    </row>
    <row r="5252" spans="1:11" ht="42" customHeight="1">
      <c r="A5252" s="4" t="s">
        <v>12604</v>
      </c>
      <c r="B5252" s="5" t="s">
        <v>12605</v>
      </c>
      <c r="C5252" s="5" t="s">
        <v>33</v>
      </c>
      <c r="D5252" s="5" t="s">
        <v>34</v>
      </c>
      <c r="E5252" s="5" t="s">
        <v>391</v>
      </c>
      <c r="F5252" s="9" t="s">
        <v>588</v>
      </c>
      <c r="G5252" s="9" t="s">
        <v>117</v>
      </c>
      <c r="H5252" s="5" t="s">
        <v>21</v>
      </c>
      <c r="I5252" s="5" t="s">
        <v>12606</v>
      </c>
      <c r="J5252" s="12" t="str">
        <f>HYPERLINK("https://www.boe.es/gazeta/dias/1808/09/27/pdfs/GMD-C-1808-128.pdf#page=1","Abrir facsímil")</f>
        <v>Abrir facsímil</v>
      </c>
      <c r="K5252" s="15" t="s">
        <v>23</v>
      </c>
    </row>
    <row r="5253" spans="1:11" ht="42" customHeight="1">
      <c r="A5253" s="4" t="s">
        <v>12607</v>
      </c>
      <c r="B5253" s="5" t="s">
        <v>12608</v>
      </c>
      <c r="C5253" s="5" t="s">
        <v>33</v>
      </c>
      <c r="D5253" s="5" t="s">
        <v>34</v>
      </c>
      <c r="E5253" s="5" t="s">
        <v>125</v>
      </c>
      <c r="F5253" s="9" t="s">
        <v>126</v>
      </c>
      <c r="G5253" s="9" t="s">
        <v>117</v>
      </c>
      <c r="H5253" s="5" t="s">
        <v>21</v>
      </c>
      <c r="I5253" s="5" t="s">
        <v>12609</v>
      </c>
      <c r="J5253" s="12" t="str">
        <f>HYPERLINK("https://www.boe.es/gazeta/dias/1808/10/07/pdfs/GMD-C-1808-132.pdf#page=1","Abrir facsímil")</f>
        <v>Abrir facsímil</v>
      </c>
      <c r="K5253" s="15" t="s">
        <v>23</v>
      </c>
    </row>
    <row r="5254" spans="1:11" ht="42" customHeight="1">
      <c r="A5254" s="4" t="s">
        <v>12610</v>
      </c>
      <c r="B5254" s="5" t="s">
        <v>12611</v>
      </c>
      <c r="C5254" s="5" t="s">
        <v>33</v>
      </c>
      <c r="D5254" s="5" t="s">
        <v>34</v>
      </c>
      <c r="E5254" s="5" t="s">
        <v>35</v>
      </c>
      <c r="F5254" s="9" t="s">
        <v>36</v>
      </c>
      <c r="G5254" s="9" t="s">
        <v>199</v>
      </c>
      <c r="H5254" s="5" t="s">
        <v>21</v>
      </c>
      <c r="I5254" s="5" t="s">
        <v>12612</v>
      </c>
      <c r="J5254" s="12" t="str">
        <f>HYPERLINK("https://www.boe.es/gazeta/dias/1808/04/22/pdfs/GMD-C-1808-38.pdf#page=2","Abrir facsímil")</f>
        <v>Abrir facsímil</v>
      </c>
      <c r="K5254" s="15" t="s">
        <v>23</v>
      </c>
    </row>
    <row r="5255" spans="1:11" ht="42" customHeight="1">
      <c r="A5255" s="4" t="s">
        <v>12613</v>
      </c>
      <c r="B5255" s="5" t="s">
        <v>12614</v>
      </c>
      <c r="C5255" s="5" t="s">
        <v>17</v>
      </c>
      <c r="D5255" s="5" t="s">
        <v>18</v>
      </c>
      <c r="E5255" s="5" t="s">
        <v>61</v>
      </c>
      <c r="F5255" s="9" t="s">
        <v>62</v>
      </c>
      <c r="G5255" s="9">
        <v>1286</v>
      </c>
      <c r="H5255" s="5" t="s">
        <v>21</v>
      </c>
      <c r="I5255" s="5" t="s">
        <v>12615</v>
      </c>
      <c r="J5255" s="12" t="str">
        <f>HYPERLINK("https://www.boe.es/gazeta/dias/1808/10/11/pdfs/GMD-1808-133.pdf#page=14","Abrir facsímil")</f>
        <v>Abrir facsímil</v>
      </c>
      <c r="K5255" s="15" t="s">
        <v>23</v>
      </c>
    </row>
    <row r="5256" spans="1:11" ht="42" customHeight="1">
      <c r="A5256" s="4" t="s">
        <v>12616</v>
      </c>
      <c r="B5256" s="5" t="s">
        <v>12617</v>
      </c>
      <c r="C5256" s="5" t="s">
        <v>33</v>
      </c>
      <c r="D5256" s="5" t="s">
        <v>34</v>
      </c>
      <c r="E5256" s="5" t="s">
        <v>139</v>
      </c>
      <c r="F5256" s="9" t="s">
        <v>1089</v>
      </c>
      <c r="G5256" s="9" t="s">
        <v>75</v>
      </c>
      <c r="H5256" s="5" t="s">
        <v>21</v>
      </c>
      <c r="I5256" s="5" t="s">
        <v>12618</v>
      </c>
      <c r="J5256" s="12" t="str">
        <f>HYPERLINK("https://www.boe.es/gazeta/dias/1808/09/23/pdfs/GMD-C-1808-127.pdf#page=4","Abrir facsímil")</f>
        <v>Abrir facsímil</v>
      </c>
      <c r="K5256" s="15" t="s">
        <v>23</v>
      </c>
    </row>
    <row r="5257" spans="1:11" ht="42" customHeight="1">
      <c r="A5257" s="4" t="s">
        <v>12619</v>
      </c>
      <c r="B5257" s="5" t="s">
        <v>12620</v>
      </c>
      <c r="C5257" s="5" t="s">
        <v>17</v>
      </c>
      <c r="D5257" s="5" t="s">
        <v>18</v>
      </c>
      <c r="E5257" s="5" t="s">
        <v>61</v>
      </c>
      <c r="F5257" s="9" t="s">
        <v>62</v>
      </c>
      <c r="G5257" s="9">
        <v>1286</v>
      </c>
      <c r="H5257" s="5" t="s">
        <v>21</v>
      </c>
      <c r="I5257" s="5" t="s">
        <v>12621</v>
      </c>
      <c r="J5257" s="12" t="str">
        <f>HYPERLINK("https://www.boe.es/gazeta/dias/1808/10/11/pdfs/GMD-1808-133.pdf#page=14","Abrir facsímil")</f>
        <v>Abrir facsímil</v>
      </c>
      <c r="K5257" s="15" t="s">
        <v>23</v>
      </c>
    </row>
    <row r="5258" spans="1:11" ht="42" customHeight="1">
      <c r="A5258" s="4" t="s">
        <v>12622</v>
      </c>
      <c r="B5258" s="5" t="s">
        <v>12623</v>
      </c>
      <c r="C5258" s="5" t="s">
        <v>94</v>
      </c>
      <c r="D5258" s="5" t="s">
        <v>95</v>
      </c>
      <c r="E5258" s="5" t="s">
        <v>663</v>
      </c>
      <c r="F5258" s="9" t="s">
        <v>664</v>
      </c>
      <c r="G5258" s="9">
        <v>209</v>
      </c>
      <c r="H5258" s="5" t="s">
        <v>21</v>
      </c>
      <c r="I5258" s="5" t="s">
        <v>12624</v>
      </c>
      <c r="J5258" s="12" t="str">
        <f>HYPERLINK("https://www.boe.es/gazeta/dias/1808/02/26/pdfs/GMD-1808-17.pdf#page=11","Abrir facsímil")</f>
        <v>Abrir facsímil</v>
      </c>
      <c r="K5258" s="15" t="s">
        <v>23</v>
      </c>
    </row>
    <row r="5259" spans="1:11" ht="42" customHeight="1">
      <c r="A5259" s="4" t="s">
        <v>12625</v>
      </c>
      <c r="B5259" s="5" t="s">
        <v>12626</v>
      </c>
      <c r="C5259" s="5" t="s">
        <v>41</v>
      </c>
      <c r="D5259" s="5" t="s">
        <v>42</v>
      </c>
      <c r="E5259" s="5" t="s">
        <v>242</v>
      </c>
      <c r="F5259" s="9" t="s">
        <v>243</v>
      </c>
      <c r="G5259" s="9">
        <v>12</v>
      </c>
      <c r="H5259" s="5" t="s">
        <v>21</v>
      </c>
      <c r="I5259" s="5" t="s">
        <v>12627</v>
      </c>
      <c r="J5259" s="12" t="str">
        <f>HYPERLINK("https://www.boe.es/gazeta/dias/1808/01/01/pdfs/GMD-1808-1.pdf#page=12","Abrir facsímil")</f>
        <v>Abrir facsímil</v>
      </c>
      <c r="K5259" s="15" t="s">
        <v>23</v>
      </c>
    </row>
    <row r="5260" spans="1:11" ht="42" customHeight="1">
      <c r="A5260" s="4" t="s">
        <v>12628</v>
      </c>
      <c r="B5260" s="5" t="s">
        <v>12629</v>
      </c>
      <c r="C5260" s="5" t="s">
        <v>33</v>
      </c>
      <c r="D5260" s="5" t="s">
        <v>34</v>
      </c>
      <c r="E5260" s="5" t="s">
        <v>35</v>
      </c>
      <c r="F5260" s="9" t="s">
        <v>36</v>
      </c>
      <c r="G5260" s="9" t="s">
        <v>1294</v>
      </c>
      <c r="H5260" s="5" t="s">
        <v>21</v>
      </c>
      <c r="I5260" s="5" t="s">
        <v>12630</v>
      </c>
      <c r="J5260" s="12" t="str">
        <f>HYPERLINK("https://www.boe.es/gazeta/dias/1808/04/22/pdfs/GMD-C-1808-38.pdf#page=8","Abrir facsímil")</f>
        <v>Abrir facsímil</v>
      </c>
      <c r="K5260" s="15" t="s">
        <v>23</v>
      </c>
    </row>
    <row r="5261" spans="1:11" ht="42" customHeight="1">
      <c r="A5261" s="4" t="s">
        <v>12631</v>
      </c>
      <c r="B5261" s="5" t="s">
        <v>12632</v>
      </c>
      <c r="C5261" s="5" t="s">
        <v>41</v>
      </c>
      <c r="D5261" s="5" t="s">
        <v>42</v>
      </c>
      <c r="E5261" s="5" t="s">
        <v>180</v>
      </c>
      <c r="F5261" s="9" t="s">
        <v>2568</v>
      </c>
      <c r="G5261" s="9">
        <v>1498</v>
      </c>
      <c r="H5261" s="5" t="s">
        <v>21</v>
      </c>
      <c r="I5261" s="5" t="s">
        <v>12633</v>
      </c>
      <c r="J5261" s="12" t="str">
        <f>HYPERLINK("https://www.boe.es/gazeta/dias/1808/11/15/pdfs/GMD-1808-144.pdf#page=12","Abrir facsímil")</f>
        <v>Abrir facsímil</v>
      </c>
      <c r="K5261" s="15" t="s">
        <v>23</v>
      </c>
    </row>
    <row r="5262" spans="1:11" ht="42" customHeight="1">
      <c r="A5262" s="4" t="s">
        <v>12634</v>
      </c>
      <c r="B5262" s="5" t="s">
        <v>12634</v>
      </c>
      <c r="C5262" s="5" t="s">
        <v>101</v>
      </c>
      <c r="D5262" s="5" t="s">
        <v>102</v>
      </c>
      <c r="E5262" s="5" t="s">
        <v>6282</v>
      </c>
      <c r="F5262" s="9" t="s">
        <v>6283</v>
      </c>
      <c r="G5262" s="9">
        <v>648</v>
      </c>
      <c r="H5262" s="5" t="s">
        <v>21</v>
      </c>
      <c r="I5262" s="5" t="s">
        <v>12635</v>
      </c>
      <c r="J5262" s="12" t="str">
        <f>HYPERLINK("https://www.boe.es/gazeta/dias/1808/06/25/pdfs/GMD-1808-67.pdf#page=2","Abrir facsímil")</f>
        <v>Abrir facsímil</v>
      </c>
      <c r="K5262" s="15" t="s">
        <v>23</v>
      </c>
    </row>
    <row r="5263" spans="1:11" ht="42" customHeight="1">
      <c r="A5263" s="4" t="s">
        <v>12636</v>
      </c>
      <c r="B5263" s="5" t="s">
        <v>12636</v>
      </c>
      <c r="C5263" s="5" t="s">
        <v>94</v>
      </c>
      <c r="D5263" s="5" t="s">
        <v>95</v>
      </c>
      <c r="E5263" s="5" t="s">
        <v>960</v>
      </c>
      <c r="F5263" s="9" t="s">
        <v>961</v>
      </c>
      <c r="G5263" s="9">
        <v>860</v>
      </c>
      <c r="H5263" s="5" t="s">
        <v>21</v>
      </c>
      <c r="I5263" s="5" t="s">
        <v>12637</v>
      </c>
      <c r="J5263" s="12" t="str">
        <f>HYPERLINK("https://www.boe.es/gazeta/dias/1808/07/21/pdfs/GMD-1808-93.pdf#page=6","Abrir facsímil")</f>
        <v>Abrir facsímil</v>
      </c>
      <c r="K5263" s="15" t="s">
        <v>23</v>
      </c>
    </row>
    <row r="5264" spans="1:11" ht="42" customHeight="1">
      <c r="A5264" s="4" t="s">
        <v>12638</v>
      </c>
      <c r="B5264" s="5" t="s">
        <v>12639</v>
      </c>
      <c r="C5264" s="5" t="s">
        <v>33</v>
      </c>
      <c r="D5264" s="5" t="s">
        <v>34</v>
      </c>
      <c r="E5264" s="5" t="s">
        <v>35</v>
      </c>
      <c r="F5264" s="9" t="s">
        <v>36</v>
      </c>
      <c r="G5264" s="9" t="s">
        <v>924</v>
      </c>
      <c r="H5264" s="5" t="s">
        <v>21</v>
      </c>
      <c r="I5264" s="5" t="s">
        <v>12640</v>
      </c>
      <c r="J5264" s="12" t="str">
        <f>HYPERLINK("https://www.boe.es/gazeta/dias/1808/04/22/pdfs/GMD-C-1808-38.pdf#page=27","Abrir facsímil")</f>
        <v>Abrir facsímil</v>
      </c>
      <c r="K5264" s="15" t="s">
        <v>23</v>
      </c>
    </row>
    <row r="5265" spans="1:11" ht="42" customHeight="1">
      <c r="A5265" s="4" t="s">
        <v>12641</v>
      </c>
      <c r="B5265" s="5" t="s">
        <v>12642</v>
      </c>
      <c r="C5265" s="5" t="s">
        <v>94</v>
      </c>
      <c r="D5265" s="5" t="s">
        <v>95</v>
      </c>
      <c r="E5265" s="5" t="s">
        <v>203</v>
      </c>
      <c r="F5265" s="9" t="s">
        <v>204</v>
      </c>
      <c r="G5265" s="9">
        <v>141</v>
      </c>
      <c r="H5265" s="5" t="s">
        <v>21</v>
      </c>
      <c r="I5265" s="5" t="s">
        <v>12643</v>
      </c>
      <c r="J5265" s="12" t="str">
        <f>HYPERLINK("https://www.boe.es/gazeta/dias/1808/02/09/pdfs/GMD-1808-12.pdf#page=9","Abrir facsímil")</f>
        <v>Abrir facsímil</v>
      </c>
      <c r="K5265" s="15" t="s">
        <v>23</v>
      </c>
    </row>
    <row r="5266" spans="1:11" ht="42" customHeight="1">
      <c r="A5266" s="4" t="s">
        <v>12644</v>
      </c>
      <c r="B5266" s="5" t="s">
        <v>12645</v>
      </c>
      <c r="C5266" s="5" t="s">
        <v>94</v>
      </c>
      <c r="D5266" s="5" t="s">
        <v>95</v>
      </c>
      <c r="E5266" s="5" t="s">
        <v>73</v>
      </c>
      <c r="F5266" s="9" t="s">
        <v>1570</v>
      </c>
      <c r="G5266" s="9">
        <v>1478</v>
      </c>
      <c r="H5266" s="5" t="s">
        <v>21</v>
      </c>
      <c r="I5266" s="5" t="s">
        <v>12646</v>
      </c>
      <c r="J5266" s="12" t="str">
        <f>HYPERLINK("https://www.boe.es/gazeta/dias/1808/11/11/pdfs/GMD-C-1808-143.pdf#page=8","Abrir facsímil")</f>
        <v>Abrir facsímil</v>
      </c>
      <c r="K5266" s="15" t="s">
        <v>23</v>
      </c>
    </row>
    <row r="5267" spans="1:11" ht="42" customHeight="1">
      <c r="A5267" s="4" t="s">
        <v>12647</v>
      </c>
      <c r="B5267" s="5" t="s">
        <v>12647</v>
      </c>
      <c r="C5267" s="5" t="s">
        <v>389</v>
      </c>
      <c r="D5267" s="5" t="s">
        <v>390</v>
      </c>
      <c r="E5267" s="5" t="s">
        <v>222</v>
      </c>
      <c r="F5267" s="9" t="s">
        <v>223</v>
      </c>
      <c r="G5267" s="9">
        <v>354</v>
      </c>
      <c r="H5267" s="5" t="s">
        <v>21</v>
      </c>
      <c r="I5267" s="5" t="s">
        <v>12648</v>
      </c>
      <c r="J5267" s="12" t="str">
        <f>HYPERLINK("https://www.boe.es/gazeta/dias/1808/04/08/pdfs/GMD-1808-32.pdf#page=8","Abrir facsímil")</f>
        <v>Abrir facsímil</v>
      </c>
      <c r="K5267" s="15" t="s">
        <v>23</v>
      </c>
    </row>
    <row r="5268" spans="1:11" ht="42" customHeight="1">
      <c r="A5268" s="4" t="s">
        <v>12649</v>
      </c>
      <c r="B5268" s="5" t="s">
        <v>12650</v>
      </c>
      <c r="C5268" s="5" t="s">
        <v>33</v>
      </c>
      <c r="D5268" s="5" t="s">
        <v>34</v>
      </c>
      <c r="E5268" s="5" t="s">
        <v>180</v>
      </c>
      <c r="F5268" s="9" t="s">
        <v>768</v>
      </c>
      <c r="G5268" s="9" t="s">
        <v>117</v>
      </c>
      <c r="H5268" s="5" t="s">
        <v>21</v>
      </c>
      <c r="I5268" s="5" t="s">
        <v>12651</v>
      </c>
      <c r="J5268" s="12" t="str">
        <f>HYPERLINK("https://www.boe.es/gazeta/dias/1808/11/15/pdfs/GMD-D-1808-144.pdf#page=1","Abrir facsímil")</f>
        <v>Abrir facsímil</v>
      </c>
      <c r="K5268" s="15" t="s">
        <v>23</v>
      </c>
    </row>
    <row r="5269" spans="1:11" ht="42" customHeight="1">
      <c r="A5269" s="4" t="s">
        <v>12652</v>
      </c>
      <c r="B5269" s="5" t="s">
        <v>12653</v>
      </c>
      <c r="C5269" s="5" t="s">
        <v>33</v>
      </c>
      <c r="D5269" s="5" t="s">
        <v>34</v>
      </c>
      <c r="E5269" s="5" t="s">
        <v>35</v>
      </c>
      <c r="F5269" s="9" t="s">
        <v>36</v>
      </c>
      <c r="G5269" s="9" t="s">
        <v>4783</v>
      </c>
      <c r="H5269" s="5" t="s">
        <v>21</v>
      </c>
      <c r="I5269" s="5" t="s">
        <v>12654</v>
      </c>
      <c r="J5269" s="12" t="str">
        <f>HYPERLINK("https://www.boe.es/gazeta/dias/1808/04/22/pdfs/GMD-C-1808-38.pdf#page=36","Abrir facsímil")</f>
        <v>Abrir facsímil</v>
      </c>
      <c r="K5269" s="15" t="s">
        <v>23</v>
      </c>
    </row>
    <row r="5270" spans="1:11" ht="42" customHeight="1">
      <c r="A5270" s="4" t="s">
        <v>12655</v>
      </c>
      <c r="B5270" s="5" t="s">
        <v>12656</v>
      </c>
      <c r="C5270" s="5" t="s">
        <v>17</v>
      </c>
      <c r="D5270" s="5" t="s">
        <v>18</v>
      </c>
      <c r="E5270" s="5" t="s">
        <v>19</v>
      </c>
      <c r="F5270" s="9" t="s">
        <v>59</v>
      </c>
      <c r="G5270" s="9">
        <v>1231</v>
      </c>
      <c r="H5270" s="5" t="s">
        <v>21</v>
      </c>
      <c r="I5270" s="5" t="s">
        <v>12657</v>
      </c>
      <c r="J5270" s="12" t="str">
        <f>HYPERLINK("https://www.boe.es/gazeta/dias/1808/09/30/pdfs/GMD-1808-130.pdf#page=11","Abrir facsímil")</f>
        <v>Abrir facsímil</v>
      </c>
      <c r="K5270" s="15" t="s">
        <v>23</v>
      </c>
    </row>
    <row r="5271" spans="1:11" ht="42" customHeight="1">
      <c r="A5271" s="4" t="s">
        <v>12658</v>
      </c>
      <c r="B5271" s="5" t="s">
        <v>12659</v>
      </c>
      <c r="C5271" s="5" t="s">
        <v>17</v>
      </c>
      <c r="D5271" s="5" t="s">
        <v>18</v>
      </c>
      <c r="E5271" s="5" t="s">
        <v>1791</v>
      </c>
      <c r="F5271" s="9" t="s">
        <v>2814</v>
      </c>
      <c r="G5271" s="9">
        <v>934</v>
      </c>
      <c r="H5271" s="5" t="s">
        <v>21</v>
      </c>
      <c r="I5271" s="5" t="s">
        <v>12660</v>
      </c>
      <c r="J5271" s="12" t="str">
        <f>HYPERLINK("https://www.boe.es/gazeta/dias/1808/07/30/pdfs/GMD-1808-102.pdf#page=8","Abrir facsímil")</f>
        <v>Abrir facsímil</v>
      </c>
      <c r="K5271" s="15" t="s">
        <v>23</v>
      </c>
    </row>
    <row r="5272" spans="1:11" ht="42" customHeight="1">
      <c r="A5272" s="4" t="s">
        <v>12661</v>
      </c>
      <c r="B5272" s="5" t="s">
        <v>12661</v>
      </c>
      <c r="C5272" s="5" t="s">
        <v>101</v>
      </c>
      <c r="D5272" s="5" t="s">
        <v>102</v>
      </c>
      <c r="E5272" s="5" t="s">
        <v>1676</v>
      </c>
      <c r="F5272" s="9" t="s">
        <v>1677</v>
      </c>
      <c r="G5272" s="9">
        <v>548</v>
      </c>
      <c r="H5272" s="5" t="s">
        <v>21</v>
      </c>
      <c r="I5272" s="5" t="s">
        <v>12662</v>
      </c>
      <c r="J5272" s="12" t="str">
        <f>HYPERLINK("https://www.boe.es/gazeta/dias/1808/06/10/pdfs/GMD-1808-55.pdf#page=2","Abrir facsímil")</f>
        <v>Abrir facsímil</v>
      </c>
      <c r="K5272" s="15" t="s">
        <v>23</v>
      </c>
    </row>
    <row r="5273" spans="1:11" ht="42" customHeight="1">
      <c r="A5273" s="4" t="s">
        <v>12663</v>
      </c>
      <c r="B5273" s="5" t="s">
        <v>12664</v>
      </c>
      <c r="C5273" s="5" t="s">
        <v>17</v>
      </c>
      <c r="D5273" s="5" t="s">
        <v>18</v>
      </c>
      <c r="E5273" s="5" t="s">
        <v>68</v>
      </c>
      <c r="F5273" s="9" t="s">
        <v>69</v>
      </c>
      <c r="G5273" s="9">
        <v>1338</v>
      </c>
      <c r="H5273" s="5" t="s">
        <v>21</v>
      </c>
      <c r="I5273" s="5" t="s">
        <v>12665</v>
      </c>
      <c r="J5273" s="12" t="str">
        <f>HYPERLINK("https://www.boe.es/gazeta/dias/1808/10/21/pdfs/GMD-1808-136.pdf#page=10","Abrir facsímil")</f>
        <v>Abrir facsímil</v>
      </c>
      <c r="K5273" s="15" t="s">
        <v>23</v>
      </c>
    </row>
    <row r="5274" spans="1:11" ht="42" customHeight="1">
      <c r="A5274" s="4" t="s">
        <v>12666</v>
      </c>
      <c r="B5274" s="5" t="s">
        <v>12667</v>
      </c>
      <c r="C5274" s="5" t="s">
        <v>94</v>
      </c>
      <c r="D5274" s="5" t="s">
        <v>95</v>
      </c>
      <c r="E5274" s="5" t="s">
        <v>210</v>
      </c>
      <c r="F5274" s="9" t="s">
        <v>211</v>
      </c>
      <c r="G5274" s="9">
        <v>254</v>
      </c>
      <c r="H5274" s="5" t="s">
        <v>21</v>
      </c>
      <c r="I5274" s="5" t="s">
        <v>12668</v>
      </c>
      <c r="J5274" s="12" t="str">
        <f>HYPERLINK("https://www.boe.es/gazeta/dias/1808/03/11/pdfs/GMD-1808-21.pdf#page=8","Abrir facsímil")</f>
        <v>Abrir facsímil</v>
      </c>
      <c r="K5274" s="15" t="s">
        <v>23</v>
      </c>
    </row>
    <row r="5275" spans="1:11" ht="42" customHeight="1">
      <c r="A5275" s="4" t="s">
        <v>12669</v>
      </c>
      <c r="B5275" s="5" t="s">
        <v>12670</v>
      </c>
      <c r="C5275" s="5" t="s">
        <v>33</v>
      </c>
      <c r="D5275" s="5" t="s">
        <v>34</v>
      </c>
      <c r="E5275" s="5" t="s">
        <v>35</v>
      </c>
      <c r="F5275" s="9" t="s">
        <v>36</v>
      </c>
      <c r="G5275" s="9" t="s">
        <v>501</v>
      </c>
      <c r="H5275" s="5" t="s">
        <v>21</v>
      </c>
      <c r="I5275" s="5" t="s">
        <v>12671</v>
      </c>
      <c r="J5275" s="12" t="str">
        <f>HYPERLINK("https://www.boe.es/gazeta/dias/1808/04/22/pdfs/GMD-C-1808-38.pdf#page=5","Abrir facsímil")</f>
        <v>Abrir facsímil</v>
      </c>
      <c r="K5275" s="15" t="s">
        <v>23</v>
      </c>
    </row>
    <row r="5276" spans="1:11" ht="42" customHeight="1">
      <c r="A5276" s="4" t="s">
        <v>12672</v>
      </c>
      <c r="B5276" s="5" t="s">
        <v>12673</v>
      </c>
      <c r="C5276" s="5" t="s">
        <v>17</v>
      </c>
      <c r="D5276" s="5" t="s">
        <v>18</v>
      </c>
      <c r="E5276" s="5" t="s">
        <v>130</v>
      </c>
      <c r="F5276" s="9" t="s">
        <v>131</v>
      </c>
      <c r="G5276" s="9">
        <v>1604</v>
      </c>
      <c r="H5276" s="5" t="s">
        <v>21</v>
      </c>
      <c r="I5276" s="5" t="s">
        <v>12674</v>
      </c>
      <c r="J5276" s="12" t="str">
        <f>HYPERLINK("https://www.boe.es/gazeta/dias/1808/12/15/pdfs/GMD-1808-155.pdf#page=8","Abrir facsímil")</f>
        <v>Abrir facsímil</v>
      </c>
      <c r="K5276" s="15" t="s">
        <v>23</v>
      </c>
    </row>
    <row r="5277" spans="1:11" ht="42" customHeight="1">
      <c r="A5277" s="4" t="s">
        <v>12675</v>
      </c>
      <c r="B5277" s="5" t="s">
        <v>12676</v>
      </c>
      <c r="C5277" s="5" t="s">
        <v>642</v>
      </c>
      <c r="D5277" s="5" t="s">
        <v>643</v>
      </c>
      <c r="E5277" s="5" t="s">
        <v>644</v>
      </c>
      <c r="F5277" s="9" t="s">
        <v>645</v>
      </c>
      <c r="G5277" s="9">
        <v>320</v>
      </c>
      <c r="H5277" s="5" t="s">
        <v>21</v>
      </c>
      <c r="I5277" s="5" t="s">
        <v>12677</v>
      </c>
      <c r="J5277" s="12" t="str">
        <f>HYPERLINK("https://www.boe.es/gazeta/dias/1808/03/31/pdfs/GMD-1808-28E.pdf#page=4","Abrir facsímil")</f>
        <v>Abrir facsímil</v>
      </c>
      <c r="K5277" s="15" t="s">
        <v>23</v>
      </c>
    </row>
    <row r="5278" spans="1:11" ht="42" customHeight="1">
      <c r="A5278" s="4" t="s">
        <v>12678</v>
      </c>
      <c r="B5278" s="5" t="s">
        <v>12679</v>
      </c>
      <c r="C5278" s="5" t="s">
        <v>94</v>
      </c>
      <c r="D5278" s="5" t="s">
        <v>95</v>
      </c>
      <c r="E5278" s="5" t="s">
        <v>644</v>
      </c>
      <c r="F5278" s="9" t="s">
        <v>645</v>
      </c>
      <c r="G5278" s="9">
        <v>321</v>
      </c>
      <c r="H5278" s="5" t="s">
        <v>21</v>
      </c>
      <c r="I5278" s="5" t="s">
        <v>12680</v>
      </c>
      <c r="J5278" s="12" t="str">
        <f>HYPERLINK("https://www.boe.es/gazeta/dias/1808/03/31/pdfs/GMD-1808-28E.pdf#page=5","Abrir facsímil")</f>
        <v>Abrir facsímil</v>
      </c>
      <c r="K5278" s="15" t="s">
        <v>23</v>
      </c>
    </row>
    <row r="5279" spans="1:11" ht="42" customHeight="1">
      <c r="A5279" s="4" t="s">
        <v>12675</v>
      </c>
      <c r="B5279" s="5" t="s">
        <v>12676</v>
      </c>
      <c r="C5279" s="5" t="s">
        <v>642</v>
      </c>
      <c r="D5279" s="5" t="s">
        <v>643</v>
      </c>
      <c r="E5279" s="5" t="s">
        <v>644</v>
      </c>
      <c r="F5279" s="9" t="s">
        <v>645</v>
      </c>
      <c r="G5279" s="9">
        <v>322</v>
      </c>
      <c r="H5279" s="5" t="s">
        <v>21</v>
      </c>
      <c r="I5279" s="5" t="s">
        <v>12681</v>
      </c>
      <c r="J5279" s="12" t="str">
        <f>HYPERLINK("https://www.boe.es/gazeta/dias/1808/03/31/pdfs/GMD-1808-28E.pdf#page=6","Abrir facsímil")</f>
        <v>Abrir facsímil</v>
      </c>
      <c r="K5279" s="15" t="s">
        <v>23</v>
      </c>
    </row>
    <row r="5280" spans="1:11" ht="42" customHeight="1">
      <c r="A5280" s="4" t="s">
        <v>12675</v>
      </c>
      <c r="B5280" s="5" t="s">
        <v>12676</v>
      </c>
      <c r="C5280" s="5" t="s">
        <v>17</v>
      </c>
      <c r="D5280" s="5" t="s">
        <v>18</v>
      </c>
      <c r="E5280" s="5" t="s">
        <v>616</v>
      </c>
      <c r="F5280" s="9" t="s">
        <v>617</v>
      </c>
      <c r="G5280" s="9">
        <v>1042</v>
      </c>
      <c r="H5280" s="5" t="s">
        <v>21</v>
      </c>
      <c r="I5280" s="5" t="s">
        <v>12682</v>
      </c>
      <c r="J5280" s="12" t="str">
        <f>HYPERLINK("https://www.boe.es/gazeta/dias/1808/08/19/pdfs/GMD-1808-115.pdf#page=8","Abrir facsímil")</f>
        <v>Abrir facsímil</v>
      </c>
      <c r="K5280" s="15" t="s">
        <v>23</v>
      </c>
    </row>
    <row r="5281" spans="1:11" ht="42" customHeight="1">
      <c r="A5281" s="4" t="s">
        <v>12675</v>
      </c>
      <c r="B5281" s="5" t="s">
        <v>12676</v>
      </c>
      <c r="C5281" s="5" t="s">
        <v>17</v>
      </c>
      <c r="D5281" s="5" t="s">
        <v>18</v>
      </c>
      <c r="E5281" s="5" t="s">
        <v>68</v>
      </c>
      <c r="F5281" s="9" t="s">
        <v>69</v>
      </c>
      <c r="G5281" s="9">
        <v>1340</v>
      </c>
      <c r="H5281" s="5" t="s">
        <v>21</v>
      </c>
      <c r="I5281" s="5" t="s">
        <v>12683</v>
      </c>
      <c r="J5281" s="12" t="str">
        <f>HYPERLINK("https://www.boe.es/gazeta/dias/1808/10/21/pdfs/GMD-1808-136.pdf#page=12","Abrir facsímil")</f>
        <v>Abrir facsímil</v>
      </c>
      <c r="K5281" s="15" t="s">
        <v>23</v>
      </c>
    </row>
    <row r="5282" spans="1:11" ht="42" customHeight="1">
      <c r="A5282" s="4" t="s">
        <v>12684</v>
      </c>
      <c r="B5282" s="5" t="s">
        <v>12685</v>
      </c>
      <c r="C5282" s="5" t="s">
        <v>94</v>
      </c>
      <c r="D5282" s="5" t="s">
        <v>95</v>
      </c>
      <c r="E5282" s="5" t="s">
        <v>54</v>
      </c>
      <c r="F5282" s="9" t="s">
        <v>55</v>
      </c>
      <c r="G5282" s="9">
        <v>1087</v>
      </c>
      <c r="H5282" s="5" t="s">
        <v>21</v>
      </c>
      <c r="I5282" s="5" t="s">
        <v>12686</v>
      </c>
      <c r="J5282" s="12" t="str">
        <f>HYPERLINK("https://www.boe.es/gazeta/dias/1808/08/26/pdfs/GMD-1808-117.pdf#page=9","Abrir facsímil")</f>
        <v>Abrir facsímil</v>
      </c>
      <c r="K5282" s="15" t="s">
        <v>23</v>
      </c>
    </row>
    <row r="5283" spans="1:11" ht="42" customHeight="1">
      <c r="A5283" s="4" t="s">
        <v>12687</v>
      </c>
      <c r="B5283" s="5" t="s">
        <v>12688</v>
      </c>
      <c r="C5283" s="5" t="s">
        <v>41</v>
      </c>
      <c r="D5283" s="5" t="s">
        <v>42</v>
      </c>
      <c r="E5283" s="5" t="s">
        <v>35</v>
      </c>
      <c r="F5283" s="9" t="s">
        <v>36</v>
      </c>
      <c r="G5283" s="9" t="s">
        <v>1294</v>
      </c>
      <c r="H5283" s="5" t="s">
        <v>21</v>
      </c>
      <c r="I5283" s="5" t="s">
        <v>12689</v>
      </c>
      <c r="J5283" s="12" t="str">
        <f>HYPERLINK("https://www.boe.es/gazeta/dias/1808/04/22/pdfs/GMD-C-1808-38.pdf#page=8","Abrir facsímil")</f>
        <v>Abrir facsímil</v>
      </c>
      <c r="K5283" s="15" t="s">
        <v>23</v>
      </c>
    </row>
    <row r="5284" spans="1:11" ht="42" customHeight="1">
      <c r="A5284" s="4" t="s">
        <v>12690</v>
      </c>
      <c r="B5284" s="5" t="s">
        <v>12691</v>
      </c>
      <c r="C5284" s="5" t="s">
        <v>33</v>
      </c>
      <c r="D5284" s="5" t="s">
        <v>34</v>
      </c>
      <c r="E5284" s="5" t="s">
        <v>391</v>
      </c>
      <c r="F5284" s="9" t="s">
        <v>588</v>
      </c>
      <c r="G5284" s="9" t="s">
        <v>199</v>
      </c>
      <c r="H5284" s="5" t="s">
        <v>21</v>
      </c>
      <c r="I5284" s="5" t="s">
        <v>12692</v>
      </c>
      <c r="J5284" s="12" t="str">
        <f>HYPERLINK("https://www.boe.es/gazeta/dias/1808/09/27/pdfs/GMD-C-1808-128.pdf#page=2","Abrir facsímil")</f>
        <v>Abrir facsímil</v>
      </c>
      <c r="K5284" s="15" t="s">
        <v>23</v>
      </c>
    </row>
    <row r="5285" spans="1:11" ht="42" customHeight="1">
      <c r="A5285" s="4" t="s">
        <v>12693</v>
      </c>
      <c r="B5285" s="5" t="s">
        <v>12693</v>
      </c>
      <c r="C5285" s="5" t="s">
        <v>33</v>
      </c>
      <c r="D5285" s="5" t="s">
        <v>34</v>
      </c>
      <c r="E5285" s="5" t="s">
        <v>35</v>
      </c>
      <c r="F5285" s="9" t="s">
        <v>36</v>
      </c>
      <c r="G5285" s="9" t="s">
        <v>279</v>
      </c>
      <c r="H5285" s="5" t="s">
        <v>21</v>
      </c>
      <c r="I5285" s="5" t="s">
        <v>12694</v>
      </c>
      <c r="J5285" s="12" t="str">
        <f>HYPERLINK("https://www.boe.es/gazeta/dias/1808/04/22/pdfs/GMD-C-1808-38.pdf#page=44","Abrir facsímil")</f>
        <v>Abrir facsímil</v>
      </c>
      <c r="K5285" s="15" t="s">
        <v>23</v>
      </c>
    </row>
    <row r="5286" spans="1:11" ht="42" customHeight="1">
      <c r="A5286" s="4" t="s">
        <v>12695</v>
      </c>
      <c r="B5286" s="5" t="s">
        <v>12696</v>
      </c>
      <c r="C5286" s="5" t="s">
        <v>94</v>
      </c>
      <c r="D5286" s="5" t="s">
        <v>95</v>
      </c>
      <c r="E5286" s="5" t="s">
        <v>974</v>
      </c>
      <c r="F5286" s="9" t="s">
        <v>975</v>
      </c>
      <c r="G5286" s="9">
        <v>391</v>
      </c>
      <c r="H5286" s="5" t="s">
        <v>21</v>
      </c>
      <c r="I5286" s="5" t="s">
        <v>12697</v>
      </c>
      <c r="J5286" s="12" t="str">
        <f>HYPERLINK("https://www.boe.es/gazeta/dias/1808/04/19/pdfs/GMD-1808-37.pdf#page=7","Abrir facsímil")</f>
        <v>Abrir facsímil</v>
      </c>
      <c r="K5286" s="15" t="s">
        <v>23</v>
      </c>
    </row>
    <row r="5287" spans="1:11" ht="42" customHeight="1">
      <c r="A5287" s="4" t="s">
        <v>12698</v>
      </c>
      <c r="B5287" s="5" t="s">
        <v>12699</v>
      </c>
      <c r="C5287" s="5" t="s">
        <v>41</v>
      </c>
      <c r="D5287" s="5" t="s">
        <v>42</v>
      </c>
      <c r="E5287" s="5" t="s">
        <v>35</v>
      </c>
      <c r="F5287" s="9" t="s">
        <v>36</v>
      </c>
      <c r="G5287" s="9" t="s">
        <v>4783</v>
      </c>
      <c r="H5287" s="5" t="s">
        <v>21</v>
      </c>
      <c r="I5287" s="5" t="s">
        <v>12700</v>
      </c>
      <c r="J5287" s="12" t="str">
        <f>HYPERLINK("https://www.boe.es/gazeta/dias/1808/04/22/pdfs/GMD-C-1808-38.pdf#page=36","Abrir facsímil")</f>
        <v>Abrir facsímil</v>
      </c>
      <c r="K5287" s="15" t="s">
        <v>23</v>
      </c>
    </row>
    <row r="5288" spans="1:11" ht="42" customHeight="1">
      <c r="A5288" s="4" t="s">
        <v>12701</v>
      </c>
      <c r="B5288" s="5" t="s">
        <v>12702</v>
      </c>
      <c r="C5288" s="5" t="s">
        <v>389</v>
      </c>
      <c r="D5288" s="5" t="s">
        <v>390</v>
      </c>
      <c r="E5288" s="5" t="s">
        <v>493</v>
      </c>
      <c r="F5288" s="9" t="s">
        <v>494</v>
      </c>
      <c r="G5288" s="9">
        <v>48</v>
      </c>
      <c r="H5288" s="5" t="s">
        <v>21</v>
      </c>
      <c r="I5288" s="5" t="s">
        <v>12703</v>
      </c>
      <c r="J5288" s="12" t="str">
        <f>HYPERLINK("https://www.boe.es/gazeta/dias/1808/01/12/pdfs/GMD-1808-4.pdf#page=12","Abrir facsímil")</f>
        <v>Abrir facsímil</v>
      </c>
      <c r="K5288" s="15" t="s">
        <v>23</v>
      </c>
    </row>
    <row r="5289" spans="1:11" ht="42" customHeight="1">
      <c r="A5289" s="4" t="s">
        <v>12704</v>
      </c>
      <c r="B5289" s="5" t="s">
        <v>12705</v>
      </c>
      <c r="C5289" s="5" t="s">
        <v>33</v>
      </c>
      <c r="D5289" s="5" t="s">
        <v>34</v>
      </c>
      <c r="E5289" s="5" t="s">
        <v>153</v>
      </c>
      <c r="F5289" s="9" t="s">
        <v>154</v>
      </c>
      <c r="G5289" s="9" t="s">
        <v>199</v>
      </c>
      <c r="H5289" s="5" t="s">
        <v>21</v>
      </c>
      <c r="I5289" s="5" t="s">
        <v>12706</v>
      </c>
      <c r="J5289" s="12" t="str">
        <f>HYPERLINK("https://www.boe.es/gazeta/dias/1808/09/09/pdfs/GMD-C-1808-121.pdf#page=2","Abrir facsímil")</f>
        <v>Abrir facsímil</v>
      </c>
      <c r="K5289" s="15" t="s">
        <v>23</v>
      </c>
    </row>
    <row r="5290" spans="1:11" ht="42" customHeight="1">
      <c r="A5290" s="4" t="s">
        <v>12707</v>
      </c>
      <c r="B5290" s="5" t="s">
        <v>12708</v>
      </c>
      <c r="C5290" s="5" t="s">
        <v>33</v>
      </c>
      <c r="D5290" s="5" t="s">
        <v>34</v>
      </c>
      <c r="E5290" s="5" t="s">
        <v>19</v>
      </c>
      <c r="F5290" s="9" t="s">
        <v>949</v>
      </c>
      <c r="G5290" s="9" t="s">
        <v>199</v>
      </c>
      <c r="H5290" s="5" t="s">
        <v>21</v>
      </c>
      <c r="I5290" s="5" t="s">
        <v>12709</v>
      </c>
      <c r="J5290" s="12" t="str">
        <f>HYPERLINK("https://www.boe.es/gazeta/dias/1808/09/30/pdfs/GMD-C-1808-130.pdf#page=2","Abrir facsímil")</f>
        <v>Abrir facsímil</v>
      </c>
      <c r="K5290" s="15" t="s">
        <v>23</v>
      </c>
    </row>
    <row r="5291" spans="1:11" ht="42" customHeight="1">
      <c r="A5291" s="4" t="s">
        <v>12710</v>
      </c>
      <c r="B5291" s="5" t="s">
        <v>12710</v>
      </c>
      <c r="C5291" s="5" t="s">
        <v>41</v>
      </c>
      <c r="D5291" s="5" t="s">
        <v>42</v>
      </c>
      <c r="E5291" s="5" t="s">
        <v>264</v>
      </c>
      <c r="F5291" s="9" t="s">
        <v>318</v>
      </c>
      <c r="G5291" s="9" t="s">
        <v>106</v>
      </c>
      <c r="H5291" s="5" t="s">
        <v>21</v>
      </c>
      <c r="I5291" s="5" t="s">
        <v>12711</v>
      </c>
      <c r="J5291" s="12" t="str">
        <f>HYPERLINK("https://www.boe.es/gazeta/dias/1808/11/29/pdfs/GMD-C-1808-148.pdf#page=3","Abrir facsímil")</f>
        <v>Abrir facsímil</v>
      </c>
      <c r="K5291" s="15" t="s">
        <v>23</v>
      </c>
    </row>
    <row r="5292" spans="1:11" ht="42" customHeight="1">
      <c r="A5292" s="4" t="s">
        <v>12712</v>
      </c>
      <c r="B5292" s="5" t="s">
        <v>12712</v>
      </c>
      <c r="C5292" s="5" t="s">
        <v>17</v>
      </c>
      <c r="D5292" s="5" t="s">
        <v>18</v>
      </c>
      <c r="E5292" s="5" t="s">
        <v>197</v>
      </c>
      <c r="F5292" s="9" t="s">
        <v>790</v>
      </c>
      <c r="G5292" s="9">
        <v>1406</v>
      </c>
      <c r="H5292" s="5" t="s">
        <v>21</v>
      </c>
      <c r="I5292" s="5" t="s">
        <v>12713</v>
      </c>
      <c r="J5292" s="12" t="str">
        <f>HYPERLINK("https://www.boe.es/gazeta/dias/1808/11/01/pdfs/GMD-1808-140.pdf#page=8","Abrir facsímil")</f>
        <v>Abrir facsímil</v>
      </c>
      <c r="K5292" s="15" t="s">
        <v>23</v>
      </c>
    </row>
    <row r="5293" spans="1:11" ht="42" customHeight="1">
      <c r="A5293" s="4" t="s">
        <v>12714</v>
      </c>
      <c r="B5293" s="5" t="s">
        <v>12714</v>
      </c>
      <c r="C5293" s="5" t="s">
        <v>33</v>
      </c>
      <c r="D5293" s="5" t="s">
        <v>34</v>
      </c>
      <c r="E5293" s="5" t="s">
        <v>197</v>
      </c>
      <c r="F5293" s="9" t="s">
        <v>198</v>
      </c>
      <c r="G5293" s="9" t="s">
        <v>106</v>
      </c>
      <c r="H5293" s="5" t="s">
        <v>21</v>
      </c>
      <c r="I5293" s="5" t="s">
        <v>12715</v>
      </c>
      <c r="J5293" s="12" t="str">
        <f>HYPERLINK("https://www.boe.es/gazeta/dias/1808/11/01/pdfs/GMD-D-1808-140.pdf#page=3","Abrir facsímil")</f>
        <v>Abrir facsímil</v>
      </c>
      <c r="K5293" s="15" t="s">
        <v>23</v>
      </c>
    </row>
    <row r="5294" spans="1:11" ht="42" customHeight="1">
      <c r="A5294" s="4" t="s">
        <v>12716</v>
      </c>
      <c r="B5294" s="5" t="s">
        <v>12717</v>
      </c>
      <c r="C5294" s="5" t="s">
        <v>17</v>
      </c>
      <c r="D5294" s="5" t="s">
        <v>18</v>
      </c>
      <c r="E5294" s="5" t="s">
        <v>130</v>
      </c>
      <c r="F5294" s="9" t="s">
        <v>131</v>
      </c>
      <c r="G5294" s="9">
        <v>1604</v>
      </c>
      <c r="H5294" s="5" t="s">
        <v>21</v>
      </c>
      <c r="I5294" s="5" t="s">
        <v>12718</v>
      </c>
      <c r="J5294" s="12" t="str">
        <f>HYPERLINK("https://www.boe.es/gazeta/dias/1808/12/15/pdfs/GMD-1808-155.pdf#page=8","Abrir facsímil")</f>
        <v>Abrir facsímil</v>
      </c>
      <c r="K5294" s="15" t="s">
        <v>23</v>
      </c>
    </row>
    <row r="5295" spans="1:11" ht="42" customHeight="1">
      <c r="A5295" s="4" t="s">
        <v>12719</v>
      </c>
      <c r="B5295" s="5" t="s">
        <v>12719</v>
      </c>
      <c r="C5295" s="5" t="s">
        <v>33</v>
      </c>
      <c r="D5295" s="5" t="s">
        <v>34</v>
      </c>
      <c r="E5295" s="5" t="s">
        <v>89</v>
      </c>
      <c r="F5295" s="9" t="s">
        <v>563</v>
      </c>
      <c r="G5295" s="9" t="s">
        <v>106</v>
      </c>
      <c r="H5295" s="5" t="s">
        <v>21</v>
      </c>
      <c r="I5295" s="5" t="s">
        <v>12720</v>
      </c>
      <c r="J5295" s="12" t="str">
        <f>HYPERLINK("https://www.boe.es/gazeta/dias/1808/10/25/pdfs/GMD-D-1808-137.pdf#page=3","Abrir facsímil")</f>
        <v>Abrir facsímil</v>
      </c>
      <c r="K5295" s="15" t="s">
        <v>23</v>
      </c>
    </row>
    <row r="5296" spans="1:11" ht="42" customHeight="1">
      <c r="A5296" s="4" t="s">
        <v>12721</v>
      </c>
      <c r="B5296" s="5" t="s">
        <v>12721</v>
      </c>
      <c r="C5296" s="5" t="s">
        <v>94</v>
      </c>
      <c r="D5296" s="5" t="s">
        <v>95</v>
      </c>
      <c r="E5296" s="5" t="s">
        <v>210</v>
      </c>
      <c r="F5296" s="9" t="s">
        <v>211</v>
      </c>
      <c r="G5296" s="9">
        <v>254</v>
      </c>
      <c r="H5296" s="5" t="s">
        <v>21</v>
      </c>
      <c r="I5296" s="5" t="s">
        <v>12722</v>
      </c>
      <c r="J5296" s="12" t="str">
        <f>HYPERLINK("https://www.boe.es/gazeta/dias/1808/03/11/pdfs/GMD-1808-21.pdf#page=8","Abrir facsímil")</f>
        <v>Abrir facsímil</v>
      </c>
      <c r="K5296" s="15" t="s">
        <v>23</v>
      </c>
    </row>
    <row r="5297" spans="1:11" ht="42" customHeight="1">
      <c r="A5297" s="4" t="s">
        <v>12723</v>
      </c>
      <c r="B5297" s="5" t="s">
        <v>12724</v>
      </c>
      <c r="C5297" s="5" t="s">
        <v>33</v>
      </c>
      <c r="D5297" s="5" t="s">
        <v>34</v>
      </c>
      <c r="E5297" s="5" t="s">
        <v>35</v>
      </c>
      <c r="F5297" s="9" t="s">
        <v>36</v>
      </c>
      <c r="G5297" s="9" t="s">
        <v>313</v>
      </c>
      <c r="H5297" s="5" t="s">
        <v>21</v>
      </c>
      <c r="I5297" s="5" t="s">
        <v>12725</v>
      </c>
      <c r="J5297" s="12" t="str">
        <f>HYPERLINK("https://www.boe.es/gazeta/dias/1808/04/22/pdfs/GMD-C-1808-38.pdf#page=29","Abrir facsímil")</f>
        <v>Abrir facsímil</v>
      </c>
      <c r="K5297" s="15" t="s">
        <v>23</v>
      </c>
    </row>
    <row r="5298" spans="1:11" ht="42" customHeight="1">
      <c r="A5298" s="4" t="s">
        <v>12726</v>
      </c>
      <c r="B5298" s="5" t="s">
        <v>12726</v>
      </c>
      <c r="C5298" s="5" t="s">
        <v>41</v>
      </c>
      <c r="D5298" s="5" t="s">
        <v>42</v>
      </c>
      <c r="E5298" s="5" t="s">
        <v>558</v>
      </c>
      <c r="F5298" s="9" t="s">
        <v>758</v>
      </c>
      <c r="G5298" s="9" t="s">
        <v>75</v>
      </c>
      <c r="H5298" s="5" t="s">
        <v>21</v>
      </c>
      <c r="I5298" s="5" t="s">
        <v>12727</v>
      </c>
      <c r="J5298" s="12" t="str">
        <f>HYPERLINK("https://www.boe.es/gazeta/dias/1808/11/25/pdfs/GMD-E-1808-147.pdf#page=4","Abrir facsímil")</f>
        <v>Abrir facsímil</v>
      </c>
      <c r="K5298" s="15" t="s">
        <v>23</v>
      </c>
    </row>
    <row r="5299" spans="1:11" ht="42" customHeight="1">
      <c r="A5299" s="4" t="s">
        <v>12728</v>
      </c>
      <c r="B5299" s="5" t="s">
        <v>12728</v>
      </c>
      <c r="C5299" s="5" t="s">
        <v>41</v>
      </c>
      <c r="D5299" s="5" t="s">
        <v>42</v>
      </c>
      <c r="E5299" s="5" t="s">
        <v>180</v>
      </c>
      <c r="F5299" s="9" t="s">
        <v>768</v>
      </c>
      <c r="G5299" s="9" t="s">
        <v>106</v>
      </c>
      <c r="H5299" s="5" t="s">
        <v>21</v>
      </c>
      <c r="I5299" s="5" t="s">
        <v>12729</v>
      </c>
      <c r="J5299" s="12" t="str">
        <f>HYPERLINK("https://www.boe.es/gazeta/dias/1808/11/15/pdfs/GMD-D-1808-144.pdf#page=3","Abrir facsímil")</f>
        <v>Abrir facsímil</v>
      </c>
      <c r="K5299" s="15" t="s">
        <v>23</v>
      </c>
    </row>
    <row r="5300" spans="1:11" ht="42" customHeight="1">
      <c r="A5300" s="4" t="s">
        <v>12730</v>
      </c>
      <c r="B5300" s="5" t="s">
        <v>12731</v>
      </c>
      <c r="C5300" s="5" t="s">
        <v>41</v>
      </c>
      <c r="D5300" s="5" t="s">
        <v>42</v>
      </c>
      <c r="E5300" s="5" t="s">
        <v>51</v>
      </c>
      <c r="F5300" s="9" t="s">
        <v>1366</v>
      </c>
      <c r="G5300" s="9">
        <v>168</v>
      </c>
      <c r="H5300" s="5" t="s">
        <v>21</v>
      </c>
      <c r="I5300" s="5" t="s">
        <v>12732</v>
      </c>
      <c r="J5300" s="12" t="str">
        <f>HYPERLINK("https://www.boe.es/gazeta/dias/1808/08/09/pdfs/GMS-1808-21.pdf#page=8","Abrir facsímil")</f>
        <v>Abrir facsímil</v>
      </c>
      <c r="K5300" s="15" t="s">
        <v>23</v>
      </c>
    </row>
    <row r="5301" spans="1:11" ht="42" customHeight="1">
      <c r="A5301" s="4" t="s">
        <v>12733</v>
      </c>
      <c r="B5301" s="5" t="s">
        <v>12733</v>
      </c>
      <c r="C5301" s="5" t="s">
        <v>41</v>
      </c>
      <c r="D5301" s="5" t="s">
        <v>42</v>
      </c>
      <c r="E5301" s="5" t="s">
        <v>513</v>
      </c>
      <c r="F5301" s="9" t="s">
        <v>514</v>
      </c>
      <c r="G5301" s="9">
        <v>288</v>
      </c>
      <c r="H5301" s="5" t="s">
        <v>21</v>
      </c>
      <c r="I5301" s="5" t="s">
        <v>12734</v>
      </c>
      <c r="J5301" s="12" t="str">
        <f>HYPERLINK("https://www.boe.es/gazeta/dias/1808/03/22/pdfs/GMD-1808-24.pdf#page=10","Abrir facsímil")</f>
        <v>Abrir facsímil</v>
      </c>
      <c r="K5301" s="15" t="s">
        <v>23</v>
      </c>
    </row>
    <row r="5302" spans="1:11" ht="42" customHeight="1">
      <c r="A5302" s="4" t="s">
        <v>12735</v>
      </c>
      <c r="B5302" s="5" t="s">
        <v>12735</v>
      </c>
      <c r="C5302" s="5" t="s">
        <v>41</v>
      </c>
      <c r="D5302" s="5" t="s">
        <v>42</v>
      </c>
      <c r="E5302" s="5" t="s">
        <v>427</v>
      </c>
      <c r="F5302" s="9" t="s">
        <v>428</v>
      </c>
      <c r="G5302" s="9" t="s">
        <v>75</v>
      </c>
      <c r="H5302" s="5" t="s">
        <v>21</v>
      </c>
      <c r="I5302" s="5" t="s">
        <v>12736</v>
      </c>
      <c r="J5302" s="12" t="str">
        <f>HYPERLINK("https://www.boe.es/gazeta/dias/1808/11/22/pdfs/GMD-D-1808-146.pdf#page=4","Abrir facsímil")</f>
        <v>Abrir facsímil</v>
      </c>
      <c r="K5302" s="15" t="s">
        <v>23</v>
      </c>
    </row>
    <row r="5303" spans="1:11" ht="42" customHeight="1">
      <c r="A5303" s="4" t="s">
        <v>12737</v>
      </c>
      <c r="B5303" s="5" t="s">
        <v>12737</v>
      </c>
      <c r="C5303" s="5" t="s">
        <v>33</v>
      </c>
      <c r="D5303" s="5" t="s">
        <v>34</v>
      </c>
      <c r="E5303" s="5" t="s">
        <v>35</v>
      </c>
      <c r="F5303" s="9" t="s">
        <v>36</v>
      </c>
      <c r="G5303" s="9" t="s">
        <v>1178</v>
      </c>
      <c r="H5303" s="5" t="s">
        <v>21</v>
      </c>
      <c r="I5303" s="5" t="s">
        <v>12738</v>
      </c>
      <c r="J5303" s="12" t="str">
        <f>HYPERLINK("https://www.boe.es/gazeta/dias/1808/04/22/pdfs/GMD-C-1808-38.pdf#page=9","Abrir facsímil")</f>
        <v>Abrir facsímil</v>
      </c>
      <c r="K5303" s="15" t="s">
        <v>23</v>
      </c>
    </row>
    <row r="5304" spans="1:11" ht="42" customHeight="1">
      <c r="A5304" s="4" t="s">
        <v>12739</v>
      </c>
      <c r="B5304" s="5" t="s">
        <v>12739</v>
      </c>
      <c r="C5304" s="5" t="s">
        <v>33</v>
      </c>
      <c r="D5304" s="5" t="s">
        <v>34</v>
      </c>
      <c r="E5304" s="5" t="s">
        <v>391</v>
      </c>
      <c r="F5304" s="9" t="s">
        <v>588</v>
      </c>
      <c r="G5304" s="9" t="s">
        <v>75</v>
      </c>
      <c r="H5304" s="5" t="s">
        <v>21</v>
      </c>
      <c r="I5304" s="5" t="s">
        <v>12740</v>
      </c>
      <c r="J5304" s="12" t="str">
        <f>HYPERLINK("https://www.boe.es/gazeta/dias/1808/09/27/pdfs/GMD-C-1808-128.pdf#page=4","Abrir facsímil")</f>
        <v>Abrir facsímil</v>
      </c>
      <c r="K5304" s="15" t="s">
        <v>23</v>
      </c>
    </row>
    <row r="5305" spans="1:11" ht="42" customHeight="1">
      <c r="A5305" s="4" t="s">
        <v>12741</v>
      </c>
      <c r="B5305" s="5" t="s">
        <v>12741</v>
      </c>
      <c r="C5305" s="5" t="s">
        <v>94</v>
      </c>
      <c r="D5305" s="5" t="s">
        <v>95</v>
      </c>
      <c r="E5305" s="5" t="s">
        <v>180</v>
      </c>
      <c r="F5305" s="9" t="s">
        <v>2568</v>
      </c>
      <c r="G5305" s="9">
        <v>1488</v>
      </c>
      <c r="H5305" s="5" t="s">
        <v>21</v>
      </c>
      <c r="I5305" s="5" t="s">
        <v>12742</v>
      </c>
      <c r="J5305" s="12" t="str">
        <f>HYPERLINK("https://www.boe.es/gazeta/dias/1808/11/15/pdfs/GMD-1808-144.pdf#page=2","Abrir facsímil")</f>
        <v>Abrir facsímil</v>
      </c>
      <c r="K5305" s="15" t="s">
        <v>23</v>
      </c>
    </row>
    <row r="5306" spans="1:11" ht="42" customHeight="1">
      <c r="A5306" s="4" t="s">
        <v>12743</v>
      </c>
      <c r="B5306" s="5" t="s">
        <v>12743</v>
      </c>
      <c r="C5306" s="5" t="s">
        <v>94</v>
      </c>
      <c r="D5306" s="5" t="s">
        <v>95</v>
      </c>
      <c r="E5306" s="5" t="s">
        <v>461</v>
      </c>
      <c r="F5306" s="9" t="s">
        <v>6965</v>
      </c>
      <c r="G5306" s="9">
        <v>375</v>
      </c>
      <c r="H5306" s="5" t="s">
        <v>21</v>
      </c>
      <c r="I5306" s="5" t="s">
        <v>12744</v>
      </c>
      <c r="J5306" s="12" t="str">
        <f>HYPERLINK("https://www.boe.es/gazeta/dias/1808/11/08/pdfs/GMS-1808-47.pdf#page=7","Abrir facsímil")</f>
        <v>Abrir facsímil</v>
      </c>
      <c r="K5306" s="15" t="s">
        <v>23</v>
      </c>
    </row>
    <row r="5307" spans="1:11" ht="42" customHeight="1">
      <c r="A5307" s="4" t="s">
        <v>12745</v>
      </c>
      <c r="B5307" s="5" t="s">
        <v>12745</v>
      </c>
      <c r="C5307" s="5" t="s">
        <v>17</v>
      </c>
      <c r="D5307" s="5" t="s">
        <v>18</v>
      </c>
      <c r="E5307" s="5" t="s">
        <v>110</v>
      </c>
      <c r="F5307" s="9" t="s">
        <v>111</v>
      </c>
      <c r="G5307" s="9">
        <v>1384</v>
      </c>
      <c r="H5307" s="5" t="s">
        <v>21</v>
      </c>
      <c r="I5307" s="5" t="s">
        <v>12746</v>
      </c>
      <c r="J5307" s="12" t="str">
        <f>HYPERLINK("https://www.boe.es/gazeta/dias/1808/10/28/pdfs/GMD-1808-138.pdf#page=10","Abrir facsímil")</f>
        <v>Abrir facsímil</v>
      </c>
      <c r="K5307" s="15" t="s">
        <v>23</v>
      </c>
    </row>
    <row r="5308" spans="1:11" ht="42" customHeight="1">
      <c r="A5308" s="4" t="s">
        <v>12747</v>
      </c>
      <c r="B5308" s="5" t="s">
        <v>12747</v>
      </c>
      <c r="C5308" s="5" t="s">
        <v>17</v>
      </c>
      <c r="D5308" s="5" t="s">
        <v>18</v>
      </c>
      <c r="E5308" s="5" t="s">
        <v>61</v>
      </c>
      <c r="F5308" s="9" t="s">
        <v>62</v>
      </c>
      <c r="G5308" s="9">
        <v>1284</v>
      </c>
      <c r="H5308" s="5" t="s">
        <v>21</v>
      </c>
      <c r="I5308" s="5" t="s">
        <v>12748</v>
      </c>
      <c r="J5308" s="12" t="str">
        <f>HYPERLINK("https://www.boe.es/gazeta/dias/1808/10/11/pdfs/GMD-1808-133.pdf#page=12","Abrir facsímil")</f>
        <v>Abrir facsímil</v>
      </c>
      <c r="K5308" s="15" t="s">
        <v>23</v>
      </c>
    </row>
    <row r="5309" spans="1:11" ht="42" customHeight="1">
      <c r="A5309" s="4" t="s">
        <v>12749</v>
      </c>
      <c r="B5309" s="5" t="s">
        <v>12749</v>
      </c>
      <c r="C5309" s="5" t="s">
        <v>94</v>
      </c>
      <c r="D5309" s="5" t="s">
        <v>95</v>
      </c>
      <c r="E5309" s="5" t="s">
        <v>1286</v>
      </c>
      <c r="F5309" s="9" t="s">
        <v>1287</v>
      </c>
      <c r="G5309" s="9">
        <v>1628</v>
      </c>
      <c r="H5309" s="5" t="s">
        <v>21</v>
      </c>
      <c r="I5309" s="5" t="s">
        <v>12750</v>
      </c>
      <c r="J5309" s="12" t="str">
        <f>HYPERLINK("https://www.boe.es/gazeta/dias/1808/12/17/pdfs/GMD-1808-157.pdf#page=8","Abrir facsímil")</f>
        <v>Abrir facsímil</v>
      </c>
      <c r="K5309" s="15" t="s">
        <v>23</v>
      </c>
    </row>
    <row r="5310" spans="1:11" ht="42" customHeight="1">
      <c r="A5310" s="4" t="s">
        <v>12751</v>
      </c>
      <c r="B5310" s="5" t="s">
        <v>12752</v>
      </c>
      <c r="C5310" s="5" t="s">
        <v>33</v>
      </c>
      <c r="D5310" s="5" t="s">
        <v>34</v>
      </c>
      <c r="E5310" s="5" t="s">
        <v>456</v>
      </c>
      <c r="F5310" s="9" t="s">
        <v>748</v>
      </c>
      <c r="G5310" s="9" t="s">
        <v>199</v>
      </c>
      <c r="H5310" s="5" t="s">
        <v>21</v>
      </c>
      <c r="I5310" s="5" t="s">
        <v>12753</v>
      </c>
      <c r="J5310" s="12" t="str">
        <f>HYPERLINK("https://www.boe.es/gazeta/dias/1808/10/14/pdfs/GMD-C-1808-134.pdf#page=2","Abrir facsímil")</f>
        <v>Abrir facsímil</v>
      </c>
      <c r="K5310" s="15" t="s">
        <v>23</v>
      </c>
    </row>
    <row r="5311" spans="1:11" ht="42" customHeight="1">
      <c r="A5311" s="4" t="s">
        <v>12754</v>
      </c>
      <c r="B5311" s="5" t="s">
        <v>12755</v>
      </c>
      <c r="C5311" s="5" t="s">
        <v>260</v>
      </c>
      <c r="D5311" s="5" t="s">
        <v>42</v>
      </c>
      <c r="E5311" s="5" t="s">
        <v>663</v>
      </c>
      <c r="F5311" s="9" t="s">
        <v>664</v>
      </c>
      <c r="G5311" s="9">
        <v>208</v>
      </c>
      <c r="H5311" s="5" t="s">
        <v>21</v>
      </c>
      <c r="I5311" s="5" t="s">
        <v>12756</v>
      </c>
      <c r="J5311" s="12" t="str">
        <f>HYPERLINK("https://www.boe.es/gazeta/dias/1808/02/26/pdfs/GMD-1808-17.pdf#page=10","Abrir facsímil")</f>
        <v>Abrir facsímil</v>
      </c>
      <c r="K5311" s="15" t="s">
        <v>23</v>
      </c>
    </row>
    <row r="5312" spans="1:11" ht="42" customHeight="1">
      <c r="A5312" s="4" t="s">
        <v>12757</v>
      </c>
      <c r="B5312" s="5" t="s">
        <v>12757</v>
      </c>
      <c r="C5312" s="5" t="s">
        <v>17</v>
      </c>
      <c r="D5312" s="5" t="s">
        <v>18</v>
      </c>
      <c r="E5312" s="5" t="s">
        <v>1791</v>
      </c>
      <c r="F5312" s="9" t="s">
        <v>1792</v>
      </c>
      <c r="G5312" s="9">
        <v>138</v>
      </c>
      <c r="H5312" s="5" t="s">
        <v>21</v>
      </c>
      <c r="I5312" s="5" t="s">
        <v>12758</v>
      </c>
      <c r="J5312" s="12" t="str">
        <f>HYPERLINK("https://www.boe.es/gazeta/dias/1808/07/30/pdfs/GMS-1808-18.pdf#page=2","Abrir facsímil")</f>
        <v>Abrir facsímil</v>
      </c>
      <c r="K5312" s="15" t="s">
        <v>23</v>
      </c>
    </row>
    <row r="5313" spans="1:11" ht="42" customHeight="1">
      <c r="A5313" s="4" t="s">
        <v>12759</v>
      </c>
      <c r="B5313" s="5" t="s">
        <v>12759</v>
      </c>
      <c r="C5313" s="5" t="s">
        <v>17</v>
      </c>
      <c r="D5313" s="5" t="s">
        <v>18</v>
      </c>
      <c r="E5313" s="5" t="s">
        <v>287</v>
      </c>
      <c r="F5313" s="9" t="s">
        <v>489</v>
      </c>
      <c r="G5313" s="9">
        <v>999</v>
      </c>
      <c r="H5313" s="5" t="s">
        <v>21</v>
      </c>
      <c r="I5313" s="5" t="s">
        <v>12760</v>
      </c>
      <c r="J5313" s="12" t="str">
        <f>HYPERLINK("https://www.boe.es/gazeta/dias/1808/08/12/pdfs/GMD-1808-112.pdf#page=3","Abrir facsímil")</f>
        <v>Abrir facsímil</v>
      </c>
      <c r="K5313" s="15" t="s">
        <v>23</v>
      </c>
    </row>
    <row r="5314" spans="1:11" ht="42" customHeight="1">
      <c r="A5314" s="4" t="s">
        <v>12761</v>
      </c>
      <c r="B5314" s="5" t="s">
        <v>12761</v>
      </c>
      <c r="C5314" s="5" t="s">
        <v>101</v>
      </c>
      <c r="D5314" s="5" t="s">
        <v>102</v>
      </c>
      <c r="E5314" s="5" t="s">
        <v>1415</v>
      </c>
      <c r="F5314" s="9" t="s">
        <v>1416</v>
      </c>
      <c r="G5314" s="9">
        <v>414</v>
      </c>
      <c r="H5314" s="5" t="s">
        <v>21</v>
      </c>
      <c r="I5314" s="5" t="s">
        <v>12762</v>
      </c>
      <c r="J5314" s="12" t="str">
        <f>HYPERLINK("https://www.boe.es/gazeta/dias/1808/04/26/pdfs/GMD-1808-41.pdf#page=6","Abrir facsímil")</f>
        <v>Abrir facsímil</v>
      </c>
      <c r="K5314" s="15" t="s">
        <v>23</v>
      </c>
    </row>
    <row r="5315" spans="1:11" ht="42" customHeight="1">
      <c r="A5315" s="4" t="s">
        <v>12763</v>
      </c>
      <c r="B5315" s="5" t="s">
        <v>12764</v>
      </c>
      <c r="C5315" s="5" t="s">
        <v>33</v>
      </c>
      <c r="D5315" s="5" t="s">
        <v>34</v>
      </c>
      <c r="E5315" s="5" t="s">
        <v>461</v>
      </c>
      <c r="F5315" s="9" t="s">
        <v>462</v>
      </c>
      <c r="G5315" s="9" t="s">
        <v>199</v>
      </c>
      <c r="H5315" s="5" t="s">
        <v>21</v>
      </c>
      <c r="I5315" s="5" t="s">
        <v>12765</v>
      </c>
      <c r="J5315" s="12" t="str">
        <f>HYPERLINK("https://www.boe.es/gazeta/dias/1808/11/08/pdfs/GMD-D-1808-142.pdf#page=2","Abrir facsímil")</f>
        <v>Abrir facsímil</v>
      </c>
      <c r="K5315" s="15" t="s">
        <v>23</v>
      </c>
    </row>
    <row r="5316" spans="1:11" ht="42" customHeight="1">
      <c r="A5316" s="4" t="s">
        <v>12766</v>
      </c>
      <c r="B5316" s="5" t="s">
        <v>12767</v>
      </c>
      <c r="C5316" s="5" t="s">
        <v>94</v>
      </c>
      <c r="D5316" s="5" t="s">
        <v>95</v>
      </c>
      <c r="E5316" s="5" t="s">
        <v>391</v>
      </c>
      <c r="F5316" s="9" t="s">
        <v>392</v>
      </c>
      <c r="G5316" s="9">
        <v>1208</v>
      </c>
      <c r="H5316" s="5" t="s">
        <v>21</v>
      </c>
      <c r="I5316" s="5" t="s">
        <v>12768</v>
      </c>
      <c r="J5316" s="12" t="str">
        <f>HYPERLINK("https://www.boe.es/gazeta/dias/1808/09/27/pdfs/GMD-1808-128.pdf#page=4","Abrir facsímil")</f>
        <v>Abrir facsímil</v>
      </c>
      <c r="K5316" s="15" t="s">
        <v>23</v>
      </c>
    </row>
    <row r="5317" spans="1:11" ht="42" customHeight="1">
      <c r="A5317" s="4" t="s">
        <v>12766</v>
      </c>
      <c r="B5317" s="5" t="s">
        <v>12767</v>
      </c>
      <c r="C5317" s="5" t="s">
        <v>94</v>
      </c>
      <c r="D5317" s="5" t="s">
        <v>95</v>
      </c>
      <c r="E5317" s="5" t="s">
        <v>391</v>
      </c>
      <c r="F5317" s="9" t="s">
        <v>392</v>
      </c>
      <c r="G5317" s="9">
        <v>1209</v>
      </c>
      <c r="H5317" s="5" t="s">
        <v>21</v>
      </c>
      <c r="I5317" s="5" t="s">
        <v>12769</v>
      </c>
      <c r="J5317" s="12" t="str">
        <f>HYPERLINK("https://www.boe.es/gazeta/dias/1808/09/27/pdfs/GMD-1808-128.pdf#page=5","Abrir facsímil")</f>
        <v>Abrir facsímil</v>
      </c>
      <c r="K5317" s="15" t="s">
        <v>23</v>
      </c>
    </row>
    <row r="5318" spans="1:11" ht="42" customHeight="1">
      <c r="A5318" s="4" t="s">
        <v>12770</v>
      </c>
      <c r="B5318" s="5" t="s">
        <v>12771</v>
      </c>
      <c r="C5318" s="5" t="s">
        <v>17</v>
      </c>
      <c r="D5318" s="5" t="s">
        <v>18</v>
      </c>
      <c r="E5318" s="5" t="s">
        <v>1866</v>
      </c>
      <c r="F5318" s="9" t="s">
        <v>1867</v>
      </c>
      <c r="G5318" s="9">
        <v>1591</v>
      </c>
      <c r="H5318" s="5" t="s">
        <v>21</v>
      </c>
      <c r="I5318" s="5" t="s">
        <v>12772</v>
      </c>
      <c r="J5318" s="12" t="str">
        <f>HYPERLINK("https://www.boe.es/gazeta/dias/1808/12/14/pdfs/GMD-1808-154.pdf#page=3","Abrir facsímil")</f>
        <v>Abrir facsímil</v>
      </c>
      <c r="K5318" s="15" t="s">
        <v>23</v>
      </c>
    </row>
    <row r="5319" spans="1:11" ht="42" customHeight="1">
      <c r="A5319" s="4" t="s">
        <v>12773</v>
      </c>
      <c r="B5319" s="5" t="s">
        <v>12773</v>
      </c>
      <c r="C5319" s="5" t="s">
        <v>389</v>
      </c>
      <c r="D5319" s="5" t="s">
        <v>390</v>
      </c>
      <c r="E5319" s="5" t="s">
        <v>1194</v>
      </c>
      <c r="F5319" s="9" t="s">
        <v>1195</v>
      </c>
      <c r="G5319" s="9">
        <v>447</v>
      </c>
      <c r="H5319" s="5" t="s">
        <v>21</v>
      </c>
      <c r="I5319" s="5" t="s">
        <v>12774</v>
      </c>
      <c r="J5319" s="12" t="str">
        <f>HYPERLINK("https://www.boe.es/gazeta/dias/1808/05/10/pdfs/GMD-1808-45.pdf#page=7","Abrir facsímil")</f>
        <v>Abrir facsímil</v>
      </c>
      <c r="K5319" s="15" t="s">
        <v>23</v>
      </c>
    </row>
    <row r="5320" spans="1:11" ht="42" customHeight="1">
      <c r="A5320" s="4" t="s">
        <v>12773</v>
      </c>
      <c r="B5320" s="5" t="s">
        <v>12773</v>
      </c>
      <c r="C5320" s="5" t="s">
        <v>17</v>
      </c>
      <c r="D5320" s="5" t="s">
        <v>18</v>
      </c>
      <c r="E5320" s="5" t="s">
        <v>1194</v>
      </c>
      <c r="F5320" s="9" t="s">
        <v>1195</v>
      </c>
      <c r="G5320" s="9">
        <v>448</v>
      </c>
      <c r="H5320" s="5" t="s">
        <v>21</v>
      </c>
      <c r="I5320" s="5" t="s">
        <v>12775</v>
      </c>
      <c r="J5320" s="12" t="str">
        <f>HYPERLINK("https://www.boe.es/gazeta/dias/1808/05/10/pdfs/GMD-1808-45.pdf#page=8","Abrir facsímil")</f>
        <v>Abrir facsímil</v>
      </c>
      <c r="K5320" s="15" t="s">
        <v>23</v>
      </c>
    </row>
    <row r="5321" spans="1:11" ht="42" customHeight="1">
      <c r="A5321" s="4" t="s">
        <v>12773</v>
      </c>
      <c r="B5321" s="5" t="s">
        <v>12773</v>
      </c>
      <c r="C5321" s="5" t="s">
        <v>17</v>
      </c>
      <c r="D5321" s="5" t="s">
        <v>18</v>
      </c>
      <c r="E5321" s="5" t="s">
        <v>1148</v>
      </c>
      <c r="F5321" s="9" t="s">
        <v>1149</v>
      </c>
      <c r="G5321" s="9">
        <v>506</v>
      </c>
      <c r="H5321" s="5" t="s">
        <v>21</v>
      </c>
      <c r="I5321" s="5" t="s">
        <v>12776</v>
      </c>
      <c r="J5321" s="12" t="str">
        <f>HYPERLINK("https://www.boe.es/gazeta/dias/1808/05/27/pdfs/GMD-1808-50.pdf#page=10","Abrir facsímil")</f>
        <v>Abrir facsímil</v>
      </c>
      <c r="K5321" s="15" t="s">
        <v>23</v>
      </c>
    </row>
    <row r="5322" spans="1:11" ht="42" customHeight="1">
      <c r="A5322" s="4" t="s">
        <v>12773</v>
      </c>
      <c r="B5322" s="5" t="s">
        <v>12773</v>
      </c>
      <c r="C5322" s="5" t="s">
        <v>17</v>
      </c>
      <c r="D5322" s="5" t="s">
        <v>18</v>
      </c>
      <c r="E5322" s="5" t="s">
        <v>1148</v>
      </c>
      <c r="F5322" s="9" t="s">
        <v>1149</v>
      </c>
      <c r="G5322" s="9">
        <v>507</v>
      </c>
      <c r="H5322" s="5" t="s">
        <v>21</v>
      </c>
      <c r="I5322" s="5" t="s">
        <v>12777</v>
      </c>
      <c r="J5322" s="12" t="str">
        <f>HYPERLINK("https://www.boe.es/gazeta/dias/1808/05/27/pdfs/GMD-1808-50.pdf#page=11","Abrir facsímil")</f>
        <v>Abrir facsímil</v>
      </c>
      <c r="K5322" s="15" t="s">
        <v>23</v>
      </c>
    </row>
    <row r="5323" spans="1:11" ht="42" customHeight="1">
      <c r="A5323" s="4" t="s">
        <v>12773</v>
      </c>
      <c r="B5323" s="5" t="s">
        <v>12773</v>
      </c>
      <c r="C5323" s="5" t="s">
        <v>94</v>
      </c>
      <c r="D5323" s="5" t="s">
        <v>95</v>
      </c>
      <c r="E5323" s="5" t="s">
        <v>5675</v>
      </c>
      <c r="F5323" s="9" t="s">
        <v>5676</v>
      </c>
      <c r="G5323" s="9">
        <v>642</v>
      </c>
      <c r="H5323" s="5" t="s">
        <v>21</v>
      </c>
      <c r="I5323" s="5" t="s">
        <v>12778</v>
      </c>
      <c r="J5323" s="12" t="str">
        <f>HYPERLINK("https://www.boe.es/gazeta/dias/1808/06/24/pdfs/GMD-1808-66.pdf#page=4","Abrir facsímil")</f>
        <v>Abrir facsímil</v>
      </c>
      <c r="K5323" s="15" t="s">
        <v>23</v>
      </c>
    </row>
    <row r="5324" spans="1:11" ht="42" customHeight="1">
      <c r="A5324" s="4" t="s">
        <v>12779</v>
      </c>
      <c r="B5324" s="5" t="s">
        <v>12779</v>
      </c>
      <c r="C5324" s="5" t="s">
        <v>101</v>
      </c>
      <c r="D5324" s="5" t="s">
        <v>102</v>
      </c>
      <c r="E5324" s="5" t="s">
        <v>1676</v>
      </c>
      <c r="F5324" s="9" t="s">
        <v>1677</v>
      </c>
      <c r="G5324" s="9">
        <v>548</v>
      </c>
      <c r="H5324" s="5" t="s">
        <v>21</v>
      </c>
      <c r="I5324" s="5" t="s">
        <v>12780</v>
      </c>
      <c r="J5324" s="12" t="str">
        <f>HYPERLINK("https://www.boe.es/gazeta/dias/1808/06/10/pdfs/GMD-1808-55.pdf#page=2","Abrir facsímil")</f>
        <v>Abrir facsímil</v>
      </c>
      <c r="K5324" s="15" t="s">
        <v>23</v>
      </c>
    </row>
    <row r="5325" spans="1:11" ht="42" customHeight="1">
      <c r="A5325" s="4" t="s">
        <v>12781</v>
      </c>
      <c r="B5325" s="5" t="s">
        <v>12781</v>
      </c>
      <c r="C5325" s="5" t="s">
        <v>94</v>
      </c>
      <c r="D5325" s="5" t="s">
        <v>95</v>
      </c>
      <c r="E5325" s="5" t="s">
        <v>663</v>
      </c>
      <c r="F5325" s="9" t="s">
        <v>664</v>
      </c>
      <c r="G5325" s="9">
        <v>210</v>
      </c>
      <c r="H5325" s="5" t="s">
        <v>21</v>
      </c>
      <c r="I5325" s="5" t="s">
        <v>12782</v>
      </c>
      <c r="J5325" s="12" t="str">
        <f>HYPERLINK("https://www.boe.es/gazeta/dias/1808/02/26/pdfs/GMD-1808-17.pdf#page=12","Abrir facsímil")</f>
        <v>Abrir facsímil</v>
      </c>
      <c r="K5325" s="15" t="s">
        <v>23</v>
      </c>
    </row>
    <row r="5326" spans="1:11" ht="42" customHeight="1">
      <c r="A5326" s="4" t="s">
        <v>12783</v>
      </c>
      <c r="B5326" s="5" t="s">
        <v>12783</v>
      </c>
      <c r="C5326" s="5" t="s">
        <v>94</v>
      </c>
      <c r="D5326" s="5" t="s">
        <v>95</v>
      </c>
      <c r="E5326" s="5" t="s">
        <v>2281</v>
      </c>
      <c r="F5326" s="9" t="s">
        <v>2282</v>
      </c>
      <c r="G5326" s="9">
        <v>423</v>
      </c>
      <c r="H5326" s="5" t="s">
        <v>21</v>
      </c>
      <c r="I5326" s="5" t="s">
        <v>12784</v>
      </c>
      <c r="J5326" s="12" t="str">
        <f>HYPERLINK("https://www.boe.es/gazeta/dias/1808/04/29/pdfs/GMD-1808-42.pdf#page=7","Abrir facsímil")</f>
        <v>Abrir facsímil</v>
      </c>
      <c r="K5326" s="15" t="s">
        <v>23</v>
      </c>
    </row>
    <row r="5327" spans="1:11" ht="42" customHeight="1">
      <c r="A5327" s="4" t="s">
        <v>12785</v>
      </c>
      <c r="B5327" s="5" t="s">
        <v>12785</v>
      </c>
      <c r="C5327" s="5" t="s">
        <v>41</v>
      </c>
      <c r="D5327" s="5" t="s">
        <v>42</v>
      </c>
      <c r="E5327" s="5" t="s">
        <v>469</v>
      </c>
      <c r="F5327" s="9" t="s">
        <v>470</v>
      </c>
      <c r="G5327" s="9">
        <v>155</v>
      </c>
      <c r="H5327" s="5" t="s">
        <v>21</v>
      </c>
      <c r="I5327" s="5" t="s">
        <v>12786</v>
      </c>
      <c r="J5327" s="12" t="str">
        <f>HYPERLINK("https://www.boe.es/gazeta/dias/1808/02/12/pdfs/GMD-1808-13.pdf#page=11","Abrir facsímil")</f>
        <v>Abrir facsímil</v>
      </c>
      <c r="K5327" s="15" t="s">
        <v>23</v>
      </c>
    </row>
    <row r="5328" spans="1:11" ht="42" customHeight="1">
      <c r="A5328" s="4" t="s">
        <v>12787</v>
      </c>
      <c r="B5328" s="5" t="s">
        <v>12787</v>
      </c>
      <c r="C5328" s="5" t="s">
        <v>41</v>
      </c>
      <c r="D5328" s="5" t="s">
        <v>42</v>
      </c>
      <c r="E5328" s="5" t="s">
        <v>3381</v>
      </c>
      <c r="F5328" s="9" t="s">
        <v>3382</v>
      </c>
      <c r="G5328" s="9">
        <v>370</v>
      </c>
      <c r="H5328" s="5" t="s">
        <v>21</v>
      </c>
      <c r="I5328" s="5" t="s">
        <v>12788</v>
      </c>
      <c r="J5328" s="12" t="str">
        <f>HYPERLINK("https://www.boe.es/gazeta/dias/1808/04/12/pdfs/GMD-1808-34.pdf#page=8","Abrir facsímil")</f>
        <v>Abrir facsímil</v>
      </c>
      <c r="K5328" s="15" t="s">
        <v>23</v>
      </c>
    </row>
    <row r="5329" spans="1:11" ht="42" customHeight="1">
      <c r="A5329" s="4" t="s">
        <v>12789</v>
      </c>
      <c r="B5329" s="5" t="s">
        <v>12790</v>
      </c>
      <c r="C5329" s="5" t="s">
        <v>33</v>
      </c>
      <c r="D5329" s="5" t="s">
        <v>34</v>
      </c>
      <c r="E5329" s="5" t="s">
        <v>35</v>
      </c>
      <c r="F5329" s="9" t="s">
        <v>36</v>
      </c>
      <c r="G5329" s="9" t="s">
        <v>75</v>
      </c>
      <c r="H5329" s="5" t="s">
        <v>21</v>
      </c>
      <c r="I5329" s="5" t="s">
        <v>12791</v>
      </c>
      <c r="J5329" s="12" t="str">
        <f>HYPERLINK("https://www.boe.es/gazeta/dias/1808/04/22/pdfs/GMD-C-1808-38.pdf#page=4","Abrir facsímil")</f>
        <v>Abrir facsímil</v>
      </c>
      <c r="K5329" s="15" t="s">
        <v>23</v>
      </c>
    </row>
    <row r="5330" spans="1:11" ht="42" customHeight="1">
      <c r="A5330" s="4" t="s">
        <v>12792</v>
      </c>
      <c r="B5330" s="5" t="s">
        <v>12792</v>
      </c>
      <c r="C5330" s="5" t="s">
        <v>94</v>
      </c>
      <c r="D5330" s="5" t="s">
        <v>95</v>
      </c>
      <c r="E5330" s="5" t="s">
        <v>368</v>
      </c>
      <c r="F5330" s="9" t="s">
        <v>369</v>
      </c>
      <c r="G5330" s="9">
        <v>169</v>
      </c>
      <c r="H5330" s="5" t="s">
        <v>21</v>
      </c>
      <c r="I5330" s="5" t="s">
        <v>12793</v>
      </c>
      <c r="J5330" s="12" t="str">
        <f>HYPERLINK("https://www.boe.es/gazeta/dias/1808/02/16/pdfs/GMD-1808-14.pdf#page=11","Abrir facsímil")</f>
        <v>Abrir facsímil</v>
      </c>
      <c r="K5330" s="15" t="s">
        <v>23</v>
      </c>
    </row>
    <row r="5331" spans="1:11" ht="42" customHeight="1">
      <c r="A5331" s="4" t="s">
        <v>12794</v>
      </c>
      <c r="B5331" s="5" t="s">
        <v>12794</v>
      </c>
      <c r="C5331" s="5" t="s">
        <v>17</v>
      </c>
      <c r="D5331" s="5" t="s">
        <v>18</v>
      </c>
      <c r="E5331" s="5" t="s">
        <v>334</v>
      </c>
      <c r="F5331" s="9" t="s">
        <v>1814</v>
      </c>
      <c r="G5331" s="9">
        <v>1247</v>
      </c>
      <c r="H5331" s="5" t="s">
        <v>21</v>
      </c>
      <c r="I5331" s="5" t="s">
        <v>12795</v>
      </c>
      <c r="J5331" s="12" t="str">
        <f>HYPERLINK("https://www.boe.es/gazeta/dias/1808/10/04/pdfs/GMD-1808-131.pdf#page=15","Abrir facsímil")</f>
        <v>Abrir facsímil</v>
      </c>
      <c r="K5331" s="15" t="s">
        <v>23</v>
      </c>
    </row>
    <row r="5332" spans="1:11" ht="42" customHeight="1">
      <c r="A5332" s="4" t="s">
        <v>12796</v>
      </c>
      <c r="B5332" s="5" t="s">
        <v>12796</v>
      </c>
      <c r="C5332" s="5" t="s">
        <v>26</v>
      </c>
      <c r="D5332" s="5" t="s">
        <v>27</v>
      </c>
      <c r="E5332" s="5" t="s">
        <v>110</v>
      </c>
      <c r="F5332" s="9" t="s">
        <v>828</v>
      </c>
      <c r="G5332" s="9" t="s">
        <v>75</v>
      </c>
      <c r="H5332" s="5" t="s">
        <v>21</v>
      </c>
      <c r="I5332" s="5" t="s">
        <v>12797</v>
      </c>
      <c r="J5332" s="12" t="str">
        <f>HYPERLINK("https://www.boe.es/gazeta/dias/1808/10/28/pdfs/GMD-D-1808-138.pdf#page=4","Abrir facsímil")</f>
        <v>Abrir facsímil</v>
      </c>
      <c r="K5332" s="15" t="s">
        <v>23</v>
      </c>
    </row>
    <row r="5333" spans="1:11" ht="42" customHeight="1">
      <c r="A5333" s="4" t="s">
        <v>12798</v>
      </c>
      <c r="B5333" s="5" t="s">
        <v>12798</v>
      </c>
      <c r="C5333" s="5" t="s">
        <v>94</v>
      </c>
      <c r="D5333" s="5" t="s">
        <v>95</v>
      </c>
      <c r="E5333" s="5" t="s">
        <v>339</v>
      </c>
      <c r="F5333" s="9" t="s">
        <v>340</v>
      </c>
      <c r="G5333" s="9">
        <v>81</v>
      </c>
      <c r="H5333" s="5" t="s">
        <v>21</v>
      </c>
      <c r="I5333" s="5" t="s">
        <v>12799</v>
      </c>
      <c r="J5333" s="12" t="str">
        <f>HYPERLINK("https://www.boe.es/gazeta/dias/1808/01/22/pdfs/GMD-1808-7.pdf#page=9","Abrir facsímil")</f>
        <v>Abrir facsímil</v>
      </c>
      <c r="K5333" s="15" t="s">
        <v>23</v>
      </c>
    </row>
    <row r="5334" spans="1:11" ht="42" customHeight="1">
      <c r="A5334" s="4" t="s">
        <v>12798</v>
      </c>
      <c r="B5334" s="5" t="s">
        <v>12798</v>
      </c>
      <c r="C5334" s="5" t="s">
        <v>33</v>
      </c>
      <c r="D5334" s="5" t="s">
        <v>34</v>
      </c>
      <c r="E5334" s="5" t="s">
        <v>391</v>
      </c>
      <c r="F5334" s="9" t="s">
        <v>588</v>
      </c>
      <c r="G5334" s="9" t="s">
        <v>117</v>
      </c>
      <c r="H5334" s="5" t="s">
        <v>21</v>
      </c>
      <c r="I5334" s="5" t="s">
        <v>12800</v>
      </c>
      <c r="J5334" s="12" t="str">
        <f>HYPERLINK("https://www.boe.es/gazeta/dias/1808/09/27/pdfs/GMD-C-1808-128.pdf#page=1","Abrir facsímil")</f>
        <v>Abrir facsímil</v>
      </c>
      <c r="K5334" s="15" t="s">
        <v>23</v>
      </c>
    </row>
    <row r="5335" spans="1:11" ht="42" customHeight="1">
      <c r="A5335" s="4" t="s">
        <v>12801</v>
      </c>
      <c r="B5335" s="5" t="s">
        <v>12801</v>
      </c>
      <c r="C5335" s="5" t="s">
        <v>33</v>
      </c>
      <c r="D5335" s="5" t="s">
        <v>34</v>
      </c>
      <c r="E5335" s="5" t="s">
        <v>35</v>
      </c>
      <c r="F5335" s="9" t="s">
        <v>36</v>
      </c>
      <c r="G5335" s="9" t="s">
        <v>117</v>
      </c>
      <c r="H5335" s="5" t="s">
        <v>21</v>
      </c>
      <c r="I5335" s="5" t="s">
        <v>12802</v>
      </c>
      <c r="J5335" s="12" t="str">
        <f>HYPERLINK("https://www.boe.es/gazeta/dias/1808/04/22/pdfs/GMD-C-1808-38.pdf#page=1","Abrir facsímil")</f>
        <v>Abrir facsímil</v>
      </c>
      <c r="K5335" s="15" t="s">
        <v>23</v>
      </c>
    </row>
    <row r="5336" spans="1:11" ht="42" customHeight="1">
      <c r="A5336" s="4" t="s">
        <v>12803</v>
      </c>
      <c r="B5336" s="5" t="s">
        <v>12803</v>
      </c>
      <c r="C5336" s="5" t="s">
        <v>94</v>
      </c>
      <c r="D5336" s="5" t="s">
        <v>95</v>
      </c>
      <c r="E5336" s="5" t="s">
        <v>242</v>
      </c>
      <c r="F5336" s="9" t="s">
        <v>243</v>
      </c>
      <c r="G5336" s="9">
        <v>12</v>
      </c>
      <c r="H5336" s="5" t="s">
        <v>21</v>
      </c>
      <c r="I5336" s="5" t="s">
        <v>12804</v>
      </c>
      <c r="J5336" s="12" t="str">
        <f>HYPERLINK("https://www.boe.es/gazeta/dias/1808/01/01/pdfs/GMD-1808-1.pdf#page=12","Abrir facsímil")</f>
        <v>Abrir facsímil</v>
      </c>
      <c r="K5336" s="15" t="s">
        <v>23</v>
      </c>
    </row>
    <row r="5337" spans="1:11" ht="42" customHeight="1">
      <c r="A5337" s="4" t="s">
        <v>12803</v>
      </c>
      <c r="B5337" s="5" t="s">
        <v>12803</v>
      </c>
      <c r="C5337" s="5" t="s">
        <v>94</v>
      </c>
      <c r="D5337" s="5" t="s">
        <v>95</v>
      </c>
      <c r="E5337" s="5" t="s">
        <v>1085</v>
      </c>
      <c r="F5337" s="9" t="s">
        <v>1086</v>
      </c>
      <c r="G5337" s="9">
        <v>106</v>
      </c>
      <c r="H5337" s="5" t="s">
        <v>21</v>
      </c>
      <c r="I5337" s="5" t="s">
        <v>12805</v>
      </c>
      <c r="J5337" s="12" t="str">
        <f>HYPERLINK("https://www.boe.es/gazeta/dias/1808/01/29/pdfs/GMD-1808-9.pdf#page=10","Abrir facsímil")</f>
        <v>Abrir facsímil</v>
      </c>
      <c r="K5337" s="15" t="s">
        <v>23</v>
      </c>
    </row>
    <row r="5338" spans="1:11" ht="42" customHeight="1">
      <c r="A5338" s="4" t="s">
        <v>12803</v>
      </c>
      <c r="B5338" s="5" t="s">
        <v>12803</v>
      </c>
      <c r="C5338" s="5" t="s">
        <v>94</v>
      </c>
      <c r="D5338" s="5" t="s">
        <v>95</v>
      </c>
      <c r="E5338" s="5" t="s">
        <v>877</v>
      </c>
      <c r="F5338" s="9" t="s">
        <v>878</v>
      </c>
      <c r="G5338" s="9">
        <v>119</v>
      </c>
      <c r="H5338" s="5" t="s">
        <v>21</v>
      </c>
      <c r="I5338" s="5" t="s">
        <v>12806</v>
      </c>
      <c r="J5338" s="12" t="str">
        <f>HYPERLINK("https://www.boe.es/gazeta/dias/1808/02/02/pdfs/GMD-1808-10.pdf#page=11","Abrir facsímil")</f>
        <v>Abrir facsímil</v>
      </c>
      <c r="K5338" s="15" t="s">
        <v>23</v>
      </c>
    </row>
    <row r="5339" spans="1:11" ht="42" customHeight="1">
      <c r="A5339" s="4" t="s">
        <v>12803</v>
      </c>
      <c r="B5339" s="5" t="s">
        <v>12803</v>
      </c>
      <c r="C5339" s="5" t="s">
        <v>94</v>
      </c>
      <c r="D5339" s="5" t="s">
        <v>95</v>
      </c>
      <c r="E5339" s="5" t="s">
        <v>469</v>
      </c>
      <c r="F5339" s="9" t="s">
        <v>470</v>
      </c>
      <c r="G5339" s="9">
        <v>154</v>
      </c>
      <c r="H5339" s="5" t="s">
        <v>21</v>
      </c>
      <c r="I5339" s="5" t="s">
        <v>12807</v>
      </c>
      <c r="J5339" s="12" t="str">
        <f>HYPERLINK("https://www.boe.es/gazeta/dias/1808/02/12/pdfs/GMD-1808-13.pdf#page=10","Abrir facsímil")</f>
        <v>Abrir facsímil</v>
      </c>
      <c r="K5339" s="15" t="s">
        <v>23</v>
      </c>
    </row>
    <row r="5340" spans="1:11" ht="42" customHeight="1">
      <c r="A5340" s="4" t="s">
        <v>12808</v>
      </c>
      <c r="B5340" s="5" t="s">
        <v>12808</v>
      </c>
      <c r="C5340" s="5" t="s">
        <v>260</v>
      </c>
      <c r="D5340" s="5" t="s">
        <v>42</v>
      </c>
      <c r="E5340" s="5" t="s">
        <v>2159</v>
      </c>
      <c r="F5340" s="9" t="s">
        <v>2160</v>
      </c>
      <c r="G5340" s="9">
        <v>185</v>
      </c>
      <c r="H5340" s="5" t="s">
        <v>21</v>
      </c>
      <c r="I5340" s="5" t="s">
        <v>12809</v>
      </c>
      <c r="J5340" s="12" t="str">
        <f>HYPERLINK("https://www.boe.es/gazeta/dias/1808/02/19/pdfs/GMD-1808-15.pdf#page=15","Abrir facsímil")</f>
        <v>Abrir facsímil</v>
      </c>
      <c r="K5340" s="15" t="s">
        <v>23</v>
      </c>
    </row>
    <row r="5341" spans="1:11" ht="42" customHeight="1">
      <c r="A5341" s="4" t="s">
        <v>12803</v>
      </c>
      <c r="B5341" s="5" t="s">
        <v>12803</v>
      </c>
      <c r="C5341" s="5" t="s">
        <v>94</v>
      </c>
      <c r="D5341" s="5" t="s">
        <v>95</v>
      </c>
      <c r="E5341" s="5" t="s">
        <v>991</v>
      </c>
      <c r="F5341" s="9" t="s">
        <v>992</v>
      </c>
      <c r="G5341" s="9">
        <v>221</v>
      </c>
      <c r="H5341" s="5" t="s">
        <v>21</v>
      </c>
      <c r="I5341" s="5" t="s">
        <v>12810</v>
      </c>
      <c r="J5341" s="12" t="str">
        <f>HYPERLINK("https://www.boe.es/gazeta/dias/1808/03/01/pdfs/GMD-1808-18.pdf#page=11","Abrir facsímil")</f>
        <v>Abrir facsímil</v>
      </c>
      <c r="K5341" s="15" t="s">
        <v>23</v>
      </c>
    </row>
    <row r="5342" spans="1:11" ht="42" customHeight="1">
      <c r="A5342" s="4" t="s">
        <v>12803</v>
      </c>
      <c r="B5342" s="5" t="s">
        <v>12803</v>
      </c>
      <c r="C5342" s="5" t="s">
        <v>94</v>
      </c>
      <c r="D5342" s="5" t="s">
        <v>95</v>
      </c>
      <c r="E5342" s="5" t="s">
        <v>1385</v>
      </c>
      <c r="F5342" s="9" t="s">
        <v>1386</v>
      </c>
      <c r="G5342" s="9">
        <v>232</v>
      </c>
      <c r="H5342" s="5" t="s">
        <v>21</v>
      </c>
      <c r="I5342" s="5" t="s">
        <v>12811</v>
      </c>
      <c r="J5342" s="12" t="str">
        <f>HYPERLINK("https://www.boe.es/gazeta/dias/1808/03/04/pdfs/GMD-1808-19.pdf#page=10","Abrir facsímil")</f>
        <v>Abrir facsímil</v>
      </c>
      <c r="K5342" s="15" t="s">
        <v>23</v>
      </c>
    </row>
    <row r="5343" spans="1:11" ht="42" customHeight="1">
      <c r="A5343" s="4" t="s">
        <v>12803</v>
      </c>
      <c r="B5343" s="5" t="s">
        <v>12803</v>
      </c>
      <c r="C5343" s="5" t="s">
        <v>94</v>
      </c>
      <c r="D5343" s="5" t="s">
        <v>95</v>
      </c>
      <c r="E5343" s="5" t="s">
        <v>548</v>
      </c>
      <c r="F5343" s="9" t="s">
        <v>549</v>
      </c>
      <c r="G5343" s="9">
        <v>278</v>
      </c>
      <c r="H5343" s="5" t="s">
        <v>21</v>
      </c>
      <c r="I5343" s="5" t="s">
        <v>12812</v>
      </c>
      <c r="J5343" s="12" t="str">
        <f>HYPERLINK("https://www.boe.es/gazeta/dias/1808/03/18/pdfs/GMD-1808-23.pdf#page=8","Abrir facsímil")</f>
        <v>Abrir facsímil</v>
      </c>
      <c r="K5343" s="15" t="s">
        <v>23</v>
      </c>
    </row>
    <row r="5344" spans="1:11" ht="42" customHeight="1">
      <c r="A5344" s="4" t="s">
        <v>12813</v>
      </c>
      <c r="B5344" s="5" t="s">
        <v>12813</v>
      </c>
      <c r="C5344" s="5" t="s">
        <v>94</v>
      </c>
      <c r="D5344" s="5" t="s">
        <v>95</v>
      </c>
      <c r="E5344" s="5" t="s">
        <v>2194</v>
      </c>
      <c r="F5344" s="9" t="s">
        <v>3881</v>
      </c>
      <c r="G5344" s="9">
        <v>341</v>
      </c>
      <c r="H5344" s="5" t="s">
        <v>21</v>
      </c>
      <c r="I5344" s="5" t="s">
        <v>12814</v>
      </c>
      <c r="J5344" s="12" t="str">
        <f>HYPERLINK("https://www.boe.es/gazeta/dias/1808/04/05/pdfs/GMD-1808-31.pdf#page=7","Abrir facsímil")</f>
        <v>Abrir facsímil</v>
      </c>
      <c r="K5344" s="15" t="s">
        <v>23</v>
      </c>
    </row>
    <row r="5345" spans="1:11" ht="42" customHeight="1">
      <c r="A5345" s="4" t="s">
        <v>12803</v>
      </c>
      <c r="B5345" s="5" t="s">
        <v>12803</v>
      </c>
      <c r="C5345" s="5" t="s">
        <v>260</v>
      </c>
      <c r="D5345" s="5" t="s">
        <v>42</v>
      </c>
      <c r="E5345" s="5" t="s">
        <v>3381</v>
      </c>
      <c r="F5345" s="9" t="s">
        <v>3382</v>
      </c>
      <c r="G5345" s="9">
        <v>370</v>
      </c>
      <c r="H5345" s="5" t="s">
        <v>21</v>
      </c>
      <c r="I5345" s="5" t="s">
        <v>12815</v>
      </c>
      <c r="J5345" s="12" t="str">
        <f>HYPERLINK("https://www.boe.es/gazeta/dias/1808/04/12/pdfs/GMD-1808-34.pdf#page=8","Abrir facsímil")</f>
        <v>Abrir facsímil</v>
      </c>
      <c r="K5345" s="15" t="s">
        <v>23</v>
      </c>
    </row>
    <row r="5346" spans="1:11" ht="42" customHeight="1">
      <c r="A5346" s="4" t="s">
        <v>12803</v>
      </c>
      <c r="B5346" s="5" t="s">
        <v>12803</v>
      </c>
      <c r="C5346" s="5" t="s">
        <v>94</v>
      </c>
      <c r="D5346" s="5" t="s">
        <v>95</v>
      </c>
      <c r="E5346" s="5" t="s">
        <v>2281</v>
      </c>
      <c r="F5346" s="9" t="s">
        <v>2282</v>
      </c>
      <c r="G5346" s="9">
        <v>423</v>
      </c>
      <c r="H5346" s="5" t="s">
        <v>21</v>
      </c>
      <c r="I5346" s="5" t="s">
        <v>12816</v>
      </c>
      <c r="J5346" s="12" t="str">
        <f>HYPERLINK("https://www.boe.es/gazeta/dias/1808/04/29/pdfs/GMD-1808-42.pdf#page=7","Abrir facsímil")</f>
        <v>Abrir facsímil</v>
      </c>
      <c r="K5346" s="15" t="s">
        <v>23</v>
      </c>
    </row>
    <row r="5347" spans="1:11" ht="42" customHeight="1">
      <c r="A5347" s="4" t="s">
        <v>12803</v>
      </c>
      <c r="B5347" s="5" t="s">
        <v>12803</v>
      </c>
      <c r="C5347" s="5" t="s">
        <v>94</v>
      </c>
      <c r="D5347" s="5" t="s">
        <v>95</v>
      </c>
      <c r="E5347" s="5" t="s">
        <v>1676</v>
      </c>
      <c r="F5347" s="9" t="s">
        <v>1677</v>
      </c>
      <c r="G5347" s="9">
        <v>557</v>
      </c>
      <c r="H5347" s="5" t="s">
        <v>21</v>
      </c>
      <c r="I5347" s="5" t="s">
        <v>12817</v>
      </c>
      <c r="J5347" s="12" t="str">
        <f>HYPERLINK("https://www.boe.es/gazeta/dias/1808/06/10/pdfs/GMD-1808-55.pdf#page=11","Abrir facsímil")</f>
        <v>Abrir facsímil</v>
      </c>
      <c r="K5347" s="15" t="s">
        <v>23</v>
      </c>
    </row>
    <row r="5348" spans="1:11" ht="42" customHeight="1">
      <c r="A5348" s="4" t="s">
        <v>12803</v>
      </c>
      <c r="B5348" s="5" t="s">
        <v>12803</v>
      </c>
      <c r="C5348" s="5" t="s">
        <v>94</v>
      </c>
      <c r="D5348" s="5" t="s">
        <v>95</v>
      </c>
      <c r="E5348" s="5" t="s">
        <v>157</v>
      </c>
      <c r="F5348" s="9" t="s">
        <v>2896</v>
      </c>
      <c r="G5348" s="9">
        <v>593</v>
      </c>
      <c r="H5348" s="5" t="s">
        <v>21</v>
      </c>
      <c r="I5348" s="5" t="s">
        <v>12818</v>
      </c>
      <c r="J5348" s="12" t="str">
        <f>HYPERLINK("https://www.boe.es/gazeta/dias/1808/06/18/pdfs/GMD-1808-60.pdf#page=7","Abrir facsímil")</f>
        <v>Abrir facsímil</v>
      </c>
      <c r="K5348" s="15" t="s">
        <v>23</v>
      </c>
    </row>
    <row r="5349" spans="1:11" ht="42" customHeight="1">
      <c r="A5349" s="4" t="s">
        <v>12803</v>
      </c>
      <c r="B5349" s="5" t="s">
        <v>12803</v>
      </c>
      <c r="C5349" s="5" t="s">
        <v>260</v>
      </c>
      <c r="D5349" s="5" t="s">
        <v>42</v>
      </c>
      <c r="E5349" s="5" t="s">
        <v>516</v>
      </c>
      <c r="F5349" s="9" t="s">
        <v>517</v>
      </c>
      <c r="G5349" s="9">
        <v>602</v>
      </c>
      <c r="H5349" s="5" t="s">
        <v>21</v>
      </c>
      <c r="I5349" s="5" t="s">
        <v>12819</v>
      </c>
      <c r="J5349" s="12" t="str">
        <f>HYPERLINK("https://www.boe.es/gazeta/dias/1808/06/19/pdfs/GMD-1808-61.pdf#page=8","Abrir facsímil")</f>
        <v>Abrir facsímil</v>
      </c>
      <c r="K5349" s="15" t="s">
        <v>23</v>
      </c>
    </row>
    <row r="5350" spans="1:11" ht="42" customHeight="1">
      <c r="A5350" s="4" t="s">
        <v>12803</v>
      </c>
      <c r="B5350" s="5" t="s">
        <v>12803</v>
      </c>
      <c r="C5350" s="5" t="s">
        <v>94</v>
      </c>
      <c r="D5350" s="5" t="s">
        <v>95</v>
      </c>
      <c r="E5350" s="5" t="s">
        <v>3485</v>
      </c>
      <c r="F5350" s="9" t="s">
        <v>3486</v>
      </c>
      <c r="G5350" s="9">
        <v>702</v>
      </c>
      <c r="H5350" s="5" t="s">
        <v>21</v>
      </c>
      <c r="I5350" s="5" t="s">
        <v>12820</v>
      </c>
      <c r="J5350" s="12" t="str">
        <f>HYPERLINK("https://www.boe.es/gazeta/dias/1808/07/01/pdfs/GMD-1808-73.pdf#page=8","Abrir facsímil")</f>
        <v>Abrir facsímil</v>
      </c>
      <c r="K5350" s="15" t="s">
        <v>23</v>
      </c>
    </row>
    <row r="5351" spans="1:11" ht="42" customHeight="1">
      <c r="A5351" s="4" t="s">
        <v>12803</v>
      </c>
      <c r="B5351" s="5" t="s">
        <v>12803</v>
      </c>
      <c r="C5351" s="5" t="s">
        <v>17</v>
      </c>
      <c r="D5351" s="5" t="s">
        <v>18</v>
      </c>
      <c r="E5351" s="5" t="s">
        <v>473</v>
      </c>
      <c r="F5351" s="9" t="s">
        <v>474</v>
      </c>
      <c r="G5351" s="9">
        <v>708</v>
      </c>
      <c r="H5351" s="5" t="s">
        <v>21</v>
      </c>
      <c r="I5351" s="5" t="s">
        <v>12821</v>
      </c>
      <c r="J5351" s="12" t="str">
        <f>HYPERLINK("https://www.boe.es/gazeta/dias/1808/07/02/pdfs/GMD-1808-74.pdf#page=6","Abrir facsímil")</f>
        <v>Abrir facsímil</v>
      </c>
      <c r="K5351" s="15" t="s">
        <v>23</v>
      </c>
    </row>
    <row r="5352" spans="1:11" ht="42" customHeight="1">
      <c r="A5352" s="4" t="s">
        <v>12803</v>
      </c>
      <c r="B5352" s="5" t="s">
        <v>12803</v>
      </c>
      <c r="C5352" s="5" t="s">
        <v>94</v>
      </c>
      <c r="D5352" s="5" t="s">
        <v>95</v>
      </c>
      <c r="E5352" s="5" t="s">
        <v>3439</v>
      </c>
      <c r="F5352" s="9" t="s">
        <v>3440</v>
      </c>
      <c r="G5352" s="9">
        <v>941</v>
      </c>
      <c r="H5352" s="5" t="s">
        <v>21</v>
      </c>
      <c r="I5352" s="5" t="s">
        <v>12822</v>
      </c>
      <c r="J5352" s="12" t="str">
        <f>HYPERLINK("https://www.boe.es/gazeta/dias/1808/07/31/pdfs/GMD-1808-103.pdf#page=7","Abrir facsímil")</f>
        <v>Abrir facsímil</v>
      </c>
      <c r="K5352" s="15" t="s">
        <v>23</v>
      </c>
    </row>
    <row r="5353" spans="1:11" ht="42" customHeight="1">
      <c r="A5353" s="4" t="s">
        <v>12803</v>
      </c>
      <c r="B5353" s="5" t="s">
        <v>12803</v>
      </c>
      <c r="C5353" s="5" t="s">
        <v>94</v>
      </c>
      <c r="D5353" s="5" t="s">
        <v>95</v>
      </c>
      <c r="E5353" s="5" t="s">
        <v>2794</v>
      </c>
      <c r="F5353" s="9" t="s">
        <v>2795</v>
      </c>
      <c r="G5353" s="9">
        <v>975</v>
      </c>
      <c r="H5353" s="5" t="s">
        <v>21</v>
      </c>
      <c r="I5353" s="5" t="s">
        <v>12823</v>
      </c>
      <c r="J5353" s="12" t="str">
        <f>HYPERLINK("https://www.boe.es/gazeta/dias/1808/08/06/pdfs/GMD-1808-109.pdf#page=1","Abrir facsímil")</f>
        <v>Abrir facsímil</v>
      </c>
      <c r="K5353" s="15" t="s">
        <v>23</v>
      </c>
    </row>
    <row r="5354" spans="1:11" ht="42" customHeight="1">
      <c r="A5354" s="4" t="s">
        <v>12803</v>
      </c>
      <c r="B5354" s="5" t="s">
        <v>12803</v>
      </c>
      <c r="C5354" s="5" t="s">
        <v>94</v>
      </c>
      <c r="D5354" s="5" t="s">
        <v>95</v>
      </c>
      <c r="E5354" s="5" t="s">
        <v>508</v>
      </c>
      <c r="F5354" s="9" t="s">
        <v>509</v>
      </c>
      <c r="G5354" s="9">
        <v>1020</v>
      </c>
      <c r="H5354" s="5" t="s">
        <v>21</v>
      </c>
      <c r="I5354" s="5" t="s">
        <v>12824</v>
      </c>
      <c r="J5354" s="12" t="str">
        <f>HYPERLINK("https://www.boe.es/gazeta/dias/1808/08/16/pdfs/GMD-1808-113.pdf#page=12","Abrir facsímil")</f>
        <v>Abrir facsímil</v>
      </c>
      <c r="K5354" s="15" t="s">
        <v>23</v>
      </c>
    </row>
    <row r="5355" spans="1:11" ht="42" customHeight="1">
      <c r="A5355" s="4" t="s">
        <v>12803</v>
      </c>
      <c r="B5355" s="5" t="s">
        <v>12803</v>
      </c>
      <c r="C5355" s="5" t="s">
        <v>94</v>
      </c>
      <c r="D5355" s="5" t="s">
        <v>95</v>
      </c>
      <c r="E5355" s="5" t="s">
        <v>616</v>
      </c>
      <c r="F5355" s="9" t="s">
        <v>617</v>
      </c>
      <c r="G5355" s="9">
        <v>1046</v>
      </c>
      <c r="H5355" s="5" t="s">
        <v>21</v>
      </c>
      <c r="I5355" s="5" t="s">
        <v>12825</v>
      </c>
      <c r="J5355" s="12" t="str">
        <f>HYPERLINK("https://www.boe.es/gazeta/dias/1808/08/19/pdfs/GMD-1808-115.pdf#page=12","Abrir facsímil")</f>
        <v>Abrir facsímil</v>
      </c>
      <c r="K5355" s="15" t="s">
        <v>23</v>
      </c>
    </row>
    <row r="5356" spans="1:11" ht="42" customHeight="1">
      <c r="A5356" s="4" t="s">
        <v>12803</v>
      </c>
      <c r="B5356" s="5" t="s">
        <v>12803</v>
      </c>
      <c r="C5356" s="5" t="s">
        <v>94</v>
      </c>
      <c r="D5356" s="5" t="s">
        <v>95</v>
      </c>
      <c r="E5356" s="5" t="s">
        <v>363</v>
      </c>
      <c r="F5356" s="9" t="s">
        <v>1224</v>
      </c>
      <c r="G5356" s="9">
        <v>1192</v>
      </c>
      <c r="H5356" s="5" t="s">
        <v>21</v>
      </c>
      <c r="I5356" s="5" t="s">
        <v>12826</v>
      </c>
      <c r="J5356" s="12" t="str">
        <f>HYPERLINK("https://www.boe.es/gazeta/dias/1808/09/20/pdfs/GMD-1808-126.pdf#page=12","Abrir facsímil")</f>
        <v>Abrir facsímil</v>
      </c>
      <c r="K5356" s="15" t="s">
        <v>23</v>
      </c>
    </row>
    <row r="5357" spans="1:11" ht="42" customHeight="1">
      <c r="A5357" s="4" t="s">
        <v>12803</v>
      </c>
      <c r="B5357" s="5" t="s">
        <v>12803</v>
      </c>
      <c r="C5357" s="5" t="s">
        <v>260</v>
      </c>
      <c r="D5357" s="5" t="s">
        <v>42</v>
      </c>
      <c r="E5357" s="5" t="s">
        <v>180</v>
      </c>
      <c r="F5357" s="9" t="s">
        <v>2568</v>
      </c>
      <c r="G5357" s="9">
        <v>1498</v>
      </c>
      <c r="H5357" s="5" t="s">
        <v>21</v>
      </c>
      <c r="I5357" s="5" t="s">
        <v>12827</v>
      </c>
      <c r="J5357" s="12" t="str">
        <f>HYPERLINK("https://www.boe.es/gazeta/dias/1808/11/15/pdfs/GMD-1808-144.pdf#page=12","Abrir facsímil")</f>
        <v>Abrir facsímil</v>
      </c>
      <c r="K5357" s="15" t="s">
        <v>23</v>
      </c>
    </row>
    <row r="5358" spans="1:11" ht="42" customHeight="1">
      <c r="A5358" s="4" t="s">
        <v>12828</v>
      </c>
      <c r="B5358" s="5" t="s">
        <v>12828</v>
      </c>
      <c r="C5358" s="5" t="s">
        <v>41</v>
      </c>
      <c r="D5358" s="5" t="s">
        <v>42</v>
      </c>
      <c r="E5358" s="5" t="s">
        <v>110</v>
      </c>
      <c r="F5358" s="9" t="s">
        <v>828</v>
      </c>
      <c r="G5358" s="9" t="s">
        <v>199</v>
      </c>
      <c r="H5358" s="5" t="s">
        <v>21</v>
      </c>
      <c r="I5358" s="5" t="s">
        <v>12829</v>
      </c>
      <c r="J5358" s="12" t="str">
        <f>HYPERLINK("https://www.boe.es/gazeta/dias/1808/10/28/pdfs/GMD-D-1808-138.pdf#page=2","Abrir facsímil")</f>
        <v>Abrir facsímil</v>
      </c>
      <c r="K5358" s="15" t="s">
        <v>23</v>
      </c>
    </row>
    <row r="5359" spans="1:11" ht="42" customHeight="1">
      <c r="A5359" s="4" t="s">
        <v>12830</v>
      </c>
      <c r="B5359" s="5" t="s">
        <v>12830</v>
      </c>
      <c r="C5359" s="5" t="s">
        <v>33</v>
      </c>
      <c r="D5359" s="5" t="s">
        <v>34</v>
      </c>
      <c r="E5359" s="5" t="s">
        <v>456</v>
      </c>
      <c r="F5359" s="9" t="s">
        <v>748</v>
      </c>
      <c r="G5359" s="9" t="s">
        <v>199</v>
      </c>
      <c r="H5359" s="5" t="s">
        <v>21</v>
      </c>
      <c r="I5359" s="5" t="s">
        <v>12831</v>
      </c>
      <c r="J5359" s="12" t="str">
        <f>HYPERLINK("https://www.boe.es/gazeta/dias/1808/10/14/pdfs/GMD-C-1808-134.pdf#page=2","Abrir facsímil")</f>
        <v>Abrir facsímil</v>
      </c>
      <c r="K5359" s="15" t="s">
        <v>23</v>
      </c>
    </row>
    <row r="5360" spans="1:11" ht="42" customHeight="1">
      <c r="A5360" s="4" t="s">
        <v>12832</v>
      </c>
      <c r="B5360" s="5" t="s">
        <v>12832</v>
      </c>
      <c r="C5360" s="5" t="s">
        <v>17</v>
      </c>
      <c r="D5360" s="5" t="s">
        <v>18</v>
      </c>
      <c r="E5360" s="5" t="s">
        <v>166</v>
      </c>
      <c r="F5360" s="9" t="s">
        <v>356</v>
      </c>
      <c r="G5360" s="9">
        <v>1509</v>
      </c>
      <c r="H5360" s="5" t="s">
        <v>21</v>
      </c>
      <c r="I5360" s="5" t="s">
        <v>12833</v>
      </c>
      <c r="J5360" s="12" t="str">
        <f>HYPERLINK("https://www.boe.es/gazeta/dias/1808/11/18/pdfs/GMD-1808-145.pdf#page=7","Abrir facsímil")</f>
        <v>Abrir facsímil</v>
      </c>
      <c r="K5360" s="15" t="s">
        <v>23</v>
      </c>
    </row>
    <row r="5361" spans="1:11" ht="42" customHeight="1">
      <c r="A5361" s="4" t="s">
        <v>12834</v>
      </c>
      <c r="B5361" s="5" t="s">
        <v>12835</v>
      </c>
      <c r="C5361" s="5" t="s">
        <v>33</v>
      </c>
      <c r="D5361" s="5" t="s">
        <v>34</v>
      </c>
      <c r="E5361" s="5" t="s">
        <v>125</v>
      </c>
      <c r="F5361" s="9" t="s">
        <v>126</v>
      </c>
      <c r="G5361" s="9" t="s">
        <v>75</v>
      </c>
      <c r="H5361" s="5" t="s">
        <v>21</v>
      </c>
      <c r="I5361" s="5" t="s">
        <v>12836</v>
      </c>
      <c r="J5361" s="12" t="str">
        <f>HYPERLINK("https://www.boe.es/gazeta/dias/1808/10/07/pdfs/GMD-C-1808-132.pdf#page=4","Abrir facsímil")</f>
        <v>Abrir facsímil</v>
      </c>
      <c r="K5361" s="15" t="s">
        <v>23</v>
      </c>
    </row>
    <row r="5362" spans="1:11" ht="42" customHeight="1">
      <c r="A5362" s="4" t="s">
        <v>12837</v>
      </c>
      <c r="B5362" s="5" t="s">
        <v>12837</v>
      </c>
      <c r="C5362" s="5" t="s">
        <v>17</v>
      </c>
      <c r="D5362" s="5" t="s">
        <v>18</v>
      </c>
      <c r="E5362" s="5" t="s">
        <v>8875</v>
      </c>
      <c r="F5362" s="9" t="s">
        <v>8876</v>
      </c>
      <c r="G5362" s="9">
        <v>881</v>
      </c>
      <c r="H5362" s="5" t="s">
        <v>21</v>
      </c>
      <c r="I5362" s="5" t="s">
        <v>12838</v>
      </c>
      <c r="J5362" s="12" t="str">
        <f>HYPERLINK("https://www.boe.es/gazeta/dias/1808/07/24/pdfs/GMD-1808-96.pdf#page=3","Abrir facsímil")</f>
        <v>Abrir facsímil</v>
      </c>
      <c r="K5362" s="15" t="s">
        <v>23</v>
      </c>
    </row>
    <row r="5363" spans="1:11" ht="42" customHeight="1">
      <c r="A5363" s="4" t="s">
        <v>12839</v>
      </c>
      <c r="B5363" s="5" t="s">
        <v>12840</v>
      </c>
      <c r="C5363" s="5" t="s">
        <v>94</v>
      </c>
      <c r="D5363" s="5" t="s">
        <v>95</v>
      </c>
      <c r="E5363" s="5" t="s">
        <v>418</v>
      </c>
      <c r="F5363" s="9" t="s">
        <v>419</v>
      </c>
      <c r="G5363" s="9">
        <v>1136</v>
      </c>
      <c r="H5363" s="5" t="s">
        <v>21</v>
      </c>
      <c r="I5363" s="5" t="s">
        <v>12841</v>
      </c>
      <c r="J5363" s="12" t="str">
        <f>HYPERLINK("https://www.boe.es/gazeta/dias/1808/09/06/pdfs/GMD-C-1808-120.pdf#page=10","Abrir facsímil")</f>
        <v>Abrir facsímil</v>
      </c>
      <c r="K5363" s="15" t="s">
        <v>23</v>
      </c>
    </row>
    <row r="5364" spans="1:11" ht="42" customHeight="1">
      <c r="A5364" s="4" t="s">
        <v>12842</v>
      </c>
      <c r="B5364" s="5" t="s">
        <v>12843</v>
      </c>
      <c r="C5364" s="5" t="s">
        <v>17</v>
      </c>
      <c r="D5364" s="5" t="s">
        <v>18</v>
      </c>
      <c r="E5364" s="5" t="s">
        <v>877</v>
      </c>
      <c r="F5364" s="9" t="s">
        <v>878</v>
      </c>
      <c r="G5364" s="9">
        <v>119</v>
      </c>
      <c r="H5364" s="5" t="s">
        <v>21</v>
      </c>
      <c r="I5364" s="5" t="s">
        <v>12844</v>
      </c>
      <c r="J5364" s="12" t="str">
        <f>HYPERLINK("https://www.boe.es/gazeta/dias/1808/02/02/pdfs/GMD-1808-10.pdf#page=11","Abrir facsímil")</f>
        <v>Abrir facsímil</v>
      </c>
      <c r="K5364" s="15" t="s">
        <v>23</v>
      </c>
    </row>
    <row r="5365" spans="1:11" ht="42" customHeight="1">
      <c r="A5365" s="4" t="s">
        <v>12845</v>
      </c>
      <c r="B5365" s="5" t="s">
        <v>12845</v>
      </c>
      <c r="C5365" s="5" t="s">
        <v>94</v>
      </c>
      <c r="D5365" s="5" t="s">
        <v>95</v>
      </c>
      <c r="E5365" s="5" t="s">
        <v>1085</v>
      </c>
      <c r="F5365" s="9" t="s">
        <v>1086</v>
      </c>
      <c r="G5365" s="9">
        <v>104</v>
      </c>
      <c r="H5365" s="5" t="s">
        <v>21</v>
      </c>
      <c r="I5365" s="5" t="s">
        <v>12846</v>
      </c>
      <c r="J5365" s="12" t="str">
        <f>HYPERLINK("https://www.boe.es/gazeta/dias/1808/01/29/pdfs/GMD-1808-9.pdf#page=8","Abrir facsímil")</f>
        <v>Abrir facsímil</v>
      </c>
      <c r="K5365" s="15" t="s">
        <v>23</v>
      </c>
    </row>
    <row r="5366" spans="1:11" ht="42" customHeight="1">
      <c r="A5366" s="4" t="s">
        <v>12847</v>
      </c>
      <c r="B5366" s="5" t="s">
        <v>12847</v>
      </c>
      <c r="C5366" s="5" t="s">
        <v>26</v>
      </c>
      <c r="D5366" s="5" t="s">
        <v>27</v>
      </c>
      <c r="E5366" s="5" t="s">
        <v>125</v>
      </c>
      <c r="F5366" s="9" t="s">
        <v>126</v>
      </c>
      <c r="G5366" s="9" t="s">
        <v>75</v>
      </c>
      <c r="H5366" s="5" t="s">
        <v>21</v>
      </c>
      <c r="I5366" s="5" t="s">
        <v>12848</v>
      </c>
      <c r="J5366" s="12" t="str">
        <f>HYPERLINK("https://www.boe.es/gazeta/dias/1808/10/07/pdfs/GMD-C-1808-132.pdf#page=4","Abrir facsímil")</f>
        <v>Abrir facsímil</v>
      </c>
      <c r="K5366" s="15" t="s">
        <v>23</v>
      </c>
    </row>
    <row r="5367" spans="1:11" ht="42" customHeight="1">
      <c r="A5367" s="4" t="s">
        <v>12849</v>
      </c>
      <c r="B5367" s="5" t="s">
        <v>12849</v>
      </c>
      <c r="C5367" s="5" t="s">
        <v>94</v>
      </c>
      <c r="D5367" s="5" t="s">
        <v>95</v>
      </c>
      <c r="E5367" s="5" t="s">
        <v>139</v>
      </c>
      <c r="F5367" s="9" t="s">
        <v>1089</v>
      </c>
      <c r="G5367" s="9" t="s">
        <v>106</v>
      </c>
      <c r="H5367" s="5" t="s">
        <v>21</v>
      </c>
      <c r="I5367" s="5" t="s">
        <v>12850</v>
      </c>
      <c r="J5367" s="12" t="str">
        <f>HYPERLINK("https://www.boe.es/gazeta/dias/1808/09/23/pdfs/GMD-C-1808-127.pdf#page=3","Abrir facsímil")</f>
        <v>Abrir facsímil</v>
      </c>
      <c r="K5367" s="15" t="s">
        <v>23</v>
      </c>
    </row>
    <row r="5368" spans="1:11" ht="42" customHeight="1">
      <c r="A5368" s="4" t="s">
        <v>12851</v>
      </c>
      <c r="B5368" s="5" t="s">
        <v>12851</v>
      </c>
      <c r="C5368" s="5" t="s">
        <v>17</v>
      </c>
      <c r="D5368" s="5" t="s">
        <v>18</v>
      </c>
      <c r="E5368" s="5" t="s">
        <v>714</v>
      </c>
      <c r="F5368" s="9" t="s">
        <v>2736</v>
      </c>
      <c r="G5368" s="9">
        <v>820</v>
      </c>
      <c r="H5368" s="5" t="s">
        <v>21</v>
      </c>
      <c r="I5368" s="5" t="s">
        <v>12852</v>
      </c>
      <c r="J5368" s="12" t="str">
        <f>HYPERLINK("https://www.boe.es/gazeta/dias/1808/07/16/pdfs/GMD-1808-88.pdf#page=6","Abrir facsímil")</f>
        <v>Abrir facsímil</v>
      </c>
      <c r="K5368" s="15" t="s">
        <v>23</v>
      </c>
    </row>
    <row r="5369" spans="1:11" ht="42" customHeight="1">
      <c r="A5369" s="4" t="s">
        <v>12853</v>
      </c>
      <c r="B5369" s="5" t="s">
        <v>12853</v>
      </c>
      <c r="C5369" s="5" t="s">
        <v>17</v>
      </c>
      <c r="D5369" s="5" t="s">
        <v>18</v>
      </c>
      <c r="E5369" s="5" t="s">
        <v>2281</v>
      </c>
      <c r="F5369" s="9" t="s">
        <v>2282</v>
      </c>
      <c r="G5369" s="9">
        <v>420</v>
      </c>
      <c r="H5369" s="5" t="s">
        <v>21</v>
      </c>
      <c r="I5369" s="5" t="s">
        <v>12854</v>
      </c>
      <c r="J5369" s="12" t="str">
        <f>HYPERLINK("https://www.boe.es/gazeta/dias/1808/04/29/pdfs/GMD-1808-42.pdf#page=4","Abrir facsímil")</f>
        <v>Abrir facsímil</v>
      </c>
      <c r="K5369" s="15" t="s">
        <v>23</v>
      </c>
    </row>
    <row r="5370" spans="1:11" ht="42" customHeight="1">
      <c r="A5370" s="4" t="s">
        <v>12855</v>
      </c>
      <c r="B5370" s="5" t="s">
        <v>12856</v>
      </c>
      <c r="C5370" s="5" t="s">
        <v>33</v>
      </c>
      <c r="D5370" s="5" t="s">
        <v>34</v>
      </c>
      <c r="E5370" s="5" t="s">
        <v>35</v>
      </c>
      <c r="F5370" s="9" t="s">
        <v>36</v>
      </c>
      <c r="G5370" s="9" t="s">
        <v>1294</v>
      </c>
      <c r="H5370" s="5" t="s">
        <v>21</v>
      </c>
      <c r="I5370" s="5" t="s">
        <v>12857</v>
      </c>
      <c r="J5370" s="12" t="str">
        <f>HYPERLINK("https://www.boe.es/gazeta/dias/1808/04/22/pdfs/GMD-C-1808-38.pdf#page=8","Abrir facsímil")</f>
        <v>Abrir facsímil</v>
      </c>
      <c r="K5370" s="15" t="s">
        <v>23</v>
      </c>
    </row>
    <row r="5371" spans="1:11" ht="42" customHeight="1">
      <c r="A5371" s="4" t="s">
        <v>12858</v>
      </c>
      <c r="B5371" s="5" t="s">
        <v>12859</v>
      </c>
      <c r="C5371" s="5" t="s">
        <v>17</v>
      </c>
      <c r="D5371" s="5" t="s">
        <v>18</v>
      </c>
      <c r="E5371" s="5" t="s">
        <v>65</v>
      </c>
      <c r="F5371" s="9" t="s">
        <v>66</v>
      </c>
      <c r="G5371" s="9">
        <v>1307</v>
      </c>
      <c r="H5371" s="5" t="s">
        <v>21</v>
      </c>
      <c r="I5371" s="5" t="s">
        <v>12860</v>
      </c>
      <c r="J5371" s="12" t="str">
        <f>HYPERLINK("https://www.boe.es/gazeta/dias/1808/10/18/pdfs/GMD-1808-135.pdf#page=7","Abrir facsímil")</f>
        <v>Abrir facsímil</v>
      </c>
      <c r="K5371" s="15" t="s">
        <v>23</v>
      </c>
    </row>
    <row r="5372" spans="1:11" ht="42" customHeight="1">
      <c r="A5372" s="4" t="s">
        <v>12861</v>
      </c>
      <c r="B5372" s="5" t="s">
        <v>12861</v>
      </c>
      <c r="C5372" s="5" t="s">
        <v>33</v>
      </c>
      <c r="D5372" s="5" t="s">
        <v>34</v>
      </c>
      <c r="E5372" s="5" t="s">
        <v>461</v>
      </c>
      <c r="F5372" s="9" t="s">
        <v>462</v>
      </c>
      <c r="G5372" s="9" t="s">
        <v>199</v>
      </c>
      <c r="H5372" s="5" t="s">
        <v>21</v>
      </c>
      <c r="I5372" s="5" t="s">
        <v>12862</v>
      </c>
      <c r="J5372" s="12" t="str">
        <f>HYPERLINK("https://www.boe.es/gazeta/dias/1808/11/08/pdfs/GMD-D-1808-142.pdf#page=2","Abrir facsímil")</f>
        <v>Abrir facsímil</v>
      </c>
      <c r="K5372" s="15" t="s">
        <v>23</v>
      </c>
    </row>
    <row r="5373" spans="1:11" ht="42" customHeight="1">
      <c r="A5373" s="4" t="s">
        <v>12863</v>
      </c>
      <c r="B5373" s="5" t="s">
        <v>12863</v>
      </c>
      <c r="C5373" s="5" t="s">
        <v>41</v>
      </c>
      <c r="D5373" s="5" t="s">
        <v>42</v>
      </c>
      <c r="E5373" s="5" t="s">
        <v>456</v>
      </c>
      <c r="F5373" s="9" t="s">
        <v>457</v>
      </c>
      <c r="G5373" s="9">
        <v>1296</v>
      </c>
      <c r="H5373" s="5" t="s">
        <v>21</v>
      </c>
      <c r="I5373" s="5" t="s">
        <v>12864</v>
      </c>
      <c r="J5373" s="12" t="str">
        <f>HYPERLINK("https://www.boe.es/gazeta/dias/1808/10/14/pdfs/GMD-1808-134.pdf#page=8","Abrir facsímil")</f>
        <v>Abrir facsímil</v>
      </c>
      <c r="K5373" s="15" t="s">
        <v>23</v>
      </c>
    </row>
    <row r="5374" spans="1:11" ht="42" customHeight="1">
      <c r="A5374" s="4" t="s">
        <v>12865</v>
      </c>
      <c r="B5374" s="5" t="s">
        <v>12866</v>
      </c>
      <c r="C5374" s="5" t="s">
        <v>41</v>
      </c>
      <c r="D5374" s="5" t="s">
        <v>42</v>
      </c>
      <c r="E5374" s="5" t="s">
        <v>65</v>
      </c>
      <c r="F5374" s="9" t="s">
        <v>66</v>
      </c>
      <c r="G5374" s="9">
        <v>1312</v>
      </c>
      <c r="H5374" s="5" t="s">
        <v>21</v>
      </c>
      <c r="I5374" s="5" t="s">
        <v>12867</v>
      </c>
      <c r="J5374" s="12" t="str">
        <f>HYPERLINK("https://www.boe.es/gazeta/dias/1808/10/18/pdfs/GMD-1808-135.pdf#page=12","Abrir facsímil")</f>
        <v>Abrir facsímil</v>
      </c>
      <c r="K5374" s="15" t="s">
        <v>23</v>
      </c>
    </row>
    <row r="5375" spans="1:11" ht="42" customHeight="1">
      <c r="A5375" s="4" t="s">
        <v>12868</v>
      </c>
      <c r="B5375" s="5" t="s">
        <v>12868</v>
      </c>
      <c r="C5375" s="5" t="s">
        <v>41</v>
      </c>
      <c r="D5375" s="5" t="s">
        <v>42</v>
      </c>
      <c r="E5375" s="5" t="s">
        <v>218</v>
      </c>
      <c r="F5375" s="9" t="s">
        <v>219</v>
      </c>
      <c r="G5375" s="9">
        <v>326</v>
      </c>
      <c r="H5375" s="5" t="s">
        <v>21</v>
      </c>
      <c r="I5375" s="5" t="s">
        <v>12869</v>
      </c>
      <c r="J5375" s="12" t="str">
        <f>HYPERLINK("https://www.boe.es/gazeta/dias/1808/04/01/pdfs/GMD-1808-29.pdf#page=2","Abrir facsímil")</f>
        <v>Abrir facsímil</v>
      </c>
      <c r="K5375" s="15" t="s">
        <v>23</v>
      </c>
    </row>
    <row r="5376" spans="1:11" ht="42" customHeight="1">
      <c r="A5376" s="4" t="s">
        <v>12870</v>
      </c>
      <c r="B5376" s="5" t="s">
        <v>12870</v>
      </c>
      <c r="C5376" s="5" t="s">
        <v>41</v>
      </c>
      <c r="D5376" s="5" t="s">
        <v>42</v>
      </c>
      <c r="E5376" s="5" t="s">
        <v>391</v>
      </c>
      <c r="F5376" s="9" t="s">
        <v>454</v>
      </c>
      <c r="G5376" s="9">
        <v>277</v>
      </c>
      <c r="H5376" s="5" t="s">
        <v>21</v>
      </c>
      <c r="I5376" s="5" t="s">
        <v>12871</v>
      </c>
      <c r="J5376" s="12" t="str">
        <f>HYPERLINK("https://www.boe.es/gazeta/dias/1808/09/27/pdfs/GMS-1808-35.pdf#page=5","Abrir facsímil")</f>
        <v>Abrir facsímil</v>
      </c>
      <c r="K5376" s="15" t="s">
        <v>23</v>
      </c>
    </row>
    <row r="5377" spans="1:11" ht="42" customHeight="1">
      <c r="A5377" s="4" t="s">
        <v>12872</v>
      </c>
      <c r="B5377" s="5" t="s">
        <v>12872</v>
      </c>
      <c r="C5377" s="5" t="s">
        <v>33</v>
      </c>
      <c r="D5377" s="5" t="s">
        <v>34</v>
      </c>
      <c r="E5377" s="5" t="s">
        <v>35</v>
      </c>
      <c r="F5377" s="9" t="s">
        <v>36</v>
      </c>
      <c r="G5377" s="9" t="s">
        <v>80</v>
      </c>
      <c r="H5377" s="5" t="s">
        <v>21</v>
      </c>
      <c r="I5377" s="5" t="s">
        <v>12873</v>
      </c>
      <c r="J5377" s="12" t="str">
        <f>HYPERLINK("https://www.boe.es/gazeta/dias/1808/04/22/pdfs/GMD-C-1808-38.pdf#page=18","Abrir facsímil")</f>
        <v>Abrir facsímil</v>
      </c>
      <c r="K5377" s="15" t="s">
        <v>23</v>
      </c>
    </row>
    <row r="5378" spans="1:11" ht="42" customHeight="1">
      <c r="A5378" s="4" t="s">
        <v>12874</v>
      </c>
      <c r="B5378" s="5" t="s">
        <v>12874</v>
      </c>
      <c r="C5378" s="5" t="s">
        <v>94</v>
      </c>
      <c r="D5378" s="5" t="s">
        <v>95</v>
      </c>
      <c r="E5378" s="5" t="s">
        <v>391</v>
      </c>
      <c r="F5378" s="9" t="s">
        <v>392</v>
      </c>
      <c r="G5378" s="9">
        <v>1214</v>
      </c>
      <c r="H5378" s="5" t="s">
        <v>21</v>
      </c>
      <c r="I5378" s="5" t="s">
        <v>12875</v>
      </c>
      <c r="J5378" s="12" t="str">
        <f>HYPERLINK("https://www.boe.es/gazeta/dias/1808/09/27/pdfs/GMD-1808-128.pdf#page=10","Abrir facsímil")</f>
        <v>Abrir facsímil</v>
      </c>
      <c r="K5378" s="15" t="s">
        <v>23</v>
      </c>
    </row>
    <row r="5379" spans="1:11" ht="42" customHeight="1">
      <c r="A5379" s="4" t="s">
        <v>12876</v>
      </c>
      <c r="B5379" s="5" t="s">
        <v>12877</v>
      </c>
      <c r="C5379" s="5" t="s">
        <v>17</v>
      </c>
      <c r="D5379" s="5" t="s">
        <v>18</v>
      </c>
      <c r="E5379" s="5" t="s">
        <v>139</v>
      </c>
      <c r="F5379" s="9" t="s">
        <v>140</v>
      </c>
      <c r="G5379" s="9">
        <v>1203</v>
      </c>
      <c r="H5379" s="5" t="s">
        <v>21</v>
      </c>
      <c r="I5379" s="5" t="s">
        <v>12878</v>
      </c>
      <c r="J5379" s="12" t="str">
        <f>HYPERLINK("https://www.boe.es/gazeta/dias/1808/09/23/pdfs/GMD-1808-127.pdf#page=11","Abrir facsímil")</f>
        <v>Abrir facsímil</v>
      </c>
      <c r="K5379" s="15" t="s">
        <v>23</v>
      </c>
    </row>
    <row r="5380" spans="1:11" ht="42" customHeight="1">
      <c r="A5380" s="4" t="s">
        <v>12879</v>
      </c>
      <c r="B5380" s="5" t="s">
        <v>12880</v>
      </c>
      <c r="C5380" s="5" t="s">
        <v>33</v>
      </c>
      <c r="D5380" s="5" t="s">
        <v>34</v>
      </c>
      <c r="E5380" s="5" t="s">
        <v>35</v>
      </c>
      <c r="F5380" s="9" t="s">
        <v>36</v>
      </c>
      <c r="G5380" s="9" t="s">
        <v>117</v>
      </c>
      <c r="H5380" s="5" t="s">
        <v>21</v>
      </c>
      <c r="I5380" s="5" t="s">
        <v>12881</v>
      </c>
      <c r="J5380" s="12" t="str">
        <f>HYPERLINK("https://www.boe.es/gazeta/dias/1808/04/22/pdfs/GMD-C-1808-38.pdf#page=1","Abrir facsímil")</f>
        <v>Abrir facsímil</v>
      </c>
      <c r="K5380" s="15" t="s">
        <v>23</v>
      </c>
    </row>
    <row r="5381" spans="1:11" ht="42" customHeight="1">
      <c r="A5381" s="4" t="s">
        <v>12882</v>
      </c>
      <c r="B5381" s="5" t="s">
        <v>12882</v>
      </c>
      <c r="C5381" s="5" t="s">
        <v>101</v>
      </c>
      <c r="D5381" s="5" t="s">
        <v>102</v>
      </c>
      <c r="E5381" s="5" t="s">
        <v>1361</v>
      </c>
      <c r="F5381" s="9" t="s">
        <v>1362</v>
      </c>
      <c r="G5381" s="9">
        <v>468</v>
      </c>
      <c r="H5381" s="5" t="s">
        <v>21</v>
      </c>
      <c r="I5381" s="5" t="s">
        <v>12883</v>
      </c>
      <c r="J5381" s="12" t="str">
        <f>HYPERLINK("https://www.boe.es/gazeta/dias/1808/05/17/pdfs/GMD-1808-47.pdf#page=8","Abrir facsímil")</f>
        <v>Abrir facsímil</v>
      </c>
      <c r="K5381" s="15" t="s">
        <v>23</v>
      </c>
    </row>
    <row r="5382" spans="1:11" ht="42" customHeight="1">
      <c r="A5382" s="4" t="s">
        <v>12882</v>
      </c>
      <c r="B5382" s="5" t="s">
        <v>12882</v>
      </c>
      <c r="C5382" s="5" t="s">
        <v>101</v>
      </c>
      <c r="D5382" s="5" t="s">
        <v>102</v>
      </c>
      <c r="E5382" s="5" t="s">
        <v>4382</v>
      </c>
      <c r="F5382" s="9" t="s">
        <v>4383</v>
      </c>
      <c r="G5382" s="9">
        <v>839</v>
      </c>
      <c r="H5382" s="5" t="s">
        <v>21</v>
      </c>
      <c r="I5382" s="5" t="s">
        <v>12884</v>
      </c>
      <c r="J5382" s="12" t="str">
        <f>HYPERLINK("https://www.boe.es/gazeta/dias/1808/07/19/pdfs/GMD-1808-91.pdf#page=1","Abrir facsímil")</f>
        <v>Abrir facsímil</v>
      </c>
      <c r="K5382" s="15" t="s">
        <v>23</v>
      </c>
    </row>
    <row r="5383" spans="1:11" ht="42" customHeight="1">
      <c r="A5383" s="4" t="s">
        <v>12885</v>
      </c>
      <c r="B5383" s="5" t="s">
        <v>12886</v>
      </c>
      <c r="C5383" s="5" t="s">
        <v>33</v>
      </c>
      <c r="D5383" s="5" t="s">
        <v>34</v>
      </c>
      <c r="E5383" s="5" t="s">
        <v>508</v>
      </c>
      <c r="F5383" s="9" t="s">
        <v>1561</v>
      </c>
      <c r="G5383" s="9">
        <v>1022</v>
      </c>
      <c r="H5383" s="5" t="s">
        <v>21</v>
      </c>
      <c r="I5383" s="5" t="s">
        <v>12887</v>
      </c>
      <c r="J5383" s="12" t="str">
        <f>HYPERLINK("https://www.boe.es/gazeta/dias/1808/08/16/pdfs/GMD-C-1808-113.pdf#page=2","Abrir facsímil")</f>
        <v>Abrir facsímil</v>
      </c>
      <c r="K5383" s="15" t="s">
        <v>23</v>
      </c>
    </row>
    <row r="5384" spans="1:11" ht="42" customHeight="1">
      <c r="A5384" s="4" t="s">
        <v>12888</v>
      </c>
      <c r="B5384" s="5" t="s">
        <v>12888</v>
      </c>
      <c r="C5384" s="5" t="s">
        <v>17</v>
      </c>
      <c r="D5384" s="5" t="s">
        <v>18</v>
      </c>
      <c r="E5384" s="5" t="s">
        <v>478</v>
      </c>
      <c r="F5384" s="9" t="s">
        <v>479</v>
      </c>
      <c r="G5384" s="9">
        <v>240</v>
      </c>
      <c r="H5384" s="5" t="s">
        <v>21</v>
      </c>
      <c r="I5384" s="5" t="s">
        <v>12889</v>
      </c>
      <c r="J5384" s="12" t="str">
        <f>HYPERLINK("https://www.boe.es/gazeta/dias/1808/03/08/pdfs/GMD-1808-20.pdf#page=6","Abrir facsímil")</f>
        <v>Abrir facsímil</v>
      </c>
      <c r="K5384" s="15" t="s">
        <v>23</v>
      </c>
    </row>
    <row r="5385" spans="1:11" ht="42" customHeight="1">
      <c r="A5385" s="4" t="s">
        <v>12890</v>
      </c>
      <c r="B5385" s="5" t="s">
        <v>12890</v>
      </c>
      <c r="C5385" s="5" t="s">
        <v>101</v>
      </c>
      <c r="D5385" s="5" t="s">
        <v>102</v>
      </c>
      <c r="E5385" s="5" t="s">
        <v>228</v>
      </c>
      <c r="F5385" s="9" t="s">
        <v>229</v>
      </c>
      <c r="G5385" s="9">
        <v>832</v>
      </c>
      <c r="H5385" s="5" t="s">
        <v>21</v>
      </c>
      <c r="I5385" s="5" t="s">
        <v>12891</v>
      </c>
      <c r="J5385" s="12" t="str">
        <f>HYPERLINK("https://www.boe.es/gazeta/dias/1808/07/18/pdfs/GMD-1808-90.pdf#page=2","Abrir facsímil")</f>
        <v>Abrir facsímil</v>
      </c>
      <c r="K5385" s="15" t="s">
        <v>23</v>
      </c>
    </row>
    <row r="5386" spans="1:11" ht="42" customHeight="1">
      <c r="A5386" s="4" t="s">
        <v>12892</v>
      </c>
      <c r="B5386" s="5" t="s">
        <v>12892</v>
      </c>
      <c r="C5386" s="5" t="s">
        <v>101</v>
      </c>
      <c r="D5386" s="5" t="s">
        <v>102</v>
      </c>
      <c r="E5386" s="5" t="s">
        <v>3439</v>
      </c>
      <c r="F5386" s="9" t="s">
        <v>3440</v>
      </c>
      <c r="G5386" s="9">
        <v>939</v>
      </c>
      <c r="H5386" s="5" t="s">
        <v>21</v>
      </c>
      <c r="I5386" s="5" t="s">
        <v>12893</v>
      </c>
      <c r="J5386" s="12" t="str">
        <f>HYPERLINK("https://www.boe.es/gazeta/dias/1808/07/31/pdfs/GMD-1808-103.pdf#page=5","Abrir facsímil")</f>
        <v>Abrir facsímil</v>
      </c>
      <c r="K5386" s="15" t="s">
        <v>23</v>
      </c>
    </row>
    <row r="5387" spans="1:11" ht="42" customHeight="1">
      <c r="A5387" s="4" t="s">
        <v>12894</v>
      </c>
      <c r="B5387" s="5" t="s">
        <v>12894</v>
      </c>
      <c r="C5387" s="5" t="s">
        <v>101</v>
      </c>
      <c r="D5387" s="5" t="s">
        <v>102</v>
      </c>
      <c r="E5387" s="5" t="s">
        <v>1676</v>
      </c>
      <c r="F5387" s="9" t="s">
        <v>1677</v>
      </c>
      <c r="G5387" s="9">
        <v>552</v>
      </c>
      <c r="H5387" s="5" t="s">
        <v>21</v>
      </c>
      <c r="I5387" s="5" t="s">
        <v>12895</v>
      </c>
      <c r="J5387" s="12" t="str">
        <f>HYPERLINK("https://www.boe.es/gazeta/dias/1808/06/10/pdfs/GMD-1808-55.pdf#page=6","Abrir facsímil")</f>
        <v>Abrir facsímil</v>
      </c>
      <c r="K5387" s="15" t="s">
        <v>23</v>
      </c>
    </row>
    <row r="5388" spans="1:11" ht="42" customHeight="1">
      <c r="A5388" s="4" t="s">
        <v>12896</v>
      </c>
      <c r="B5388" s="5" t="s">
        <v>12897</v>
      </c>
      <c r="C5388" s="5" t="s">
        <v>41</v>
      </c>
      <c r="D5388" s="5" t="s">
        <v>42</v>
      </c>
      <c r="E5388" s="5" t="s">
        <v>19</v>
      </c>
      <c r="F5388" s="9" t="s">
        <v>59</v>
      </c>
      <c r="G5388" s="9">
        <v>1231</v>
      </c>
      <c r="H5388" s="5" t="s">
        <v>21</v>
      </c>
      <c r="I5388" s="5" t="s">
        <v>12898</v>
      </c>
      <c r="J5388" s="12" t="str">
        <f>HYPERLINK("https://www.boe.es/gazeta/dias/1808/09/30/pdfs/GMD-1808-130.pdf#page=11","Abrir facsímil")</f>
        <v>Abrir facsímil</v>
      </c>
      <c r="K5388" s="15" t="s">
        <v>23</v>
      </c>
    </row>
    <row r="5389" spans="1:11" ht="42" customHeight="1">
      <c r="A5389" s="4" t="s">
        <v>12899</v>
      </c>
      <c r="B5389" s="5" t="s">
        <v>12900</v>
      </c>
      <c r="C5389" s="5" t="s">
        <v>94</v>
      </c>
      <c r="D5389" s="5" t="s">
        <v>95</v>
      </c>
      <c r="E5389" s="5" t="s">
        <v>264</v>
      </c>
      <c r="F5389" s="9" t="s">
        <v>2256</v>
      </c>
      <c r="G5389" s="9">
        <v>1565</v>
      </c>
      <c r="H5389" s="5" t="s">
        <v>21</v>
      </c>
      <c r="I5389" s="5" t="s">
        <v>12901</v>
      </c>
      <c r="J5389" s="12" t="str">
        <f>HYPERLINK("https://www.boe.es/gazeta/dias/1808/11/29/pdfs/GMD-1808-148.pdf#page=11","Abrir facsímil")</f>
        <v>Abrir facsímil</v>
      </c>
      <c r="K5389" s="15" t="s">
        <v>23</v>
      </c>
    </row>
    <row r="5390" spans="1:11" ht="42" customHeight="1">
      <c r="A5390" s="4" t="s">
        <v>12902</v>
      </c>
      <c r="B5390" s="5" t="s">
        <v>12903</v>
      </c>
      <c r="C5390" s="5" t="s">
        <v>389</v>
      </c>
      <c r="D5390" s="5" t="s">
        <v>390</v>
      </c>
      <c r="E5390" s="5" t="s">
        <v>115</v>
      </c>
      <c r="F5390" s="9" t="s">
        <v>116</v>
      </c>
      <c r="G5390" s="9" t="s">
        <v>199</v>
      </c>
      <c r="H5390" s="5" t="s">
        <v>21</v>
      </c>
      <c r="I5390" s="5" t="s">
        <v>12904</v>
      </c>
      <c r="J5390" s="12" t="str">
        <f>HYPERLINK("https://www.boe.es/gazeta/dias/1808/09/16/pdfs/GMD-C-1808-125.pdf#page=2","Abrir facsímil")</f>
        <v>Abrir facsímil</v>
      </c>
      <c r="K5390" s="15" t="s">
        <v>23</v>
      </c>
    </row>
    <row r="5391" spans="1:11" ht="42" customHeight="1">
      <c r="A5391" s="4" t="s">
        <v>12905</v>
      </c>
      <c r="B5391" s="5" t="s">
        <v>12905</v>
      </c>
      <c r="C5391" s="5" t="s">
        <v>17</v>
      </c>
      <c r="D5391" s="5" t="s">
        <v>18</v>
      </c>
      <c r="E5391" s="5" t="s">
        <v>3001</v>
      </c>
      <c r="F5391" s="9" t="s">
        <v>3002</v>
      </c>
      <c r="G5391" s="9">
        <v>1652</v>
      </c>
      <c r="H5391" s="5" t="s">
        <v>21</v>
      </c>
      <c r="I5391" s="5" t="s">
        <v>12906</v>
      </c>
      <c r="J5391" s="12" t="str">
        <f>HYPERLINK("https://www.boe.es/gazeta/dias/1808/12/21/pdfs/GMD-1808-161.pdf#page=2","Abrir facsímil")</f>
        <v>Abrir facsímil</v>
      </c>
      <c r="K5391" s="15" t="s">
        <v>23</v>
      </c>
    </row>
    <row r="5392" spans="1:11" ht="42" customHeight="1">
      <c r="A5392" s="4" t="s">
        <v>12907</v>
      </c>
      <c r="B5392" s="5" t="s">
        <v>12907</v>
      </c>
      <c r="C5392" s="5" t="s">
        <v>94</v>
      </c>
      <c r="D5392" s="5" t="s">
        <v>95</v>
      </c>
      <c r="E5392" s="5" t="s">
        <v>2159</v>
      </c>
      <c r="F5392" s="9" t="s">
        <v>2160</v>
      </c>
      <c r="G5392" s="9">
        <v>179</v>
      </c>
      <c r="H5392" s="5" t="s">
        <v>21</v>
      </c>
      <c r="I5392" s="5" t="s">
        <v>12908</v>
      </c>
      <c r="J5392" s="12" t="str">
        <f>HYPERLINK("https://www.boe.es/gazeta/dias/1808/02/19/pdfs/GMD-1808-15.pdf#page=9","Abrir facsímil")</f>
        <v>Abrir facsímil</v>
      </c>
      <c r="K5392" s="15" t="s">
        <v>23</v>
      </c>
    </row>
    <row r="5393" spans="1:11" ht="42" customHeight="1">
      <c r="A5393" s="4" t="s">
        <v>12909</v>
      </c>
      <c r="B5393" s="5" t="s">
        <v>12909</v>
      </c>
      <c r="C5393" s="5" t="s">
        <v>33</v>
      </c>
      <c r="D5393" s="5" t="s">
        <v>34</v>
      </c>
      <c r="E5393" s="5" t="s">
        <v>35</v>
      </c>
      <c r="F5393" s="9" t="s">
        <v>36</v>
      </c>
      <c r="G5393" s="9" t="s">
        <v>144</v>
      </c>
      <c r="H5393" s="5" t="s">
        <v>21</v>
      </c>
      <c r="I5393" s="5" t="s">
        <v>12910</v>
      </c>
      <c r="J5393" s="12" t="str">
        <f>HYPERLINK("https://www.boe.es/gazeta/dias/1808/04/22/pdfs/GMD-C-1808-38.pdf#page=40","Abrir facsímil")</f>
        <v>Abrir facsímil</v>
      </c>
      <c r="K5393" s="15" t="s">
        <v>23</v>
      </c>
    </row>
    <row r="5394" spans="1:11" ht="42" customHeight="1">
      <c r="A5394" s="4" t="s">
        <v>12911</v>
      </c>
      <c r="B5394" s="5" t="s">
        <v>12911</v>
      </c>
      <c r="C5394" s="5" t="s">
        <v>33</v>
      </c>
      <c r="D5394" s="5" t="s">
        <v>34</v>
      </c>
      <c r="E5394" s="5" t="s">
        <v>35</v>
      </c>
      <c r="F5394" s="9" t="s">
        <v>36</v>
      </c>
      <c r="G5394" s="9" t="s">
        <v>199</v>
      </c>
      <c r="H5394" s="5" t="s">
        <v>21</v>
      </c>
      <c r="I5394" s="5" t="s">
        <v>12912</v>
      </c>
      <c r="J5394" s="12" t="str">
        <f>HYPERLINK("https://www.boe.es/gazeta/dias/1808/04/22/pdfs/GMD-C-1808-38.pdf#page=2","Abrir facsímil")</f>
        <v>Abrir facsímil</v>
      </c>
      <c r="K5394" s="15" t="s">
        <v>23</v>
      </c>
    </row>
    <row r="5395" spans="1:11" ht="42" customHeight="1">
      <c r="A5395" s="4" t="s">
        <v>12913</v>
      </c>
      <c r="B5395" s="5" t="s">
        <v>12913</v>
      </c>
      <c r="C5395" s="5" t="s">
        <v>33</v>
      </c>
      <c r="D5395" s="5" t="s">
        <v>34</v>
      </c>
      <c r="E5395" s="5" t="s">
        <v>89</v>
      </c>
      <c r="F5395" s="9" t="s">
        <v>563</v>
      </c>
      <c r="G5395" s="9" t="s">
        <v>117</v>
      </c>
      <c r="H5395" s="5" t="s">
        <v>21</v>
      </c>
      <c r="I5395" s="5" t="s">
        <v>12914</v>
      </c>
      <c r="J5395" s="12" t="str">
        <f>HYPERLINK("https://www.boe.es/gazeta/dias/1808/10/25/pdfs/GMD-D-1808-137.pdf#page=1","Abrir facsímil")</f>
        <v>Abrir facsímil</v>
      </c>
      <c r="K5395" s="15" t="s">
        <v>23</v>
      </c>
    </row>
    <row r="5396" spans="1:11" ht="42" customHeight="1">
      <c r="A5396" s="4" t="s">
        <v>12915</v>
      </c>
      <c r="B5396" s="5" t="s">
        <v>12916</v>
      </c>
      <c r="C5396" s="5" t="s">
        <v>94</v>
      </c>
      <c r="D5396" s="5" t="s">
        <v>95</v>
      </c>
      <c r="E5396" s="5" t="s">
        <v>558</v>
      </c>
      <c r="F5396" s="9" t="s">
        <v>758</v>
      </c>
      <c r="G5396" s="9" t="s">
        <v>199</v>
      </c>
      <c r="H5396" s="5" t="s">
        <v>21</v>
      </c>
      <c r="I5396" s="5" t="s">
        <v>12917</v>
      </c>
      <c r="J5396" s="12" t="str">
        <f>HYPERLINK("https://www.boe.es/gazeta/dias/1808/11/25/pdfs/GMD-E-1808-147.pdf#page=2","Abrir facsímil")</f>
        <v>Abrir facsímil</v>
      </c>
      <c r="K5396" s="15" t="s">
        <v>23</v>
      </c>
    </row>
    <row r="5397" spans="1:11" ht="42" customHeight="1">
      <c r="A5397" s="4" t="s">
        <v>12918</v>
      </c>
      <c r="B5397" s="5" t="s">
        <v>12918</v>
      </c>
      <c r="C5397" s="5" t="s">
        <v>17</v>
      </c>
      <c r="D5397" s="5" t="s">
        <v>18</v>
      </c>
      <c r="E5397" s="5" t="s">
        <v>919</v>
      </c>
      <c r="F5397" s="9" t="s">
        <v>920</v>
      </c>
      <c r="G5397" s="9">
        <v>493</v>
      </c>
      <c r="H5397" s="5" t="s">
        <v>21</v>
      </c>
      <c r="I5397" s="5" t="s">
        <v>12919</v>
      </c>
      <c r="J5397" s="12" t="str">
        <f>HYPERLINK("https://www.boe.es/gazeta/dias/1808/05/24/pdfs/GMD-1808-49.pdf#page=9","Abrir facsímil")</f>
        <v>Abrir facsímil</v>
      </c>
      <c r="K5397" s="15" t="s">
        <v>23</v>
      </c>
    </row>
    <row r="5398" spans="1:11" ht="42" customHeight="1">
      <c r="A5398" s="4" t="s">
        <v>12920</v>
      </c>
      <c r="B5398" s="5" t="s">
        <v>12920</v>
      </c>
      <c r="C5398" s="5" t="s">
        <v>26</v>
      </c>
      <c r="D5398" s="5" t="s">
        <v>27</v>
      </c>
      <c r="E5398" s="5" t="s">
        <v>456</v>
      </c>
      <c r="F5398" s="9" t="s">
        <v>748</v>
      </c>
      <c r="G5398" s="9" t="s">
        <v>117</v>
      </c>
      <c r="H5398" s="5" t="s">
        <v>21</v>
      </c>
      <c r="I5398" s="5" t="s">
        <v>12921</v>
      </c>
      <c r="J5398" s="12" t="str">
        <f>HYPERLINK("https://www.boe.es/gazeta/dias/1808/10/14/pdfs/GMD-C-1808-134.pdf#page=1","Abrir facsímil")</f>
        <v>Abrir facsímil</v>
      </c>
      <c r="K5398" s="15" t="s">
        <v>23</v>
      </c>
    </row>
    <row r="5399" spans="1:11" ht="42" customHeight="1">
      <c r="A5399" s="4" t="s">
        <v>12922</v>
      </c>
      <c r="B5399" s="5" t="s">
        <v>12923</v>
      </c>
      <c r="C5399" s="5" t="s">
        <v>33</v>
      </c>
      <c r="D5399" s="5" t="s">
        <v>34</v>
      </c>
      <c r="E5399" s="5" t="s">
        <v>418</v>
      </c>
      <c r="F5399" s="9" t="s">
        <v>419</v>
      </c>
      <c r="G5399" s="9">
        <v>1140</v>
      </c>
      <c r="H5399" s="5" t="s">
        <v>21</v>
      </c>
      <c r="I5399" s="5" t="s">
        <v>12924</v>
      </c>
      <c r="J5399" s="12" t="str">
        <f>HYPERLINK("https://www.boe.es/gazeta/dias/1808/09/06/pdfs/GMD-C-1808-120.pdf#page=14","Abrir facsímil")</f>
        <v>Abrir facsímil</v>
      </c>
      <c r="K5399" s="15" t="s">
        <v>23</v>
      </c>
    </row>
    <row r="5400" spans="1:11" ht="42" customHeight="1">
      <c r="A5400" s="4" t="s">
        <v>12922</v>
      </c>
      <c r="B5400" s="5" t="s">
        <v>12923</v>
      </c>
      <c r="C5400" s="5" t="s">
        <v>41</v>
      </c>
      <c r="D5400" s="5" t="s">
        <v>42</v>
      </c>
      <c r="E5400" s="5" t="s">
        <v>61</v>
      </c>
      <c r="F5400" s="9" t="s">
        <v>62</v>
      </c>
      <c r="G5400" s="9">
        <v>1287</v>
      </c>
      <c r="H5400" s="5" t="s">
        <v>21</v>
      </c>
      <c r="I5400" s="5" t="s">
        <v>12925</v>
      </c>
      <c r="J5400" s="12" t="str">
        <f>HYPERLINK("https://www.boe.es/gazeta/dias/1808/10/11/pdfs/GMD-1808-133.pdf#page=15","Abrir facsímil")</f>
        <v>Abrir facsímil</v>
      </c>
      <c r="K5400" s="15" t="s">
        <v>23</v>
      </c>
    </row>
    <row r="5401" spans="1:11" ht="42" customHeight="1">
      <c r="A5401" s="4" t="s">
        <v>12926</v>
      </c>
      <c r="B5401" s="5" t="s">
        <v>12927</v>
      </c>
      <c r="C5401" s="5" t="s">
        <v>33</v>
      </c>
      <c r="D5401" s="5" t="s">
        <v>34</v>
      </c>
      <c r="E5401" s="5" t="s">
        <v>35</v>
      </c>
      <c r="F5401" s="9" t="s">
        <v>36</v>
      </c>
      <c r="G5401" s="9" t="s">
        <v>414</v>
      </c>
      <c r="H5401" s="5" t="s">
        <v>21</v>
      </c>
      <c r="I5401" s="5" t="s">
        <v>12928</v>
      </c>
      <c r="J5401" s="12" t="str">
        <f>HYPERLINK("https://www.boe.es/gazeta/dias/1808/04/22/pdfs/GMD-C-1808-38.pdf#page=20","Abrir facsímil")</f>
        <v>Abrir facsímil</v>
      </c>
      <c r="K5401" s="15" t="s">
        <v>23</v>
      </c>
    </row>
    <row r="5402" spans="1:11" ht="42" customHeight="1">
      <c r="A5402" s="4" t="s">
        <v>12929</v>
      </c>
      <c r="B5402" s="5" t="s">
        <v>12930</v>
      </c>
      <c r="C5402" s="5" t="s">
        <v>94</v>
      </c>
      <c r="D5402" s="5" t="s">
        <v>95</v>
      </c>
      <c r="E5402" s="5" t="s">
        <v>513</v>
      </c>
      <c r="F5402" s="9" t="s">
        <v>514</v>
      </c>
      <c r="G5402" s="9">
        <v>286</v>
      </c>
      <c r="H5402" s="5" t="s">
        <v>21</v>
      </c>
      <c r="I5402" s="5" t="s">
        <v>12931</v>
      </c>
      <c r="J5402" s="12" t="str">
        <f>HYPERLINK("https://www.boe.es/gazeta/dias/1808/03/22/pdfs/GMD-1808-24.pdf#page=8","Abrir facsímil")</f>
        <v>Abrir facsímil</v>
      </c>
      <c r="K5402" s="15" t="s">
        <v>23</v>
      </c>
    </row>
    <row r="5403" spans="1:11" ht="42" customHeight="1">
      <c r="A5403" s="4" t="s">
        <v>12932</v>
      </c>
      <c r="B5403" s="5" t="s">
        <v>12933</v>
      </c>
      <c r="C5403" s="5" t="s">
        <v>94</v>
      </c>
      <c r="D5403" s="5" t="s">
        <v>95</v>
      </c>
      <c r="E5403" s="5" t="s">
        <v>513</v>
      </c>
      <c r="F5403" s="9" t="s">
        <v>514</v>
      </c>
      <c r="G5403" s="9">
        <v>286</v>
      </c>
      <c r="H5403" s="5" t="s">
        <v>21</v>
      </c>
      <c r="I5403" s="5" t="s">
        <v>12934</v>
      </c>
      <c r="J5403" s="12" t="str">
        <f>HYPERLINK("https://www.boe.es/gazeta/dias/1808/03/22/pdfs/GMD-1808-24.pdf#page=8","Abrir facsímil")</f>
        <v>Abrir facsímil</v>
      </c>
      <c r="K5403" s="15" t="s">
        <v>23</v>
      </c>
    </row>
    <row r="5404" spans="1:11" ht="42" customHeight="1">
      <c r="A5404" s="4" t="s">
        <v>12935</v>
      </c>
      <c r="B5404" s="5" t="s">
        <v>12936</v>
      </c>
      <c r="C5404" s="5" t="s">
        <v>94</v>
      </c>
      <c r="D5404" s="5" t="s">
        <v>95</v>
      </c>
      <c r="E5404" s="5" t="s">
        <v>130</v>
      </c>
      <c r="F5404" s="9" t="s">
        <v>131</v>
      </c>
      <c r="G5404" s="9">
        <v>1602</v>
      </c>
      <c r="H5404" s="5" t="s">
        <v>21</v>
      </c>
      <c r="I5404" s="5" t="s">
        <v>12937</v>
      </c>
      <c r="J5404" s="12" t="str">
        <f>HYPERLINK("https://www.boe.es/gazeta/dias/1808/12/15/pdfs/GMD-1808-155.pdf#page=6","Abrir facsímil")</f>
        <v>Abrir facsímil</v>
      </c>
      <c r="K5404" s="15" t="s">
        <v>23</v>
      </c>
    </row>
    <row r="5405" spans="1:11" ht="42" customHeight="1">
      <c r="A5405" s="4" t="s">
        <v>12938</v>
      </c>
      <c r="B5405" s="5" t="s">
        <v>12939</v>
      </c>
      <c r="C5405" s="5" t="s">
        <v>17</v>
      </c>
      <c r="D5405" s="5" t="s">
        <v>18</v>
      </c>
      <c r="E5405" s="5" t="s">
        <v>968</v>
      </c>
      <c r="F5405" s="9" t="s">
        <v>969</v>
      </c>
      <c r="G5405" s="9">
        <v>899</v>
      </c>
      <c r="H5405" s="5" t="s">
        <v>21</v>
      </c>
      <c r="I5405" s="5" t="s">
        <v>12940</v>
      </c>
      <c r="J5405" s="12" t="str">
        <f>HYPERLINK("https://www.boe.es/gazeta/dias/1808/07/26/pdfs/GMD-1808-98.pdf#page=5","Abrir facsímil")</f>
        <v>Abrir facsímil</v>
      </c>
      <c r="K5405" s="15" t="s">
        <v>23</v>
      </c>
    </row>
    <row r="5406" spans="1:11" ht="42" customHeight="1">
      <c r="A5406" s="4" t="s">
        <v>12941</v>
      </c>
      <c r="B5406" s="5" t="s">
        <v>12941</v>
      </c>
      <c r="C5406" s="5" t="s">
        <v>33</v>
      </c>
      <c r="D5406" s="5" t="s">
        <v>34</v>
      </c>
      <c r="E5406" s="5" t="s">
        <v>35</v>
      </c>
      <c r="F5406" s="9" t="s">
        <v>36</v>
      </c>
      <c r="G5406" s="9" t="s">
        <v>2643</v>
      </c>
      <c r="H5406" s="5" t="s">
        <v>21</v>
      </c>
      <c r="I5406" s="5" t="s">
        <v>12942</v>
      </c>
      <c r="J5406" s="12" t="str">
        <f>HYPERLINK("https://www.boe.es/gazeta/dias/1808/04/22/pdfs/GMD-C-1808-38.pdf#page=17","Abrir facsímil")</f>
        <v>Abrir facsímil</v>
      </c>
      <c r="K5406" s="15" t="s">
        <v>23</v>
      </c>
    </row>
    <row r="5407" spans="1:11" ht="42" customHeight="1">
      <c r="A5407" s="4" t="s">
        <v>12943</v>
      </c>
      <c r="B5407" s="5" t="s">
        <v>12944</v>
      </c>
      <c r="C5407" s="5" t="s">
        <v>17</v>
      </c>
      <c r="D5407" s="5" t="s">
        <v>18</v>
      </c>
      <c r="E5407" s="5" t="s">
        <v>493</v>
      </c>
      <c r="F5407" s="9" t="s">
        <v>494</v>
      </c>
      <c r="G5407" s="9">
        <v>46</v>
      </c>
      <c r="H5407" s="5" t="s">
        <v>21</v>
      </c>
      <c r="I5407" s="5" t="s">
        <v>12945</v>
      </c>
      <c r="J5407" s="12" t="str">
        <f>HYPERLINK("https://www.boe.es/gazeta/dias/1808/01/12/pdfs/GMD-1808-4.pdf#page=10","Abrir facsímil")</f>
        <v>Abrir facsímil</v>
      </c>
      <c r="K5407" s="15" t="s">
        <v>23</v>
      </c>
    </row>
    <row r="5408" spans="1:11" ht="42" customHeight="1">
      <c r="A5408" s="4" t="s">
        <v>12946</v>
      </c>
      <c r="B5408" s="5" t="s">
        <v>12947</v>
      </c>
      <c r="C5408" s="5" t="s">
        <v>17</v>
      </c>
      <c r="D5408" s="5" t="s">
        <v>18</v>
      </c>
      <c r="E5408" s="5" t="s">
        <v>65</v>
      </c>
      <c r="F5408" s="9" t="s">
        <v>66</v>
      </c>
      <c r="G5408" s="9">
        <v>1311</v>
      </c>
      <c r="H5408" s="5" t="s">
        <v>21</v>
      </c>
      <c r="I5408" s="5" t="s">
        <v>12948</v>
      </c>
      <c r="J5408" s="12" t="str">
        <f>HYPERLINK("https://www.boe.es/gazeta/dias/1808/10/18/pdfs/GMD-1808-135.pdf#page=11","Abrir facsímil")</f>
        <v>Abrir facsímil</v>
      </c>
      <c r="K5408" s="15" t="s">
        <v>23</v>
      </c>
    </row>
    <row r="5409" spans="1:11" ht="42" customHeight="1">
      <c r="A5409" s="4" t="s">
        <v>12949</v>
      </c>
      <c r="B5409" s="5" t="s">
        <v>12950</v>
      </c>
      <c r="C5409" s="5" t="s">
        <v>94</v>
      </c>
      <c r="D5409" s="5" t="s">
        <v>95</v>
      </c>
      <c r="E5409" s="5" t="s">
        <v>84</v>
      </c>
      <c r="F5409" s="9" t="s">
        <v>1381</v>
      </c>
      <c r="G5409" s="9">
        <v>245</v>
      </c>
      <c r="H5409" s="5" t="s">
        <v>21</v>
      </c>
      <c r="I5409" s="5" t="s">
        <v>12951</v>
      </c>
      <c r="J5409" s="12" t="str">
        <f>HYPERLINK("https://www.boe.es/gazeta/dias/1808/09/13/pdfs/GMS-1808-31.pdf#page=5","Abrir facsímil")</f>
        <v>Abrir facsímil</v>
      </c>
      <c r="K5409" s="15" t="s">
        <v>23</v>
      </c>
    </row>
    <row r="5410" spans="1:11" ht="42" customHeight="1">
      <c r="A5410" s="4" t="s">
        <v>12949</v>
      </c>
      <c r="B5410" s="5" t="s">
        <v>12950</v>
      </c>
      <c r="C5410" s="5" t="s">
        <v>41</v>
      </c>
      <c r="D5410" s="5" t="s">
        <v>42</v>
      </c>
      <c r="E5410" s="5" t="s">
        <v>293</v>
      </c>
      <c r="F5410" s="9" t="s">
        <v>294</v>
      </c>
      <c r="G5410" s="9">
        <v>1167</v>
      </c>
      <c r="H5410" s="5" t="s">
        <v>21</v>
      </c>
      <c r="I5410" s="5" t="s">
        <v>12952</v>
      </c>
      <c r="J5410" s="12" t="str">
        <f>HYPERLINK("https://www.boe.es/gazeta/dias/1808/09/14/pdfs/GMD-1808-124E.pdf#page=3","Abrir facsímil")</f>
        <v>Abrir facsímil</v>
      </c>
      <c r="K5410" s="15" t="s">
        <v>23</v>
      </c>
    </row>
    <row r="5411" spans="1:11" ht="42" customHeight="1">
      <c r="A5411" s="4" t="s">
        <v>12949</v>
      </c>
      <c r="B5411" s="5" t="s">
        <v>12950</v>
      </c>
      <c r="C5411" s="5" t="s">
        <v>94</v>
      </c>
      <c r="D5411" s="5" t="s">
        <v>95</v>
      </c>
      <c r="E5411" s="5" t="s">
        <v>180</v>
      </c>
      <c r="F5411" s="9" t="s">
        <v>7347</v>
      </c>
      <c r="G5411" s="9">
        <v>392</v>
      </c>
      <c r="H5411" s="5" t="s">
        <v>21</v>
      </c>
      <c r="I5411" s="5" t="s">
        <v>12953</v>
      </c>
      <c r="J5411" s="12" t="str">
        <f>HYPERLINK("https://www.boe.es/gazeta/dias/1808/11/15/pdfs/GMS-1808-49.pdf#page=8","Abrir facsímil")</f>
        <v>Abrir facsímil</v>
      </c>
      <c r="K5411" s="15" t="s">
        <v>23</v>
      </c>
    </row>
    <row r="5412" spans="1:11" ht="42" customHeight="1">
      <c r="A5412" s="4" t="s">
        <v>12954</v>
      </c>
      <c r="B5412" s="5" t="s">
        <v>12955</v>
      </c>
      <c r="C5412" s="5" t="s">
        <v>33</v>
      </c>
      <c r="D5412" s="5" t="s">
        <v>34</v>
      </c>
      <c r="E5412" s="5" t="s">
        <v>19</v>
      </c>
      <c r="F5412" s="9" t="s">
        <v>949</v>
      </c>
      <c r="G5412" s="9" t="s">
        <v>106</v>
      </c>
      <c r="H5412" s="5" t="s">
        <v>21</v>
      </c>
      <c r="I5412" s="5" t="s">
        <v>12956</v>
      </c>
      <c r="J5412" s="12" t="str">
        <f>HYPERLINK("https://www.boe.es/gazeta/dias/1808/09/30/pdfs/GMD-C-1808-130.pdf#page=3","Abrir facsímil")</f>
        <v>Abrir facsímil</v>
      </c>
      <c r="K5412" s="15" t="s">
        <v>23</v>
      </c>
    </row>
    <row r="5413" spans="1:11" ht="42" customHeight="1">
      <c r="A5413" s="4" t="s">
        <v>12954</v>
      </c>
      <c r="B5413" s="5" t="s">
        <v>12955</v>
      </c>
      <c r="C5413" s="5" t="s">
        <v>17</v>
      </c>
      <c r="D5413" s="5" t="s">
        <v>18</v>
      </c>
      <c r="E5413" s="5" t="s">
        <v>65</v>
      </c>
      <c r="F5413" s="9" t="s">
        <v>66</v>
      </c>
      <c r="G5413" s="9">
        <v>1311</v>
      </c>
      <c r="H5413" s="5" t="s">
        <v>21</v>
      </c>
      <c r="I5413" s="5" t="s">
        <v>12957</v>
      </c>
      <c r="J5413" s="12" t="str">
        <f>HYPERLINK("https://www.boe.es/gazeta/dias/1808/10/18/pdfs/GMD-1808-135.pdf#page=11","Abrir facsímil")</f>
        <v>Abrir facsímil</v>
      </c>
      <c r="K5413" s="15" t="s">
        <v>23</v>
      </c>
    </row>
    <row r="5414" spans="1:11" ht="42" customHeight="1">
      <c r="A5414" s="4" t="s">
        <v>12958</v>
      </c>
      <c r="B5414" s="5" t="s">
        <v>12958</v>
      </c>
      <c r="C5414" s="5" t="s">
        <v>389</v>
      </c>
      <c r="D5414" s="5" t="s">
        <v>390</v>
      </c>
      <c r="E5414" s="5" t="s">
        <v>3439</v>
      </c>
      <c r="F5414" s="9" t="s">
        <v>3440</v>
      </c>
      <c r="G5414" s="9">
        <v>937</v>
      </c>
      <c r="H5414" s="5" t="s">
        <v>21</v>
      </c>
      <c r="I5414" s="5" t="s">
        <v>12959</v>
      </c>
      <c r="J5414" s="12" t="str">
        <f>HYPERLINK("https://www.boe.es/gazeta/dias/1808/07/31/pdfs/GMD-1808-103.pdf#page=3","Abrir facsímil")</f>
        <v>Abrir facsímil</v>
      </c>
      <c r="K5414" s="15" t="s">
        <v>23</v>
      </c>
    </row>
    <row r="5415" spans="1:11" ht="42" customHeight="1">
      <c r="A5415" s="4" t="s">
        <v>12960</v>
      </c>
      <c r="B5415" s="5" t="s">
        <v>12961</v>
      </c>
      <c r="C5415" s="5" t="s">
        <v>33</v>
      </c>
      <c r="D5415" s="5" t="s">
        <v>34</v>
      </c>
      <c r="E5415" s="5" t="s">
        <v>456</v>
      </c>
      <c r="F5415" s="9" t="s">
        <v>748</v>
      </c>
      <c r="G5415" s="9" t="s">
        <v>199</v>
      </c>
      <c r="H5415" s="5" t="s">
        <v>21</v>
      </c>
      <c r="I5415" s="5" t="s">
        <v>12962</v>
      </c>
      <c r="J5415" s="12" t="str">
        <f>HYPERLINK("https://www.boe.es/gazeta/dias/1808/10/14/pdfs/GMD-C-1808-134.pdf#page=2","Abrir facsímil")</f>
        <v>Abrir facsímil</v>
      </c>
      <c r="K5415" s="15" t="s">
        <v>23</v>
      </c>
    </row>
    <row r="5416" spans="1:11" ht="42" customHeight="1">
      <c r="A5416" s="4" t="s">
        <v>12963</v>
      </c>
      <c r="B5416" s="5" t="s">
        <v>12964</v>
      </c>
      <c r="C5416" s="5" t="s">
        <v>94</v>
      </c>
      <c r="D5416" s="5" t="s">
        <v>95</v>
      </c>
      <c r="E5416" s="5" t="s">
        <v>368</v>
      </c>
      <c r="F5416" s="9" t="s">
        <v>369</v>
      </c>
      <c r="G5416" s="9">
        <v>168</v>
      </c>
      <c r="H5416" s="5" t="s">
        <v>21</v>
      </c>
      <c r="I5416" s="5" t="s">
        <v>12965</v>
      </c>
      <c r="J5416" s="12" t="str">
        <f>HYPERLINK("https://www.boe.es/gazeta/dias/1808/02/16/pdfs/GMD-1808-14.pdf#page=10","Abrir facsímil")</f>
        <v>Abrir facsímil</v>
      </c>
      <c r="K5416" s="15" t="s">
        <v>23</v>
      </c>
    </row>
    <row r="5417" spans="1:11" ht="42" customHeight="1">
      <c r="A5417" s="4" t="s">
        <v>12966</v>
      </c>
      <c r="B5417" s="5" t="s">
        <v>12967</v>
      </c>
      <c r="C5417" s="5" t="s">
        <v>17</v>
      </c>
      <c r="D5417" s="5" t="s">
        <v>18</v>
      </c>
      <c r="E5417" s="5" t="s">
        <v>61</v>
      </c>
      <c r="F5417" s="9" t="s">
        <v>62</v>
      </c>
      <c r="G5417" s="9">
        <v>1284</v>
      </c>
      <c r="H5417" s="5" t="s">
        <v>21</v>
      </c>
      <c r="I5417" s="5" t="s">
        <v>12968</v>
      </c>
      <c r="J5417" s="12" t="str">
        <f>HYPERLINK("https://www.boe.es/gazeta/dias/1808/10/11/pdfs/GMD-1808-133.pdf#page=12","Abrir facsímil")</f>
        <v>Abrir facsímil</v>
      </c>
      <c r="K5417" s="15" t="s">
        <v>23</v>
      </c>
    </row>
    <row r="5418" spans="1:11" ht="42" customHeight="1">
      <c r="A5418" s="4" t="s">
        <v>12966</v>
      </c>
      <c r="B5418" s="5" t="s">
        <v>12967</v>
      </c>
      <c r="C5418" s="5" t="s">
        <v>33</v>
      </c>
      <c r="D5418" s="5" t="s">
        <v>34</v>
      </c>
      <c r="E5418" s="5" t="s">
        <v>65</v>
      </c>
      <c r="F5418" s="9" t="s">
        <v>691</v>
      </c>
      <c r="G5418" s="9">
        <v>1327</v>
      </c>
      <c r="H5418" s="5" t="s">
        <v>21</v>
      </c>
      <c r="I5418" s="5" t="s">
        <v>12969</v>
      </c>
      <c r="J5418" s="12" t="str">
        <f>HYPERLINK("https://www.boe.es/gazeta/dias/1808/10/18/pdfs/GMD-C-1808-135.pdf#page=11","Abrir facsímil")</f>
        <v>Abrir facsímil</v>
      </c>
      <c r="K5418" s="15" t="s">
        <v>23</v>
      </c>
    </row>
    <row r="5419" spans="1:11" ht="42" customHeight="1">
      <c r="A5419" s="4" t="s">
        <v>12970</v>
      </c>
      <c r="B5419" s="5" t="s">
        <v>12971</v>
      </c>
      <c r="C5419" s="5" t="s">
        <v>389</v>
      </c>
      <c r="D5419" s="5" t="s">
        <v>390</v>
      </c>
      <c r="E5419" s="5" t="s">
        <v>197</v>
      </c>
      <c r="F5419" s="9" t="s">
        <v>198</v>
      </c>
      <c r="G5419" s="9" t="s">
        <v>75</v>
      </c>
      <c r="H5419" s="5" t="s">
        <v>21</v>
      </c>
      <c r="I5419" s="5" t="s">
        <v>12972</v>
      </c>
      <c r="J5419" s="12" t="str">
        <f>HYPERLINK("https://www.boe.es/gazeta/dias/1808/11/01/pdfs/GMD-D-1808-140.pdf#page=4","Abrir facsímil")</f>
        <v>Abrir facsímil</v>
      </c>
      <c r="K5419" s="15" t="s">
        <v>23</v>
      </c>
    </row>
    <row r="5420" spans="1:11" ht="42" customHeight="1">
      <c r="A5420" s="4" t="s">
        <v>12973</v>
      </c>
      <c r="B5420" s="5" t="s">
        <v>12973</v>
      </c>
      <c r="C5420" s="5" t="s">
        <v>389</v>
      </c>
      <c r="D5420" s="5" t="s">
        <v>390</v>
      </c>
      <c r="E5420" s="5" t="s">
        <v>1821</v>
      </c>
      <c r="F5420" s="9" t="s">
        <v>1874</v>
      </c>
      <c r="G5420" s="9">
        <v>625</v>
      </c>
      <c r="H5420" s="5" t="s">
        <v>21</v>
      </c>
      <c r="I5420" s="5" t="s">
        <v>12974</v>
      </c>
      <c r="J5420" s="12" t="str">
        <f>HYPERLINK("https://www.boe.es/gazeta/dias/1808/06/22/pdfs/GMD-1808-64.pdf#page=3","Abrir facsímil")</f>
        <v>Abrir facsímil</v>
      </c>
      <c r="K5420" s="15" t="s">
        <v>23</v>
      </c>
    </row>
    <row r="5421" spans="1:11" ht="42" customHeight="1">
      <c r="A5421" s="4" t="s">
        <v>12975</v>
      </c>
      <c r="B5421" s="5" t="s">
        <v>12975</v>
      </c>
      <c r="C5421" s="5" t="s">
        <v>33</v>
      </c>
      <c r="D5421" s="5" t="s">
        <v>34</v>
      </c>
      <c r="E5421" s="5" t="s">
        <v>35</v>
      </c>
      <c r="F5421" s="9" t="s">
        <v>36</v>
      </c>
      <c r="G5421" s="9" t="s">
        <v>284</v>
      </c>
      <c r="H5421" s="5" t="s">
        <v>21</v>
      </c>
      <c r="I5421" s="5" t="s">
        <v>12976</v>
      </c>
      <c r="J5421" s="12" t="str">
        <f>HYPERLINK("https://www.boe.es/gazeta/dias/1808/04/22/pdfs/GMD-C-1808-38.pdf#page=35","Abrir facsímil")</f>
        <v>Abrir facsímil</v>
      </c>
      <c r="K5421" s="15" t="s">
        <v>23</v>
      </c>
    </row>
    <row r="5422" spans="1:11" ht="42" customHeight="1">
      <c r="A5422" s="4" t="s">
        <v>12977</v>
      </c>
      <c r="B5422" s="5" t="s">
        <v>12978</v>
      </c>
      <c r="C5422" s="5" t="s">
        <v>33</v>
      </c>
      <c r="D5422" s="5" t="s">
        <v>34</v>
      </c>
      <c r="E5422" s="5" t="s">
        <v>461</v>
      </c>
      <c r="F5422" s="9" t="s">
        <v>462</v>
      </c>
      <c r="G5422" s="9" t="s">
        <v>117</v>
      </c>
      <c r="H5422" s="5" t="s">
        <v>21</v>
      </c>
      <c r="I5422" s="5" t="s">
        <v>12979</v>
      </c>
      <c r="J5422" s="12" t="str">
        <f>HYPERLINK("https://www.boe.es/gazeta/dias/1808/11/08/pdfs/GMD-D-1808-142.pdf#page=1","Abrir facsímil")</f>
        <v>Abrir facsímil</v>
      </c>
      <c r="K5422" s="15" t="s">
        <v>23</v>
      </c>
    </row>
    <row r="5423" spans="1:11" ht="42" customHeight="1">
      <c r="A5423" s="4" t="s">
        <v>12980</v>
      </c>
      <c r="B5423" s="5" t="s">
        <v>12980</v>
      </c>
      <c r="C5423" s="5" t="s">
        <v>33</v>
      </c>
      <c r="D5423" s="5" t="s">
        <v>34</v>
      </c>
      <c r="E5423" s="5" t="s">
        <v>35</v>
      </c>
      <c r="F5423" s="9" t="s">
        <v>36</v>
      </c>
      <c r="G5423" s="9" t="s">
        <v>80</v>
      </c>
      <c r="H5423" s="5" t="s">
        <v>21</v>
      </c>
      <c r="I5423" s="5" t="s">
        <v>12981</v>
      </c>
      <c r="J5423" s="12" t="str">
        <f>HYPERLINK("https://www.boe.es/gazeta/dias/1808/04/22/pdfs/GMD-C-1808-38.pdf#page=18","Abrir facsímil")</f>
        <v>Abrir facsímil</v>
      </c>
      <c r="K5423" s="15" t="s">
        <v>23</v>
      </c>
    </row>
    <row r="5424" spans="1:11" ht="42" customHeight="1">
      <c r="A5424" s="4" t="s">
        <v>12982</v>
      </c>
      <c r="B5424" s="5" t="s">
        <v>12983</v>
      </c>
      <c r="C5424" s="5" t="s">
        <v>41</v>
      </c>
      <c r="D5424" s="5" t="s">
        <v>42</v>
      </c>
      <c r="E5424" s="5" t="s">
        <v>558</v>
      </c>
      <c r="F5424" s="9" t="s">
        <v>559</v>
      </c>
      <c r="G5424" s="9">
        <v>1546</v>
      </c>
      <c r="H5424" s="5" t="s">
        <v>21</v>
      </c>
      <c r="I5424" s="5" t="s">
        <v>12984</v>
      </c>
      <c r="J5424" s="12" t="str">
        <f>HYPERLINK("https://www.boe.es/gazeta/dias/1808/11/25/pdfs/GMD-1808-147.pdf#page=12","Abrir facsímil")</f>
        <v>Abrir facsímil</v>
      </c>
      <c r="K5424" s="15" t="s">
        <v>23</v>
      </c>
    </row>
    <row r="5425" spans="1:11" ht="42" customHeight="1">
      <c r="A5425" s="4" t="s">
        <v>12985</v>
      </c>
      <c r="B5425" s="5" t="s">
        <v>12986</v>
      </c>
      <c r="C5425" s="5" t="s">
        <v>17</v>
      </c>
      <c r="D5425" s="5" t="s">
        <v>18</v>
      </c>
      <c r="E5425" s="5" t="s">
        <v>2794</v>
      </c>
      <c r="F5425" s="9" t="s">
        <v>2795</v>
      </c>
      <c r="G5425" s="9">
        <v>976</v>
      </c>
      <c r="H5425" s="5" t="s">
        <v>21</v>
      </c>
      <c r="I5425" s="5" t="s">
        <v>12987</v>
      </c>
      <c r="J5425" s="12" t="str">
        <f>HYPERLINK("https://www.boe.es/gazeta/dias/1808/08/06/pdfs/GMD-1808-109.pdf#page=2","Abrir facsímil")</f>
        <v>Abrir facsímil</v>
      </c>
      <c r="K5425" s="15" t="s">
        <v>23</v>
      </c>
    </row>
    <row r="5426" spans="1:11" ht="42" customHeight="1">
      <c r="A5426" s="4" t="s">
        <v>12988</v>
      </c>
      <c r="B5426" s="5" t="s">
        <v>12988</v>
      </c>
      <c r="C5426" s="5" t="s">
        <v>33</v>
      </c>
      <c r="D5426" s="5" t="s">
        <v>34</v>
      </c>
      <c r="E5426" s="5" t="s">
        <v>35</v>
      </c>
      <c r="F5426" s="9" t="s">
        <v>36</v>
      </c>
      <c r="G5426" s="9" t="s">
        <v>324</v>
      </c>
      <c r="H5426" s="5" t="s">
        <v>21</v>
      </c>
      <c r="I5426" s="5" t="s">
        <v>12989</v>
      </c>
      <c r="J5426" s="12" t="str">
        <f>HYPERLINK("https://www.boe.es/gazeta/dias/1808/04/22/pdfs/GMD-C-1808-38.pdf#page=24","Abrir facsímil")</f>
        <v>Abrir facsímil</v>
      </c>
      <c r="K5426" s="15" t="s">
        <v>23</v>
      </c>
    </row>
    <row r="5427" spans="1:11" ht="42" customHeight="1">
      <c r="A5427" s="4" t="s">
        <v>12990</v>
      </c>
      <c r="B5427" s="5" t="s">
        <v>12991</v>
      </c>
      <c r="C5427" s="5" t="s">
        <v>33</v>
      </c>
      <c r="D5427" s="5" t="s">
        <v>34</v>
      </c>
      <c r="E5427" s="5" t="s">
        <v>19</v>
      </c>
      <c r="F5427" s="9" t="s">
        <v>949</v>
      </c>
      <c r="G5427" s="9" t="s">
        <v>106</v>
      </c>
      <c r="H5427" s="5" t="s">
        <v>21</v>
      </c>
      <c r="I5427" s="5" t="s">
        <v>12992</v>
      </c>
      <c r="J5427" s="12" t="str">
        <f>HYPERLINK("https://www.boe.es/gazeta/dias/1808/09/30/pdfs/GMD-C-1808-130.pdf#page=3","Abrir facsímil")</f>
        <v>Abrir facsímil</v>
      </c>
      <c r="K5427" s="15" t="s">
        <v>23</v>
      </c>
    </row>
    <row r="5428" spans="1:11" ht="42" customHeight="1">
      <c r="A5428" s="4" t="s">
        <v>12993</v>
      </c>
      <c r="B5428" s="5" t="s">
        <v>12994</v>
      </c>
      <c r="C5428" s="5" t="s">
        <v>389</v>
      </c>
      <c r="D5428" s="5" t="s">
        <v>390</v>
      </c>
      <c r="E5428" s="5" t="s">
        <v>65</v>
      </c>
      <c r="F5428" s="9" t="s">
        <v>105</v>
      </c>
      <c r="G5428" s="9" t="s">
        <v>117</v>
      </c>
      <c r="H5428" s="5" t="s">
        <v>21</v>
      </c>
      <c r="I5428" s="5" t="s">
        <v>12995</v>
      </c>
      <c r="J5428" s="12" t="str">
        <f>HYPERLINK("https://www.boe.es/gazeta/dias/1808/10/18/pdfs/GMD-D-1808-135.pdf#page=1","Abrir facsímil")</f>
        <v>Abrir facsímil</v>
      </c>
      <c r="K5428" s="15" t="s">
        <v>23</v>
      </c>
    </row>
    <row r="5429" spans="1:11" ht="42" customHeight="1">
      <c r="A5429" s="4" t="s">
        <v>12996</v>
      </c>
      <c r="B5429" s="5" t="s">
        <v>12997</v>
      </c>
      <c r="C5429" s="5" t="s">
        <v>260</v>
      </c>
      <c r="D5429" s="5" t="s">
        <v>42</v>
      </c>
      <c r="E5429" s="5" t="s">
        <v>96</v>
      </c>
      <c r="F5429" s="9" t="s">
        <v>97</v>
      </c>
      <c r="G5429" s="9">
        <v>265</v>
      </c>
      <c r="H5429" s="5" t="s">
        <v>21</v>
      </c>
      <c r="I5429" s="5" t="s">
        <v>12998</v>
      </c>
      <c r="J5429" s="12" t="str">
        <f>HYPERLINK("https://www.boe.es/gazeta/dias/1808/03/15/pdfs/GMD-1808-22.pdf#page=7","Abrir facsímil")</f>
        <v>Abrir facsímil</v>
      </c>
      <c r="K5429" s="15" t="s">
        <v>23</v>
      </c>
    </row>
    <row r="5430" spans="1:11" ht="42" customHeight="1">
      <c r="A5430" s="4" t="s">
        <v>12999</v>
      </c>
      <c r="B5430" s="5" t="s">
        <v>13000</v>
      </c>
      <c r="C5430" s="5" t="s">
        <v>33</v>
      </c>
      <c r="D5430" s="5" t="s">
        <v>34</v>
      </c>
      <c r="E5430" s="5" t="s">
        <v>264</v>
      </c>
      <c r="F5430" s="9" t="s">
        <v>318</v>
      </c>
      <c r="G5430" s="9" t="s">
        <v>117</v>
      </c>
      <c r="H5430" s="5" t="s">
        <v>21</v>
      </c>
      <c r="I5430" s="5" t="s">
        <v>13001</v>
      </c>
      <c r="J5430" s="12" t="str">
        <f>HYPERLINK("https://www.boe.es/gazeta/dias/1808/11/29/pdfs/GMD-C-1808-148.pdf#page=1","Abrir facsímil")</f>
        <v>Abrir facsímil</v>
      </c>
      <c r="K5430" s="15" t="s">
        <v>23</v>
      </c>
    </row>
    <row r="5431" spans="1:11" ht="42" customHeight="1">
      <c r="A5431" s="4" t="s">
        <v>13002</v>
      </c>
      <c r="B5431" s="5" t="s">
        <v>13003</v>
      </c>
      <c r="C5431" s="5" t="s">
        <v>260</v>
      </c>
      <c r="D5431" s="5" t="s">
        <v>42</v>
      </c>
      <c r="E5431" s="5" t="s">
        <v>264</v>
      </c>
      <c r="F5431" s="9" t="s">
        <v>318</v>
      </c>
      <c r="G5431" s="9" t="s">
        <v>106</v>
      </c>
      <c r="H5431" s="5" t="s">
        <v>21</v>
      </c>
      <c r="I5431" s="5" t="s">
        <v>13004</v>
      </c>
      <c r="J5431" s="12" t="str">
        <f>HYPERLINK("https://www.boe.es/gazeta/dias/1808/11/29/pdfs/GMD-C-1808-148.pdf#page=3","Abrir facsímil")</f>
        <v>Abrir facsímil</v>
      </c>
      <c r="K5431" s="15" t="s">
        <v>23</v>
      </c>
    </row>
    <row r="5432" spans="1:11" ht="42" customHeight="1">
      <c r="A5432" s="4" t="s">
        <v>13005</v>
      </c>
      <c r="B5432" s="5" t="s">
        <v>13006</v>
      </c>
      <c r="C5432" s="5" t="s">
        <v>17</v>
      </c>
      <c r="D5432" s="5" t="s">
        <v>18</v>
      </c>
      <c r="E5432" s="5" t="s">
        <v>130</v>
      </c>
      <c r="F5432" s="9" t="s">
        <v>131</v>
      </c>
      <c r="G5432" s="9">
        <v>1604</v>
      </c>
      <c r="H5432" s="5" t="s">
        <v>21</v>
      </c>
      <c r="I5432" s="5" t="s">
        <v>13007</v>
      </c>
      <c r="J5432" s="12" t="str">
        <f>HYPERLINK("https://www.boe.es/gazeta/dias/1808/12/15/pdfs/GMD-1808-155.pdf#page=8","Abrir facsímil")</f>
        <v>Abrir facsímil</v>
      </c>
      <c r="K5432" s="15" t="s">
        <v>23</v>
      </c>
    </row>
    <row r="5433" spans="1:11" ht="42" customHeight="1">
      <c r="A5433" s="4" t="s">
        <v>13008</v>
      </c>
      <c r="B5433" s="5" t="s">
        <v>13009</v>
      </c>
      <c r="C5433" s="5" t="s">
        <v>17</v>
      </c>
      <c r="D5433" s="5" t="s">
        <v>18</v>
      </c>
      <c r="E5433" s="5" t="s">
        <v>290</v>
      </c>
      <c r="F5433" s="9" t="s">
        <v>291</v>
      </c>
      <c r="G5433" s="9">
        <v>1064</v>
      </c>
      <c r="H5433" s="5" t="s">
        <v>21</v>
      </c>
      <c r="I5433" s="5" t="s">
        <v>13010</v>
      </c>
      <c r="J5433" s="12" t="str">
        <f>HYPERLINK("https://www.boe.es/gazeta/dias/1808/08/23/pdfs/GMD-1808-116.pdf#page=10","Abrir facsímil")</f>
        <v>Abrir facsímil</v>
      </c>
      <c r="K5433" s="15" t="s">
        <v>23</v>
      </c>
    </row>
    <row r="5434" spans="1:11" ht="42" customHeight="1">
      <c r="A5434" s="4" t="s">
        <v>13008</v>
      </c>
      <c r="B5434" s="5" t="s">
        <v>13009</v>
      </c>
      <c r="C5434" s="5" t="s">
        <v>17</v>
      </c>
      <c r="D5434" s="5" t="s">
        <v>18</v>
      </c>
      <c r="E5434" s="5" t="s">
        <v>65</v>
      </c>
      <c r="F5434" s="9" t="s">
        <v>66</v>
      </c>
      <c r="G5434" s="9">
        <v>1303</v>
      </c>
      <c r="H5434" s="5" t="s">
        <v>21</v>
      </c>
      <c r="I5434" s="5" t="s">
        <v>13011</v>
      </c>
      <c r="J5434" s="12" t="str">
        <f>HYPERLINK("https://www.boe.es/gazeta/dias/1808/10/18/pdfs/GMD-1808-135.pdf#page=3","Abrir facsímil")</f>
        <v>Abrir facsímil</v>
      </c>
      <c r="K5434" s="15" t="s">
        <v>23</v>
      </c>
    </row>
    <row r="5435" spans="1:11" ht="42" customHeight="1">
      <c r="A5435" s="4" t="s">
        <v>13012</v>
      </c>
      <c r="B5435" s="5" t="s">
        <v>13013</v>
      </c>
      <c r="C5435" s="5" t="s">
        <v>41</v>
      </c>
      <c r="D5435" s="5" t="s">
        <v>42</v>
      </c>
      <c r="E5435" s="5" t="s">
        <v>461</v>
      </c>
      <c r="F5435" s="9" t="s">
        <v>462</v>
      </c>
      <c r="G5435" s="9" t="s">
        <v>117</v>
      </c>
      <c r="H5435" s="5" t="s">
        <v>21</v>
      </c>
      <c r="I5435" s="5" t="s">
        <v>13014</v>
      </c>
      <c r="J5435" s="12" t="str">
        <f>HYPERLINK("https://www.boe.es/gazeta/dias/1808/11/08/pdfs/GMD-D-1808-142.pdf#page=1","Abrir facsímil")</f>
        <v>Abrir facsímil</v>
      </c>
      <c r="K5435" s="15" t="s">
        <v>23</v>
      </c>
    </row>
    <row r="5436" spans="1:11" ht="42" customHeight="1">
      <c r="A5436" s="4" t="s">
        <v>13015</v>
      </c>
      <c r="B5436" s="5" t="s">
        <v>13016</v>
      </c>
      <c r="C5436" s="5" t="s">
        <v>33</v>
      </c>
      <c r="D5436" s="5" t="s">
        <v>34</v>
      </c>
      <c r="E5436" s="5" t="s">
        <v>166</v>
      </c>
      <c r="F5436" s="9" t="s">
        <v>400</v>
      </c>
      <c r="G5436" s="9" t="s">
        <v>199</v>
      </c>
      <c r="H5436" s="5" t="s">
        <v>21</v>
      </c>
      <c r="I5436" s="5" t="s">
        <v>13017</v>
      </c>
      <c r="J5436" s="12" t="str">
        <f>HYPERLINK("https://www.boe.es/gazeta/dias/1808/11/18/pdfs/D00069-00072.pdf#page=2","Abrir facsímil")</f>
        <v>Abrir facsímil</v>
      </c>
      <c r="K5436" s="15" t="s">
        <v>23</v>
      </c>
    </row>
    <row r="5437" spans="1:11" ht="42" customHeight="1">
      <c r="A5437" s="4" t="s">
        <v>13018</v>
      </c>
      <c r="B5437" s="5" t="s">
        <v>13019</v>
      </c>
      <c r="C5437" s="5" t="s">
        <v>33</v>
      </c>
      <c r="D5437" s="5" t="s">
        <v>34</v>
      </c>
      <c r="E5437" s="5" t="s">
        <v>139</v>
      </c>
      <c r="F5437" s="9" t="s">
        <v>1089</v>
      </c>
      <c r="G5437" s="9" t="s">
        <v>199</v>
      </c>
      <c r="H5437" s="5" t="s">
        <v>21</v>
      </c>
      <c r="I5437" s="5" t="s">
        <v>13020</v>
      </c>
      <c r="J5437" s="12" t="str">
        <f>HYPERLINK("https://www.boe.es/gazeta/dias/1808/09/23/pdfs/GMD-C-1808-127.pdf#page=2","Abrir facsímil")</f>
        <v>Abrir facsímil</v>
      </c>
      <c r="K5437" s="15" t="s">
        <v>23</v>
      </c>
    </row>
    <row r="5438" spans="1:11" ht="42" customHeight="1">
      <c r="A5438" s="4" t="s">
        <v>13021</v>
      </c>
      <c r="B5438" s="5" t="s">
        <v>13022</v>
      </c>
      <c r="C5438" s="5" t="s">
        <v>41</v>
      </c>
      <c r="D5438" s="5" t="s">
        <v>42</v>
      </c>
      <c r="E5438" s="5" t="s">
        <v>96</v>
      </c>
      <c r="F5438" s="9" t="s">
        <v>97</v>
      </c>
      <c r="G5438" s="9">
        <v>267</v>
      </c>
      <c r="H5438" s="5" t="s">
        <v>21</v>
      </c>
      <c r="I5438" s="5" t="s">
        <v>13023</v>
      </c>
      <c r="J5438" s="12" t="str">
        <f>HYPERLINK("https://www.boe.es/gazeta/dias/1808/03/15/pdfs/GMD-1808-22.pdf#page=9","Abrir facsímil")</f>
        <v>Abrir facsímil</v>
      </c>
      <c r="K5438" s="15" t="s">
        <v>23</v>
      </c>
    </row>
    <row r="5439" spans="1:11" ht="42" customHeight="1">
      <c r="A5439" s="4" t="s">
        <v>13021</v>
      </c>
      <c r="B5439" s="5" t="s">
        <v>13022</v>
      </c>
      <c r="C5439" s="5" t="s">
        <v>41</v>
      </c>
      <c r="D5439" s="5" t="s">
        <v>42</v>
      </c>
      <c r="E5439" s="5" t="s">
        <v>115</v>
      </c>
      <c r="F5439" s="9" t="s">
        <v>1650</v>
      </c>
      <c r="G5439" s="9">
        <v>1179</v>
      </c>
      <c r="H5439" s="5" t="s">
        <v>21</v>
      </c>
      <c r="I5439" s="5" t="s">
        <v>13024</v>
      </c>
      <c r="J5439" s="12" t="str">
        <f>HYPERLINK("https://www.boe.es/gazeta/dias/1808/09/16/pdfs/GMD-1808-125.pdf#page=11","Abrir facsímil")</f>
        <v>Abrir facsímil</v>
      </c>
      <c r="K5439" s="15" t="s">
        <v>23</v>
      </c>
    </row>
    <row r="5440" spans="1:11" ht="42" customHeight="1">
      <c r="A5440" s="4" t="s">
        <v>13021</v>
      </c>
      <c r="B5440" s="5" t="s">
        <v>13022</v>
      </c>
      <c r="C5440" s="5" t="s">
        <v>41</v>
      </c>
      <c r="D5440" s="5" t="s">
        <v>42</v>
      </c>
      <c r="E5440" s="5" t="s">
        <v>125</v>
      </c>
      <c r="F5440" s="9" t="s">
        <v>397</v>
      </c>
      <c r="G5440" s="9">
        <v>1270</v>
      </c>
      <c r="H5440" s="5" t="s">
        <v>21</v>
      </c>
      <c r="I5440" s="5" t="s">
        <v>13025</v>
      </c>
      <c r="J5440" s="12" t="str">
        <f>HYPERLINK("https://www.boe.es/gazeta/dias/1808/10/07/pdfs/GMD-1808-132.pdf#page=10","Abrir facsímil")</f>
        <v>Abrir facsímil</v>
      </c>
      <c r="K5440" s="15" t="s">
        <v>23</v>
      </c>
    </row>
    <row r="5441" spans="1:11" ht="42" customHeight="1">
      <c r="A5441" s="4" t="s">
        <v>13021</v>
      </c>
      <c r="B5441" s="5" t="s">
        <v>13022</v>
      </c>
      <c r="C5441" s="5" t="s">
        <v>41</v>
      </c>
      <c r="D5441" s="5" t="s">
        <v>42</v>
      </c>
      <c r="E5441" s="5" t="s">
        <v>125</v>
      </c>
      <c r="F5441" s="9" t="s">
        <v>397</v>
      </c>
      <c r="G5441" s="9">
        <v>1271</v>
      </c>
      <c r="H5441" s="5" t="s">
        <v>21</v>
      </c>
      <c r="I5441" s="5" t="s">
        <v>13026</v>
      </c>
      <c r="J5441" s="12" t="str">
        <f>HYPERLINK("https://www.boe.es/gazeta/dias/1808/10/07/pdfs/GMD-1808-132.pdf#page=11","Abrir facsímil")</f>
        <v>Abrir facsímil</v>
      </c>
      <c r="K5441" s="15" t="s">
        <v>23</v>
      </c>
    </row>
    <row r="5442" spans="1:11" ht="42" customHeight="1">
      <c r="A5442" s="4" t="s">
        <v>13027</v>
      </c>
      <c r="B5442" s="5" t="s">
        <v>13028</v>
      </c>
      <c r="C5442" s="5" t="s">
        <v>41</v>
      </c>
      <c r="D5442" s="5" t="s">
        <v>42</v>
      </c>
      <c r="E5442" s="5" t="s">
        <v>110</v>
      </c>
      <c r="F5442" s="9" t="s">
        <v>111</v>
      </c>
      <c r="G5442" s="9">
        <v>1385</v>
      </c>
      <c r="H5442" s="5" t="s">
        <v>21</v>
      </c>
      <c r="I5442" s="5" t="s">
        <v>13029</v>
      </c>
      <c r="J5442" s="12" t="str">
        <f>HYPERLINK("https://www.boe.es/gazeta/dias/1808/10/28/pdfs/GMD-1808-138.pdf#page=11","Abrir facsímil")</f>
        <v>Abrir facsímil</v>
      </c>
      <c r="K5442" s="15" t="s">
        <v>23</v>
      </c>
    </row>
    <row r="5443" spans="1:11" ht="42" customHeight="1">
      <c r="A5443" s="4" t="s">
        <v>13030</v>
      </c>
      <c r="B5443" s="5" t="s">
        <v>13031</v>
      </c>
      <c r="C5443" s="5" t="s">
        <v>41</v>
      </c>
      <c r="D5443" s="5" t="s">
        <v>42</v>
      </c>
      <c r="E5443" s="5" t="s">
        <v>180</v>
      </c>
      <c r="F5443" s="9" t="s">
        <v>2568</v>
      </c>
      <c r="G5443" s="9">
        <v>1498</v>
      </c>
      <c r="H5443" s="5" t="s">
        <v>21</v>
      </c>
      <c r="I5443" s="5" t="s">
        <v>13032</v>
      </c>
      <c r="J5443" s="12" t="str">
        <f>HYPERLINK("https://www.boe.es/gazeta/dias/1808/11/15/pdfs/GMD-1808-144.pdf#page=12","Abrir facsímil")</f>
        <v>Abrir facsímil</v>
      </c>
      <c r="K5443" s="15" t="s">
        <v>23</v>
      </c>
    </row>
    <row r="5444" spans="1:11" ht="42" customHeight="1">
      <c r="A5444" s="4" t="s">
        <v>13030</v>
      </c>
      <c r="B5444" s="5" t="s">
        <v>13031</v>
      </c>
      <c r="C5444" s="5" t="s">
        <v>17</v>
      </c>
      <c r="D5444" s="5" t="s">
        <v>18</v>
      </c>
      <c r="E5444" s="5" t="s">
        <v>130</v>
      </c>
      <c r="F5444" s="9" t="s">
        <v>131</v>
      </c>
      <c r="G5444" s="9">
        <v>1604</v>
      </c>
      <c r="H5444" s="5" t="s">
        <v>21</v>
      </c>
      <c r="I5444" s="5" t="s">
        <v>13033</v>
      </c>
      <c r="J5444" s="12" t="str">
        <f>HYPERLINK("https://www.boe.es/gazeta/dias/1808/12/15/pdfs/GMD-1808-155.pdf#page=8","Abrir facsímil")</f>
        <v>Abrir facsímil</v>
      </c>
      <c r="K5444" s="15" t="s">
        <v>23</v>
      </c>
    </row>
    <row r="5445" spans="1:11" ht="42" customHeight="1">
      <c r="A5445" s="4" t="s">
        <v>13034</v>
      </c>
      <c r="B5445" s="5" t="s">
        <v>13035</v>
      </c>
      <c r="C5445" s="5" t="s">
        <v>41</v>
      </c>
      <c r="D5445" s="5" t="s">
        <v>42</v>
      </c>
      <c r="E5445" s="5" t="s">
        <v>264</v>
      </c>
      <c r="F5445" s="9" t="s">
        <v>318</v>
      </c>
      <c r="G5445" s="9" t="s">
        <v>75</v>
      </c>
      <c r="H5445" s="5" t="s">
        <v>21</v>
      </c>
      <c r="I5445" s="5" t="s">
        <v>13036</v>
      </c>
      <c r="J5445" s="12" t="str">
        <f>HYPERLINK("https://www.boe.es/gazeta/dias/1808/11/29/pdfs/GMD-C-1808-148.pdf#page=4","Abrir facsímil")</f>
        <v>Abrir facsímil</v>
      </c>
      <c r="K5445" s="15" t="s">
        <v>23</v>
      </c>
    </row>
    <row r="5446" spans="1:11" ht="42" customHeight="1">
      <c r="A5446" s="4" t="s">
        <v>13037</v>
      </c>
      <c r="B5446" s="5" t="s">
        <v>13038</v>
      </c>
      <c r="C5446" s="5" t="s">
        <v>17</v>
      </c>
      <c r="D5446" s="5" t="s">
        <v>18</v>
      </c>
      <c r="E5446" s="5" t="s">
        <v>242</v>
      </c>
      <c r="F5446" s="9" t="s">
        <v>243</v>
      </c>
      <c r="G5446" s="9">
        <v>10</v>
      </c>
      <c r="H5446" s="5" t="s">
        <v>21</v>
      </c>
      <c r="I5446" s="5" t="s">
        <v>13039</v>
      </c>
      <c r="J5446" s="12" t="str">
        <f>HYPERLINK("https://www.boe.es/gazeta/dias/1808/01/01/pdfs/GMD-1808-1.pdf#page=10","Abrir facsímil")</f>
        <v>Abrir facsímil</v>
      </c>
      <c r="K5446" s="15" t="s">
        <v>23</v>
      </c>
    </row>
    <row r="5447" spans="1:11" ht="42" customHeight="1">
      <c r="A5447" s="4" t="s">
        <v>13040</v>
      </c>
      <c r="B5447" s="5" t="s">
        <v>13041</v>
      </c>
      <c r="C5447" s="5" t="s">
        <v>41</v>
      </c>
      <c r="D5447" s="5" t="s">
        <v>42</v>
      </c>
      <c r="E5447" s="5" t="s">
        <v>222</v>
      </c>
      <c r="F5447" s="9" t="s">
        <v>223</v>
      </c>
      <c r="G5447" s="9">
        <v>357</v>
      </c>
      <c r="H5447" s="5" t="s">
        <v>21</v>
      </c>
      <c r="I5447" s="5" t="s">
        <v>13042</v>
      </c>
      <c r="J5447" s="12" t="str">
        <f>HYPERLINK("https://www.boe.es/gazeta/dias/1808/04/08/pdfs/GMD-1808-32.pdf#page=11","Abrir facsímil")</f>
        <v>Abrir facsímil</v>
      </c>
      <c r="K5447" s="15" t="s">
        <v>23</v>
      </c>
    </row>
    <row r="5448" spans="1:11" ht="42" customHeight="1">
      <c r="A5448" s="4" t="s">
        <v>13040</v>
      </c>
      <c r="B5448" s="5" t="s">
        <v>13041</v>
      </c>
      <c r="C5448" s="5" t="s">
        <v>41</v>
      </c>
      <c r="D5448" s="5" t="s">
        <v>42</v>
      </c>
      <c r="E5448" s="5" t="s">
        <v>919</v>
      </c>
      <c r="F5448" s="9" t="s">
        <v>920</v>
      </c>
      <c r="G5448" s="9">
        <v>495</v>
      </c>
      <c r="H5448" s="5" t="s">
        <v>21</v>
      </c>
      <c r="I5448" s="5" t="s">
        <v>13043</v>
      </c>
      <c r="J5448" s="12" t="str">
        <f>HYPERLINK("https://www.boe.es/gazeta/dias/1808/05/24/pdfs/GMD-1808-49.pdf#page=11","Abrir facsímil")</f>
        <v>Abrir facsímil</v>
      </c>
      <c r="K5448" s="15" t="s">
        <v>23</v>
      </c>
    </row>
    <row r="5449" spans="1:11" ht="42" customHeight="1">
      <c r="A5449" s="4" t="s">
        <v>13044</v>
      </c>
      <c r="B5449" s="5" t="s">
        <v>13045</v>
      </c>
      <c r="C5449" s="5" t="s">
        <v>389</v>
      </c>
      <c r="D5449" s="5" t="s">
        <v>390</v>
      </c>
      <c r="E5449" s="5" t="s">
        <v>269</v>
      </c>
      <c r="F5449" s="9" t="s">
        <v>270</v>
      </c>
      <c r="G5449" s="9">
        <v>70</v>
      </c>
      <c r="H5449" s="5" t="s">
        <v>21</v>
      </c>
      <c r="I5449" s="5" t="s">
        <v>13046</v>
      </c>
      <c r="J5449" s="12" t="str">
        <f>HYPERLINK("https://www.boe.es/gazeta/dias/1808/01/19/pdfs/GMD-1808-6.pdf#page=10","Abrir facsímil")</f>
        <v>Abrir facsímil</v>
      </c>
      <c r="K5449" s="15" t="s">
        <v>23</v>
      </c>
    </row>
    <row r="5450" spans="1:11" ht="42" customHeight="1">
      <c r="A5450" s="4" t="s">
        <v>13047</v>
      </c>
      <c r="B5450" s="5" t="s">
        <v>13048</v>
      </c>
      <c r="C5450" s="5" t="s">
        <v>94</v>
      </c>
      <c r="D5450" s="5" t="s">
        <v>95</v>
      </c>
      <c r="E5450" s="5" t="s">
        <v>339</v>
      </c>
      <c r="F5450" s="9" t="s">
        <v>340</v>
      </c>
      <c r="G5450" s="9">
        <v>82</v>
      </c>
      <c r="H5450" s="5" t="s">
        <v>21</v>
      </c>
      <c r="I5450" s="5" t="s">
        <v>13049</v>
      </c>
      <c r="J5450" s="12" t="str">
        <f>HYPERLINK("https://www.boe.es/gazeta/dias/1808/01/22/pdfs/GMD-1808-7.pdf#page=10","Abrir facsímil")</f>
        <v>Abrir facsímil</v>
      </c>
      <c r="K5450" s="15" t="s">
        <v>23</v>
      </c>
    </row>
    <row r="5451" spans="1:11" ht="42" customHeight="1">
      <c r="A5451" s="4" t="s">
        <v>13044</v>
      </c>
      <c r="B5451" s="5" t="s">
        <v>13045</v>
      </c>
      <c r="C5451" s="5" t="s">
        <v>41</v>
      </c>
      <c r="D5451" s="5" t="s">
        <v>42</v>
      </c>
      <c r="E5451" s="5" t="s">
        <v>1472</v>
      </c>
      <c r="F5451" s="9" t="s">
        <v>1473</v>
      </c>
      <c r="G5451" s="9">
        <v>94</v>
      </c>
      <c r="H5451" s="5" t="s">
        <v>21</v>
      </c>
      <c r="I5451" s="5" t="s">
        <v>13050</v>
      </c>
      <c r="J5451" s="12" t="str">
        <f>HYPERLINK("https://www.boe.es/gazeta/dias/1808/01/26/pdfs/GMD-1808-8.pdf#page=10","Abrir facsímil")</f>
        <v>Abrir facsímil</v>
      </c>
      <c r="K5451" s="15" t="s">
        <v>23</v>
      </c>
    </row>
    <row r="5452" spans="1:11" ht="42" customHeight="1">
      <c r="A5452" s="4" t="s">
        <v>13044</v>
      </c>
      <c r="B5452" s="5" t="s">
        <v>13045</v>
      </c>
      <c r="C5452" s="5" t="s">
        <v>94</v>
      </c>
      <c r="D5452" s="5" t="s">
        <v>95</v>
      </c>
      <c r="E5452" s="5" t="s">
        <v>1385</v>
      </c>
      <c r="F5452" s="9" t="s">
        <v>1386</v>
      </c>
      <c r="G5452" s="9">
        <v>231</v>
      </c>
      <c r="H5452" s="5" t="s">
        <v>21</v>
      </c>
      <c r="I5452" s="5" t="s">
        <v>13051</v>
      </c>
      <c r="J5452" s="12" t="str">
        <f>HYPERLINK("https://www.boe.es/gazeta/dias/1808/03/04/pdfs/GMD-1808-19.pdf#page=9","Abrir facsímil")</f>
        <v>Abrir facsímil</v>
      </c>
      <c r="K5452" s="15" t="s">
        <v>23</v>
      </c>
    </row>
    <row r="5453" spans="1:11" ht="42" customHeight="1">
      <c r="A5453" s="4" t="s">
        <v>13044</v>
      </c>
      <c r="B5453" s="5" t="s">
        <v>13045</v>
      </c>
      <c r="C5453" s="5" t="s">
        <v>41</v>
      </c>
      <c r="D5453" s="5" t="s">
        <v>42</v>
      </c>
      <c r="E5453" s="5" t="s">
        <v>3381</v>
      </c>
      <c r="F5453" s="9" t="s">
        <v>3382</v>
      </c>
      <c r="G5453" s="9">
        <v>370</v>
      </c>
      <c r="H5453" s="5" t="s">
        <v>21</v>
      </c>
      <c r="I5453" s="5" t="s">
        <v>13052</v>
      </c>
      <c r="J5453" s="12" t="str">
        <f>HYPERLINK("https://www.boe.es/gazeta/dias/1808/04/12/pdfs/GMD-1808-34.pdf#page=8","Abrir facsímil")</f>
        <v>Abrir facsímil</v>
      </c>
      <c r="K5453" s="15" t="s">
        <v>23</v>
      </c>
    </row>
    <row r="5454" spans="1:11" ht="42" customHeight="1">
      <c r="A5454" s="4" t="s">
        <v>13053</v>
      </c>
      <c r="B5454" s="5" t="s">
        <v>13054</v>
      </c>
      <c r="C5454" s="5" t="s">
        <v>41</v>
      </c>
      <c r="D5454" s="5" t="s">
        <v>42</v>
      </c>
      <c r="E5454" s="5" t="s">
        <v>35</v>
      </c>
      <c r="F5454" s="9" t="s">
        <v>36</v>
      </c>
      <c r="G5454" s="9" t="s">
        <v>414</v>
      </c>
      <c r="H5454" s="5" t="s">
        <v>21</v>
      </c>
      <c r="I5454" s="5" t="s">
        <v>13055</v>
      </c>
      <c r="J5454" s="12" t="str">
        <f>HYPERLINK("https://www.boe.es/gazeta/dias/1808/04/22/pdfs/GMD-C-1808-38.pdf#page=20","Abrir facsímil")</f>
        <v>Abrir facsímil</v>
      </c>
      <c r="K5454" s="15" t="s">
        <v>23</v>
      </c>
    </row>
    <row r="5455" spans="1:11" ht="42" customHeight="1">
      <c r="A5455" s="4" t="s">
        <v>13056</v>
      </c>
      <c r="B5455" s="5" t="s">
        <v>13057</v>
      </c>
      <c r="C5455" s="5" t="s">
        <v>94</v>
      </c>
      <c r="D5455" s="5" t="s">
        <v>95</v>
      </c>
      <c r="E5455" s="5" t="s">
        <v>238</v>
      </c>
      <c r="F5455" s="9" t="s">
        <v>239</v>
      </c>
      <c r="G5455" s="9">
        <v>36</v>
      </c>
      <c r="H5455" s="5" t="s">
        <v>21</v>
      </c>
      <c r="I5455" s="5" t="s">
        <v>13058</v>
      </c>
      <c r="J5455" s="12" t="str">
        <f>HYPERLINK("https://www.boe.es/gazeta/dias/1808/01/08/pdfs/GMD-1808-3.pdf#page=12","Abrir facsímil")</f>
        <v>Abrir facsímil</v>
      </c>
      <c r="K5455" s="15" t="s">
        <v>23</v>
      </c>
    </row>
    <row r="5456" spans="1:11" ht="42" customHeight="1">
      <c r="A5456" s="4" t="s">
        <v>13056</v>
      </c>
      <c r="B5456" s="5" t="s">
        <v>13057</v>
      </c>
      <c r="C5456" s="5" t="s">
        <v>94</v>
      </c>
      <c r="D5456" s="5" t="s">
        <v>95</v>
      </c>
      <c r="E5456" s="5" t="s">
        <v>991</v>
      </c>
      <c r="F5456" s="9" t="s">
        <v>992</v>
      </c>
      <c r="G5456" s="9">
        <v>221</v>
      </c>
      <c r="H5456" s="5" t="s">
        <v>21</v>
      </c>
      <c r="I5456" s="5" t="s">
        <v>13059</v>
      </c>
      <c r="J5456" s="12" t="str">
        <f>HYPERLINK("https://www.boe.es/gazeta/dias/1808/03/01/pdfs/GMD-1808-18.pdf#page=11","Abrir facsímil")</f>
        <v>Abrir facsímil</v>
      </c>
      <c r="K5456" s="15" t="s">
        <v>23</v>
      </c>
    </row>
    <row r="5457" spans="1:11" ht="42" customHeight="1">
      <c r="A5457" s="4" t="s">
        <v>13056</v>
      </c>
      <c r="B5457" s="5" t="s">
        <v>13057</v>
      </c>
      <c r="C5457" s="5" t="s">
        <v>260</v>
      </c>
      <c r="D5457" s="5" t="s">
        <v>42</v>
      </c>
      <c r="E5457" s="5" t="s">
        <v>96</v>
      </c>
      <c r="F5457" s="9" t="s">
        <v>97</v>
      </c>
      <c r="G5457" s="9">
        <v>268</v>
      </c>
      <c r="H5457" s="5" t="s">
        <v>21</v>
      </c>
      <c r="I5457" s="5" t="s">
        <v>13060</v>
      </c>
      <c r="J5457" s="12" t="str">
        <f>HYPERLINK("https://www.boe.es/gazeta/dias/1808/03/15/pdfs/GMD-1808-22.pdf#page=10","Abrir facsímil")</f>
        <v>Abrir facsímil</v>
      </c>
      <c r="K5457" s="15" t="s">
        <v>23</v>
      </c>
    </row>
    <row r="5458" spans="1:11" ht="42" customHeight="1">
      <c r="A5458" s="4" t="s">
        <v>13056</v>
      </c>
      <c r="B5458" s="5" t="s">
        <v>13057</v>
      </c>
      <c r="C5458" s="5" t="s">
        <v>41</v>
      </c>
      <c r="D5458" s="5" t="s">
        <v>42</v>
      </c>
      <c r="E5458" s="5" t="s">
        <v>2194</v>
      </c>
      <c r="F5458" s="9" t="s">
        <v>3881</v>
      </c>
      <c r="G5458" s="9">
        <v>341</v>
      </c>
      <c r="H5458" s="5" t="s">
        <v>21</v>
      </c>
      <c r="I5458" s="5" t="s">
        <v>13061</v>
      </c>
      <c r="J5458" s="12" t="str">
        <f>HYPERLINK("https://www.boe.es/gazeta/dias/1808/04/05/pdfs/GMD-1808-31.pdf#page=7","Abrir facsímil")</f>
        <v>Abrir facsímil</v>
      </c>
      <c r="K5458" s="15" t="s">
        <v>23</v>
      </c>
    </row>
    <row r="5459" spans="1:11" ht="42" customHeight="1">
      <c r="A5459" s="4" t="s">
        <v>13056</v>
      </c>
      <c r="B5459" s="5" t="s">
        <v>13057</v>
      </c>
      <c r="C5459" s="5" t="s">
        <v>94</v>
      </c>
      <c r="D5459" s="5" t="s">
        <v>95</v>
      </c>
      <c r="E5459" s="5" t="s">
        <v>1676</v>
      </c>
      <c r="F5459" s="9" t="s">
        <v>1677</v>
      </c>
      <c r="G5459" s="9">
        <v>557</v>
      </c>
      <c r="H5459" s="5" t="s">
        <v>21</v>
      </c>
      <c r="I5459" s="5" t="s">
        <v>13062</v>
      </c>
      <c r="J5459" s="12" t="str">
        <f>HYPERLINK("https://www.boe.es/gazeta/dias/1808/06/10/pdfs/GMD-1808-55.pdf#page=11","Abrir facsímil")</f>
        <v>Abrir facsímil</v>
      </c>
      <c r="K5459" s="15" t="s">
        <v>23</v>
      </c>
    </row>
    <row r="5460" spans="1:11" ht="42" customHeight="1">
      <c r="A5460" s="4" t="s">
        <v>13056</v>
      </c>
      <c r="B5460" s="5" t="s">
        <v>13057</v>
      </c>
      <c r="C5460" s="5" t="s">
        <v>94</v>
      </c>
      <c r="D5460" s="5" t="s">
        <v>95</v>
      </c>
      <c r="E5460" s="5" t="s">
        <v>157</v>
      </c>
      <c r="F5460" s="9" t="s">
        <v>2896</v>
      </c>
      <c r="G5460" s="9">
        <v>593</v>
      </c>
      <c r="H5460" s="5" t="s">
        <v>21</v>
      </c>
      <c r="I5460" s="5" t="s">
        <v>13063</v>
      </c>
      <c r="J5460" s="12" t="str">
        <f>HYPERLINK("https://www.boe.es/gazeta/dias/1808/06/18/pdfs/GMD-1808-60.pdf#page=7","Abrir facsímil")</f>
        <v>Abrir facsímil</v>
      </c>
      <c r="K5460" s="15" t="s">
        <v>23</v>
      </c>
    </row>
    <row r="5461" spans="1:11" ht="42" customHeight="1">
      <c r="A5461" s="4" t="s">
        <v>13064</v>
      </c>
      <c r="B5461" s="5" t="s">
        <v>13065</v>
      </c>
      <c r="C5461" s="5" t="s">
        <v>94</v>
      </c>
      <c r="D5461" s="5" t="s">
        <v>95</v>
      </c>
      <c r="E5461" s="5" t="s">
        <v>1085</v>
      </c>
      <c r="F5461" s="9" t="s">
        <v>1086</v>
      </c>
      <c r="G5461" s="9">
        <v>107</v>
      </c>
      <c r="H5461" s="5" t="s">
        <v>21</v>
      </c>
      <c r="I5461" s="5" t="s">
        <v>13066</v>
      </c>
      <c r="J5461" s="12" t="str">
        <f>HYPERLINK("https://www.boe.es/gazeta/dias/1808/01/29/pdfs/GMD-1808-9.pdf#page=11","Abrir facsímil")</f>
        <v>Abrir facsímil</v>
      </c>
      <c r="K5461" s="15" t="s">
        <v>23</v>
      </c>
    </row>
    <row r="5462" spans="1:11" ht="42" customHeight="1">
      <c r="A5462" s="4" t="s">
        <v>13067</v>
      </c>
      <c r="B5462" s="5" t="s">
        <v>13068</v>
      </c>
      <c r="C5462" s="5" t="s">
        <v>94</v>
      </c>
      <c r="D5462" s="5" t="s">
        <v>95</v>
      </c>
      <c r="E5462" s="5" t="s">
        <v>548</v>
      </c>
      <c r="F5462" s="9" t="s">
        <v>549</v>
      </c>
      <c r="G5462" s="9">
        <v>276</v>
      </c>
      <c r="H5462" s="5" t="s">
        <v>21</v>
      </c>
      <c r="I5462" s="5" t="s">
        <v>13069</v>
      </c>
      <c r="J5462" s="12" t="str">
        <f>HYPERLINK("https://www.boe.es/gazeta/dias/1808/03/18/pdfs/GMD-1808-23.pdf#page=6","Abrir facsímil")</f>
        <v>Abrir facsímil</v>
      </c>
      <c r="K5462" s="15" t="s">
        <v>23</v>
      </c>
    </row>
    <row r="5463" spans="1:11" ht="42" customHeight="1">
      <c r="A5463" s="4" t="s">
        <v>13070</v>
      </c>
      <c r="B5463" s="5" t="s">
        <v>13071</v>
      </c>
      <c r="C5463" s="5" t="s">
        <v>41</v>
      </c>
      <c r="D5463" s="5" t="s">
        <v>42</v>
      </c>
      <c r="E5463" s="5" t="s">
        <v>125</v>
      </c>
      <c r="F5463" s="9" t="s">
        <v>126</v>
      </c>
      <c r="G5463" s="9" t="s">
        <v>106</v>
      </c>
      <c r="H5463" s="5" t="s">
        <v>21</v>
      </c>
      <c r="I5463" s="5" t="s">
        <v>13072</v>
      </c>
      <c r="J5463" s="12" t="str">
        <f>HYPERLINK("https://www.boe.es/gazeta/dias/1808/10/07/pdfs/GMD-C-1808-132.pdf#page=3","Abrir facsímil")</f>
        <v>Abrir facsímil</v>
      </c>
      <c r="K5463" s="15" t="s">
        <v>23</v>
      </c>
    </row>
    <row r="5464" spans="1:11" ht="42" customHeight="1">
      <c r="A5464" s="4" t="s">
        <v>13073</v>
      </c>
      <c r="B5464" s="5" t="s">
        <v>13074</v>
      </c>
      <c r="C5464" s="5" t="s">
        <v>94</v>
      </c>
      <c r="D5464" s="5" t="s">
        <v>95</v>
      </c>
      <c r="E5464" s="5" t="s">
        <v>207</v>
      </c>
      <c r="F5464" s="9" t="s">
        <v>208</v>
      </c>
      <c r="G5464" s="9">
        <v>195</v>
      </c>
      <c r="H5464" s="5" t="s">
        <v>21</v>
      </c>
      <c r="I5464" s="5" t="s">
        <v>13075</v>
      </c>
      <c r="J5464" s="12" t="str">
        <f>HYPERLINK("https://www.boe.es/gazeta/dias/1808/02/23/pdfs/GMD-1808-16.pdf#page=9","Abrir facsímil")</f>
        <v>Abrir facsímil</v>
      </c>
      <c r="K5464" s="15" t="s">
        <v>23</v>
      </c>
    </row>
    <row r="5465" spans="1:11" ht="42" customHeight="1">
      <c r="A5465" s="4" t="s">
        <v>13076</v>
      </c>
      <c r="B5465" s="5" t="s">
        <v>13077</v>
      </c>
      <c r="C5465" s="5" t="s">
        <v>260</v>
      </c>
      <c r="D5465" s="5" t="s">
        <v>42</v>
      </c>
      <c r="E5465" s="5" t="s">
        <v>663</v>
      </c>
      <c r="F5465" s="9" t="s">
        <v>664</v>
      </c>
      <c r="G5465" s="9">
        <v>208</v>
      </c>
      <c r="H5465" s="5" t="s">
        <v>21</v>
      </c>
      <c r="I5465" s="5" t="s">
        <v>13078</v>
      </c>
      <c r="J5465" s="12" t="str">
        <f>HYPERLINK("https://www.boe.es/gazeta/dias/1808/02/26/pdfs/GMD-1808-17.pdf#page=10","Abrir facsímil")</f>
        <v>Abrir facsímil</v>
      </c>
      <c r="K5465" s="15" t="s">
        <v>23</v>
      </c>
    </row>
    <row r="5466" spans="1:11" ht="42" customHeight="1">
      <c r="A5466" s="4" t="s">
        <v>13079</v>
      </c>
      <c r="B5466" s="5" t="s">
        <v>13080</v>
      </c>
      <c r="C5466" s="5" t="s">
        <v>41</v>
      </c>
      <c r="D5466" s="5" t="s">
        <v>42</v>
      </c>
      <c r="E5466" s="5" t="s">
        <v>427</v>
      </c>
      <c r="F5466" s="9" t="s">
        <v>428</v>
      </c>
      <c r="G5466" s="9" t="s">
        <v>75</v>
      </c>
      <c r="H5466" s="5" t="s">
        <v>21</v>
      </c>
      <c r="I5466" s="5" t="s">
        <v>13081</v>
      </c>
      <c r="J5466" s="12" t="str">
        <f>HYPERLINK("https://www.boe.es/gazeta/dias/1808/11/22/pdfs/GMD-D-1808-146.pdf#page=4","Abrir facsímil")</f>
        <v>Abrir facsímil</v>
      </c>
      <c r="K5466" s="15" t="s">
        <v>23</v>
      </c>
    </row>
    <row r="5467" spans="1:11" ht="42" customHeight="1">
      <c r="A5467" s="4" t="s">
        <v>13082</v>
      </c>
      <c r="B5467" s="5" t="s">
        <v>13083</v>
      </c>
      <c r="C5467" s="5" t="s">
        <v>33</v>
      </c>
      <c r="D5467" s="5" t="s">
        <v>34</v>
      </c>
      <c r="E5467" s="5" t="s">
        <v>139</v>
      </c>
      <c r="F5467" s="9" t="s">
        <v>1089</v>
      </c>
      <c r="G5467" s="9" t="s">
        <v>106</v>
      </c>
      <c r="H5467" s="5" t="s">
        <v>21</v>
      </c>
      <c r="I5467" s="5" t="s">
        <v>13084</v>
      </c>
      <c r="J5467" s="12" t="str">
        <f>HYPERLINK("https://www.boe.es/gazeta/dias/1808/09/23/pdfs/GMD-C-1808-127.pdf#page=3","Abrir facsímil")</f>
        <v>Abrir facsímil</v>
      </c>
      <c r="K5467" s="15" t="s">
        <v>23</v>
      </c>
    </row>
    <row r="5468" spans="1:11" ht="42" customHeight="1">
      <c r="A5468" s="4" t="s">
        <v>13085</v>
      </c>
      <c r="B5468" s="5" t="s">
        <v>13086</v>
      </c>
      <c r="C5468" s="5" t="s">
        <v>33</v>
      </c>
      <c r="D5468" s="5" t="s">
        <v>34</v>
      </c>
      <c r="E5468" s="5" t="s">
        <v>35</v>
      </c>
      <c r="F5468" s="9" t="s">
        <v>36</v>
      </c>
      <c r="G5468" s="9" t="s">
        <v>1294</v>
      </c>
      <c r="H5468" s="5" t="s">
        <v>21</v>
      </c>
      <c r="I5468" s="5" t="s">
        <v>13087</v>
      </c>
      <c r="J5468" s="12" t="str">
        <f>HYPERLINK("https://www.boe.es/gazeta/dias/1808/04/22/pdfs/GMD-C-1808-38.pdf#page=8","Abrir facsímil")</f>
        <v>Abrir facsímil</v>
      </c>
      <c r="K5468" s="15" t="s">
        <v>23</v>
      </c>
    </row>
    <row r="5469" spans="1:11" ht="42" customHeight="1">
      <c r="A5469" s="4" t="s">
        <v>13088</v>
      </c>
      <c r="B5469" s="5" t="s">
        <v>13089</v>
      </c>
      <c r="C5469" s="5" t="s">
        <v>94</v>
      </c>
      <c r="D5469" s="5" t="s">
        <v>95</v>
      </c>
      <c r="E5469" s="5" t="s">
        <v>35</v>
      </c>
      <c r="F5469" s="9" t="s">
        <v>36</v>
      </c>
      <c r="G5469" s="9" t="s">
        <v>837</v>
      </c>
      <c r="H5469" s="5" t="s">
        <v>21</v>
      </c>
      <c r="I5469" s="5" t="s">
        <v>13090</v>
      </c>
      <c r="J5469" s="12" t="str">
        <f>HYPERLINK("https://www.boe.es/gazeta/dias/1808/04/22/pdfs/GMD-C-1808-38.pdf#page=10","Abrir facsímil")</f>
        <v>Abrir facsímil</v>
      </c>
      <c r="K5469" s="15" t="s">
        <v>23</v>
      </c>
    </row>
    <row r="5470" spans="1:11" ht="42" customHeight="1">
      <c r="A5470" s="4" t="s">
        <v>13088</v>
      </c>
      <c r="B5470" s="5" t="s">
        <v>13089</v>
      </c>
      <c r="C5470" s="5" t="s">
        <v>33</v>
      </c>
      <c r="D5470" s="5" t="s">
        <v>34</v>
      </c>
      <c r="E5470" s="5" t="s">
        <v>35</v>
      </c>
      <c r="F5470" s="9" t="s">
        <v>36</v>
      </c>
      <c r="G5470" s="9" t="s">
        <v>443</v>
      </c>
      <c r="H5470" s="5" t="s">
        <v>21</v>
      </c>
      <c r="I5470" s="5" t="s">
        <v>13091</v>
      </c>
      <c r="J5470" s="12" t="str">
        <f>HYPERLINK("https://www.boe.es/gazeta/dias/1808/04/22/pdfs/GMD-C-1808-38.pdf#page=16","Abrir facsímil")</f>
        <v>Abrir facsímil</v>
      </c>
      <c r="K5470" s="15" t="s">
        <v>23</v>
      </c>
    </row>
    <row r="5471" spans="1:11" ht="42" customHeight="1">
      <c r="A5471" s="4" t="s">
        <v>13088</v>
      </c>
      <c r="B5471" s="5" t="s">
        <v>13089</v>
      </c>
      <c r="C5471" s="5" t="s">
        <v>33</v>
      </c>
      <c r="D5471" s="5" t="s">
        <v>34</v>
      </c>
      <c r="E5471" s="5" t="s">
        <v>35</v>
      </c>
      <c r="F5471" s="9" t="s">
        <v>36</v>
      </c>
      <c r="G5471" s="9" t="s">
        <v>1006</v>
      </c>
      <c r="H5471" s="5" t="s">
        <v>21</v>
      </c>
      <c r="I5471" s="5" t="s">
        <v>13092</v>
      </c>
      <c r="J5471" s="12" t="str">
        <f>HYPERLINK("https://www.boe.es/gazeta/dias/1808/04/22/pdfs/GMD-C-1808-38.pdf#page=46","Abrir facsímil")</f>
        <v>Abrir facsímil</v>
      </c>
      <c r="K5471" s="15" t="s">
        <v>23</v>
      </c>
    </row>
    <row r="5472" spans="1:11" ht="42" customHeight="1">
      <c r="A5472" s="4" t="s">
        <v>13088</v>
      </c>
      <c r="B5472" s="5" t="s">
        <v>13089</v>
      </c>
      <c r="C5472" s="5" t="s">
        <v>33</v>
      </c>
      <c r="D5472" s="5" t="s">
        <v>34</v>
      </c>
      <c r="E5472" s="5" t="s">
        <v>110</v>
      </c>
      <c r="F5472" s="9" t="s">
        <v>828</v>
      </c>
      <c r="G5472" s="9" t="s">
        <v>117</v>
      </c>
      <c r="H5472" s="5" t="s">
        <v>21</v>
      </c>
      <c r="I5472" s="5" t="s">
        <v>13093</v>
      </c>
      <c r="J5472" s="12" t="str">
        <f>HYPERLINK("https://www.boe.es/gazeta/dias/1808/10/28/pdfs/GMD-D-1808-138.pdf#page=1","Abrir facsímil")</f>
        <v>Abrir facsímil</v>
      </c>
      <c r="K5472" s="15" t="s">
        <v>23</v>
      </c>
    </row>
    <row r="5473" spans="1:11" ht="42" customHeight="1">
      <c r="A5473" s="4" t="s">
        <v>13094</v>
      </c>
      <c r="B5473" s="5" t="s">
        <v>13095</v>
      </c>
      <c r="C5473" s="5" t="s">
        <v>33</v>
      </c>
      <c r="D5473" s="5" t="s">
        <v>34</v>
      </c>
      <c r="E5473" s="5" t="s">
        <v>391</v>
      </c>
      <c r="F5473" s="9" t="s">
        <v>588</v>
      </c>
      <c r="G5473" s="9" t="s">
        <v>117</v>
      </c>
      <c r="H5473" s="5" t="s">
        <v>21</v>
      </c>
      <c r="I5473" s="5" t="s">
        <v>13096</v>
      </c>
      <c r="J5473" s="12" t="str">
        <f>HYPERLINK("https://www.boe.es/gazeta/dias/1808/09/27/pdfs/GMD-C-1808-128.pdf#page=1","Abrir facsímil")</f>
        <v>Abrir facsímil</v>
      </c>
      <c r="K5473" s="15" t="s">
        <v>23</v>
      </c>
    </row>
    <row r="5474" spans="1:11" ht="42" customHeight="1">
      <c r="A5474" s="4" t="s">
        <v>13097</v>
      </c>
      <c r="B5474" s="5" t="s">
        <v>13098</v>
      </c>
      <c r="C5474" s="5" t="s">
        <v>41</v>
      </c>
      <c r="D5474" s="5" t="s">
        <v>42</v>
      </c>
      <c r="E5474" s="5" t="s">
        <v>368</v>
      </c>
      <c r="F5474" s="9" t="s">
        <v>369</v>
      </c>
      <c r="G5474" s="9">
        <v>169</v>
      </c>
      <c r="H5474" s="5" t="s">
        <v>21</v>
      </c>
      <c r="I5474" s="5" t="s">
        <v>13099</v>
      </c>
      <c r="J5474" s="12" t="str">
        <f>HYPERLINK("https://www.boe.es/gazeta/dias/1808/02/16/pdfs/GMD-1808-14.pdf#page=11","Abrir facsímil")</f>
        <v>Abrir facsímil</v>
      </c>
      <c r="K5474" s="15" t="s">
        <v>23</v>
      </c>
    </row>
    <row r="5475" spans="1:11" ht="42" customHeight="1">
      <c r="A5475" s="4" t="s">
        <v>13097</v>
      </c>
      <c r="B5475" s="5" t="s">
        <v>13098</v>
      </c>
      <c r="C5475" s="5" t="s">
        <v>41</v>
      </c>
      <c r="D5475" s="5" t="s">
        <v>42</v>
      </c>
      <c r="E5475" s="5" t="s">
        <v>3381</v>
      </c>
      <c r="F5475" s="9" t="s">
        <v>3382</v>
      </c>
      <c r="G5475" s="9">
        <v>370</v>
      </c>
      <c r="H5475" s="5" t="s">
        <v>21</v>
      </c>
      <c r="I5475" s="5" t="s">
        <v>13100</v>
      </c>
      <c r="J5475" s="12" t="str">
        <f>HYPERLINK("https://www.boe.es/gazeta/dias/1808/04/12/pdfs/GMD-1808-34.pdf#page=8","Abrir facsímil")</f>
        <v>Abrir facsímil</v>
      </c>
      <c r="K5475" s="15" t="s">
        <v>23</v>
      </c>
    </row>
    <row r="5476" spans="1:11" ht="42" customHeight="1">
      <c r="A5476" s="4" t="s">
        <v>13101</v>
      </c>
      <c r="B5476" s="5" t="s">
        <v>13102</v>
      </c>
      <c r="C5476" s="5" t="s">
        <v>17</v>
      </c>
      <c r="D5476" s="5" t="s">
        <v>18</v>
      </c>
      <c r="E5476" s="5" t="s">
        <v>68</v>
      </c>
      <c r="F5476" s="9" t="s">
        <v>69</v>
      </c>
      <c r="G5476" s="9">
        <v>1337</v>
      </c>
      <c r="H5476" s="5" t="s">
        <v>21</v>
      </c>
      <c r="I5476" s="5" t="s">
        <v>13103</v>
      </c>
      <c r="J5476" s="12" t="str">
        <f>HYPERLINK("https://www.boe.es/gazeta/dias/1808/10/21/pdfs/GMD-1808-136.pdf#page=9","Abrir facsímil")</f>
        <v>Abrir facsímil</v>
      </c>
      <c r="K5476" s="15" t="s">
        <v>23</v>
      </c>
    </row>
    <row r="5477" spans="1:11" ht="42" customHeight="1">
      <c r="A5477" s="4" t="s">
        <v>13104</v>
      </c>
      <c r="B5477" s="5" t="s">
        <v>13105</v>
      </c>
      <c r="C5477" s="5" t="s">
        <v>17</v>
      </c>
      <c r="D5477" s="5" t="s">
        <v>18</v>
      </c>
      <c r="E5477" s="5" t="s">
        <v>73</v>
      </c>
      <c r="F5477" s="9" t="s">
        <v>581</v>
      </c>
      <c r="G5477" s="9">
        <v>1468</v>
      </c>
      <c r="H5477" s="5" t="s">
        <v>21</v>
      </c>
      <c r="I5477" s="5" t="s">
        <v>13106</v>
      </c>
      <c r="J5477" s="12" t="str">
        <f>HYPERLINK("https://www.boe.es/gazeta/dias/1808/11/11/pdfs/GMD-1808-143.pdf#page=10","Abrir facsímil")</f>
        <v>Abrir facsímil</v>
      </c>
      <c r="K5477" s="15" t="s">
        <v>23</v>
      </c>
    </row>
    <row r="5478" spans="1:11" ht="42" customHeight="1">
      <c r="A5478" s="4" t="s">
        <v>13107</v>
      </c>
      <c r="B5478" s="5" t="s">
        <v>13108</v>
      </c>
      <c r="C5478" s="5" t="s">
        <v>41</v>
      </c>
      <c r="D5478" s="5" t="s">
        <v>42</v>
      </c>
      <c r="E5478" s="5" t="s">
        <v>180</v>
      </c>
      <c r="F5478" s="9" t="s">
        <v>768</v>
      </c>
      <c r="G5478" s="9" t="s">
        <v>199</v>
      </c>
      <c r="H5478" s="5" t="s">
        <v>21</v>
      </c>
      <c r="I5478" s="5" t="s">
        <v>13109</v>
      </c>
      <c r="J5478" s="12" t="str">
        <f>HYPERLINK("https://www.boe.es/gazeta/dias/1808/11/15/pdfs/GMD-D-1808-144.pdf#page=2","Abrir facsímil")</f>
        <v>Abrir facsímil</v>
      </c>
      <c r="K5478" s="15" t="s">
        <v>23</v>
      </c>
    </row>
    <row r="5479" spans="1:11" ht="42" customHeight="1">
      <c r="A5479" s="4" t="s">
        <v>13110</v>
      </c>
      <c r="B5479" s="5" t="s">
        <v>13111</v>
      </c>
      <c r="C5479" s="5" t="s">
        <v>17</v>
      </c>
      <c r="D5479" s="5" t="s">
        <v>18</v>
      </c>
      <c r="E5479" s="5" t="s">
        <v>516</v>
      </c>
      <c r="F5479" s="9" t="s">
        <v>517</v>
      </c>
      <c r="G5479" s="9">
        <v>602</v>
      </c>
      <c r="H5479" s="5" t="s">
        <v>21</v>
      </c>
      <c r="I5479" s="5" t="s">
        <v>13112</v>
      </c>
      <c r="J5479" s="12" t="str">
        <f>HYPERLINK("https://www.boe.es/gazeta/dias/1808/06/19/pdfs/GMD-1808-61.pdf#page=8","Abrir facsímil")</f>
        <v>Abrir facsímil</v>
      </c>
      <c r="K5479" s="15" t="s">
        <v>23</v>
      </c>
    </row>
    <row r="5480" spans="1:11" ht="42" customHeight="1">
      <c r="A5480" s="4" t="s">
        <v>13113</v>
      </c>
      <c r="B5480" s="5" t="s">
        <v>13114</v>
      </c>
      <c r="C5480" s="5" t="s">
        <v>17</v>
      </c>
      <c r="D5480" s="5" t="s">
        <v>18</v>
      </c>
      <c r="E5480" s="5" t="s">
        <v>65</v>
      </c>
      <c r="F5480" s="9" t="s">
        <v>66</v>
      </c>
      <c r="G5480" s="9">
        <v>1307</v>
      </c>
      <c r="H5480" s="5" t="s">
        <v>21</v>
      </c>
      <c r="I5480" s="5" t="s">
        <v>13115</v>
      </c>
      <c r="J5480" s="12" t="str">
        <f>HYPERLINK("https://www.boe.es/gazeta/dias/1808/10/18/pdfs/GMD-1808-135.pdf#page=7","Abrir facsímil")</f>
        <v>Abrir facsímil</v>
      </c>
      <c r="K5480" s="15" t="s">
        <v>23</v>
      </c>
    </row>
    <row r="5481" spans="1:11" ht="42" customHeight="1">
      <c r="A5481" s="4" t="s">
        <v>13116</v>
      </c>
      <c r="B5481" s="5" t="s">
        <v>13117</v>
      </c>
      <c r="C5481" s="5" t="s">
        <v>94</v>
      </c>
      <c r="D5481" s="5" t="s">
        <v>95</v>
      </c>
      <c r="E5481" s="5" t="s">
        <v>65</v>
      </c>
      <c r="F5481" s="9" t="s">
        <v>105</v>
      </c>
      <c r="G5481" s="9" t="s">
        <v>106</v>
      </c>
      <c r="H5481" s="5" t="s">
        <v>21</v>
      </c>
      <c r="I5481" s="5" t="s">
        <v>13118</v>
      </c>
      <c r="J5481" s="12" t="str">
        <f>HYPERLINK("https://www.boe.es/gazeta/dias/1808/10/18/pdfs/GMD-D-1808-135.pdf#page=3","Abrir facsímil")</f>
        <v>Abrir facsímil</v>
      </c>
      <c r="K5481" s="15" t="s">
        <v>23</v>
      </c>
    </row>
    <row r="5482" spans="1:11" ht="42" customHeight="1">
      <c r="A5482" s="4" t="s">
        <v>13119</v>
      </c>
      <c r="B5482" s="5" t="s">
        <v>13120</v>
      </c>
      <c r="C5482" s="5" t="s">
        <v>94</v>
      </c>
      <c r="D5482" s="5" t="s">
        <v>95</v>
      </c>
      <c r="E5482" s="5" t="s">
        <v>974</v>
      </c>
      <c r="F5482" s="9" t="s">
        <v>975</v>
      </c>
      <c r="G5482" s="9">
        <v>391</v>
      </c>
      <c r="H5482" s="5" t="s">
        <v>21</v>
      </c>
      <c r="I5482" s="5" t="s">
        <v>13121</v>
      </c>
      <c r="J5482" s="12" t="str">
        <f>HYPERLINK("https://www.boe.es/gazeta/dias/1808/04/19/pdfs/GMD-1808-37.pdf#page=7","Abrir facsímil")</f>
        <v>Abrir facsímil</v>
      </c>
      <c r="K5482" s="15" t="s">
        <v>23</v>
      </c>
    </row>
    <row r="5483" spans="1:11" ht="42" customHeight="1">
      <c r="A5483" s="4" t="s">
        <v>13122</v>
      </c>
      <c r="B5483" s="5" t="s">
        <v>13123</v>
      </c>
      <c r="C5483" s="5" t="s">
        <v>26</v>
      </c>
      <c r="D5483" s="5" t="s">
        <v>27</v>
      </c>
      <c r="E5483" s="5" t="s">
        <v>115</v>
      </c>
      <c r="F5483" s="9" t="s">
        <v>116</v>
      </c>
      <c r="G5483" s="9" t="s">
        <v>117</v>
      </c>
      <c r="H5483" s="5" t="s">
        <v>21</v>
      </c>
      <c r="I5483" s="5" t="s">
        <v>13124</v>
      </c>
      <c r="J5483" s="12" t="str">
        <f>HYPERLINK("https://www.boe.es/gazeta/dias/1808/09/16/pdfs/GMD-C-1808-125.pdf#page=1","Abrir facsímil")</f>
        <v>Abrir facsímil</v>
      </c>
      <c r="K5483" s="15" t="s">
        <v>23</v>
      </c>
    </row>
    <row r="5484" spans="1:11" ht="42" customHeight="1">
      <c r="A5484" s="4" t="s">
        <v>13125</v>
      </c>
      <c r="B5484" s="5" t="s">
        <v>13126</v>
      </c>
      <c r="C5484" s="5" t="s">
        <v>33</v>
      </c>
      <c r="D5484" s="5" t="s">
        <v>34</v>
      </c>
      <c r="E5484" s="5" t="s">
        <v>35</v>
      </c>
      <c r="F5484" s="9" t="s">
        <v>36</v>
      </c>
      <c r="G5484" s="9" t="s">
        <v>43</v>
      </c>
      <c r="H5484" s="5" t="s">
        <v>21</v>
      </c>
      <c r="I5484" s="5" t="s">
        <v>13127</v>
      </c>
      <c r="J5484" s="12" t="str">
        <f>HYPERLINK("https://www.boe.es/gazeta/dias/1808/04/22/pdfs/GMD-C-1808-38.pdf#page=30","Abrir facsímil")</f>
        <v>Abrir facsímil</v>
      </c>
      <c r="K5484" s="15" t="s">
        <v>23</v>
      </c>
    </row>
    <row r="5485" spans="1:11" ht="42" customHeight="1">
      <c r="A5485" s="4" t="s">
        <v>13128</v>
      </c>
      <c r="B5485" s="5" t="s">
        <v>13129</v>
      </c>
      <c r="C5485" s="5" t="s">
        <v>33</v>
      </c>
      <c r="D5485" s="5" t="s">
        <v>34</v>
      </c>
      <c r="E5485" s="5" t="s">
        <v>73</v>
      </c>
      <c r="F5485" s="9" t="s">
        <v>74</v>
      </c>
      <c r="G5485" s="9" t="s">
        <v>117</v>
      </c>
      <c r="H5485" s="5" t="s">
        <v>21</v>
      </c>
      <c r="I5485" s="5" t="s">
        <v>13130</v>
      </c>
      <c r="J5485" s="12" t="str">
        <f>HYPERLINK("https://www.boe.es/gazeta/dias/1808/11/11/pdfs/GMD-D-1808-143.pdf#page=1","Abrir facsímil")</f>
        <v>Abrir facsímil</v>
      </c>
      <c r="K5485" s="15" t="s">
        <v>23</v>
      </c>
    </row>
    <row r="5486" spans="1:11" ht="42" customHeight="1">
      <c r="A5486" s="4" t="s">
        <v>13131</v>
      </c>
      <c r="B5486" s="5" t="s">
        <v>13132</v>
      </c>
      <c r="C5486" s="5" t="s">
        <v>17</v>
      </c>
      <c r="D5486" s="5" t="s">
        <v>18</v>
      </c>
      <c r="E5486" s="5" t="s">
        <v>166</v>
      </c>
      <c r="F5486" s="9" t="s">
        <v>356</v>
      </c>
      <c r="G5486" s="9">
        <v>1509</v>
      </c>
      <c r="H5486" s="5" t="s">
        <v>21</v>
      </c>
      <c r="I5486" s="5" t="s">
        <v>13133</v>
      </c>
      <c r="J5486" s="12" t="str">
        <f>HYPERLINK("https://www.boe.es/gazeta/dias/1808/11/18/pdfs/GMD-1808-145.pdf#page=7","Abrir facsímil")</f>
        <v>Abrir facsímil</v>
      </c>
      <c r="K5486" s="15" t="s">
        <v>23</v>
      </c>
    </row>
    <row r="5487" spans="1:11" ht="42" customHeight="1">
      <c r="A5487" s="4" t="s">
        <v>13134</v>
      </c>
      <c r="B5487" s="5" t="s">
        <v>13135</v>
      </c>
      <c r="C5487" s="5" t="s">
        <v>17</v>
      </c>
      <c r="D5487" s="5" t="s">
        <v>18</v>
      </c>
      <c r="E5487" s="5" t="s">
        <v>130</v>
      </c>
      <c r="F5487" s="9" t="s">
        <v>131</v>
      </c>
      <c r="G5487" s="9">
        <v>1602</v>
      </c>
      <c r="H5487" s="5" t="s">
        <v>21</v>
      </c>
      <c r="I5487" s="5" t="s">
        <v>13136</v>
      </c>
      <c r="J5487" s="12" t="str">
        <f>HYPERLINK("https://www.boe.es/gazeta/dias/1808/12/15/pdfs/GMD-1808-155.pdf#page=6","Abrir facsímil")</f>
        <v>Abrir facsímil</v>
      </c>
      <c r="K5487" s="15" t="s">
        <v>23</v>
      </c>
    </row>
    <row r="5488" spans="1:11" ht="42" customHeight="1">
      <c r="A5488" s="4" t="s">
        <v>13137</v>
      </c>
      <c r="B5488" s="5" t="s">
        <v>13138</v>
      </c>
      <c r="C5488" s="5" t="s">
        <v>33</v>
      </c>
      <c r="D5488" s="5" t="s">
        <v>34</v>
      </c>
      <c r="E5488" s="5" t="s">
        <v>197</v>
      </c>
      <c r="F5488" s="9" t="s">
        <v>198</v>
      </c>
      <c r="G5488" s="9" t="s">
        <v>199</v>
      </c>
      <c r="H5488" s="5" t="s">
        <v>21</v>
      </c>
      <c r="I5488" s="5" t="s">
        <v>13139</v>
      </c>
      <c r="J5488" s="12" t="str">
        <f>HYPERLINK("https://www.boe.es/gazeta/dias/1808/11/01/pdfs/GMD-D-1808-140.pdf#page=2","Abrir facsímil")</f>
        <v>Abrir facsímil</v>
      </c>
      <c r="K5488" s="15" t="s">
        <v>23</v>
      </c>
    </row>
    <row r="5489" spans="1:11" ht="42" customHeight="1">
      <c r="A5489" s="4" t="s">
        <v>13140</v>
      </c>
      <c r="B5489" s="5" t="s">
        <v>13141</v>
      </c>
      <c r="C5489" s="5" t="s">
        <v>33</v>
      </c>
      <c r="D5489" s="5" t="s">
        <v>34</v>
      </c>
      <c r="E5489" s="5" t="s">
        <v>35</v>
      </c>
      <c r="F5489" s="9" t="s">
        <v>36</v>
      </c>
      <c r="G5489" s="9" t="s">
        <v>2643</v>
      </c>
      <c r="H5489" s="5" t="s">
        <v>21</v>
      </c>
      <c r="I5489" s="5" t="s">
        <v>13142</v>
      </c>
      <c r="J5489" s="12" t="str">
        <f>HYPERLINK("https://www.boe.es/gazeta/dias/1808/04/22/pdfs/GMD-C-1808-38.pdf#page=17","Abrir facsímil")</f>
        <v>Abrir facsímil</v>
      </c>
      <c r="K5489" s="15" t="s">
        <v>23</v>
      </c>
    </row>
    <row r="5490" spans="1:11" ht="42" customHeight="1">
      <c r="A5490" s="4" t="s">
        <v>13140</v>
      </c>
      <c r="B5490" s="5" t="s">
        <v>13141</v>
      </c>
      <c r="C5490" s="5" t="s">
        <v>33</v>
      </c>
      <c r="D5490" s="5" t="s">
        <v>34</v>
      </c>
      <c r="E5490" s="5" t="s">
        <v>35</v>
      </c>
      <c r="F5490" s="9" t="s">
        <v>36</v>
      </c>
      <c r="G5490" s="9" t="s">
        <v>956</v>
      </c>
      <c r="H5490" s="5" t="s">
        <v>21</v>
      </c>
      <c r="I5490" s="5" t="s">
        <v>13143</v>
      </c>
      <c r="J5490" s="12" t="str">
        <f>HYPERLINK("https://www.boe.es/gazeta/dias/1808/04/22/pdfs/GMD-C-1808-38.pdf#page=41","Abrir facsímil")</f>
        <v>Abrir facsímil</v>
      </c>
      <c r="K5490" s="15" t="s">
        <v>23</v>
      </c>
    </row>
    <row r="5491" spans="1:11" ht="42" customHeight="1">
      <c r="A5491" s="4" t="s">
        <v>13144</v>
      </c>
      <c r="B5491" s="5" t="s">
        <v>13145</v>
      </c>
      <c r="C5491" s="5" t="s">
        <v>389</v>
      </c>
      <c r="D5491" s="5" t="s">
        <v>390</v>
      </c>
      <c r="E5491" s="5" t="s">
        <v>1821</v>
      </c>
      <c r="F5491" s="9" t="s">
        <v>1874</v>
      </c>
      <c r="G5491" s="9">
        <v>628</v>
      </c>
      <c r="H5491" s="5" t="s">
        <v>21</v>
      </c>
      <c r="I5491" s="5" t="s">
        <v>13146</v>
      </c>
      <c r="J5491" s="12" t="str">
        <f>HYPERLINK("https://www.boe.es/gazeta/dias/1808/06/22/pdfs/GMD-1808-64.pdf#page=6","Abrir facsímil")</f>
        <v>Abrir facsímil</v>
      </c>
      <c r="K5491" s="15" t="s">
        <v>23</v>
      </c>
    </row>
    <row r="5492" spans="1:11" ht="42" customHeight="1">
      <c r="A5492" s="4" t="s">
        <v>13147</v>
      </c>
      <c r="B5492" s="5" t="s">
        <v>13148</v>
      </c>
      <c r="C5492" s="5" t="s">
        <v>17</v>
      </c>
      <c r="D5492" s="5" t="s">
        <v>18</v>
      </c>
      <c r="E5492" s="5" t="s">
        <v>61</v>
      </c>
      <c r="F5492" s="9" t="s">
        <v>62</v>
      </c>
      <c r="G5492" s="9">
        <v>1285</v>
      </c>
      <c r="H5492" s="5" t="s">
        <v>21</v>
      </c>
      <c r="I5492" s="5" t="s">
        <v>13149</v>
      </c>
      <c r="J5492" s="12" t="str">
        <f>HYPERLINK("https://www.boe.es/gazeta/dias/1808/10/11/pdfs/GMD-1808-133.pdf#page=13","Abrir facsímil")</f>
        <v>Abrir facsímil</v>
      </c>
      <c r="K5492" s="15" t="s">
        <v>23</v>
      </c>
    </row>
    <row r="5493" spans="1:11" ht="42" customHeight="1">
      <c r="A5493" s="4" t="s">
        <v>13150</v>
      </c>
      <c r="B5493" s="5" t="s">
        <v>13151</v>
      </c>
      <c r="C5493" s="5" t="s">
        <v>94</v>
      </c>
      <c r="D5493" s="5" t="s">
        <v>95</v>
      </c>
      <c r="E5493" s="5" t="s">
        <v>1472</v>
      </c>
      <c r="F5493" s="9" t="s">
        <v>1473</v>
      </c>
      <c r="G5493" s="9">
        <v>93</v>
      </c>
      <c r="H5493" s="5" t="s">
        <v>21</v>
      </c>
      <c r="I5493" s="5" t="s">
        <v>13152</v>
      </c>
      <c r="J5493" s="12" t="str">
        <f>HYPERLINK("https://www.boe.es/gazeta/dias/1808/01/26/pdfs/GMD-1808-8.pdf#page=9","Abrir facsímil")</f>
        <v>Abrir facsímil</v>
      </c>
      <c r="K5493" s="15" t="s">
        <v>23</v>
      </c>
    </row>
    <row r="5494" spans="1:11" ht="42" customHeight="1">
      <c r="A5494" s="4" t="s">
        <v>13150</v>
      </c>
      <c r="B5494" s="5" t="s">
        <v>13151</v>
      </c>
      <c r="C5494" s="5" t="s">
        <v>41</v>
      </c>
      <c r="D5494" s="5" t="s">
        <v>42</v>
      </c>
      <c r="E5494" s="5" t="s">
        <v>368</v>
      </c>
      <c r="F5494" s="9" t="s">
        <v>369</v>
      </c>
      <c r="G5494" s="9">
        <v>169</v>
      </c>
      <c r="H5494" s="5" t="s">
        <v>21</v>
      </c>
      <c r="I5494" s="5" t="s">
        <v>13153</v>
      </c>
      <c r="J5494" s="12" t="str">
        <f>HYPERLINK("https://www.boe.es/gazeta/dias/1808/02/16/pdfs/GMD-1808-14.pdf#page=11","Abrir facsímil")</f>
        <v>Abrir facsímil</v>
      </c>
      <c r="K5494" s="15" t="s">
        <v>23</v>
      </c>
    </row>
    <row r="5495" spans="1:11" ht="42" customHeight="1">
      <c r="A5495" s="4" t="s">
        <v>13150</v>
      </c>
      <c r="B5495" s="5" t="s">
        <v>13151</v>
      </c>
      <c r="C5495" s="5" t="s">
        <v>17</v>
      </c>
      <c r="D5495" s="5" t="s">
        <v>18</v>
      </c>
      <c r="E5495" s="5" t="s">
        <v>991</v>
      </c>
      <c r="F5495" s="9" t="s">
        <v>992</v>
      </c>
      <c r="G5495" s="9">
        <v>222</v>
      </c>
      <c r="H5495" s="5" t="s">
        <v>21</v>
      </c>
      <c r="I5495" s="5" t="s">
        <v>13154</v>
      </c>
      <c r="J5495" s="12" t="str">
        <f>HYPERLINK("https://www.boe.es/gazeta/dias/1808/03/01/pdfs/GMD-1808-18.pdf#page=12","Abrir facsímil")</f>
        <v>Abrir facsímil</v>
      </c>
      <c r="K5495" s="15" t="s">
        <v>23</v>
      </c>
    </row>
    <row r="5496" spans="1:11" ht="42" customHeight="1">
      <c r="A5496" s="4" t="s">
        <v>13150</v>
      </c>
      <c r="B5496" s="5" t="s">
        <v>13151</v>
      </c>
      <c r="C5496" s="5" t="s">
        <v>33</v>
      </c>
      <c r="D5496" s="5" t="s">
        <v>34</v>
      </c>
      <c r="E5496" s="5" t="s">
        <v>391</v>
      </c>
      <c r="F5496" s="9" t="s">
        <v>588</v>
      </c>
      <c r="G5496" s="9" t="s">
        <v>75</v>
      </c>
      <c r="H5496" s="5" t="s">
        <v>21</v>
      </c>
      <c r="I5496" s="5" t="s">
        <v>13155</v>
      </c>
      <c r="J5496" s="12" t="str">
        <f>HYPERLINK("https://www.boe.es/gazeta/dias/1808/09/27/pdfs/GMD-C-1808-128.pdf#page=4","Abrir facsímil")</f>
        <v>Abrir facsímil</v>
      </c>
      <c r="K5496" s="15" t="s">
        <v>23</v>
      </c>
    </row>
    <row r="5497" spans="1:11" ht="42" customHeight="1">
      <c r="A5497" s="4" t="s">
        <v>13150</v>
      </c>
      <c r="B5497" s="5" t="s">
        <v>13151</v>
      </c>
      <c r="C5497" s="5" t="s">
        <v>41</v>
      </c>
      <c r="D5497" s="5" t="s">
        <v>42</v>
      </c>
      <c r="E5497" s="5" t="s">
        <v>197</v>
      </c>
      <c r="F5497" s="9" t="s">
        <v>198</v>
      </c>
      <c r="G5497" s="9" t="s">
        <v>199</v>
      </c>
      <c r="H5497" s="5" t="s">
        <v>21</v>
      </c>
      <c r="I5497" s="5" t="s">
        <v>13156</v>
      </c>
      <c r="J5497" s="12" t="str">
        <f>HYPERLINK("https://www.boe.es/gazeta/dias/1808/11/01/pdfs/GMD-D-1808-140.pdf#page=2","Abrir facsímil")</f>
        <v>Abrir facsímil</v>
      </c>
      <c r="K5497" s="15" t="s">
        <v>23</v>
      </c>
    </row>
    <row r="5498" spans="1:11" ht="42" customHeight="1">
      <c r="A5498" s="4" t="s">
        <v>13150</v>
      </c>
      <c r="B5498" s="5" t="s">
        <v>13151</v>
      </c>
      <c r="C5498" s="5" t="s">
        <v>41</v>
      </c>
      <c r="D5498" s="5" t="s">
        <v>42</v>
      </c>
      <c r="E5498" s="5" t="s">
        <v>180</v>
      </c>
      <c r="F5498" s="9" t="s">
        <v>768</v>
      </c>
      <c r="G5498" s="9" t="s">
        <v>75</v>
      </c>
      <c r="H5498" s="5" t="s">
        <v>21</v>
      </c>
      <c r="I5498" s="5" t="s">
        <v>13157</v>
      </c>
      <c r="J5498" s="12" t="str">
        <f>HYPERLINK("https://www.boe.es/gazeta/dias/1808/11/15/pdfs/GMD-D-1808-144.pdf#page=4","Abrir facsímil")</f>
        <v>Abrir facsímil</v>
      </c>
      <c r="K5498" s="15" t="s">
        <v>23</v>
      </c>
    </row>
    <row r="5499" spans="1:11" ht="42" customHeight="1">
      <c r="A5499" s="4" t="s">
        <v>13150</v>
      </c>
      <c r="B5499" s="5" t="s">
        <v>13151</v>
      </c>
      <c r="C5499" s="5" t="s">
        <v>17</v>
      </c>
      <c r="D5499" s="5" t="s">
        <v>18</v>
      </c>
      <c r="E5499" s="5" t="s">
        <v>558</v>
      </c>
      <c r="F5499" s="9" t="s">
        <v>559</v>
      </c>
      <c r="G5499" s="9">
        <v>1544</v>
      </c>
      <c r="H5499" s="5" t="s">
        <v>21</v>
      </c>
      <c r="I5499" s="5" t="s">
        <v>13158</v>
      </c>
      <c r="J5499" s="12" t="str">
        <f>HYPERLINK("https://www.boe.es/gazeta/dias/1808/11/25/pdfs/GMD-1808-147.pdf#page=10","Abrir facsímil")</f>
        <v>Abrir facsímil</v>
      </c>
      <c r="K5499" s="15" t="s">
        <v>23</v>
      </c>
    </row>
    <row r="5500" spans="1:11" ht="42" customHeight="1">
      <c r="A5500" s="4" t="s">
        <v>13159</v>
      </c>
      <c r="B5500" s="5" t="s">
        <v>13160</v>
      </c>
      <c r="C5500" s="5" t="s">
        <v>94</v>
      </c>
      <c r="D5500" s="5" t="s">
        <v>95</v>
      </c>
      <c r="E5500" s="5" t="s">
        <v>368</v>
      </c>
      <c r="F5500" s="9" t="s">
        <v>369</v>
      </c>
      <c r="G5500" s="9">
        <v>167</v>
      </c>
      <c r="H5500" s="5" t="s">
        <v>21</v>
      </c>
      <c r="I5500" s="5" t="s">
        <v>13161</v>
      </c>
      <c r="J5500" s="12" t="str">
        <f>HYPERLINK("https://www.boe.es/gazeta/dias/1808/02/16/pdfs/GMD-1808-14.pdf#page=9","Abrir facsímil")</f>
        <v>Abrir facsímil</v>
      </c>
      <c r="K5500" s="15" t="s">
        <v>23</v>
      </c>
    </row>
    <row r="5501" spans="1:11" ht="42" customHeight="1">
      <c r="A5501" s="4" t="s">
        <v>13162</v>
      </c>
      <c r="B5501" s="5" t="s">
        <v>13163</v>
      </c>
      <c r="C5501" s="5" t="s">
        <v>33</v>
      </c>
      <c r="D5501" s="5" t="s">
        <v>34</v>
      </c>
      <c r="E5501" s="5" t="s">
        <v>180</v>
      </c>
      <c r="F5501" s="9" t="s">
        <v>768</v>
      </c>
      <c r="G5501" s="9" t="s">
        <v>75</v>
      </c>
      <c r="H5501" s="5" t="s">
        <v>21</v>
      </c>
      <c r="I5501" s="5" t="s">
        <v>13164</v>
      </c>
      <c r="J5501" s="12" t="str">
        <f>HYPERLINK("https://www.boe.es/gazeta/dias/1808/11/15/pdfs/GMD-D-1808-144.pdf#page=4","Abrir facsímil")</f>
        <v>Abrir facsímil</v>
      </c>
      <c r="K5501" s="15" t="s">
        <v>23</v>
      </c>
    </row>
    <row r="5502" spans="1:11" ht="42" customHeight="1">
      <c r="A5502" s="4" t="s">
        <v>13165</v>
      </c>
      <c r="B5502" s="5" t="s">
        <v>13166</v>
      </c>
      <c r="C5502" s="5" t="s">
        <v>41</v>
      </c>
      <c r="D5502" s="5" t="s">
        <v>42</v>
      </c>
      <c r="E5502" s="5" t="s">
        <v>35</v>
      </c>
      <c r="F5502" s="9" t="s">
        <v>36</v>
      </c>
      <c r="G5502" s="9" t="s">
        <v>43</v>
      </c>
      <c r="H5502" s="5" t="s">
        <v>21</v>
      </c>
      <c r="I5502" s="5" t="s">
        <v>13167</v>
      </c>
      <c r="J5502" s="12" t="str">
        <f>HYPERLINK("https://www.boe.es/gazeta/dias/1808/04/22/pdfs/GMD-C-1808-38.pdf#page=30","Abrir facsímil")</f>
        <v>Abrir facsímil</v>
      </c>
      <c r="K5502" s="15" t="s">
        <v>23</v>
      </c>
    </row>
    <row r="5503" spans="1:11" ht="42" customHeight="1">
      <c r="A5503" s="4" t="s">
        <v>13165</v>
      </c>
      <c r="B5503" s="5" t="s">
        <v>13166</v>
      </c>
      <c r="C5503" s="5" t="s">
        <v>17</v>
      </c>
      <c r="D5503" s="5" t="s">
        <v>18</v>
      </c>
      <c r="E5503" s="5" t="s">
        <v>61</v>
      </c>
      <c r="F5503" s="9" t="s">
        <v>62</v>
      </c>
      <c r="G5503" s="9">
        <v>1284</v>
      </c>
      <c r="H5503" s="5" t="s">
        <v>21</v>
      </c>
      <c r="I5503" s="5" t="s">
        <v>13168</v>
      </c>
      <c r="J5503" s="12" t="str">
        <f>HYPERLINK("https://www.boe.es/gazeta/dias/1808/10/11/pdfs/GMD-1808-133.pdf#page=12","Abrir facsímil")</f>
        <v>Abrir facsímil</v>
      </c>
      <c r="K5503" s="15" t="s">
        <v>23</v>
      </c>
    </row>
    <row r="5504" spans="1:11" ht="42" customHeight="1">
      <c r="A5504" s="4" t="s">
        <v>13169</v>
      </c>
      <c r="B5504" s="5" t="s">
        <v>13170</v>
      </c>
      <c r="C5504" s="5" t="s">
        <v>94</v>
      </c>
      <c r="D5504" s="5" t="s">
        <v>95</v>
      </c>
      <c r="E5504" s="5" t="s">
        <v>65</v>
      </c>
      <c r="F5504" s="9" t="s">
        <v>66</v>
      </c>
      <c r="G5504" s="9">
        <v>1307</v>
      </c>
      <c r="H5504" s="5" t="s">
        <v>21</v>
      </c>
      <c r="I5504" s="5" t="s">
        <v>13171</v>
      </c>
      <c r="J5504" s="12" t="str">
        <f>HYPERLINK("https://www.boe.es/gazeta/dias/1808/10/18/pdfs/GMD-1808-135.pdf#page=7","Abrir facsímil")</f>
        <v>Abrir facsímil</v>
      </c>
      <c r="K5504" s="15" t="s">
        <v>23</v>
      </c>
    </row>
    <row r="5505" spans="1:11" ht="42" customHeight="1">
      <c r="A5505" s="4" t="s">
        <v>13172</v>
      </c>
      <c r="B5505" s="5" t="s">
        <v>13173</v>
      </c>
      <c r="C5505" s="5" t="s">
        <v>17</v>
      </c>
      <c r="D5505" s="5" t="s">
        <v>18</v>
      </c>
      <c r="E5505" s="5" t="s">
        <v>110</v>
      </c>
      <c r="F5505" s="9" t="s">
        <v>111</v>
      </c>
      <c r="G5505" s="9">
        <v>1384</v>
      </c>
      <c r="H5505" s="5" t="s">
        <v>21</v>
      </c>
      <c r="I5505" s="5" t="s">
        <v>13174</v>
      </c>
      <c r="J5505" s="12" t="str">
        <f>HYPERLINK("https://www.boe.es/gazeta/dias/1808/10/28/pdfs/GMD-1808-138.pdf#page=10","Abrir facsímil")</f>
        <v>Abrir facsímil</v>
      </c>
      <c r="K5505" s="15" t="s">
        <v>23</v>
      </c>
    </row>
    <row r="5506" spans="1:11" ht="42" customHeight="1">
      <c r="A5506" s="4" t="s">
        <v>13175</v>
      </c>
      <c r="B5506" s="5" t="s">
        <v>13176</v>
      </c>
      <c r="C5506" s="5" t="s">
        <v>41</v>
      </c>
      <c r="D5506" s="5" t="s">
        <v>42</v>
      </c>
      <c r="E5506" s="5" t="s">
        <v>334</v>
      </c>
      <c r="F5506" s="9" t="s">
        <v>1814</v>
      </c>
      <c r="G5506" s="9">
        <v>1248</v>
      </c>
      <c r="H5506" s="5" t="s">
        <v>21</v>
      </c>
      <c r="I5506" s="5" t="s">
        <v>13177</v>
      </c>
      <c r="J5506" s="12" t="str">
        <f>HYPERLINK("https://www.boe.es/gazeta/dias/1808/10/04/pdfs/GMD-1808-131.pdf#page=16","Abrir facsímil")</f>
        <v>Abrir facsímil</v>
      </c>
      <c r="K5506" s="15" t="s">
        <v>23</v>
      </c>
    </row>
    <row r="5507" spans="1:11" ht="42" customHeight="1">
      <c r="A5507" s="4" t="s">
        <v>13178</v>
      </c>
      <c r="B5507" s="5" t="s">
        <v>13179</v>
      </c>
      <c r="C5507" s="5" t="s">
        <v>33</v>
      </c>
      <c r="D5507" s="5" t="s">
        <v>34</v>
      </c>
      <c r="E5507" s="5" t="s">
        <v>35</v>
      </c>
      <c r="F5507" s="9" t="s">
        <v>36</v>
      </c>
      <c r="G5507" s="9" t="s">
        <v>135</v>
      </c>
      <c r="H5507" s="5" t="s">
        <v>21</v>
      </c>
      <c r="I5507" s="5" t="s">
        <v>13180</v>
      </c>
      <c r="J5507" s="12" t="str">
        <f>HYPERLINK("https://www.boe.es/gazeta/dias/1808/04/22/pdfs/GMD-C-1808-38.pdf#page=26","Abrir facsímil")</f>
        <v>Abrir facsímil</v>
      </c>
      <c r="K5507" s="15" t="s">
        <v>23</v>
      </c>
    </row>
    <row r="5508" spans="1:11" ht="42" customHeight="1">
      <c r="A5508" s="4" t="s">
        <v>13181</v>
      </c>
      <c r="B5508" s="5" t="s">
        <v>13182</v>
      </c>
      <c r="C5508" s="5" t="s">
        <v>17</v>
      </c>
      <c r="D5508" s="5" t="s">
        <v>18</v>
      </c>
      <c r="E5508" s="5" t="s">
        <v>130</v>
      </c>
      <c r="F5508" s="9" t="s">
        <v>131</v>
      </c>
      <c r="G5508" s="9">
        <v>1602</v>
      </c>
      <c r="H5508" s="5" t="s">
        <v>21</v>
      </c>
      <c r="I5508" s="5" t="s">
        <v>13183</v>
      </c>
      <c r="J5508" s="12" t="str">
        <f>HYPERLINK("https://www.boe.es/gazeta/dias/1808/12/15/pdfs/GMD-1808-155.pdf#page=6","Abrir facsímil")</f>
        <v>Abrir facsímil</v>
      </c>
      <c r="K5508" s="15" t="s">
        <v>23</v>
      </c>
    </row>
    <row r="5509" spans="1:11" ht="42" customHeight="1">
      <c r="A5509" s="4" t="s">
        <v>13184</v>
      </c>
      <c r="B5509" s="5" t="s">
        <v>13185</v>
      </c>
      <c r="C5509" s="5" t="s">
        <v>33</v>
      </c>
      <c r="D5509" s="5" t="s">
        <v>34</v>
      </c>
      <c r="E5509" s="5" t="s">
        <v>35</v>
      </c>
      <c r="F5509" s="9" t="s">
        <v>36</v>
      </c>
      <c r="G5509" s="9" t="s">
        <v>1006</v>
      </c>
      <c r="H5509" s="5" t="s">
        <v>21</v>
      </c>
      <c r="I5509" s="5" t="s">
        <v>13186</v>
      </c>
      <c r="J5509" s="12" t="str">
        <f>HYPERLINK("https://www.boe.es/gazeta/dias/1808/04/22/pdfs/GMD-C-1808-38.pdf#page=46","Abrir facsímil")</f>
        <v>Abrir facsímil</v>
      </c>
      <c r="K5509" s="15" t="s">
        <v>23</v>
      </c>
    </row>
    <row r="5510" spans="1:11" ht="42" customHeight="1">
      <c r="A5510" s="4" t="s">
        <v>13184</v>
      </c>
      <c r="B5510" s="5" t="s">
        <v>13185</v>
      </c>
      <c r="C5510" s="5" t="s">
        <v>33</v>
      </c>
      <c r="D5510" s="5" t="s">
        <v>34</v>
      </c>
      <c r="E5510" s="5" t="s">
        <v>456</v>
      </c>
      <c r="F5510" s="9" t="s">
        <v>748</v>
      </c>
      <c r="G5510" s="9" t="s">
        <v>199</v>
      </c>
      <c r="H5510" s="5" t="s">
        <v>21</v>
      </c>
      <c r="I5510" s="5" t="s">
        <v>13187</v>
      </c>
      <c r="J5510" s="12" t="str">
        <f>HYPERLINK("https://www.boe.es/gazeta/dias/1808/10/14/pdfs/GMD-C-1808-134.pdf#page=2","Abrir facsímil")</f>
        <v>Abrir facsímil</v>
      </c>
      <c r="K5510" s="15" t="s">
        <v>23</v>
      </c>
    </row>
    <row r="5511" spans="1:11" ht="42" customHeight="1">
      <c r="A5511" s="4" t="s">
        <v>13188</v>
      </c>
      <c r="B5511" s="5" t="s">
        <v>13189</v>
      </c>
      <c r="C5511" s="5" t="s">
        <v>17</v>
      </c>
      <c r="D5511" s="5" t="s">
        <v>18</v>
      </c>
      <c r="E5511" s="5" t="s">
        <v>19</v>
      </c>
      <c r="F5511" s="9" t="s">
        <v>59</v>
      </c>
      <c r="G5511" s="9">
        <v>1229</v>
      </c>
      <c r="H5511" s="5" t="s">
        <v>21</v>
      </c>
      <c r="I5511" s="5" t="s">
        <v>13190</v>
      </c>
      <c r="J5511" s="12" t="str">
        <f>HYPERLINK("https://www.boe.es/gazeta/dias/1808/09/30/pdfs/GMD-1808-130.pdf#page=9","Abrir facsímil")</f>
        <v>Abrir facsímil</v>
      </c>
      <c r="K5511" s="15" t="s">
        <v>23</v>
      </c>
    </row>
    <row r="5512" spans="1:11" ht="42" customHeight="1">
      <c r="A5512" s="4" t="s">
        <v>13188</v>
      </c>
      <c r="B5512" s="5" t="s">
        <v>13189</v>
      </c>
      <c r="C5512" s="5" t="s">
        <v>41</v>
      </c>
      <c r="D5512" s="5" t="s">
        <v>42</v>
      </c>
      <c r="E5512" s="5" t="s">
        <v>28</v>
      </c>
      <c r="F5512" s="9" t="s">
        <v>446</v>
      </c>
      <c r="G5512" s="9" t="s">
        <v>75</v>
      </c>
      <c r="H5512" s="5" t="s">
        <v>21</v>
      </c>
      <c r="I5512" s="5" t="s">
        <v>13191</v>
      </c>
      <c r="J5512" s="12" t="str">
        <f>HYPERLINK("https://www.boe.es/gazeta/dias/1808/11/04/pdfs/GMD-D-1808-141.pdf#page=4","Abrir facsímil")</f>
        <v>Abrir facsímil</v>
      </c>
      <c r="K5512" s="15" t="s">
        <v>23</v>
      </c>
    </row>
    <row r="5513" spans="1:11" ht="42" customHeight="1">
      <c r="A5513" s="4" t="s">
        <v>13188</v>
      </c>
      <c r="B5513" s="5" t="s">
        <v>13189</v>
      </c>
      <c r="C5513" s="5" t="s">
        <v>94</v>
      </c>
      <c r="D5513" s="5" t="s">
        <v>95</v>
      </c>
      <c r="E5513" s="5" t="s">
        <v>558</v>
      </c>
      <c r="F5513" s="9" t="s">
        <v>758</v>
      </c>
      <c r="G5513" s="9" t="s">
        <v>199</v>
      </c>
      <c r="H5513" s="5" t="s">
        <v>21</v>
      </c>
      <c r="I5513" s="5" t="s">
        <v>13192</v>
      </c>
      <c r="J5513" s="12" t="str">
        <f>HYPERLINK("https://www.boe.es/gazeta/dias/1808/11/25/pdfs/GMD-E-1808-147.pdf#page=2","Abrir facsímil")</f>
        <v>Abrir facsímil</v>
      </c>
      <c r="K5513" s="15" t="s">
        <v>23</v>
      </c>
    </row>
    <row r="5514" spans="1:11" ht="42" customHeight="1">
      <c r="A5514" s="4" t="s">
        <v>13193</v>
      </c>
      <c r="B5514" s="5" t="s">
        <v>13194</v>
      </c>
      <c r="C5514" s="5" t="s">
        <v>94</v>
      </c>
      <c r="D5514" s="5" t="s">
        <v>95</v>
      </c>
      <c r="E5514" s="5" t="s">
        <v>96</v>
      </c>
      <c r="F5514" s="9" t="s">
        <v>97</v>
      </c>
      <c r="G5514" s="9">
        <v>266</v>
      </c>
      <c r="H5514" s="5" t="s">
        <v>21</v>
      </c>
      <c r="I5514" s="5" t="s">
        <v>13195</v>
      </c>
      <c r="J5514" s="12" t="str">
        <f>HYPERLINK("https://www.boe.es/gazeta/dias/1808/03/15/pdfs/GMD-1808-22.pdf#page=8","Abrir facsímil")</f>
        <v>Abrir facsímil</v>
      </c>
      <c r="K5514" s="15" t="s">
        <v>23</v>
      </c>
    </row>
    <row r="5515" spans="1:11" ht="42" customHeight="1">
      <c r="A5515" s="4" t="s">
        <v>13196</v>
      </c>
      <c r="B5515" s="5" t="s">
        <v>13197</v>
      </c>
      <c r="C5515" s="5" t="s">
        <v>17</v>
      </c>
      <c r="D5515" s="5" t="s">
        <v>18</v>
      </c>
      <c r="E5515" s="5" t="s">
        <v>115</v>
      </c>
      <c r="F5515" s="9" t="s">
        <v>1650</v>
      </c>
      <c r="G5515" s="9">
        <v>1177</v>
      </c>
      <c r="H5515" s="5" t="s">
        <v>21</v>
      </c>
      <c r="I5515" s="5" t="s">
        <v>13198</v>
      </c>
      <c r="J5515" s="12" t="str">
        <f>HYPERLINK("https://www.boe.es/gazeta/dias/1808/09/16/pdfs/GMD-1808-125.pdf#page=9","Abrir facsímil")</f>
        <v>Abrir facsímil</v>
      </c>
      <c r="K5515" s="15" t="s">
        <v>23</v>
      </c>
    </row>
    <row r="5516" spans="1:11" ht="42" customHeight="1">
      <c r="A5516" s="4" t="s">
        <v>13199</v>
      </c>
      <c r="B5516" s="5" t="s">
        <v>13200</v>
      </c>
      <c r="C5516" s="5" t="s">
        <v>33</v>
      </c>
      <c r="D5516" s="5" t="s">
        <v>34</v>
      </c>
      <c r="E5516" s="5" t="s">
        <v>35</v>
      </c>
      <c r="F5516" s="9" t="s">
        <v>36</v>
      </c>
      <c r="G5516" s="9" t="s">
        <v>414</v>
      </c>
      <c r="H5516" s="5" t="s">
        <v>21</v>
      </c>
      <c r="I5516" s="5" t="s">
        <v>13201</v>
      </c>
      <c r="J5516" s="12" t="str">
        <f>HYPERLINK("https://www.boe.es/gazeta/dias/1808/04/22/pdfs/GMD-C-1808-38.pdf#page=20","Abrir facsímil")</f>
        <v>Abrir facsímil</v>
      </c>
      <c r="K5516" s="15" t="s">
        <v>23</v>
      </c>
    </row>
    <row r="5517" spans="1:11" ht="42" customHeight="1">
      <c r="A5517" s="4" t="s">
        <v>13202</v>
      </c>
      <c r="B5517" s="5" t="s">
        <v>13203</v>
      </c>
      <c r="C5517" s="5" t="s">
        <v>33</v>
      </c>
      <c r="D5517" s="5" t="s">
        <v>34</v>
      </c>
      <c r="E5517" s="5" t="s">
        <v>73</v>
      </c>
      <c r="F5517" s="9" t="s">
        <v>74</v>
      </c>
      <c r="G5517" s="9" t="s">
        <v>117</v>
      </c>
      <c r="H5517" s="5" t="s">
        <v>21</v>
      </c>
      <c r="I5517" s="5" t="s">
        <v>13204</v>
      </c>
      <c r="J5517" s="12" t="str">
        <f>HYPERLINK("https://www.boe.es/gazeta/dias/1808/11/11/pdfs/GMD-D-1808-143.pdf#page=1","Abrir facsímil")</f>
        <v>Abrir facsímil</v>
      </c>
      <c r="K5517" s="15" t="s">
        <v>23</v>
      </c>
    </row>
    <row r="5518" spans="1:11" ht="42" customHeight="1">
      <c r="A5518" s="4" t="s">
        <v>13205</v>
      </c>
      <c r="B5518" s="5" t="s">
        <v>13205</v>
      </c>
      <c r="C5518" s="5" t="s">
        <v>101</v>
      </c>
      <c r="D5518" s="5" t="s">
        <v>102</v>
      </c>
      <c r="E5518" s="5" t="s">
        <v>991</v>
      </c>
      <c r="F5518" s="9" t="s">
        <v>992</v>
      </c>
      <c r="G5518" s="9">
        <v>218</v>
      </c>
      <c r="H5518" s="5" t="s">
        <v>21</v>
      </c>
      <c r="I5518" s="5" t="s">
        <v>13206</v>
      </c>
      <c r="J5518" s="12" t="str">
        <f>HYPERLINK("https://www.boe.es/gazeta/dias/1808/03/01/pdfs/GMD-1808-18.pdf#page=8","Abrir facsímil")</f>
        <v>Abrir facsímil</v>
      </c>
      <c r="K5518" s="15" t="s">
        <v>23</v>
      </c>
    </row>
    <row r="5519" spans="1:11" ht="42" customHeight="1">
      <c r="A5519" s="4" t="s">
        <v>13207</v>
      </c>
      <c r="B5519" s="5" t="s">
        <v>13207</v>
      </c>
      <c r="C5519" s="5" t="s">
        <v>17</v>
      </c>
      <c r="D5519" s="5" t="s">
        <v>18</v>
      </c>
      <c r="E5519" s="5" t="s">
        <v>125</v>
      </c>
      <c r="F5519" s="9" t="s">
        <v>397</v>
      </c>
      <c r="G5519" s="9">
        <v>1270</v>
      </c>
      <c r="H5519" s="5" t="s">
        <v>21</v>
      </c>
      <c r="I5519" s="5" t="s">
        <v>13208</v>
      </c>
      <c r="J5519" s="12" t="str">
        <f>HYPERLINK("https://www.boe.es/gazeta/dias/1808/10/07/pdfs/GMD-1808-132.pdf#page=10","Abrir facsímil")</f>
        <v>Abrir facsímil</v>
      </c>
      <c r="K5519" s="15" t="s">
        <v>23</v>
      </c>
    </row>
    <row r="5520" spans="1:11" ht="42" customHeight="1">
      <c r="A5520" s="4" t="s">
        <v>13209</v>
      </c>
      <c r="B5520" s="5" t="s">
        <v>13210</v>
      </c>
      <c r="C5520" s="5" t="s">
        <v>26</v>
      </c>
      <c r="D5520" s="5" t="s">
        <v>27</v>
      </c>
      <c r="E5520" s="5" t="s">
        <v>19</v>
      </c>
      <c r="F5520" s="9" t="s">
        <v>59</v>
      </c>
      <c r="G5520" s="9">
        <v>1231</v>
      </c>
      <c r="H5520" s="5" t="s">
        <v>21</v>
      </c>
      <c r="I5520" s="5" t="s">
        <v>13211</v>
      </c>
      <c r="J5520" s="12" t="str">
        <f>HYPERLINK("https://www.boe.es/gazeta/dias/1808/09/30/pdfs/GMD-1808-130.pdf#page=11","Abrir facsímil")</f>
        <v>Abrir facsímil</v>
      </c>
      <c r="K5520" s="15" t="s">
        <v>23</v>
      </c>
    </row>
    <row r="5521" spans="1:11" ht="42" customHeight="1">
      <c r="A5521" s="4" t="s">
        <v>13212</v>
      </c>
      <c r="B5521" s="5" t="s">
        <v>13212</v>
      </c>
      <c r="C5521" s="5" t="s">
        <v>17</v>
      </c>
      <c r="D5521" s="5" t="s">
        <v>18</v>
      </c>
      <c r="E5521" s="5" t="s">
        <v>431</v>
      </c>
      <c r="F5521" s="9" t="s">
        <v>432</v>
      </c>
      <c r="G5521" s="9">
        <v>489</v>
      </c>
      <c r="H5521" s="5" t="s">
        <v>21</v>
      </c>
      <c r="I5521" s="5" t="s">
        <v>13213</v>
      </c>
      <c r="J5521" s="12" t="str">
        <f>HYPERLINK("https://www.boe.es/gazeta/dias/1808/12/27/pdfs/GMS-1808-61.pdf#page=5","Abrir facsímil")</f>
        <v>Abrir facsímil</v>
      </c>
      <c r="K5521" s="15" t="s">
        <v>23</v>
      </c>
    </row>
    <row r="5522" spans="1:11" ht="42" customHeight="1">
      <c r="A5522" s="4" t="s">
        <v>13214</v>
      </c>
      <c r="B5522" s="5" t="s">
        <v>13215</v>
      </c>
      <c r="C5522" s="5" t="s">
        <v>94</v>
      </c>
      <c r="D5522" s="5" t="s">
        <v>95</v>
      </c>
      <c r="E5522" s="5" t="s">
        <v>89</v>
      </c>
      <c r="F5522" s="9" t="s">
        <v>90</v>
      </c>
      <c r="G5522" s="9">
        <v>1359</v>
      </c>
      <c r="H5522" s="5" t="s">
        <v>21</v>
      </c>
      <c r="I5522" s="5" t="s">
        <v>13216</v>
      </c>
      <c r="J5522" s="12" t="str">
        <f>HYPERLINK("https://www.boe.es/gazeta/dias/1808/10/25/pdfs/GMD-1808-137.pdf#page=7","Abrir facsímil")</f>
        <v>Abrir facsímil</v>
      </c>
      <c r="K5522" s="15" t="s">
        <v>23</v>
      </c>
    </row>
    <row r="5523" spans="1:11" ht="42" customHeight="1">
      <c r="A5523" s="4" t="s">
        <v>13214</v>
      </c>
      <c r="B5523" s="5" t="s">
        <v>13215</v>
      </c>
      <c r="C5523" s="5" t="s">
        <v>17</v>
      </c>
      <c r="D5523" s="5" t="s">
        <v>18</v>
      </c>
      <c r="E5523" s="5" t="s">
        <v>28</v>
      </c>
      <c r="F5523" s="9" t="s">
        <v>9084</v>
      </c>
      <c r="G5523" s="9">
        <v>366</v>
      </c>
      <c r="H5523" s="5" t="s">
        <v>21</v>
      </c>
      <c r="I5523" s="5" t="s">
        <v>13217</v>
      </c>
      <c r="J5523" s="12" t="str">
        <f>HYPERLINK("https://www.boe.es/gazeta/dias/1808/11/04/pdfs/GMS-1808-46.pdf#page=6","Abrir facsímil")</f>
        <v>Abrir facsímil</v>
      </c>
      <c r="K5523" s="15" t="s">
        <v>23</v>
      </c>
    </row>
    <row r="5524" spans="1:11" ht="42" customHeight="1">
      <c r="A5524" s="4" t="s">
        <v>13214</v>
      </c>
      <c r="B5524" s="5" t="s">
        <v>13215</v>
      </c>
      <c r="C5524" s="5" t="s">
        <v>94</v>
      </c>
      <c r="D5524" s="5" t="s">
        <v>95</v>
      </c>
      <c r="E5524" s="5" t="s">
        <v>73</v>
      </c>
      <c r="F5524" s="9" t="s">
        <v>1570</v>
      </c>
      <c r="G5524" s="9">
        <v>1476</v>
      </c>
      <c r="H5524" s="5" t="s">
        <v>21</v>
      </c>
      <c r="I5524" s="5" t="s">
        <v>13218</v>
      </c>
      <c r="J5524" s="12" t="str">
        <f>HYPERLINK("https://www.boe.es/gazeta/dias/1808/11/11/pdfs/GMD-C-1808-143.pdf#page=6","Abrir facsímil")</f>
        <v>Abrir facsímil</v>
      </c>
      <c r="K5524" s="15" t="s">
        <v>23</v>
      </c>
    </row>
    <row r="5525" spans="1:11" ht="42" customHeight="1">
      <c r="A5525" s="4" t="s">
        <v>13214</v>
      </c>
      <c r="B5525" s="5" t="s">
        <v>13215</v>
      </c>
      <c r="C5525" s="5" t="s">
        <v>94</v>
      </c>
      <c r="D5525" s="5" t="s">
        <v>95</v>
      </c>
      <c r="E5525" s="5" t="s">
        <v>73</v>
      </c>
      <c r="F5525" s="9" t="s">
        <v>1570</v>
      </c>
      <c r="G5525" s="9">
        <v>1478</v>
      </c>
      <c r="H5525" s="5" t="s">
        <v>21</v>
      </c>
      <c r="I5525" s="5" t="s">
        <v>13219</v>
      </c>
      <c r="J5525" s="12" t="str">
        <f>HYPERLINK("https://www.boe.es/gazeta/dias/1808/11/11/pdfs/GMD-C-1808-143.pdf#page=8","Abrir facsímil")</f>
        <v>Abrir facsímil</v>
      </c>
      <c r="K5525" s="15" t="s">
        <v>23</v>
      </c>
    </row>
    <row r="5526" spans="1:11" ht="42" customHeight="1">
      <c r="A5526" s="4" t="s">
        <v>13214</v>
      </c>
      <c r="B5526" s="5" t="s">
        <v>13215</v>
      </c>
      <c r="C5526" s="5" t="s">
        <v>94</v>
      </c>
      <c r="D5526" s="5" t="s">
        <v>95</v>
      </c>
      <c r="E5526" s="5" t="s">
        <v>73</v>
      </c>
      <c r="F5526" s="9" t="s">
        <v>1570</v>
      </c>
      <c r="G5526" s="9">
        <v>1480</v>
      </c>
      <c r="H5526" s="5" t="s">
        <v>21</v>
      </c>
      <c r="I5526" s="5" t="s">
        <v>13220</v>
      </c>
      <c r="J5526" s="12" t="str">
        <f>HYPERLINK("https://www.boe.es/gazeta/dias/1808/11/11/pdfs/GMD-C-1808-143.pdf#page=10","Abrir facsímil")</f>
        <v>Abrir facsímil</v>
      </c>
      <c r="K5526" s="15" t="s">
        <v>23</v>
      </c>
    </row>
    <row r="5527" spans="1:11" ht="42" customHeight="1">
      <c r="A5527" s="4" t="s">
        <v>13214</v>
      </c>
      <c r="B5527" s="5" t="s">
        <v>13215</v>
      </c>
      <c r="C5527" s="5" t="s">
        <v>33</v>
      </c>
      <c r="D5527" s="5" t="s">
        <v>34</v>
      </c>
      <c r="E5527" s="5" t="s">
        <v>73</v>
      </c>
      <c r="F5527" s="9" t="s">
        <v>1570</v>
      </c>
      <c r="G5527" s="9">
        <v>1481</v>
      </c>
      <c r="H5527" s="5" t="s">
        <v>21</v>
      </c>
      <c r="I5527" s="5" t="s">
        <v>13221</v>
      </c>
      <c r="J5527" s="12" t="str">
        <f>HYPERLINK("https://www.boe.es/gazeta/dias/1808/11/11/pdfs/GMD-C-1808-143.pdf#page=11","Abrir facsímil")</f>
        <v>Abrir facsímil</v>
      </c>
      <c r="K5527" s="15" t="s">
        <v>23</v>
      </c>
    </row>
    <row r="5528" spans="1:11" ht="42" customHeight="1">
      <c r="A5528" s="4" t="s">
        <v>13222</v>
      </c>
      <c r="B5528" s="5" t="s">
        <v>13223</v>
      </c>
      <c r="C5528" s="5" t="s">
        <v>33</v>
      </c>
      <c r="D5528" s="5" t="s">
        <v>34</v>
      </c>
      <c r="E5528" s="5" t="s">
        <v>35</v>
      </c>
      <c r="F5528" s="9" t="s">
        <v>36</v>
      </c>
      <c r="G5528" s="9" t="s">
        <v>498</v>
      </c>
      <c r="H5528" s="5" t="s">
        <v>21</v>
      </c>
      <c r="I5528" s="5" t="s">
        <v>13224</v>
      </c>
      <c r="J5528" s="12" t="str">
        <f>HYPERLINK("https://www.boe.es/gazeta/dias/1808/04/22/pdfs/GMD-C-1808-38.pdf#page=22","Abrir facsímil")</f>
        <v>Abrir facsímil</v>
      </c>
      <c r="K5528" s="15" t="s">
        <v>23</v>
      </c>
    </row>
    <row r="5529" spans="1:11" ht="42" customHeight="1">
      <c r="A5529" s="4" t="s">
        <v>13225</v>
      </c>
      <c r="B5529" s="5" t="s">
        <v>13226</v>
      </c>
      <c r="C5529" s="5" t="s">
        <v>33</v>
      </c>
      <c r="D5529" s="5" t="s">
        <v>34</v>
      </c>
      <c r="E5529" s="5" t="s">
        <v>35</v>
      </c>
      <c r="F5529" s="9" t="s">
        <v>36</v>
      </c>
      <c r="G5529" s="9" t="s">
        <v>117</v>
      </c>
      <c r="H5529" s="5" t="s">
        <v>21</v>
      </c>
      <c r="I5529" s="5" t="s">
        <v>13227</v>
      </c>
      <c r="J5529" s="12" t="str">
        <f>HYPERLINK("https://www.boe.es/gazeta/dias/1808/04/22/pdfs/GMD-C-1808-38.pdf#page=1","Abrir facsímil")</f>
        <v>Abrir facsímil</v>
      </c>
      <c r="K5529" s="15" t="s">
        <v>23</v>
      </c>
    </row>
    <row r="5530" spans="1:11" ht="42" customHeight="1">
      <c r="A5530" s="4" t="s">
        <v>13228</v>
      </c>
      <c r="B5530" s="5" t="s">
        <v>13229</v>
      </c>
      <c r="C5530" s="5" t="s">
        <v>33</v>
      </c>
      <c r="D5530" s="5" t="s">
        <v>34</v>
      </c>
      <c r="E5530" s="5" t="s">
        <v>35</v>
      </c>
      <c r="F5530" s="9" t="s">
        <v>36</v>
      </c>
      <c r="G5530" s="9" t="s">
        <v>322</v>
      </c>
      <c r="H5530" s="5" t="s">
        <v>21</v>
      </c>
      <c r="I5530" s="5" t="s">
        <v>13230</v>
      </c>
      <c r="J5530" s="12" t="str">
        <f>HYPERLINK("https://www.boe.es/gazeta/dias/1808/04/22/pdfs/GMD-C-1808-38.pdf#page=15","Abrir facsímil")</f>
        <v>Abrir facsímil</v>
      </c>
      <c r="K5530" s="15" t="s">
        <v>23</v>
      </c>
    </row>
    <row r="5531" spans="1:11" ht="42" customHeight="1">
      <c r="A5531" s="4" t="s">
        <v>13231</v>
      </c>
      <c r="B5531" s="5" t="s">
        <v>13232</v>
      </c>
      <c r="C5531" s="5" t="s">
        <v>26</v>
      </c>
      <c r="D5531" s="5" t="s">
        <v>27</v>
      </c>
      <c r="E5531" s="5" t="s">
        <v>89</v>
      </c>
      <c r="F5531" s="9" t="s">
        <v>90</v>
      </c>
      <c r="G5531" s="9">
        <v>1362</v>
      </c>
      <c r="H5531" s="5" t="s">
        <v>21</v>
      </c>
      <c r="I5531" s="5" t="s">
        <v>13233</v>
      </c>
      <c r="J5531" s="12" t="str">
        <f>HYPERLINK("https://www.boe.es/gazeta/dias/1808/10/25/pdfs/GMD-1808-137.pdf#page=10","Abrir facsímil")</f>
        <v>Abrir facsímil</v>
      </c>
      <c r="K5531" s="15" t="s">
        <v>23</v>
      </c>
    </row>
    <row r="5532" spans="1:11" ht="42" customHeight="1">
      <c r="A5532" s="4" t="s">
        <v>13231</v>
      </c>
      <c r="B5532" s="5" t="s">
        <v>13232</v>
      </c>
      <c r="C5532" s="5" t="s">
        <v>17</v>
      </c>
      <c r="D5532" s="5" t="s">
        <v>18</v>
      </c>
      <c r="E5532" s="5" t="s">
        <v>28</v>
      </c>
      <c r="F5532" s="9" t="s">
        <v>29</v>
      </c>
      <c r="G5532" s="9">
        <v>1429</v>
      </c>
      <c r="H5532" s="5" t="s">
        <v>21</v>
      </c>
      <c r="I5532" s="5" t="s">
        <v>13234</v>
      </c>
      <c r="J5532" s="12" t="str">
        <f>HYPERLINK("https://www.boe.es/gazeta/dias/1808/11/04/pdfs/GMD-1808-141.pdf#page=11","Abrir facsímil")</f>
        <v>Abrir facsímil</v>
      </c>
      <c r="K5532" s="15" t="s">
        <v>23</v>
      </c>
    </row>
    <row r="5533" spans="1:11" ht="42" customHeight="1">
      <c r="A5533" s="4" t="s">
        <v>13235</v>
      </c>
      <c r="B5533" s="5" t="s">
        <v>13236</v>
      </c>
      <c r="C5533" s="5" t="s">
        <v>94</v>
      </c>
      <c r="D5533" s="5" t="s">
        <v>95</v>
      </c>
      <c r="E5533" s="5" t="s">
        <v>558</v>
      </c>
      <c r="F5533" s="9" t="s">
        <v>758</v>
      </c>
      <c r="G5533" s="9" t="s">
        <v>75</v>
      </c>
      <c r="H5533" s="5" t="s">
        <v>21</v>
      </c>
      <c r="I5533" s="5" t="s">
        <v>13237</v>
      </c>
      <c r="J5533" s="12" t="str">
        <f>HYPERLINK("https://www.boe.es/gazeta/dias/1808/11/25/pdfs/GMD-E-1808-147.pdf#page=4","Abrir facsímil")</f>
        <v>Abrir facsímil</v>
      </c>
      <c r="K5533" s="15" t="s">
        <v>23</v>
      </c>
    </row>
    <row r="5534" spans="1:11" ht="42" customHeight="1">
      <c r="A5534" s="4" t="s">
        <v>13238</v>
      </c>
      <c r="B5534" s="5" t="s">
        <v>13239</v>
      </c>
      <c r="C5534" s="5" t="s">
        <v>17</v>
      </c>
      <c r="D5534" s="5" t="s">
        <v>18</v>
      </c>
      <c r="E5534" s="5" t="s">
        <v>130</v>
      </c>
      <c r="F5534" s="9" t="s">
        <v>131</v>
      </c>
      <c r="G5534" s="9">
        <v>1604</v>
      </c>
      <c r="H5534" s="5" t="s">
        <v>21</v>
      </c>
      <c r="I5534" s="5" t="s">
        <v>13240</v>
      </c>
      <c r="J5534" s="12" t="str">
        <f>HYPERLINK("https://www.boe.es/gazeta/dias/1808/12/15/pdfs/GMD-1808-155.pdf#page=8","Abrir facsímil")</f>
        <v>Abrir facsímil</v>
      </c>
      <c r="K5534" s="15" t="s">
        <v>23</v>
      </c>
    </row>
    <row r="5535" spans="1:11" ht="42" customHeight="1">
      <c r="A5535" s="4" t="s">
        <v>13241</v>
      </c>
      <c r="B5535" s="5" t="s">
        <v>13242</v>
      </c>
      <c r="C5535" s="5" t="s">
        <v>41</v>
      </c>
      <c r="D5535" s="5" t="s">
        <v>42</v>
      </c>
      <c r="E5535" s="5" t="s">
        <v>110</v>
      </c>
      <c r="F5535" s="9" t="s">
        <v>111</v>
      </c>
      <c r="G5535" s="9">
        <v>1383</v>
      </c>
      <c r="H5535" s="5" t="s">
        <v>21</v>
      </c>
      <c r="I5535" s="5" t="s">
        <v>13243</v>
      </c>
      <c r="J5535" s="12" t="str">
        <f>HYPERLINK("https://www.boe.es/gazeta/dias/1808/10/28/pdfs/GMD-1808-138.pdf#page=9","Abrir facsímil")</f>
        <v>Abrir facsímil</v>
      </c>
      <c r="K5535" s="15" t="s">
        <v>23</v>
      </c>
    </row>
    <row r="5536" spans="1:11" ht="42" customHeight="1">
      <c r="A5536" s="4" t="s">
        <v>13244</v>
      </c>
      <c r="B5536" s="5" t="s">
        <v>13244</v>
      </c>
      <c r="C5536" s="5" t="s">
        <v>94</v>
      </c>
      <c r="D5536" s="5" t="s">
        <v>95</v>
      </c>
      <c r="E5536" s="5" t="s">
        <v>51</v>
      </c>
      <c r="F5536" s="9" t="s">
        <v>52</v>
      </c>
      <c r="G5536" s="9">
        <v>995</v>
      </c>
      <c r="H5536" s="5" t="s">
        <v>21</v>
      </c>
      <c r="I5536" s="5" t="s">
        <v>13245</v>
      </c>
      <c r="J5536" s="12" t="str">
        <f>HYPERLINK("https://www.boe.es/gazeta/dias/1808/08/09/pdfs/GMD-1808-111.pdf#page=11","Abrir facsímil")</f>
        <v>Abrir facsímil</v>
      </c>
      <c r="K5536" s="15" t="s">
        <v>23</v>
      </c>
    </row>
    <row r="5537" spans="1:11" ht="42" customHeight="1">
      <c r="A5537" s="4" t="s">
        <v>13246</v>
      </c>
      <c r="B5537" s="5" t="s">
        <v>13247</v>
      </c>
      <c r="C5537" s="5" t="s">
        <v>17</v>
      </c>
      <c r="D5537" s="5" t="s">
        <v>18</v>
      </c>
      <c r="E5537" s="5" t="s">
        <v>558</v>
      </c>
      <c r="F5537" s="9" t="s">
        <v>559</v>
      </c>
      <c r="G5537" s="9">
        <v>1544</v>
      </c>
      <c r="H5537" s="5" t="s">
        <v>21</v>
      </c>
      <c r="I5537" s="5" t="s">
        <v>13248</v>
      </c>
      <c r="J5537" s="12" t="str">
        <f>HYPERLINK("https://www.boe.es/gazeta/dias/1808/11/25/pdfs/GMD-1808-147.pdf#page=10","Abrir facsímil")</f>
        <v>Abrir facsímil</v>
      </c>
      <c r="K5537" s="15" t="s">
        <v>23</v>
      </c>
    </row>
    <row r="5538" spans="1:11" ht="42" customHeight="1">
      <c r="A5538" s="4" t="s">
        <v>13249</v>
      </c>
      <c r="B5538" s="5" t="s">
        <v>13249</v>
      </c>
      <c r="C5538" s="5" t="s">
        <v>33</v>
      </c>
      <c r="D5538" s="5" t="s">
        <v>34</v>
      </c>
      <c r="E5538" s="5" t="s">
        <v>35</v>
      </c>
      <c r="F5538" s="9" t="s">
        <v>36</v>
      </c>
      <c r="G5538" s="9" t="s">
        <v>4783</v>
      </c>
      <c r="H5538" s="5" t="s">
        <v>21</v>
      </c>
      <c r="I5538" s="5" t="s">
        <v>13250</v>
      </c>
      <c r="J5538" s="12" t="str">
        <f>HYPERLINK("https://www.boe.es/gazeta/dias/1808/04/22/pdfs/GMD-C-1808-38.pdf#page=36","Abrir facsímil")</f>
        <v>Abrir facsímil</v>
      </c>
      <c r="K5538" s="15" t="s">
        <v>23</v>
      </c>
    </row>
    <row r="5539" spans="1:11" ht="42" customHeight="1">
      <c r="A5539" s="4" t="s">
        <v>13251</v>
      </c>
      <c r="B5539" s="5" t="s">
        <v>13251</v>
      </c>
      <c r="C5539" s="5" t="s">
        <v>33</v>
      </c>
      <c r="D5539" s="5" t="s">
        <v>34</v>
      </c>
      <c r="E5539" s="5" t="s">
        <v>89</v>
      </c>
      <c r="F5539" s="9" t="s">
        <v>563</v>
      </c>
      <c r="G5539" s="9" t="s">
        <v>106</v>
      </c>
      <c r="H5539" s="5" t="s">
        <v>21</v>
      </c>
      <c r="I5539" s="5" t="s">
        <v>13252</v>
      </c>
      <c r="J5539" s="12" t="str">
        <f>HYPERLINK("https://www.boe.es/gazeta/dias/1808/10/25/pdfs/GMD-D-1808-137.pdf#page=3","Abrir facsímil")</f>
        <v>Abrir facsímil</v>
      </c>
      <c r="K5539" s="15" t="s">
        <v>23</v>
      </c>
    </row>
    <row r="5540" spans="1:11" ht="42" customHeight="1">
      <c r="A5540" s="4" t="s">
        <v>13253</v>
      </c>
      <c r="B5540" s="5" t="s">
        <v>13254</v>
      </c>
      <c r="C5540" s="5" t="s">
        <v>33</v>
      </c>
      <c r="D5540" s="5" t="s">
        <v>34</v>
      </c>
      <c r="E5540" s="5" t="s">
        <v>35</v>
      </c>
      <c r="F5540" s="9" t="s">
        <v>36</v>
      </c>
      <c r="G5540" s="9" t="s">
        <v>498</v>
      </c>
      <c r="H5540" s="5" t="s">
        <v>21</v>
      </c>
      <c r="I5540" s="5" t="s">
        <v>13255</v>
      </c>
      <c r="J5540" s="12" t="str">
        <f>HYPERLINK("https://www.boe.es/gazeta/dias/1808/04/22/pdfs/GMD-C-1808-38.pdf#page=22","Abrir facsímil")</f>
        <v>Abrir facsímil</v>
      </c>
      <c r="K5540" s="15" t="s">
        <v>23</v>
      </c>
    </row>
    <row r="5541" spans="1:11" ht="42" customHeight="1">
      <c r="A5541" s="4" t="s">
        <v>13256</v>
      </c>
      <c r="B5541" s="5" t="s">
        <v>13256</v>
      </c>
      <c r="C5541" s="5" t="s">
        <v>17</v>
      </c>
      <c r="D5541" s="5" t="s">
        <v>18</v>
      </c>
      <c r="E5541" s="5" t="s">
        <v>207</v>
      </c>
      <c r="F5541" s="9" t="s">
        <v>208</v>
      </c>
      <c r="G5541" s="9">
        <v>196</v>
      </c>
      <c r="H5541" s="5" t="s">
        <v>21</v>
      </c>
      <c r="I5541" s="5" t="s">
        <v>13257</v>
      </c>
      <c r="J5541" s="12" t="str">
        <f>HYPERLINK("https://www.boe.es/gazeta/dias/1808/02/23/pdfs/GMD-1808-16.pdf#page=10","Abrir facsímil")</f>
        <v>Abrir facsímil</v>
      </c>
      <c r="K5541" s="15" t="s">
        <v>23</v>
      </c>
    </row>
    <row r="5542" spans="1:11" ht="42" customHeight="1">
      <c r="A5542" s="4" t="s">
        <v>13258</v>
      </c>
      <c r="B5542" s="5" t="s">
        <v>13258</v>
      </c>
      <c r="C5542" s="5" t="s">
        <v>26</v>
      </c>
      <c r="D5542" s="5" t="s">
        <v>27</v>
      </c>
      <c r="E5542" s="5" t="s">
        <v>65</v>
      </c>
      <c r="F5542" s="9" t="s">
        <v>105</v>
      </c>
      <c r="G5542" s="9" t="s">
        <v>199</v>
      </c>
      <c r="H5542" s="5" t="s">
        <v>21</v>
      </c>
      <c r="I5542" s="5" t="s">
        <v>13259</v>
      </c>
      <c r="J5542" s="12" t="str">
        <f>HYPERLINK("https://www.boe.es/gazeta/dias/1808/10/18/pdfs/GMD-D-1808-135.pdf#page=2","Abrir facsímil")</f>
        <v>Abrir facsímil</v>
      </c>
      <c r="K5542" s="15" t="s">
        <v>23</v>
      </c>
    </row>
    <row r="5543" spans="1:11" ht="42" customHeight="1">
      <c r="A5543" s="4" t="s">
        <v>13260</v>
      </c>
      <c r="B5543" s="5" t="s">
        <v>13260</v>
      </c>
      <c r="C5543" s="5" t="s">
        <v>17</v>
      </c>
      <c r="D5543" s="5" t="s">
        <v>18</v>
      </c>
      <c r="E5543" s="5" t="s">
        <v>130</v>
      </c>
      <c r="F5543" s="9" t="s">
        <v>131</v>
      </c>
      <c r="G5543" s="9">
        <v>1603</v>
      </c>
      <c r="H5543" s="5" t="s">
        <v>21</v>
      </c>
      <c r="I5543" s="5" t="s">
        <v>13261</v>
      </c>
      <c r="J5543" s="12" t="str">
        <f>HYPERLINK("https://www.boe.es/gazeta/dias/1808/12/15/pdfs/GMD-1808-155.pdf#page=7","Abrir facsímil")</f>
        <v>Abrir facsímil</v>
      </c>
      <c r="K5543" s="15" t="s">
        <v>23</v>
      </c>
    </row>
    <row r="5544" spans="1:11" ht="42" customHeight="1">
      <c r="A5544" s="4" t="s">
        <v>13262</v>
      </c>
      <c r="B5544" s="5" t="s">
        <v>13262</v>
      </c>
      <c r="C5544" s="5" t="s">
        <v>33</v>
      </c>
      <c r="D5544" s="5" t="s">
        <v>34</v>
      </c>
      <c r="E5544" s="5" t="s">
        <v>558</v>
      </c>
      <c r="F5544" s="9" t="s">
        <v>758</v>
      </c>
      <c r="G5544" s="9" t="s">
        <v>117</v>
      </c>
      <c r="H5544" s="5" t="s">
        <v>21</v>
      </c>
      <c r="I5544" s="5" t="s">
        <v>13263</v>
      </c>
      <c r="J5544" s="12" t="str">
        <f>HYPERLINK("https://www.boe.es/gazeta/dias/1808/11/25/pdfs/GMD-E-1808-147.pdf#page=1","Abrir facsímil")</f>
        <v>Abrir facsímil</v>
      </c>
      <c r="K5544" s="15" t="s">
        <v>23</v>
      </c>
    </row>
    <row r="5545" spans="1:11" ht="42" customHeight="1">
      <c r="A5545" s="4" t="s">
        <v>13264</v>
      </c>
      <c r="B5545" s="5" t="s">
        <v>13264</v>
      </c>
      <c r="C5545" s="5" t="s">
        <v>33</v>
      </c>
      <c r="D5545" s="5" t="s">
        <v>34</v>
      </c>
      <c r="E5545" s="5" t="s">
        <v>197</v>
      </c>
      <c r="F5545" s="9" t="s">
        <v>198</v>
      </c>
      <c r="G5545" s="9" t="s">
        <v>106</v>
      </c>
      <c r="H5545" s="5" t="s">
        <v>21</v>
      </c>
      <c r="I5545" s="5" t="s">
        <v>13265</v>
      </c>
      <c r="J5545" s="12" t="str">
        <f>HYPERLINK("https://www.boe.es/gazeta/dias/1808/11/01/pdfs/GMD-D-1808-140.pdf#page=3","Abrir facsímil")</f>
        <v>Abrir facsímil</v>
      </c>
      <c r="K5545" s="15" t="s">
        <v>23</v>
      </c>
    </row>
    <row r="5546" spans="1:11" ht="42" customHeight="1">
      <c r="A5546" s="4" t="s">
        <v>13266</v>
      </c>
      <c r="B5546" s="5" t="s">
        <v>13267</v>
      </c>
      <c r="C5546" s="5" t="s">
        <v>94</v>
      </c>
      <c r="D5546" s="5" t="s">
        <v>95</v>
      </c>
      <c r="E5546" s="5" t="s">
        <v>287</v>
      </c>
      <c r="F5546" s="9" t="s">
        <v>489</v>
      </c>
      <c r="G5546" s="9">
        <v>1003</v>
      </c>
      <c r="H5546" s="5" t="s">
        <v>21</v>
      </c>
      <c r="I5546" s="5" t="s">
        <v>13268</v>
      </c>
      <c r="J5546" s="12" t="str">
        <f>HYPERLINK("https://www.boe.es/gazeta/dias/1808/08/12/pdfs/GMD-1808-112.pdf#page=7","Abrir facsímil")</f>
        <v>Abrir facsímil</v>
      </c>
      <c r="K5546" s="15" t="s">
        <v>23</v>
      </c>
    </row>
    <row r="5547" spans="1:11" ht="42" customHeight="1">
      <c r="A5547" s="4" t="s">
        <v>13269</v>
      </c>
      <c r="B5547" s="5" t="s">
        <v>13269</v>
      </c>
      <c r="C5547" s="5" t="s">
        <v>41</v>
      </c>
      <c r="D5547" s="5" t="s">
        <v>42</v>
      </c>
      <c r="E5547" s="5" t="s">
        <v>180</v>
      </c>
      <c r="F5547" s="9" t="s">
        <v>768</v>
      </c>
      <c r="G5547" s="9" t="s">
        <v>199</v>
      </c>
      <c r="H5547" s="5" t="s">
        <v>21</v>
      </c>
      <c r="I5547" s="5" t="s">
        <v>13270</v>
      </c>
      <c r="J5547" s="12" t="str">
        <f>HYPERLINK("https://www.boe.es/gazeta/dias/1808/11/15/pdfs/GMD-D-1808-144.pdf#page=2","Abrir facsímil")</f>
        <v>Abrir facsímil</v>
      </c>
      <c r="K5547" s="15" t="s">
        <v>23</v>
      </c>
    </row>
    <row r="5548" spans="1:11" ht="42" customHeight="1">
      <c r="A5548" s="4" t="s">
        <v>13271</v>
      </c>
      <c r="B5548" s="5" t="s">
        <v>13271</v>
      </c>
      <c r="C5548" s="5" t="s">
        <v>17</v>
      </c>
      <c r="D5548" s="5" t="s">
        <v>18</v>
      </c>
      <c r="E5548" s="5" t="s">
        <v>197</v>
      </c>
      <c r="F5548" s="9" t="s">
        <v>790</v>
      </c>
      <c r="G5548" s="9">
        <v>1407</v>
      </c>
      <c r="H5548" s="5" t="s">
        <v>21</v>
      </c>
      <c r="I5548" s="5" t="s">
        <v>13272</v>
      </c>
      <c r="J5548" s="12" t="str">
        <f>HYPERLINK("https://www.boe.es/gazeta/dias/1808/11/01/pdfs/GMD-1808-140.pdf#page=9","Abrir facsímil")</f>
        <v>Abrir facsímil</v>
      </c>
      <c r="K5548" s="15" t="s">
        <v>23</v>
      </c>
    </row>
    <row r="5549" spans="1:11" ht="42" customHeight="1">
      <c r="A5549" s="4" t="s">
        <v>13273</v>
      </c>
      <c r="B5549" s="5" t="s">
        <v>13274</v>
      </c>
      <c r="C5549" s="5" t="s">
        <v>33</v>
      </c>
      <c r="D5549" s="5" t="s">
        <v>34</v>
      </c>
      <c r="E5549" s="5" t="s">
        <v>65</v>
      </c>
      <c r="F5549" s="9" t="s">
        <v>105</v>
      </c>
      <c r="G5549" s="9" t="s">
        <v>117</v>
      </c>
      <c r="H5549" s="5" t="s">
        <v>21</v>
      </c>
      <c r="I5549" s="5" t="s">
        <v>13275</v>
      </c>
      <c r="J5549" s="12" t="str">
        <f>HYPERLINK("https://www.boe.es/gazeta/dias/1808/10/18/pdfs/GMD-D-1808-135.pdf#page=1","Abrir facsímil")</f>
        <v>Abrir facsímil</v>
      </c>
      <c r="K5549" s="15" t="s">
        <v>23</v>
      </c>
    </row>
    <row r="5550" spans="1:11" ht="42" customHeight="1">
      <c r="A5550" s="4" t="s">
        <v>13276</v>
      </c>
      <c r="B5550" s="5" t="s">
        <v>13277</v>
      </c>
      <c r="C5550" s="5" t="s">
        <v>17</v>
      </c>
      <c r="D5550" s="5" t="s">
        <v>18</v>
      </c>
      <c r="E5550" s="5" t="s">
        <v>166</v>
      </c>
      <c r="F5550" s="9" t="s">
        <v>356</v>
      </c>
      <c r="G5550" s="9">
        <v>1509</v>
      </c>
      <c r="H5550" s="5" t="s">
        <v>21</v>
      </c>
      <c r="I5550" s="5" t="s">
        <v>13278</v>
      </c>
      <c r="J5550" s="12" t="str">
        <f>HYPERLINK("https://www.boe.es/gazeta/dias/1808/11/18/pdfs/GMD-1808-145.pdf#page=7","Abrir facsímil")</f>
        <v>Abrir facsímil</v>
      </c>
      <c r="K5550" s="15" t="s">
        <v>23</v>
      </c>
    </row>
    <row r="5551" spans="1:11" ht="42" customHeight="1">
      <c r="A5551" s="4" t="s">
        <v>13279</v>
      </c>
      <c r="B5551" s="5" t="s">
        <v>13279</v>
      </c>
      <c r="C5551" s="5" t="s">
        <v>17</v>
      </c>
      <c r="D5551" s="5" t="s">
        <v>18</v>
      </c>
      <c r="E5551" s="5" t="s">
        <v>461</v>
      </c>
      <c r="F5551" s="9" t="s">
        <v>733</v>
      </c>
      <c r="G5551" s="9">
        <v>1447</v>
      </c>
      <c r="H5551" s="5" t="s">
        <v>21</v>
      </c>
      <c r="I5551" s="5" t="s">
        <v>13280</v>
      </c>
      <c r="J5551" s="12" t="str">
        <f>HYPERLINK("https://www.boe.es/gazeta/dias/1808/11/08/pdfs/GMD-1808-142.pdf#page=9","Abrir facsímil")</f>
        <v>Abrir facsímil</v>
      </c>
      <c r="K5551" s="15" t="s">
        <v>23</v>
      </c>
    </row>
    <row r="5552" spans="1:11" ht="42" customHeight="1">
      <c r="A5552" s="4" t="s">
        <v>13281</v>
      </c>
      <c r="B5552" s="5" t="s">
        <v>13281</v>
      </c>
      <c r="C5552" s="5" t="s">
        <v>17</v>
      </c>
      <c r="D5552" s="5" t="s">
        <v>18</v>
      </c>
      <c r="E5552" s="5" t="s">
        <v>139</v>
      </c>
      <c r="F5552" s="9" t="s">
        <v>140</v>
      </c>
      <c r="G5552" s="9">
        <v>1204</v>
      </c>
      <c r="H5552" s="5" t="s">
        <v>21</v>
      </c>
      <c r="I5552" s="5" t="s">
        <v>13282</v>
      </c>
      <c r="J5552" s="12" t="str">
        <f>HYPERLINK("https://www.boe.es/gazeta/dias/1808/09/23/pdfs/GMD-1808-127.pdf#page=12","Abrir facsímil")</f>
        <v>Abrir facsímil</v>
      </c>
      <c r="K5552" s="15" t="s">
        <v>23</v>
      </c>
    </row>
    <row r="5553" spans="1:11" ht="42" customHeight="1">
      <c r="A5553" s="4" t="s">
        <v>13283</v>
      </c>
      <c r="B5553" s="5" t="s">
        <v>13283</v>
      </c>
      <c r="C5553" s="5" t="s">
        <v>33</v>
      </c>
      <c r="D5553" s="5" t="s">
        <v>34</v>
      </c>
      <c r="E5553" s="5" t="s">
        <v>35</v>
      </c>
      <c r="F5553" s="9" t="s">
        <v>36</v>
      </c>
      <c r="G5553" s="9" t="s">
        <v>277</v>
      </c>
      <c r="H5553" s="5" t="s">
        <v>21</v>
      </c>
      <c r="I5553" s="5" t="s">
        <v>13284</v>
      </c>
      <c r="J5553" s="12" t="str">
        <f>HYPERLINK("https://www.boe.es/gazeta/dias/1808/04/22/pdfs/GMD-C-1808-38.pdf#page=34","Abrir facsímil")</f>
        <v>Abrir facsímil</v>
      </c>
      <c r="K5553" s="15" t="s">
        <v>23</v>
      </c>
    </row>
    <row r="5554" spans="1:11" ht="42" customHeight="1">
      <c r="A5554" s="4" t="s">
        <v>13285</v>
      </c>
      <c r="B5554" s="5" t="s">
        <v>13285</v>
      </c>
      <c r="C5554" s="5" t="s">
        <v>33</v>
      </c>
      <c r="D5554" s="5" t="s">
        <v>34</v>
      </c>
      <c r="E5554" s="5" t="s">
        <v>35</v>
      </c>
      <c r="F5554" s="9" t="s">
        <v>36</v>
      </c>
      <c r="G5554" s="9" t="s">
        <v>814</v>
      </c>
      <c r="H5554" s="5" t="s">
        <v>21</v>
      </c>
      <c r="I5554" s="5" t="s">
        <v>13286</v>
      </c>
      <c r="J5554" s="12" t="str">
        <f>HYPERLINK("https://www.boe.es/gazeta/dias/1808/04/22/pdfs/GMD-C-1808-38.pdf#page=25","Abrir facsímil")</f>
        <v>Abrir facsímil</v>
      </c>
      <c r="K5554" s="15" t="s">
        <v>23</v>
      </c>
    </row>
    <row r="5555" spans="1:11" ht="42" customHeight="1">
      <c r="A5555" s="4" t="s">
        <v>13287</v>
      </c>
      <c r="B5555" s="5" t="s">
        <v>13287</v>
      </c>
      <c r="C5555" s="5" t="s">
        <v>17</v>
      </c>
      <c r="D5555" s="5" t="s">
        <v>18</v>
      </c>
      <c r="E5555" s="5" t="s">
        <v>461</v>
      </c>
      <c r="F5555" s="9" t="s">
        <v>733</v>
      </c>
      <c r="G5555" s="9">
        <v>1448</v>
      </c>
      <c r="H5555" s="5" t="s">
        <v>21</v>
      </c>
      <c r="I5555" s="5" t="s">
        <v>13288</v>
      </c>
      <c r="J5555" s="12" t="str">
        <f>HYPERLINK("https://www.boe.es/gazeta/dias/1808/11/08/pdfs/GMD-1808-142.pdf#page=10","Abrir facsímil")</f>
        <v>Abrir facsímil</v>
      </c>
      <c r="K5555" s="15" t="s">
        <v>23</v>
      </c>
    </row>
    <row r="5556" spans="1:11" ht="42" customHeight="1">
      <c r="A5556" s="4" t="s">
        <v>13289</v>
      </c>
      <c r="B5556" s="5" t="s">
        <v>13289</v>
      </c>
      <c r="C5556" s="5" t="s">
        <v>33</v>
      </c>
      <c r="D5556" s="5" t="s">
        <v>34</v>
      </c>
      <c r="E5556" s="5" t="s">
        <v>35</v>
      </c>
      <c r="F5556" s="9" t="s">
        <v>36</v>
      </c>
      <c r="G5556" s="9" t="s">
        <v>707</v>
      </c>
      <c r="H5556" s="5" t="s">
        <v>21</v>
      </c>
      <c r="I5556" s="5" t="s">
        <v>13290</v>
      </c>
      <c r="J5556" s="12" t="str">
        <f>HYPERLINK("https://www.boe.es/gazeta/dias/1808/04/22/pdfs/GMD-C-1808-38.pdf#page=42","Abrir facsímil")</f>
        <v>Abrir facsímil</v>
      </c>
      <c r="K5556" s="15" t="s">
        <v>23</v>
      </c>
    </row>
    <row r="5557" spans="1:11" ht="42" customHeight="1">
      <c r="A5557" s="4" t="s">
        <v>13291</v>
      </c>
      <c r="B5557" s="5" t="s">
        <v>13291</v>
      </c>
      <c r="C5557" s="5" t="s">
        <v>260</v>
      </c>
      <c r="D5557" s="5" t="s">
        <v>42</v>
      </c>
      <c r="E5557" s="5" t="s">
        <v>115</v>
      </c>
      <c r="F5557" s="9" t="s">
        <v>1650</v>
      </c>
      <c r="G5557" s="9">
        <v>1177</v>
      </c>
      <c r="H5557" s="5" t="s">
        <v>21</v>
      </c>
      <c r="I5557" s="5" t="s">
        <v>13292</v>
      </c>
      <c r="J5557" s="12" t="str">
        <f>HYPERLINK("https://www.boe.es/gazeta/dias/1808/09/16/pdfs/GMD-1808-125.pdf#page=9","Abrir facsímil")</f>
        <v>Abrir facsímil</v>
      </c>
      <c r="K5557" s="15" t="s">
        <v>23</v>
      </c>
    </row>
    <row r="5558" spans="1:11" ht="42" customHeight="1">
      <c r="A5558" s="4" t="s">
        <v>13293</v>
      </c>
      <c r="B5558" s="5" t="s">
        <v>13294</v>
      </c>
      <c r="C5558" s="5" t="s">
        <v>41</v>
      </c>
      <c r="D5558" s="5" t="s">
        <v>42</v>
      </c>
      <c r="E5558" s="5" t="s">
        <v>35</v>
      </c>
      <c r="F5558" s="9" t="s">
        <v>36</v>
      </c>
      <c r="G5558" s="9" t="s">
        <v>106</v>
      </c>
      <c r="H5558" s="5" t="s">
        <v>21</v>
      </c>
      <c r="I5558" s="5" t="s">
        <v>13295</v>
      </c>
      <c r="J5558" s="12" t="str">
        <f>HYPERLINK("https://www.boe.es/gazeta/dias/1808/04/22/pdfs/GMD-C-1808-38.pdf#page=3","Abrir facsímil")</f>
        <v>Abrir facsímil</v>
      </c>
      <c r="K5558" s="15" t="s">
        <v>23</v>
      </c>
    </row>
    <row r="5559" spans="1:11" ht="42" customHeight="1">
      <c r="A5559" s="4" t="s">
        <v>13296</v>
      </c>
      <c r="B5559" s="5" t="s">
        <v>13297</v>
      </c>
      <c r="C5559" s="5" t="s">
        <v>17</v>
      </c>
      <c r="D5559" s="5" t="s">
        <v>18</v>
      </c>
      <c r="E5559" s="5" t="s">
        <v>714</v>
      </c>
      <c r="F5559" s="9" t="s">
        <v>2736</v>
      </c>
      <c r="G5559" s="9">
        <v>817</v>
      </c>
      <c r="H5559" s="5" t="s">
        <v>21</v>
      </c>
      <c r="I5559" s="5" t="s">
        <v>13298</v>
      </c>
      <c r="J5559" s="12" t="str">
        <f>HYPERLINK("https://www.boe.es/gazeta/dias/1808/07/16/pdfs/GMD-1808-88.pdf#page=3","Abrir facsímil")</f>
        <v>Abrir facsímil</v>
      </c>
      <c r="K5559" s="15" t="s">
        <v>23</v>
      </c>
    </row>
    <row r="5560" spans="1:11" ht="42" customHeight="1">
      <c r="A5560" s="4" t="s">
        <v>13299</v>
      </c>
      <c r="B5560" s="5" t="s">
        <v>13299</v>
      </c>
      <c r="C5560" s="5" t="s">
        <v>17</v>
      </c>
      <c r="D5560" s="5" t="s">
        <v>18</v>
      </c>
      <c r="E5560" s="5" t="s">
        <v>572</v>
      </c>
      <c r="F5560" s="9" t="s">
        <v>573</v>
      </c>
      <c r="G5560" s="9">
        <v>23</v>
      </c>
      <c r="H5560" s="5" t="s">
        <v>21</v>
      </c>
      <c r="I5560" s="5" t="s">
        <v>13300</v>
      </c>
      <c r="J5560" s="12" t="str">
        <f>HYPERLINK("https://www.boe.es/gazeta/dias/1808/01/05/pdfs/GMD-1808-2.pdf#page=11","Abrir facsímil")</f>
        <v>Abrir facsímil</v>
      </c>
      <c r="K5560" s="15" t="s">
        <v>23</v>
      </c>
    </row>
    <row r="5561" spans="1:11" ht="42" customHeight="1">
      <c r="A5561" s="4" t="s">
        <v>13301</v>
      </c>
      <c r="B5561" s="5" t="s">
        <v>13302</v>
      </c>
      <c r="C5561" s="5" t="s">
        <v>17</v>
      </c>
      <c r="D5561" s="5" t="s">
        <v>18</v>
      </c>
      <c r="E5561" s="5" t="s">
        <v>558</v>
      </c>
      <c r="F5561" s="9" t="s">
        <v>559</v>
      </c>
      <c r="G5561" s="9">
        <v>1544</v>
      </c>
      <c r="H5561" s="5" t="s">
        <v>21</v>
      </c>
      <c r="I5561" s="5" t="s">
        <v>13303</v>
      </c>
      <c r="J5561" s="12" t="str">
        <f>HYPERLINK("https://www.boe.es/gazeta/dias/1808/11/25/pdfs/GMD-1808-147.pdf#page=10","Abrir facsímil")</f>
        <v>Abrir facsímil</v>
      </c>
      <c r="K5561" s="15" t="s">
        <v>23</v>
      </c>
    </row>
    <row r="5562" spans="1:11" ht="42" customHeight="1">
      <c r="A5562" s="4" t="s">
        <v>13304</v>
      </c>
      <c r="B5562" s="5" t="s">
        <v>13305</v>
      </c>
      <c r="C5562" s="5" t="s">
        <v>17</v>
      </c>
      <c r="D5562" s="5" t="s">
        <v>18</v>
      </c>
      <c r="E5562" s="5" t="s">
        <v>125</v>
      </c>
      <c r="F5562" s="9" t="s">
        <v>397</v>
      </c>
      <c r="G5562" s="9">
        <v>1269</v>
      </c>
      <c r="H5562" s="5" t="s">
        <v>21</v>
      </c>
      <c r="I5562" s="5" t="s">
        <v>13306</v>
      </c>
      <c r="J5562" s="12" t="str">
        <f>HYPERLINK("https://www.boe.es/gazeta/dias/1808/10/07/pdfs/GMD-1808-132.pdf#page=9","Abrir facsímil")</f>
        <v>Abrir facsímil</v>
      </c>
      <c r="K5562" s="15" t="s">
        <v>23</v>
      </c>
    </row>
    <row r="5563" spans="1:11" ht="42" customHeight="1">
      <c r="A5563" s="4" t="s">
        <v>13307</v>
      </c>
      <c r="B5563" s="5" t="s">
        <v>13308</v>
      </c>
      <c r="C5563" s="5" t="s">
        <v>33</v>
      </c>
      <c r="D5563" s="5" t="s">
        <v>34</v>
      </c>
      <c r="E5563" s="5" t="s">
        <v>35</v>
      </c>
      <c r="F5563" s="9" t="s">
        <v>36</v>
      </c>
      <c r="G5563" s="9" t="s">
        <v>450</v>
      </c>
      <c r="H5563" s="5" t="s">
        <v>21</v>
      </c>
      <c r="I5563" s="5" t="s">
        <v>13309</v>
      </c>
      <c r="J5563" s="12" t="str">
        <f>HYPERLINK("https://www.boe.es/gazeta/dias/1808/04/22/pdfs/GMD-C-1808-38.pdf#page=45","Abrir facsímil")</f>
        <v>Abrir facsímil</v>
      </c>
      <c r="K5563" s="15" t="s">
        <v>23</v>
      </c>
    </row>
    <row r="5564" spans="1:11" ht="42" customHeight="1">
      <c r="A5564" s="4" t="s">
        <v>13310</v>
      </c>
      <c r="B5564" s="5" t="s">
        <v>13311</v>
      </c>
      <c r="C5564" s="5" t="s">
        <v>33</v>
      </c>
      <c r="D5564" s="5" t="s">
        <v>34</v>
      </c>
      <c r="E5564" s="5" t="s">
        <v>35</v>
      </c>
      <c r="F5564" s="9" t="s">
        <v>36</v>
      </c>
      <c r="G5564" s="9" t="s">
        <v>135</v>
      </c>
      <c r="H5564" s="5" t="s">
        <v>21</v>
      </c>
      <c r="I5564" s="5" t="s">
        <v>13312</v>
      </c>
      <c r="J5564" s="12" t="str">
        <f>HYPERLINK("https://www.boe.es/gazeta/dias/1808/04/22/pdfs/GMD-C-1808-38.pdf#page=26","Abrir facsímil")</f>
        <v>Abrir facsímil</v>
      </c>
      <c r="K5564" s="15" t="s">
        <v>23</v>
      </c>
    </row>
    <row r="5565" spans="1:11" ht="42" customHeight="1">
      <c r="A5565" s="4" t="s">
        <v>13313</v>
      </c>
      <c r="B5565" s="5" t="s">
        <v>13313</v>
      </c>
      <c r="C5565" s="5" t="s">
        <v>17</v>
      </c>
      <c r="D5565" s="5" t="s">
        <v>18</v>
      </c>
      <c r="E5565" s="5" t="s">
        <v>513</v>
      </c>
      <c r="F5565" s="9" t="s">
        <v>514</v>
      </c>
      <c r="G5565" s="9">
        <v>284</v>
      </c>
      <c r="H5565" s="5" t="s">
        <v>21</v>
      </c>
      <c r="I5565" s="5" t="s">
        <v>13314</v>
      </c>
      <c r="J5565" s="12" t="str">
        <f>HYPERLINK("https://www.boe.es/gazeta/dias/1808/03/22/pdfs/GMD-1808-24.pdf#page=6","Abrir facsímil")</f>
        <v>Abrir facsímil</v>
      </c>
      <c r="K5565" s="15" t="s">
        <v>23</v>
      </c>
    </row>
    <row r="5566" spans="1:11" ht="42" customHeight="1">
      <c r="A5566" s="4" t="s">
        <v>13315</v>
      </c>
      <c r="B5566" s="5" t="s">
        <v>13315</v>
      </c>
      <c r="C5566" s="5" t="s">
        <v>17</v>
      </c>
      <c r="D5566" s="5" t="s">
        <v>18</v>
      </c>
      <c r="E5566" s="5" t="s">
        <v>513</v>
      </c>
      <c r="F5566" s="9" t="s">
        <v>514</v>
      </c>
      <c r="G5566" s="9">
        <v>285</v>
      </c>
      <c r="H5566" s="5" t="s">
        <v>21</v>
      </c>
      <c r="I5566" s="5" t="s">
        <v>13316</v>
      </c>
      <c r="J5566" s="12" t="str">
        <f>HYPERLINK("https://www.boe.es/gazeta/dias/1808/03/22/pdfs/GMD-1808-24.pdf#page=7","Abrir facsímil")</f>
        <v>Abrir facsímil</v>
      </c>
      <c r="K5566" s="15" t="s">
        <v>23</v>
      </c>
    </row>
    <row r="5567" spans="1:11" ht="42" customHeight="1">
      <c r="A5567" s="4" t="s">
        <v>13317</v>
      </c>
      <c r="B5567" s="5" t="s">
        <v>13318</v>
      </c>
      <c r="C5567" s="5" t="s">
        <v>94</v>
      </c>
      <c r="D5567" s="5" t="s">
        <v>95</v>
      </c>
      <c r="E5567" s="5" t="s">
        <v>368</v>
      </c>
      <c r="F5567" s="9" t="s">
        <v>369</v>
      </c>
      <c r="G5567" s="9">
        <v>167</v>
      </c>
      <c r="H5567" s="5" t="s">
        <v>21</v>
      </c>
      <c r="I5567" s="5" t="s">
        <v>13319</v>
      </c>
      <c r="J5567" s="12" t="str">
        <f>HYPERLINK("https://www.boe.es/gazeta/dias/1808/02/16/pdfs/GMD-1808-14.pdf#page=9","Abrir facsímil")</f>
        <v>Abrir facsímil</v>
      </c>
      <c r="K5567" s="15" t="s">
        <v>23</v>
      </c>
    </row>
    <row r="5568" spans="1:11" ht="42" customHeight="1">
      <c r="A5568" s="4" t="s">
        <v>13320</v>
      </c>
      <c r="B5568" s="5" t="s">
        <v>13321</v>
      </c>
      <c r="C5568" s="5" t="s">
        <v>33</v>
      </c>
      <c r="D5568" s="5" t="s">
        <v>34</v>
      </c>
      <c r="E5568" s="5" t="s">
        <v>35</v>
      </c>
      <c r="F5568" s="9" t="s">
        <v>36</v>
      </c>
      <c r="G5568" s="9" t="s">
        <v>501</v>
      </c>
      <c r="H5568" s="5" t="s">
        <v>21</v>
      </c>
      <c r="I5568" s="5" t="s">
        <v>13322</v>
      </c>
      <c r="J5568" s="12" t="str">
        <f>HYPERLINK("https://www.boe.es/gazeta/dias/1808/04/22/pdfs/GMD-C-1808-38.pdf#page=5","Abrir facsímil")</f>
        <v>Abrir facsímil</v>
      </c>
      <c r="K5568" s="15" t="s">
        <v>23</v>
      </c>
    </row>
    <row r="5569" spans="1:11" ht="42" customHeight="1">
      <c r="A5569" s="4" t="s">
        <v>13323</v>
      </c>
      <c r="B5569" s="5" t="s">
        <v>13324</v>
      </c>
      <c r="C5569" s="5" t="s">
        <v>33</v>
      </c>
      <c r="D5569" s="5" t="s">
        <v>34</v>
      </c>
      <c r="E5569" s="5" t="s">
        <v>35</v>
      </c>
      <c r="F5569" s="9" t="s">
        <v>36</v>
      </c>
      <c r="G5569" s="9" t="s">
        <v>273</v>
      </c>
      <c r="H5569" s="5" t="s">
        <v>21</v>
      </c>
      <c r="I5569" s="5" t="s">
        <v>13325</v>
      </c>
      <c r="J5569" s="12" t="str">
        <f>HYPERLINK("https://www.boe.es/gazeta/dias/1808/04/22/pdfs/GMD-C-1808-38.pdf#page=12","Abrir facsímil")</f>
        <v>Abrir facsímil</v>
      </c>
      <c r="K5569" s="15" t="s">
        <v>23</v>
      </c>
    </row>
    <row r="5570" spans="1:11" ht="42" customHeight="1">
      <c r="A5570" s="4" t="s">
        <v>13326</v>
      </c>
      <c r="B5570" s="5" t="s">
        <v>13326</v>
      </c>
      <c r="C5570" s="5" t="s">
        <v>260</v>
      </c>
      <c r="D5570" s="5" t="s">
        <v>42</v>
      </c>
      <c r="E5570" s="5" t="s">
        <v>65</v>
      </c>
      <c r="F5570" s="9" t="s">
        <v>7955</v>
      </c>
      <c r="G5570" s="9">
        <v>328</v>
      </c>
      <c r="H5570" s="5" t="s">
        <v>21</v>
      </c>
      <c r="I5570" s="5" t="s">
        <v>13327</v>
      </c>
      <c r="J5570" s="12" t="str">
        <f>HYPERLINK("https://www.boe.es/gazeta/dias/1808/10/18/pdfs/GMS-1808-41.pdf#page=8","Abrir facsímil")</f>
        <v>Abrir facsímil</v>
      </c>
      <c r="K5570" s="15" t="s">
        <v>23</v>
      </c>
    </row>
    <row r="5571" spans="1:11" ht="42" customHeight="1">
      <c r="A5571" s="4" t="s">
        <v>13328</v>
      </c>
      <c r="B5571" s="5" t="s">
        <v>13328</v>
      </c>
      <c r="C5571" s="5" t="s">
        <v>33</v>
      </c>
      <c r="D5571" s="5" t="s">
        <v>34</v>
      </c>
      <c r="E5571" s="5" t="s">
        <v>461</v>
      </c>
      <c r="F5571" s="9" t="s">
        <v>462</v>
      </c>
      <c r="G5571" s="9" t="s">
        <v>117</v>
      </c>
      <c r="H5571" s="5" t="s">
        <v>21</v>
      </c>
      <c r="I5571" s="5" t="s">
        <v>13329</v>
      </c>
      <c r="J5571" s="12" t="str">
        <f>HYPERLINK("https://www.boe.es/gazeta/dias/1808/11/08/pdfs/GMD-D-1808-142.pdf#page=1","Abrir facsímil")</f>
        <v>Abrir facsímil</v>
      </c>
      <c r="K5571" s="15" t="s">
        <v>23</v>
      </c>
    </row>
    <row r="5572" spans="1:11" ht="42" customHeight="1">
      <c r="A5572" s="4" t="s">
        <v>13330</v>
      </c>
      <c r="B5572" s="5" t="s">
        <v>13330</v>
      </c>
      <c r="C5572" s="5" t="s">
        <v>101</v>
      </c>
      <c r="D5572" s="5" t="s">
        <v>102</v>
      </c>
      <c r="E5572" s="5" t="s">
        <v>1286</v>
      </c>
      <c r="F5572" s="9" t="s">
        <v>1287</v>
      </c>
      <c r="G5572" s="9">
        <v>1621</v>
      </c>
      <c r="H5572" s="5" t="s">
        <v>21</v>
      </c>
      <c r="I5572" s="5" t="s">
        <v>13331</v>
      </c>
      <c r="J5572" s="12" t="str">
        <f>HYPERLINK("https://www.boe.es/gazeta/dias/1808/12/17/pdfs/GMD-1808-157.pdf#page=1","Abrir facsímil")</f>
        <v>Abrir facsímil</v>
      </c>
      <c r="K5572" s="15" t="s">
        <v>23</v>
      </c>
    </row>
    <row r="5573" spans="1:11" ht="42" customHeight="1">
      <c r="A5573" s="4" t="s">
        <v>13332</v>
      </c>
      <c r="B5573" s="5" t="s">
        <v>13333</v>
      </c>
      <c r="C5573" s="5" t="s">
        <v>33</v>
      </c>
      <c r="D5573" s="5" t="s">
        <v>34</v>
      </c>
      <c r="E5573" s="5" t="s">
        <v>334</v>
      </c>
      <c r="F5573" s="9" t="s">
        <v>335</v>
      </c>
      <c r="G5573" s="9">
        <v>1252</v>
      </c>
      <c r="H5573" s="5" t="s">
        <v>21</v>
      </c>
      <c r="I5573" s="5" t="s">
        <v>13334</v>
      </c>
      <c r="J5573" s="12" t="str">
        <f>HYPERLINK("https://www.boe.es/gazeta/dias/1808/10/04/pdfs/GMD-C-1808-131.pdf#page=4","Abrir facsímil")</f>
        <v>Abrir facsímil</v>
      </c>
      <c r="K5573" s="15" t="s">
        <v>23</v>
      </c>
    </row>
    <row r="5574" spans="1:11" ht="42" customHeight="1">
      <c r="A5574" s="4" t="s">
        <v>13335</v>
      </c>
      <c r="B5574" s="5" t="s">
        <v>13336</v>
      </c>
      <c r="C5574" s="5" t="s">
        <v>17</v>
      </c>
      <c r="D5574" s="5" t="s">
        <v>18</v>
      </c>
      <c r="E5574" s="5" t="s">
        <v>368</v>
      </c>
      <c r="F5574" s="9" t="s">
        <v>369</v>
      </c>
      <c r="G5574" s="9">
        <v>168</v>
      </c>
      <c r="H5574" s="5" t="s">
        <v>21</v>
      </c>
      <c r="I5574" s="5" t="s">
        <v>13337</v>
      </c>
      <c r="J5574" s="12" t="str">
        <f>HYPERLINK("https://www.boe.es/gazeta/dias/1808/02/16/pdfs/GMD-1808-14.pdf#page=10","Abrir facsímil")</f>
        <v>Abrir facsímil</v>
      </c>
      <c r="K5574" s="15" t="s">
        <v>23</v>
      </c>
    </row>
    <row r="5575" spans="1:11" ht="42" customHeight="1">
      <c r="A5575" s="4" t="s">
        <v>13338</v>
      </c>
      <c r="B5575" s="5" t="s">
        <v>13339</v>
      </c>
      <c r="C5575" s="5" t="s">
        <v>94</v>
      </c>
      <c r="D5575" s="5" t="s">
        <v>95</v>
      </c>
      <c r="E5575" s="5" t="s">
        <v>203</v>
      </c>
      <c r="F5575" s="9" t="s">
        <v>204</v>
      </c>
      <c r="G5575" s="9">
        <v>141</v>
      </c>
      <c r="H5575" s="5" t="s">
        <v>21</v>
      </c>
      <c r="I5575" s="5" t="s">
        <v>13340</v>
      </c>
      <c r="J5575" s="12" t="str">
        <f>HYPERLINK("https://www.boe.es/gazeta/dias/1808/02/09/pdfs/GMD-1808-12.pdf#page=9","Abrir facsímil")</f>
        <v>Abrir facsímil</v>
      </c>
      <c r="K5575" s="15" t="s">
        <v>23</v>
      </c>
    </row>
    <row r="5576" spans="1:11" ht="42" customHeight="1">
      <c r="A5576" s="4" t="s">
        <v>13341</v>
      </c>
      <c r="B5576" s="5" t="s">
        <v>13342</v>
      </c>
      <c r="C5576" s="5" t="s">
        <v>94</v>
      </c>
      <c r="D5576" s="5" t="s">
        <v>95</v>
      </c>
      <c r="E5576" s="5" t="s">
        <v>96</v>
      </c>
      <c r="F5576" s="9" t="s">
        <v>97</v>
      </c>
      <c r="G5576" s="9">
        <v>266</v>
      </c>
      <c r="H5576" s="5" t="s">
        <v>21</v>
      </c>
      <c r="I5576" s="5" t="s">
        <v>13343</v>
      </c>
      <c r="J5576" s="12" t="str">
        <f>HYPERLINK("https://www.boe.es/gazeta/dias/1808/03/15/pdfs/GMD-1808-22.pdf#page=8","Abrir facsímil")</f>
        <v>Abrir facsímil</v>
      </c>
      <c r="K5576" s="15" t="s">
        <v>23</v>
      </c>
    </row>
    <row r="5577" spans="1:11" ht="42" customHeight="1">
      <c r="A5577" s="4" t="s">
        <v>13344</v>
      </c>
      <c r="B5577" s="5" t="s">
        <v>13344</v>
      </c>
      <c r="C5577" s="5" t="s">
        <v>41</v>
      </c>
      <c r="D5577" s="5" t="s">
        <v>42</v>
      </c>
      <c r="E5577" s="5" t="s">
        <v>180</v>
      </c>
      <c r="F5577" s="9" t="s">
        <v>768</v>
      </c>
      <c r="G5577" s="9" t="s">
        <v>75</v>
      </c>
      <c r="H5577" s="5" t="s">
        <v>21</v>
      </c>
      <c r="I5577" s="5" t="s">
        <v>13345</v>
      </c>
      <c r="J5577" s="12" t="str">
        <f>HYPERLINK("https://www.boe.es/gazeta/dias/1808/11/15/pdfs/GMD-D-1808-144.pdf#page=4","Abrir facsímil")</f>
        <v>Abrir facsímil</v>
      </c>
      <c r="K5577" s="15" t="s">
        <v>23</v>
      </c>
    </row>
    <row r="5578" spans="1:11" ht="42" customHeight="1">
      <c r="A5578" s="4" t="s">
        <v>13346</v>
      </c>
      <c r="B5578" s="5" t="s">
        <v>13346</v>
      </c>
      <c r="C5578" s="5" t="s">
        <v>101</v>
      </c>
      <c r="D5578" s="5" t="s">
        <v>102</v>
      </c>
      <c r="E5578" s="5" t="s">
        <v>516</v>
      </c>
      <c r="F5578" s="9" t="s">
        <v>517</v>
      </c>
      <c r="G5578" s="9">
        <v>595</v>
      </c>
      <c r="H5578" s="5" t="s">
        <v>21</v>
      </c>
      <c r="I5578" s="5" t="s">
        <v>13347</v>
      </c>
      <c r="J5578" s="12" t="str">
        <f>HYPERLINK("https://www.boe.es/gazeta/dias/1808/06/19/pdfs/GMD-1808-61.pdf#page=1","Abrir facsímil")</f>
        <v>Abrir facsímil</v>
      </c>
      <c r="K5578" s="15" t="s">
        <v>23</v>
      </c>
    </row>
    <row r="5579" spans="1:11" ht="42" customHeight="1">
      <c r="A5579" s="4" t="s">
        <v>13346</v>
      </c>
      <c r="B5579" s="5" t="s">
        <v>13346</v>
      </c>
      <c r="C5579" s="5" t="s">
        <v>94</v>
      </c>
      <c r="D5579" s="5" t="s">
        <v>95</v>
      </c>
      <c r="E5579" s="5" t="s">
        <v>516</v>
      </c>
      <c r="F5579" s="9" t="s">
        <v>517</v>
      </c>
      <c r="G5579" s="9">
        <v>596</v>
      </c>
      <c r="H5579" s="5" t="s">
        <v>21</v>
      </c>
      <c r="I5579" s="5" t="s">
        <v>13348</v>
      </c>
      <c r="J5579" s="12" t="str">
        <f>HYPERLINK("https://www.boe.es/gazeta/dias/1808/06/19/pdfs/GMD-1808-61.pdf#page=2","Abrir facsímil")</f>
        <v>Abrir facsímil</v>
      </c>
      <c r="K5579" s="15" t="s">
        <v>23</v>
      </c>
    </row>
    <row r="5580" spans="1:11" ht="42" customHeight="1">
      <c r="A5580" s="4" t="s">
        <v>13349</v>
      </c>
      <c r="B5580" s="5" t="s">
        <v>13349</v>
      </c>
      <c r="C5580" s="5" t="s">
        <v>94</v>
      </c>
      <c r="D5580" s="5" t="s">
        <v>95</v>
      </c>
      <c r="E5580" s="5" t="s">
        <v>418</v>
      </c>
      <c r="F5580" s="9" t="s">
        <v>3832</v>
      </c>
      <c r="G5580" s="9">
        <v>226</v>
      </c>
      <c r="H5580" s="5" t="s">
        <v>21</v>
      </c>
      <c r="I5580" s="5" t="s">
        <v>13350</v>
      </c>
      <c r="J5580" s="12" t="str">
        <f>HYPERLINK("https://www.boe.es/gazeta/dias/1808/09/06/pdfs/GMS-1808-29.pdf#page=2","Abrir facsímil")</f>
        <v>Abrir facsímil</v>
      </c>
      <c r="K5580" s="15" t="s">
        <v>23</v>
      </c>
    </row>
    <row r="5581" spans="1:11" ht="42" customHeight="1">
      <c r="A5581" s="4" t="s">
        <v>13349</v>
      </c>
      <c r="B5581" s="5" t="s">
        <v>13349</v>
      </c>
      <c r="C5581" s="5" t="s">
        <v>94</v>
      </c>
      <c r="D5581" s="5" t="s">
        <v>95</v>
      </c>
      <c r="E5581" s="5" t="s">
        <v>391</v>
      </c>
      <c r="F5581" s="9" t="s">
        <v>392</v>
      </c>
      <c r="G5581" s="9">
        <v>1205</v>
      </c>
      <c r="H5581" s="5" t="s">
        <v>21</v>
      </c>
      <c r="I5581" s="5" t="s">
        <v>13351</v>
      </c>
      <c r="J5581" s="12" t="str">
        <f>HYPERLINK("https://www.boe.es/gazeta/dias/1808/09/27/pdfs/GMD-1808-128.pdf#page=1","Abrir facsímil")</f>
        <v>Abrir facsímil</v>
      </c>
      <c r="K5581" s="15" t="s">
        <v>23</v>
      </c>
    </row>
    <row r="5582" spans="1:11" ht="42" customHeight="1">
      <c r="A5582" s="4" t="s">
        <v>13349</v>
      </c>
      <c r="B5582" s="5" t="s">
        <v>13349</v>
      </c>
      <c r="C5582" s="5" t="s">
        <v>17</v>
      </c>
      <c r="D5582" s="5" t="s">
        <v>18</v>
      </c>
      <c r="E5582" s="5" t="s">
        <v>1371</v>
      </c>
      <c r="F5582" s="9" t="s">
        <v>1372</v>
      </c>
      <c r="G5582" s="9">
        <v>1670</v>
      </c>
      <c r="H5582" s="5" t="s">
        <v>21</v>
      </c>
      <c r="I5582" s="5" t="s">
        <v>13352</v>
      </c>
      <c r="J5582" s="12" t="str">
        <f>HYPERLINK("https://www.boe.es/gazeta/dias/1808/12/24/pdfs/GMD-1808-164.pdf#page=4","Abrir facsímil")</f>
        <v>Abrir facsímil</v>
      </c>
      <c r="K5582" s="15" t="s">
        <v>23</v>
      </c>
    </row>
    <row r="5583" spans="1:11" ht="42" customHeight="1">
      <c r="A5583" s="4" t="s">
        <v>13353</v>
      </c>
      <c r="B5583" s="5" t="s">
        <v>13353</v>
      </c>
      <c r="C5583" s="5" t="s">
        <v>101</v>
      </c>
      <c r="D5583" s="5" t="s">
        <v>102</v>
      </c>
      <c r="E5583" s="5" t="s">
        <v>684</v>
      </c>
      <c r="F5583" s="9" t="s">
        <v>685</v>
      </c>
      <c r="G5583" s="9">
        <v>375</v>
      </c>
      <c r="H5583" s="5" t="s">
        <v>21</v>
      </c>
      <c r="I5583" s="5" t="s">
        <v>13354</v>
      </c>
      <c r="J5583" s="12" t="str">
        <f>HYPERLINK("https://www.boe.es/gazeta/dias/1808/04/15/pdfs/GMD-1808-35.pdf#page=1","Abrir facsímil")</f>
        <v>Abrir facsímil</v>
      </c>
      <c r="K5583" s="15" t="s">
        <v>23</v>
      </c>
    </row>
    <row r="5584" spans="1:11" ht="42" customHeight="1">
      <c r="A5584" s="4" t="s">
        <v>13355</v>
      </c>
      <c r="B5584" s="5" t="s">
        <v>13355</v>
      </c>
      <c r="C5584" s="5" t="s">
        <v>94</v>
      </c>
      <c r="D5584" s="5" t="s">
        <v>95</v>
      </c>
      <c r="E5584" s="5" t="s">
        <v>516</v>
      </c>
      <c r="F5584" s="9" t="s">
        <v>517</v>
      </c>
      <c r="G5584" s="9">
        <v>596</v>
      </c>
      <c r="H5584" s="5" t="s">
        <v>21</v>
      </c>
      <c r="I5584" s="5" t="s">
        <v>13356</v>
      </c>
      <c r="J5584" s="12" t="str">
        <f>HYPERLINK("https://www.boe.es/gazeta/dias/1808/06/19/pdfs/GMD-1808-61.pdf#page=2","Abrir facsímil")</f>
        <v>Abrir facsímil</v>
      </c>
      <c r="K5584" s="15" t="s">
        <v>23</v>
      </c>
    </row>
    <row r="5585" spans="1:11" ht="42" customHeight="1">
      <c r="A5585" s="4" t="s">
        <v>13357</v>
      </c>
      <c r="B5585" s="5" t="s">
        <v>13358</v>
      </c>
      <c r="C5585" s="5" t="s">
        <v>33</v>
      </c>
      <c r="D5585" s="5" t="s">
        <v>34</v>
      </c>
      <c r="E5585" s="5" t="s">
        <v>153</v>
      </c>
      <c r="F5585" s="9" t="s">
        <v>154</v>
      </c>
      <c r="G5585" s="9" t="s">
        <v>117</v>
      </c>
      <c r="H5585" s="5" t="s">
        <v>21</v>
      </c>
      <c r="I5585" s="5" t="s">
        <v>13359</v>
      </c>
      <c r="J5585" s="12" t="str">
        <f>HYPERLINK("https://www.boe.es/gazeta/dias/1808/09/09/pdfs/GMD-C-1808-121.pdf#page=1","Abrir facsímil")</f>
        <v>Abrir facsímil</v>
      </c>
      <c r="K5585" s="15" t="s">
        <v>23</v>
      </c>
    </row>
    <row r="5586" spans="1:11" ht="42" customHeight="1">
      <c r="A5586" s="4" t="s">
        <v>13360</v>
      </c>
      <c r="B5586" s="5" t="s">
        <v>13361</v>
      </c>
      <c r="C5586" s="5" t="s">
        <v>33</v>
      </c>
      <c r="D5586" s="5" t="s">
        <v>34</v>
      </c>
      <c r="E5586" s="5" t="s">
        <v>35</v>
      </c>
      <c r="F5586" s="9" t="s">
        <v>36</v>
      </c>
      <c r="G5586" s="9" t="s">
        <v>47</v>
      </c>
      <c r="H5586" s="5" t="s">
        <v>21</v>
      </c>
      <c r="I5586" s="5" t="s">
        <v>13362</v>
      </c>
      <c r="J5586" s="12" t="str">
        <f>HYPERLINK("https://www.boe.es/gazeta/dias/1808/04/22/pdfs/GMD-C-1808-38.pdf#page=13","Abrir facsímil")</f>
        <v>Abrir facsímil</v>
      </c>
      <c r="K5586" s="15" t="s">
        <v>23</v>
      </c>
    </row>
    <row r="5587" spans="1:11" ht="42" customHeight="1">
      <c r="A5587" s="4" t="s">
        <v>13363</v>
      </c>
      <c r="B5587" s="5" t="s">
        <v>13364</v>
      </c>
      <c r="C5587" s="5" t="s">
        <v>33</v>
      </c>
      <c r="D5587" s="5" t="s">
        <v>34</v>
      </c>
      <c r="E5587" s="5" t="s">
        <v>35</v>
      </c>
      <c r="F5587" s="9" t="s">
        <v>36</v>
      </c>
      <c r="G5587" s="9" t="s">
        <v>299</v>
      </c>
      <c r="H5587" s="5" t="s">
        <v>21</v>
      </c>
      <c r="I5587" s="5" t="s">
        <v>13365</v>
      </c>
      <c r="J5587" s="12" t="str">
        <f>HYPERLINK("https://www.boe.es/gazeta/dias/1808/04/22/pdfs/GMD-C-1808-38.pdf#page=14","Abrir facsímil")</f>
        <v>Abrir facsímil</v>
      </c>
      <c r="K5587" s="15" t="s">
        <v>23</v>
      </c>
    </row>
    <row r="5588" spans="1:11" ht="42" customHeight="1">
      <c r="A5588" s="4" t="s">
        <v>13366</v>
      </c>
      <c r="B5588" s="5" t="s">
        <v>13367</v>
      </c>
      <c r="C5588" s="5" t="s">
        <v>17</v>
      </c>
      <c r="D5588" s="5" t="s">
        <v>18</v>
      </c>
      <c r="E5588" s="5" t="s">
        <v>3235</v>
      </c>
      <c r="F5588" s="9" t="s">
        <v>3236</v>
      </c>
      <c r="G5588" s="9">
        <v>22</v>
      </c>
      <c r="H5588" s="5" t="s">
        <v>21</v>
      </c>
      <c r="I5588" s="5" t="s">
        <v>13368</v>
      </c>
      <c r="J5588" s="12" t="str">
        <f>HYPERLINK("https://www.boe.es/gazeta/dias/1808/06/08/pdfs/GMS-1808-3.pdf#page=6","Abrir facsímil")</f>
        <v>Abrir facsímil</v>
      </c>
      <c r="K5588" s="15" t="s">
        <v>23</v>
      </c>
    </row>
    <row r="5589" spans="1:11" ht="42" customHeight="1">
      <c r="A5589" s="4" t="s">
        <v>13369</v>
      </c>
      <c r="B5589" s="5" t="s">
        <v>13369</v>
      </c>
      <c r="C5589" s="5" t="s">
        <v>94</v>
      </c>
      <c r="D5589" s="5" t="s">
        <v>95</v>
      </c>
      <c r="E5589" s="5" t="s">
        <v>548</v>
      </c>
      <c r="F5589" s="9" t="s">
        <v>549</v>
      </c>
      <c r="G5589" s="9">
        <v>276</v>
      </c>
      <c r="H5589" s="5" t="s">
        <v>21</v>
      </c>
      <c r="I5589" s="5" t="s">
        <v>13370</v>
      </c>
      <c r="J5589" s="12" t="str">
        <f>HYPERLINK("https://www.boe.es/gazeta/dias/1808/03/18/pdfs/GMD-1808-23.pdf#page=6","Abrir facsímil")</f>
        <v>Abrir facsímil</v>
      </c>
      <c r="K5589" s="15" t="s">
        <v>23</v>
      </c>
    </row>
    <row r="5590" spans="1:11" ht="42" customHeight="1">
      <c r="A5590" s="4" t="s">
        <v>13371</v>
      </c>
      <c r="B5590" s="5" t="s">
        <v>13372</v>
      </c>
      <c r="C5590" s="5" t="s">
        <v>33</v>
      </c>
      <c r="D5590" s="5" t="s">
        <v>34</v>
      </c>
      <c r="E5590" s="5" t="s">
        <v>363</v>
      </c>
      <c r="F5590" s="9" t="s">
        <v>364</v>
      </c>
      <c r="G5590" s="9" t="s">
        <v>75</v>
      </c>
      <c r="H5590" s="5" t="s">
        <v>21</v>
      </c>
      <c r="I5590" s="5" t="s">
        <v>13373</v>
      </c>
      <c r="J5590" s="12" t="str">
        <f>HYPERLINK("https://www.boe.es/gazeta/dias/1808/09/20/pdfs/GMD-C-1808-126.pdf#page=4","Abrir facsímil")</f>
        <v>Abrir facsímil</v>
      </c>
      <c r="K5590" s="15" t="s">
        <v>23</v>
      </c>
    </row>
    <row r="5591" spans="1:11" ht="42" customHeight="1">
      <c r="A5591" s="4" t="s">
        <v>13374</v>
      </c>
      <c r="B5591" s="5" t="s">
        <v>13374</v>
      </c>
      <c r="C5591" s="5" t="s">
        <v>17</v>
      </c>
      <c r="D5591" s="5" t="s">
        <v>18</v>
      </c>
      <c r="E5591" s="5" t="s">
        <v>461</v>
      </c>
      <c r="F5591" s="9" t="s">
        <v>733</v>
      </c>
      <c r="G5591" s="9">
        <v>1448</v>
      </c>
      <c r="H5591" s="5" t="s">
        <v>21</v>
      </c>
      <c r="I5591" s="5" t="s">
        <v>13375</v>
      </c>
      <c r="J5591" s="12" t="str">
        <f>HYPERLINK("https://www.boe.es/gazeta/dias/1808/11/08/pdfs/GMD-1808-142.pdf#page=10","Abrir facsímil")</f>
        <v>Abrir facsímil</v>
      </c>
      <c r="K5591" s="15" t="s">
        <v>23</v>
      </c>
    </row>
    <row r="5592" spans="1:11" ht="42" customHeight="1">
      <c r="A5592" s="4" t="s">
        <v>13376</v>
      </c>
      <c r="B5592" s="5" t="s">
        <v>13377</v>
      </c>
      <c r="C5592" s="5" t="s">
        <v>33</v>
      </c>
      <c r="D5592" s="5" t="s">
        <v>34</v>
      </c>
      <c r="E5592" s="5" t="s">
        <v>35</v>
      </c>
      <c r="F5592" s="9" t="s">
        <v>36</v>
      </c>
      <c r="G5592" s="9" t="s">
        <v>106</v>
      </c>
      <c r="H5592" s="5" t="s">
        <v>21</v>
      </c>
      <c r="I5592" s="5" t="s">
        <v>13378</v>
      </c>
      <c r="J5592" s="12" t="str">
        <f>HYPERLINK("https://www.boe.es/gazeta/dias/1808/04/22/pdfs/GMD-C-1808-38.pdf#page=3","Abrir facsímil")</f>
        <v>Abrir facsímil</v>
      </c>
      <c r="K5592" s="15" t="s">
        <v>23</v>
      </c>
    </row>
    <row r="5593" spans="1:11" ht="42" customHeight="1">
      <c r="A5593" s="4" t="s">
        <v>13379</v>
      </c>
      <c r="B5593" s="5" t="s">
        <v>13380</v>
      </c>
      <c r="C5593" s="5" t="s">
        <v>33</v>
      </c>
      <c r="D5593" s="5" t="s">
        <v>34</v>
      </c>
      <c r="E5593" s="5" t="s">
        <v>35</v>
      </c>
      <c r="F5593" s="9" t="s">
        <v>36</v>
      </c>
      <c r="G5593" s="9" t="s">
        <v>199</v>
      </c>
      <c r="H5593" s="5" t="s">
        <v>21</v>
      </c>
      <c r="I5593" s="5" t="s">
        <v>13381</v>
      </c>
      <c r="J5593" s="12" t="str">
        <f>HYPERLINK("https://www.boe.es/gazeta/dias/1808/04/22/pdfs/GMD-C-1808-38.pdf#page=2","Abrir facsímil")</f>
        <v>Abrir facsímil</v>
      </c>
      <c r="K5593" s="15" t="s">
        <v>23</v>
      </c>
    </row>
    <row r="5594" spans="1:11" ht="42" customHeight="1">
      <c r="A5594" s="4" t="s">
        <v>13382</v>
      </c>
      <c r="B5594" s="5" t="s">
        <v>13382</v>
      </c>
      <c r="C5594" s="5" t="s">
        <v>101</v>
      </c>
      <c r="D5594" s="5" t="s">
        <v>102</v>
      </c>
      <c r="E5594" s="5" t="s">
        <v>1415</v>
      </c>
      <c r="F5594" s="9" t="s">
        <v>1416</v>
      </c>
      <c r="G5594" s="9">
        <v>414</v>
      </c>
      <c r="H5594" s="5" t="s">
        <v>21</v>
      </c>
      <c r="I5594" s="5" t="s">
        <v>13383</v>
      </c>
      <c r="J5594" s="12" t="str">
        <f>HYPERLINK("https://www.boe.es/gazeta/dias/1808/04/26/pdfs/GMD-1808-41.pdf#page=6","Abrir facsímil")</f>
        <v>Abrir facsímil</v>
      </c>
      <c r="K5594" s="15" t="s">
        <v>23</v>
      </c>
    </row>
    <row r="5595" spans="1:11" ht="42" customHeight="1">
      <c r="A5595" s="4" t="s">
        <v>13384</v>
      </c>
      <c r="B5595" s="5" t="s">
        <v>13385</v>
      </c>
      <c r="C5595" s="5" t="s">
        <v>17</v>
      </c>
      <c r="D5595" s="5" t="s">
        <v>18</v>
      </c>
      <c r="E5595" s="5" t="s">
        <v>461</v>
      </c>
      <c r="F5595" s="9" t="s">
        <v>733</v>
      </c>
      <c r="G5595" s="9">
        <v>1447</v>
      </c>
      <c r="H5595" s="5" t="s">
        <v>21</v>
      </c>
      <c r="I5595" s="5" t="s">
        <v>13386</v>
      </c>
      <c r="J5595" s="12" t="str">
        <f>HYPERLINK("https://www.boe.es/gazeta/dias/1808/11/08/pdfs/GMD-1808-142.pdf#page=9","Abrir facsímil")</f>
        <v>Abrir facsímil</v>
      </c>
      <c r="K5595" s="15" t="s">
        <v>23</v>
      </c>
    </row>
    <row r="5596" spans="1:11" ht="42" customHeight="1">
      <c r="A5596" s="4" t="s">
        <v>13387</v>
      </c>
      <c r="B5596" s="5" t="s">
        <v>13387</v>
      </c>
      <c r="C5596" s="5" t="s">
        <v>17</v>
      </c>
      <c r="D5596" s="5" t="s">
        <v>18</v>
      </c>
      <c r="E5596" s="5" t="s">
        <v>493</v>
      </c>
      <c r="F5596" s="9" t="s">
        <v>494</v>
      </c>
      <c r="G5596" s="9">
        <v>46</v>
      </c>
      <c r="H5596" s="5" t="s">
        <v>21</v>
      </c>
      <c r="I5596" s="5" t="s">
        <v>13388</v>
      </c>
      <c r="J5596" s="12" t="str">
        <f>HYPERLINK("https://www.boe.es/gazeta/dias/1808/01/12/pdfs/GMD-1808-4.pdf#page=10","Abrir facsímil")</f>
        <v>Abrir facsímil</v>
      </c>
      <c r="K5596" s="15" t="s">
        <v>23</v>
      </c>
    </row>
    <row r="5597" spans="1:11" ht="42" customHeight="1">
      <c r="A5597" s="4" t="s">
        <v>13389</v>
      </c>
      <c r="B5597" s="5" t="s">
        <v>13389</v>
      </c>
      <c r="C5597" s="5" t="s">
        <v>33</v>
      </c>
      <c r="D5597" s="5" t="s">
        <v>34</v>
      </c>
      <c r="E5597" s="5" t="s">
        <v>153</v>
      </c>
      <c r="F5597" s="9" t="s">
        <v>154</v>
      </c>
      <c r="G5597" s="9" t="s">
        <v>106</v>
      </c>
      <c r="H5597" s="5" t="s">
        <v>21</v>
      </c>
      <c r="I5597" s="5" t="s">
        <v>13390</v>
      </c>
      <c r="J5597" s="12" t="str">
        <f>HYPERLINK("https://www.boe.es/gazeta/dias/1808/09/09/pdfs/GMD-C-1808-121.pdf#page=3","Abrir facsímil")</f>
        <v>Abrir facsímil</v>
      </c>
      <c r="K5597" s="15" t="s">
        <v>23</v>
      </c>
    </row>
    <row r="5598" spans="1:11" ht="42" customHeight="1">
      <c r="A5598" s="4" t="s">
        <v>13391</v>
      </c>
      <c r="B5598" s="5" t="s">
        <v>13391</v>
      </c>
      <c r="C5598" s="5" t="s">
        <v>33</v>
      </c>
      <c r="D5598" s="5" t="s">
        <v>34</v>
      </c>
      <c r="E5598" s="5" t="s">
        <v>65</v>
      </c>
      <c r="F5598" s="9" t="s">
        <v>691</v>
      </c>
      <c r="G5598" s="9">
        <v>1328</v>
      </c>
      <c r="H5598" s="5" t="s">
        <v>21</v>
      </c>
      <c r="I5598" s="5" t="s">
        <v>13392</v>
      </c>
      <c r="J5598" s="12" t="str">
        <f>HYPERLINK("https://www.boe.es/gazeta/dias/1808/10/18/pdfs/GMD-C-1808-135.pdf#page=12","Abrir facsímil")</f>
        <v>Abrir facsímil</v>
      </c>
      <c r="K5598" s="15" t="s">
        <v>23</v>
      </c>
    </row>
    <row r="5599" spans="1:11" ht="42" customHeight="1">
      <c r="A5599" s="4" t="s">
        <v>13393</v>
      </c>
      <c r="B5599" s="5" t="s">
        <v>13394</v>
      </c>
      <c r="C5599" s="5" t="s">
        <v>94</v>
      </c>
      <c r="D5599" s="5" t="s">
        <v>95</v>
      </c>
      <c r="E5599" s="5" t="s">
        <v>508</v>
      </c>
      <c r="F5599" s="9" t="s">
        <v>1561</v>
      </c>
      <c r="G5599" s="9">
        <v>1027</v>
      </c>
      <c r="H5599" s="5" t="s">
        <v>21</v>
      </c>
      <c r="I5599" s="5" t="s">
        <v>13395</v>
      </c>
      <c r="J5599" s="12" t="str">
        <f>HYPERLINK("https://www.boe.es/gazeta/dias/1808/08/16/pdfs/GMD-C-1808-113.pdf#page=7","Abrir facsímil")</f>
        <v>Abrir facsímil</v>
      </c>
      <c r="K5599" s="15" t="s">
        <v>23</v>
      </c>
    </row>
    <row r="5600" spans="1:11" ht="42" customHeight="1">
      <c r="A5600" s="4" t="s">
        <v>13396</v>
      </c>
      <c r="B5600" s="5" t="s">
        <v>13397</v>
      </c>
      <c r="C5600" s="5" t="s">
        <v>33</v>
      </c>
      <c r="D5600" s="5" t="s">
        <v>34</v>
      </c>
      <c r="E5600" s="5" t="s">
        <v>35</v>
      </c>
      <c r="F5600" s="9" t="s">
        <v>36</v>
      </c>
      <c r="G5600" s="9" t="s">
        <v>135</v>
      </c>
      <c r="H5600" s="5" t="s">
        <v>21</v>
      </c>
      <c r="I5600" s="5" t="s">
        <v>13398</v>
      </c>
      <c r="J5600" s="12" t="str">
        <f>HYPERLINK("https://www.boe.es/gazeta/dias/1808/04/22/pdfs/GMD-C-1808-38.pdf#page=26","Abrir facsímil")</f>
        <v>Abrir facsímil</v>
      </c>
      <c r="K5600" s="15" t="s">
        <v>23</v>
      </c>
    </row>
    <row r="5601" spans="1:11" ht="42" customHeight="1">
      <c r="A5601" s="4" t="s">
        <v>13399</v>
      </c>
      <c r="B5601" s="5" t="s">
        <v>13400</v>
      </c>
      <c r="C5601" s="5" t="s">
        <v>17</v>
      </c>
      <c r="D5601" s="5" t="s">
        <v>18</v>
      </c>
      <c r="E5601" s="5" t="s">
        <v>73</v>
      </c>
      <c r="F5601" s="9" t="s">
        <v>581</v>
      </c>
      <c r="G5601" s="9">
        <v>1465</v>
      </c>
      <c r="H5601" s="5" t="s">
        <v>21</v>
      </c>
      <c r="I5601" s="5" t="s">
        <v>13401</v>
      </c>
      <c r="J5601" s="12" t="str">
        <f>HYPERLINK("https://www.boe.es/gazeta/dias/1808/11/11/pdfs/GMD-1808-143.pdf#page=7","Abrir facsímil")</f>
        <v>Abrir facsímil</v>
      </c>
      <c r="K5601" s="15" t="s">
        <v>23</v>
      </c>
    </row>
    <row r="5602" spans="1:11" ht="42" customHeight="1">
      <c r="A5602" s="4" t="s">
        <v>13402</v>
      </c>
      <c r="B5602" s="5" t="s">
        <v>13402</v>
      </c>
      <c r="C5602" s="5" t="s">
        <v>17</v>
      </c>
      <c r="D5602" s="5" t="s">
        <v>18</v>
      </c>
      <c r="E5602" s="5" t="s">
        <v>210</v>
      </c>
      <c r="F5602" s="9" t="s">
        <v>211</v>
      </c>
      <c r="G5602" s="9">
        <v>253</v>
      </c>
      <c r="H5602" s="5" t="s">
        <v>21</v>
      </c>
      <c r="I5602" s="5" t="s">
        <v>13403</v>
      </c>
      <c r="J5602" s="12" t="str">
        <f>HYPERLINK("https://www.boe.es/gazeta/dias/1808/03/11/pdfs/GMD-1808-21.pdf#page=7","Abrir facsímil")</f>
        <v>Abrir facsímil</v>
      </c>
      <c r="K5602" s="15" t="s">
        <v>23</v>
      </c>
    </row>
    <row r="5603" spans="1:11" ht="42" customHeight="1">
      <c r="A5603" s="4" t="s">
        <v>13404</v>
      </c>
      <c r="B5603" s="5" t="s">
        <v>13404</v>
      </c>
      <c r="C5603" s="5" t="s">
        <v>33</v>
      </c>
      <c r="D5603" s="5" t="s">
        <v>34</v>
      </c>
      <c r="E5603" s="5" t="s">
        <v>139</v>
      </c>
      <c r="F5603" s="9" t="s">
        <v>1089</v>
      </c>
      <c r="G5603" s="9" t="s">
        <v>199</v>
      </c>
      <c r="H5603" s="5" t="s">
        <v>21</v>
      </c>
      <c r="I5603" s="5" t="s">
        <v>13405</v>
      </c>
      <c r="J5603" s="12" t="str">
        <f>HYPERLINK("https://www.boe.es/gazeta/dias/1808/09/23/pdfs/GMD-C-1808-127.pdf#page=2","Abrir facsímil")</f>
        <v>Abrir facsímil</v>
      </c>
      <c r="K5603" s="15" t="s">
        <v>23</v>
      </c>
    </row>
    <row r="5604" spans="1:11" ht="42" customHeight="1">
      <c r="A5604" s="4" t="s">
        <v>13406</v>
      </c>
      <c r="B5604" s="5" t="s">
        <v>13407</v>
      </c>
      <c r="C5604" s="5" t="s">
        <v>33</v>
      </c>
      <c r="D5604" s="5" t="s">
        <v>34</v>
      </c>
      <c r="E5604" s="5" t="s">
        <v>19</v>
      </c>
      <c r="F5604" s="9" t="s">
        <v>949</v>
      </c>
      <c r="G5604" s="9" t="s">
        <v>199</v>
      </c>
      <c r="H5604" s="5" t="s">
        <v>21</v>
      </c>
      <c r="I5604" s="5" t="s">
        <v>13408</v>
      </c>
      <c r="J5604" s="12" t="str">
        <f>HYPERLINK("https://www.boe.es/gazeta/dias/1808/09/30/pdfs/GMD-C-1808-130.pdf#page=2","Abrir facsímil")</f>
        <v>Abrir facsímil</v>
      </c>
      <c r="K5604" s="15" t="s">
        <v>23</v>
      </c>
    </row>
    <row r="5605" spans="1:11" ht="42" customHeight="1">
      <c r="A5605" s="4" t="s">
        <v>13409</v>
      </c>
      <c r="B5605" s="5" t="s">
        <v>13409</v>
      </c>
      <c r="C5605" s="5" t="s">
        <v>94</v>
      </c>
      <c r="D5605" s="5" t="s">
        <v>95</v>
      </c>
      <c r="E5605" s="5" t="s">
        <v>238</v>
      </c>
      <c r="F5605" s="9" t="s">
        <v>239</v>
      </c>
      <c r="G5605" s="9">
        <v>35</v>
      </c>
      <c r="H5605" s="5" t="s">
        <v>21</v>
      </c>
      <c r="I5605" s="5" t="s">
        <v>13410</v>
      </c>
      <c r="J5605" s="12" t="str">
        <f>HYPERLINK("https://www.boe.es/gazeta/dias/1808/01/08/pdfs/GMD-1808-3.pdf#page=11","Abrir facsímil")</f>
        <v>Abrir facsímil</v>
      </c>
      <c r="K5605" s="15" t="s">
        <v>23</v>
      </c>
    </row>
    <row r="5606" spans="1:11" ht="42" customHeight="1">
      <c r="A5606" s="4" t="s">
        <v>13411</v>
      </c>
      <c r="B5606" s="5" t="s">
        <v>13411</v>
      </c>
      <c r="C5606" s="5" t="s">
        <v>41</v>
      </c>
      <c r="D5606" s="5" t="s">
        <v>42</v>
      </c>
      <c r="E5606" s="5" t="s">
        <v>1182</v>
      </c>
      <c r="F5606" s="9" t="s">
        <v>1197</v>
      </c>
      <c r="G5606" s="9">
        <v>658</v>
      </c>
      <c r="H5606" s="5" t="s">
        <v>21</v>
      </c>
      <c r="I5606" s="5" t="s">
        <v>13412</v>
      </c>
      <c r="J5606" s="12" t="str">
        <f>HYPERLINK("https://www.boe.es/gazeta/dias/1808/06/26/pdfs/GMD-1808-68.pdf#page=4","Abrir facsímil")</f>
        <v>Abrir facsímil</v>
      </c>
      <c r="K5606" s="15" t="s">
        <v>23</v>
      </c>
    </row>
    <row r="5607" spans="1:11" ht="42" customHeight="1">
      <c r="A5607" s="4" t="s">
        <v>13413</v>
      </c>
      <c r="B5607" s="5" t="s">
        <v>13414</v>
      </c>
      <c r="C5607" s="5" t="s">
        <v>33</v>
      </c>
      <c r="D5607" s="5" t="s">
        <v>34</v>
      </c>
      <c r="E5607" s="5" t="s">
        <v>180</v>
      </c>
      <c r="F5607" s="9" t="s">
        <v>768</v>
      </c>
      <c r="G5607" s="9" t="s">
        <v>106</v>
      </c>
      <c r="H5607" s="5" t="s">
        <v>21</v>
      </c>
      <c r="I5607" s="5" t="s">
        <v>13415</v>
      </c>
      <c r="J5607" s="12" t="str">
        <f>HYPERLINK("https://www.boe.es/gazeta/dias/1808/11/15/pdfs/GMD-D-1808-144.pdf#page=3","Abrir facsímil")</f>
        <v>Abrir facsímil</v>
      </c>
      <c r="K5607" s="15" t="s">
        <v>23</v>
      </c>
    </row>
    <row r="5608" spans="1:11" ht="42" customHeight="1">
      <c r="A5608" s="4" t="s">
        <v>13416</v>
      </c>
      <c r="B5608" s="5" t="s">
        <v>13417</v>
      </c>
      <c r="C5608" s="5" t="s">
        <v>33</v>
      </c>
      <c r="D5608" s="5" t="s">
        <v>34</v>
      </c>
      <c r="E5608" s="5" t="s">
        <v>153</v>
      </c>
      <c r="F5608" s="9" t="s">
        <v>154</v>
      </c>
      <c r="G5608" s="9" t="s">
        <v>106</v>
      </c>
      <c r="H5608" s="5" t="s">
        <v>21</v>
      </c>
      <c r="I5608" s="5" t="s">
        <v>13418</v>
      </c>
      <c r="J5608" s="12" t="str">
        <f>HYPERLINK("https://www.boe.es/gazeta/dias/1808/09/09/pdfs/GMD-C-1808-121.pdf#page=3","Abrir facsímil")</f>
        <v>Abrir facsímil</v>
      </c>
      <c r="K5608" s="15" t="s">
        <v>23</v>
      </c>
    </row>
    <row r="5609" spans="1:11" ht="42" customHeight="1">
      <c r="A5609" s="4" t="s">
        <v>13419</v>
      </c>
      <c r="B5609" s="5" t="s">
        <v>13420</v>
      </c>
      <c r="C5609" s="5" t="s">
        <v>41</v>
      </c>
      <c r="D5609" s="5" t="s">
        <v>42</v>
      </c>
      <c r="E5609" s="5" t="s">
        <v>427</v>
      </c>
      <c r="F5609" s="9" t="s">
        <v>428</v>
      </c>
      <c r="G5609" s="9" t="s">
        <v>106</v>
      </c>
      <c r="H5609" s="5" t="s">
        <v>21</v>
      </c>
      <c r="I5609" s="5" t="s">
        <v>13421</v>
      </c>
      <c r="J5609" s="12" t="str">
        <f>HYPERLINK("https://www.boe.es/gazeta/dias/1808/11/22/pdfs/GMD-D-1808-146.pdf#page=3","Abrir facsímil")</f>
        <v>Abrir facsímil</v>
      </c>
      <c r="K5609" s="15" t="s">
        <v>23</v>
      </c>
    </row>
    <row r="5610" spans="1:11" ht="42" customHeight="1">
      <c r="A5610" s="4" t="s">
        <v>13422</v>
      </c>
      <c r="B5610" s="5" t="s">
        <v>13423</v>
      </c>
      <c r="C5610" s="5" t="s">
        <v>33</v>
      </c>
      <c r="D5610" s="5" t="s">
        <v>34</v>
      </c>
      <c r="E5610" s="5" t="s">
        <v>68</v>
      </c>
      <c r="F5610" s="9" t="s">
        <v>309</v>
      </c>
      <c r="G5610" s="9" t="s">
        <v>199</v>
      </c>
      <c r="H5610" s="5" t="s">
        <v>21</v>
      </c>
      <c r="I5610" s="5" t="s">
        <v>13424</v>
      </c>
      <c r="J5610" s="12" t="str">
        <f>HYPERLINK("https://www.boe.es/gazeta/dias/1808/10/21/pdfs/GMD-D-1808-136.pdf#page=2","Abrir facsímil")</f>
        <v>Abrir facsímil</v>
      </c>
      <c r="K5610" s="15" t="s">
        <v>23</v>
      </c>
    </row>
    <row r="5611" spans="1:11" ht="42" customHeight="1">
      <c r="A5611" s="4" t="s">
        <v>13425</v>
      </c>
      <c r="B5611" s="5" t="s">
        <v>13426</v>
      </c>
      <c r="C5611" s="5" t="s">
        <v>33</v>
      </c>
      <c r="D5611" s="5" t="s">
        <v>34</v>
      </c>
      <c r="E5611" s="5" t="s">
        <v>125</v>
      </c>
      <c r="F5611" s="9" t="s">
        <v>126</v>
      </c>
      <c r="G5611" s="9" t="s">
        <v>199</v>
      </c>
      <c r="H5611" s="5" t="s">
        <v>21</v>
      </c>
      <c r="I5611" s="5" t="s">
        <v>13427</v>
      </c>
      <c r="J5611" s="12" t="str">
        <f>HYPERLINK("https://www.boe.es/gazeta/dias/1808/10/07/pdfs/GMD-C-1808-132.pdf#page=2","Abrir facsímil")</f>
        <v>Abrir facsímil</v>
      </c>
      <c r="K5611" s="15" t="s">
        <v>23</v>
      </c>
    </row>
    <row r="5612" spans="1:11" ht="42" customHeight="1">
      <c r="A5612" s="4" t="s">
        <v>13428</v>
      </c>
      <c r="B5612" s="5" t="s">
        <v>13429</v>
      </c>
      <c r="C5612" s="5" t="s">
        <v>94</v>
      </c>
      <c r="D5612" s="5" t="s">
        <v>95</v>
      </c>
      <c r="E5612" s="5" t="s">
        <v>96</v>
      </c>
      <c r="F5612" s="9" t="s">
        <v>97</v>
      </c>
      <c r="G5612" s="9">
        <v>266</v>
      </c>
      <c r="H5612" s="5" t="s">
        <v>21</v>
      </c>
      <c r="I5612" s="5" t="s">
        <v>13430</v>
      </c>
      <c r="J5612" s="12" t="str">
        <f>HYPERLINK("https://www.boe.es/gazeta/dias/1808/03/15/pdfs/GMD-1808-22.pdf#page=8","Abrir facsímil")</f>
        <v>Abrir facsímil</v>
      </c>
      <c r="K5612" s="15" t="s">
        <v>23</v>
      </c>
    </row>
    <row r="5613" spans="1:11" ht="42" customHeight="1">
      <c r="A5613" s="4" t="s">
        <v>13431</v>
      </c>
      <c r="B5613" s="5" t="s">
        <v>13432</v>
      </c>
      <c r="C5613" s="5" t="s">
        <v>33</v>
      </c>
      <c r="D5613" s="5" t="s">
        <v>34</v>
      </c>
      <c r="E5613" s="5" t="s">
        <v>197</v>
      </c>
      <c r="F5613" s="9" t="s">
        <v>198</v>
      </c>
      <c r="G5613" s="9" t="s">
        <v>199</v>
      </c>
      <c r="H5613" s="5" t="s">
        <v>21</v>
      </c>
      <c r="I5613" s="5" t="s">
        <v>13433</v>
      </c>
      <c r="J5613" s="12" t="str">
        <f>HYPERLINK("https://www.boe.es/gazeta/dias/1808/11/01/pdfs/GMD-D-1808-140.pdf#page=2","Abrir facsímil")</f>
        <v>Abrir facsímil</v>
      </c>
      <c r="K5613" s="15" t="s">
        <v>23</v>
      </c>
    </row>
    <row r="5614" spans="1:11" ht="42" customHeight="1">
      <c r="A5614" s="4" t="s">
        <v>13434</v>
      </c>
      <c r="B5614" s="5" t="s">
        <v>13435</v>
      </c>
      <c r="C5614" s="5" t="s">
        <v>26</v>
      </c>
      <c r="D5614" s="5" t="s">
        <v>27</v>
      </c>
      <c r="E5614" s="5" t="s">
        <v>28</v>
      </c>
      <c r="F5614" s="9" t="s">
        <v>446</v>
      </c>
      <c r="G5614" s="9" t="s">
        <v>117</v>
      </c>
      <c r="H5614" s="5" t="s">
        <v>21</v>
      </c>
      <c r="I5614" s="5" t="s">
        <v>13436</v>
      </c>
      <c r="J5614" s="12" t="str">
        <f>HYPERLINK("https://www.boe.es/gazeta/dias/1808/11/04/pdfs/GMD-D-1808-141.pdf#page=1","Abrir facsímil")</f>
        <v>Abrir facsímil</v>
      </c>
      <c r="K5614" s="15" t="s">
        <v>23</v>
      </c>
    </row>
    <row r="5615" spans="1:11" ht="42" customHeight="1">
      <c r="A5615" s="4" t="s">
        <v>13437</v>
      </c>
      <c r="B5615" s="5" t="s">
        <v>13438</v>
      </c>
      <c r="C5615" s="5" t="s">
        <v>17</v>
      </c>
      <c r="D5615" s="5" t="s">
        <v>18</v>
      </c>
      <c r="E5615" s="5" t="s">
        <v>61</v>
      </c>
      <c r="F5615" s="9" t="s">
        <v>62</v>
      </c>
      <c r="G5615" s="9">
        <v>1285</v>
      </c>
      <c r="H5615" s="5" t="s">
        <v>21</v>
      </c>
      <c r="I5615" s="5" t="s">
        <v>13439</v>
      </c>
      <c r="J5615" s="12" t="str">
        <f>HYPERLINK("https://www.boe.es/gazeta/dias/1808/10/11/pdfs/GMD-1808-133.pdf#page=13","Abrir facsímil")</f>
        <v>Abrir facsímil</v>
      </c>
      <c r="K5615" s="15" t="s">
        <v>23</v>
      </c>
    </row>
    <row r="5616" spans="1:11" ht="42" customHeight="1">
      <c r="A5616" s="4" t="s">
        <v>13440</v>
      </c>
      <c r="B5616" s="5" t="s">
        <v>13440</v>
      </c>
      <c r="C5616" s="5" t="s">
        <v>94</v>
      </c>
      <c r="D5616" s="5" t="s">
        <v>95</v>
      </c>
      <c r="E5616" s="5" t="s">
        <v>96</v>
      </c>
      <c r="F5616" s="9" t="s">
        <v>97</v>
      </c>
      <c r="G5616" s="9">
        <v>264</v>
      </c>
      <c r="H5616" s="5" t="s">
        <v>21</v>
      </c>
      <c r="I5616" s="5" t="s">
        <v>13441</v>
      </c>
      <c r="J5616" s="12" t="str">
        <f>HYPERLINK("https://www.boe.es/gazeta/dias/1808/03/15/pdfs/GMD-1808-22.pdf#page=6","Abrir facsímil")</f>
        <v>Abrir facsímil</v>
      </c>
      <c r="K5616" s="15" t="s">
        <v>23</v>
      </c>
    </row>
    <row r="5617" spans="1:11" ht="42" customHeight="1">
      <c r="A5617" s="4" t="s">
        <v>13442</v>
      </c>
      <c r="B5617" s="5" t="s">
        <v>13442</v>
      </c>
      <c r="C5617" s="5" t="s">
        <v>33</v>
      </c>
      <c r="D5617" s="5" t="s">
        <v>34</v>
      </c>
      <c r="E5617" s="5" t="s">
        <v>28</v>
      </c>
      <c r="F5617" s="9" t="s">
        <v>446</v>
      </c>
      <c r="G5617" s="9" t="s">
        <v>199</v>
      </c>
      <c r="H5617" s="5" t="s">
        <v>21</v>
      </c>
      <c r="I5617" s="5" t="s">
        <v>13443</v>
      </c>
      <c r="J5617" s="12" t="str">
        <f>HYPERLINK("https://www.boe.es/gazeta/dias/1808/11/04/pdfs/GMD-D-1808-141.pdf#page=2","Abrir facsímil")</f>
        <v>Abrir facsímil</v>
      </c>
      <c r="K5617" s="15" t="s">
        <v>23</v>
      </c>
    </row>
    <row r="5618" spans="1:11" ht="42" customHeight="1">
      <c r="A5618" s="4" t="s">
        <v>13442</v>
      </c>
      <c r="B5618" s="5" t="s">
        <v>13442</v>
      </c>
      <c r="C5618" s="5" t="s">
        <v>17</v>
      </c>
      <c r="D5618" s="5" t="s">
        <v>18</v>
      </c>
      <c r="E5618" s="5" t="s">
        <v>130</v>
      </c>
      <c r="F5618" s="9" t="s">
        <v>131</v>
      </c>
      <c r="G5618" s="9">
        <v>1603</v>
      </c>
      <c r="H5618" s="5" t="s">
        <v>21</v>
      </c>
      <c r="I5618" s="5" t="s">
        <v>13444</v>
      </c>
      <c r="J5618" s="12" t="str">
        <f>HYPERLINK("https://www.boe.es/gazeta/dias/1808/12/15/pdfs/GMD-1808-155.pdf#page=7","Abrir facsímil")</f>
        <v>Abrir facsímil</v>
      </c>
      <c r="K5618" s="15" t="s">
        <v>23</v>
      </c>
    </row>
    <row r="5619" spans="1:11" ht="42" customHeight="1">
      <c r="A5619" s="4" t="s">
        <v>13445</v>
      </c>
      <c r="B5619" s="5" t="s">
        <v>13445</v>
      </c>
      <c r="C5619" s="5" t="s">
        <v>94</v>
      </c>
      <c r="D5619" s="5" t="s">
        <v>95</v>
      </c>
      <c r="E5619" s="5" t="s">
        <v>513</v>
      </c>
      <c r="F5619" s="9" t="s">
        <v>514</v>
      </c>
      <c r="G5619" s="9">
        <v>286</v>
      </c>
      <c r="H5619" s="5" t="s">
        <v>21</v>
      </c>
      <c r="I5619" s="5" t="s">
        <v>13446</v>
      </c>
      <c r="J5619" s="12" t="str">
        <f>HYPERLINK("https://www.boe.es/gazeta/dias/1808/03/22/pdfs/GMD-1808-24.pdf#page=8","Abrir facsímil")</f>
        <v>Abrir facsímil</v>
      </c>
      <c r="K5619" s="15" t="s">
        <v>23</v>
      </c>
    </row>
    <row r="5620" spans="1:11" ht="42" customHeight="1">
      <c r="A5620" s="4" t="s">
        <v>13447</v>
      </c>
      <c r="B5620" s="5" t="s">
        <v>13447</v>
      </c>
      <c r="C5620" s="5" t="s">
        <v>17</v>
      </c>
      <c r="D5620" s="5" t="s">
        <v>18</v>
      </c>
      <c r="E5620" s="5" t="s">
        <v>139</v>
      </c>
      <c r="F5620" s="9" t="s">
        <v>140</v>
      </c>
      <c r="G5620" s="9">
        <v>1202</v>
      </c>
      <c r="H5620" s="5" t="s">
        <v>21</v>
      </c>
      <c r="I5620" s="5" t="s">
        <v>13448</v>
      </c>
      <c r="J5620" s="12" t="str">
        <f>HYPERLINK("https://www.boe.es/gazeta/dias/1808/09/23/pdfs/GMD-1808-127.pdf#page=10","Abrir facsímil")</f>
        <v>Abrir facsímil</v>
      </c>
      <c r="K5620" s="15" t="s">
        <v>23</v>
      </c>
    </row>
    <row r="5621" spans="1:11" ht="42" customHeight="1">
      <c r="A5621" s="4" t="s">
        <v>13449</v>
      </c>
      <c r="B5621" s="5" t="s">
        <v>13449</v>
      </c>
      <c r="C5621" s="5" t="s">
        <v>33</v>
      </c>
      <c r="D5621" s="5" t="s">
        <v>34</v>
      </c>
      <c r="E5621" s="5" t="s">
        <v>115</v>
      </c>
      <c r="F5621" s="9" t="s">
        <v>116</v>
      </c>
      <c r="G5621" s="9" t="s">
        <v>199</v>
      </c>
      <c r="H5621" s="5" t="s">
        <v>21</v>
      </c>
      <c r="I5621" s="5" t="s">
        <v>13450</v>
      </c>
      <c r="J5621" s="12" t="str">
        <f>HYPERLINK("https://www.boe.es/gazeta/dias/1808/09/16/pdfs/GMD-C-1808-125.pdf#page=2","Abrir facsímil")</f>
        <v>Abrir facsímil</v>
      </c>
      <c r="K5621" s="15" t="s">
        <v>23</v>
      </c>
    </row>
    <row r="5622" spans="1:11" ht="42" customHeight="1">
      <c r="A5622" s="4" t="s">
        <v>13451</v>
      </c>
      <c r="B5622" s="5" t="s">
        <v>13452</v>
      </c>
      <c r="C5622" s="5" t="s">
        <v>94</v>
      </c>
      <c r="D5622" s="5" t="s">
        <v>95</v>
      </c>
      <c r="E5622" s="5" t="s">
        <v>1085</v>
      </c>
      <c r="F5622" s="9" t="s">
        <v>1086</v>
      </c>
      <c r="G5622" s="9">
        <v>104</v>
      </c>
      <c r="H5622" s="5" t="s">
        <v>21</v>
      </c>
      <c r="I5622" s="5" t="s">
        <v>13453</v>
      </c>
      <c r="J5622" s="12" t="str">
        <f>HYPERLINK("https://www.boe.es/gazeta/dias/1808/01/29/pdfs/GMD-1808-9.pdf#page=8","Abrir facsímil")</f>
        <v>Abrir facsímil</v>
      </c>
      <c r="K5622" s="15" t="s">
        <v>23</v>
      </c>
    </row>
    <row r="5623" spans="1:11" ht="42" customHeight="1">
      <c r="A5623" s="4" t="s">
        <v>13454</v>
      </c>
      <c r="B5623" s="5" t="s">
        <v>13455</v>
      </c>
      <c r="C5623" s="5" t="s">
        <v>260</v>
      </c>
      <c r="D5623" s="5" t="s">
        <v>42</v>
      </c>
      <c r="E5623" s="5" t="s">
        <v>516</v>
      </c>
      <c r="F5623" s="9" t="s">
        <v>517</v>
      </c>
      <c r="G5623" s="9">
        <v>602</v>
      </c>
      <c r="H5623" s="5" t="s">
        <v>21</v>
      </c>
      <c r="I5623" s="5" t="s">
        <v>13456</v>
      </c>
      <c r="J5623" s="12" t="str">
        <f>HYPERLINK("https://www.boe.es/gazeta/dias/1808/06/19/pdfs/GMD-1808-61.pdf#page=8","Abrir facsímil")</f>
        <v>Abrir facsímil</v>
      </c>
      <c r="K5623" s="15" t="s">
        <v>23</v>
      </c>
    </row>
    <row r="5624" spans="1:11" ht="42" customHeight="1">
      <c r="A5624" s="4" t="s">
        <v>13457</v>
      </c>
      <c r="B5624" s="5" t="s">
        <v>13458</v>
      </c>
      <c r="C5624" s="5" t="s">
        <v>17</v>
      </c>
      <c r="D5624" s="5" t="s">
        <v>18</v>
      </c>
      <c r="E5624" s="5" t="s">
        <v>130</v>
      </c>
      <c r="F5624" s="9" t="s">
        <v>131</v>
      </c>
      <c r="G5624" s="9">
        <v>1603</v>
      </c>
      <c r="H5624" s="5" t="s">
        <v>21</v>
      </c>
      <c r="I5624" s="5" t="s">
        <v>13459</v>
      </c>
      <c r="J5624" s="12" t="str">
        <f>HYPERLINK("https://www.boe.es/gazeta/dias/1808/12/15/pdfs/GMD-1808-155.pdf#page=7","Abrir facsímil")</f>
        <v>Abrir facsímil</v>
      </c>
      <c r="K5624" s="15" t="s">
        <v>23</v>
      </c>
    </row>
    <row r="5625" spans="1:11" ht="42" customHeight="1">
      <c r="A5625" s="4" t="s">
        <v>13460</v>
      </c>
      <c r="B5625" s="5" t="s">
        <v>13461</v>
      </c>
      <c r="C5625" s="5" t="s">
        <v>17</v>
      </c>
      <c r="D5625" s="5" t="s">
        <v>18</v>
      </c>
      <c r="E5625" s="5" t="s">
        <v>130</v>
      </c>
      <c r="F5625" s="9" t="s">
        <v>131</v>
      </c>
      <c r="G5625" s="9">
        <v>1603</v>
      </c>
      <c r="H5625" s="5" t="s">
        <v>21</v>
      </c>
      <c r="I5625" s="5" t="s">
        <v>13462</v>
      </c>
      <c r="J5625" s="12" t="str">
        <f>HYPERLINK("https://www.boe.es/gazeta/dias/1808/12/15/pdfs/GMD-1808-155.pdf#page=7","Abrir facsímil")</f>
        <v>Abrir facsímil</v>
      </c>
      <c r="K5625" s="15" t="s">
        <v>23</v>
      </c>
    </row>
    <row r="5626" spans="1:11" ht="42" customHeight="1">
      <c r="A5626" s="4" t="s">
        <v>13463</v>
      </c>
      <c r="B5626" s="5" t="s">
        <v>13464</v>
      </c>
      <c r="C5626" s="5" t="s">
        <v>41</v>
      </c>
      <c r="D5626" s="5" t="s">
        <v>42</v>
      </c>
      <c r="E5626" s="5" t="s">
        <v>519</v>
      </c>
      <c r="F5626" s="9" t="s">
        <v>520</v>
      </c>
      <c r="G5626" s="9">
        <v>968</v>
      </c>
      <c r="H5626" s="5" t="s">
        <v>21</v>
      </c>
      <c r="I5626" s="5" t="s">
        <v>13465</v>
      </c>
      <c r="J5626" s="12" t="str">
        <f>HYPERLINK("https://www.boe.es/gazeta/dias/1808/08/04/pdfs/GMD-1808-107.pdf#page=2","Abrir facsímil")</f>
        <v>Abrir facsímil</v>
      </c>
      <c r="K5626" s="15" t="s">
        <v>23</v>
      </c>
    </row>
    <row r="5627" spans="1:11" ht="42" customHeight="1">
      <c r="A5627" s="4" t="s">
        <v>13463</v>
      </c>
      <c r="B5627" s="5" t="s">
        <v>13464</v>
      </c>
      <c r="C5627" s="5" t="s">
        <v>17</v>
      </c>
      <c r="D5627" s="5" t="s">
        <v>18</v>
      </c>
      <c r="E5627" s="5" t="s">
        <v>461</v>
      </c>
      <c r="F5627" s="9" t="s">
        <v>733</v>
      </c>
      <c r="G5627" s="9">
        <v>1448</v>
      </c>
      <c r="H5627" s="5" t="s">
        <v>21</v>
      </c>
      <c r="I5627" s="5" t="s">
        <v>13466</v>
      </c>
      <c r="J5627" s="12" t="str">
        <f>HYPERLINK("https://www.boe.es/gazeta/dias/1808/11/08/pdfs/GMD-1808-142.pdf#page=10","Abrir facsímil")</f>
        <v>Abrir facsímil</v>
      </c>
      <c r="K5627" s="15" t="s">
        <v>23</v>
      </c>
    </row>
    <row r="5628" spans="1:11" ht="42" customHeight="1">
      <c r="A5628" s="4" t="s">
        <v>13467</v>
      </c>
      <c r="B5628" s="5" t="s">
        <v>13467</v>
      </c>
      <c r="C5628" s="5" t="s">
        <v>17</v>
      </c>
      <c r="D5628" s="5" t="s">
        <v>18</v>
      </c>
      <c r="E5628" s="5" t="s">
        <v>197</v>
      </c>
      <c r="F5628" s="9" t="s">
        <v>790</v>
      </c>
      <c r="G5628" s="9">
        <v>1407</v>
      </c>
      <c r="H5628" s="5" t="s">
        <v>21</v>
      </c>
      <c r="I5628" s="5" t="s">
        <v>13468</v>
      </c>
      <c r="J5628" s="12" t="str">
        <f>HYPERLINK("https://www.boe.es/gazeta/dias/1808/11/01/pdfs/GMD-1808-140.pdf#page=9","Abrir facsímil")</f>
        <v>Abrir facsímil</v>
      </c>
      <c r="K5628" s="15" t="s">
        <v>23</v>
      </c>
    </row>
    <row r="5629" spans="1:11" ht="42" customHeight="1">
      <c r="A5629" s="4" t="s">
        <v>13469</v>
      </c>
      <c r="B5629" s="5" t="s">
        <v>13469</v>
      </c>
      <c r="C5629" s="5" t="s">
        <v>33</v>
      </c>
      <c r="D5629" s="5" t="s">
        <v>34</v>
      </c>
      <c r="E5629" s="5" t="s">
        <v>456</v>
      </c>
      <c r="F5629" s="9" t="s">
        <v>748</v>
      </c>
      <c r="G5629" s="9" t="s">
        <v>106</v>
      </c>
      <c r="H5629" s="5" t="s">
        <v>21</v>
      </c>
      <c r="I5629" s="5" t="s">
        <v>13470</v>
      </c>
      <c r="J5629" s="12" t="str">
        <f>HYPERLINK("https://www.boe.es/gazeta/dias/1808/10/14/pdfs/GMD-C-1808-134.pdf#page=3","Abrir facsímil")</f>
        <v>Abrir facsímil</v>
      </c>
      <c r="K5629" s="15" t="s">
        <v>23</v>
      </c>
    </row>
    <row r="5630" spans="1:11" ht="42" customHeight="1">
      <c r="A5630" s="4" t="s">
        <v>13471</v>
      </c>
      <c r="B5630" s="5" t="s">
        <v>13471</v>
      </c>
      <c r="C5630" s="5" t="s">
        <v>33</v>
      </c>
      <c r="D5630" s="5" t="s">
        <v>34</v>
      </c>
      <c r="E5630" s="5" t="s">
        <v>35</v>
      </c>
      <c r="F5630" s="9" t="s">
        <v>36</v>
      </c>
      <c r="G5630" s="9" t="s">
        <v>80</v>
      </c>
      <c r="H5630" s="5" t="s">
        <v>21</v>
      </c>
      <c r="I5630" s="5" t="s">
        <v>13472</v>
      </c>
      <c r="J5630" s="12" t="str">
        <f>HYPERLINK("https://www.boe.es/gazeta/dias/1808/04/22/pdfs/GMD-C-1808-38.pdf#page=18","Abrir facsímil")</f>
        <v>Abrir facsímil</v>
      </c>
      <c r="K5630" s="15" t="s">
        <v>23</v>
      </c>
    </row>
    <row r="5631" spans="1:11" ht="42" customHeight="1">
      <c r="A5631" s="4" t="s">
        <v>13473</v>
      </c>
      <c r="B5631" s="5" t="s">
        <v>13473</v>
      </c>
      <c r="C5631" s="5" t="s">
        <v>94</v>
      </c>
      <c r="D5631" s="5" t="s">
        <v>95</v>
      </c>
      <c r="E5631" s="5" t="s">
        <v>139</v>
      </c>
      <c r="F5631" s="9" t="s">
        <v>140</v>
      </c>
      <c r="G5631" s="9">
        <v>1202</v>
      </c>
      <c r="H5631" s="5" t="s">
        <v>21</v>
      </c>
      <c r="I5631" s="5" t="s">
        <v>13474</v>
      </c>
      <c r="J5631" s="12" t="str">
        <f>HYPERLINK("https://www.boe.es/gazeta/dias/1808/09/23/pdfs/GMD-1808-127.pdf#page=10","Abrir facsímil")</f>
        <v>Abrir facsímil</v>
      </c>
      <c r="K5631" s="15" t="s">
        <v>23</v>
      </c>
    </row>
    <row r="5632" spans="1:11" ht="42" customHeight="1">
      <c r="A5632" s="4" t="s">
        <v>13475</v>
      </c>
      <c r="B5632" s="5" t="s">
        <v>13475</v>
      </c>
      <c r="C5632" s="5" t="s">
        <v>41</v>
      </c>
      <c r="D5632" s="5" t="s">
        <v>42</v>
      </c>
      <c r="E5632" s="5" t="s">
        <v>207</v>
      </c>
      <c r="F5632" s="9" t="s">
        <v>208</v>
      </c>
      <c r="G5632" s="9">
        <v>197</v>
      </c>
      <c r="H5632" s="5" t="s">
        <v>21</v>
      </c>
      <c r="I5632" s="5" t="s">
        <v>13476</v>
      </c>
      <c r="J5632" s="12" t="str">
        <f>HYPERLINK("https://www.boe.es/gazeta/dias/1808/02/23/pdfs/GMD-1808-16.pdf#page=11","Abrir facsímil")</f>
        <v>Abrir facsímil</v>
      </c>
      <c r="K5632" s="15" t="s">
        <v>23</v>
      </c>
    </row>
    <row r="5633" spans="1:11" ht="42" customHeight="1">
      <c r="A5633" s="4" t="s">
        <v>13475</v>
      </c>
      <c r="B5633" s="5" t="s">
        <v>13475</v>
      </c>
      <c r="C5633" s="5" t="s">
        <v>41</v>
      </c>
      <c r="D5633" s="5" t="s">
        <v>42</v>
      </c>
      <c r="E5633" s="5" t="s">
        <v>35</v>
      </c>
      <c r="F5633" s="9" t="s">
        <v>36</v>
      </c>
      <c r="G5633" s="9" t="s">
        <v>498</v>
      </c>
      <c r="H5633" s="5" t="s">
        <v>21</v>
      </c>
      <c r="I5633" s="5" t="s">
        <v>13477</v>
      </c>
      <c r="J5633" s="12" t="str">
        <f>HYPERLINK("https://www.boe.es/gazeta/dias/1808/04/22/pdfs/GMD-C-1808-38.pdf#page=22","Abrir facsímil")</f>
        <v>Abrir facsímil</v>
      </c>
      <c r="K5633" s="15" t="s">
        <v>23</v>
      </c>
    </row>
    <row r="5634" spans="1:11" ht="42" customHeight="1">
      <c r="A5634" s="4" t="s">
        <v>13478</v>
      </c>
      <c r="B5634" s="5" t="s">
        <v>13478</v>
      </c>
      <c r="C5634" s="5" t="s">
        <v>33</v>
      </c>
      <c r="D5634" s="5" t="s">
        <v>34</v>
      </c>
      <c r="E5634" s="5" t="s">
        <v>427</v>
      </c>
      <c r="F5634" s="9" t="s">
        <v>428</v>
      </c>
      <c r="G5634" s="9" t="s">
        <v>199</v>
      </c>
      <c r="H5634" s="5" t="s">
        <v>21</v>
      </c>
      <c r="I5634" s="5" t="s">
        <v>13479</v>
      </c>
      <c r="J5634" s="12" t="str">
        <f>HYPERLINK("https://www.boe.es/gazeta/dias/1808/11/22/pdfs/GMD-D-1808-146.pdf#page=2","Abrir facsímil")</f>
        <v>Abrir facsímil</v>
      </c>
      <c r="K5634" s="15" t="s">
        <v>23</v>
      </c>
    </row>
    <row r="5635" spans="1:11" ht="42" customHeight="1">
      <c r="A5635" s="4" t="s">
        <v>13480</v>
      </c>
      <c r="B5635" s="5" t="s">
        <v>13480</v>
      </c>
      <c r="C5635" s="5" t="s">
        <v>17</v>
      </c>
      <c r="D5635" s="5" t="s">
        <v>18</v>
      </c>
      <c r="E5635" s="5" t="s">
        <v>269</v>
      </c>
      <c r="F5635" s="9" t="s">
        <v>270</v>
      </c>
      <c r="G5635" s="9">
        <v>71</v>
      </c>
      <c r="H5635" s="5" t="s">
        <v>21</v>
      </c>
      <c r="I5635" s="5" t="s">
        <v>13481</v>
      </c>
      <c r="J5635" s="12" t="str">
        <f>HYPERLINK("https://www.boe.es/gazeta/dias/1808/01/19/pdfs/GMD-1808-6.pdf#page=11","Abrir facsímil")</f>
        <v>Abrir facsímil</v>
      </c>
      <c r="K5635" s="15" t="s">
        <v>23</v>
      </c>
    </row>
    <row r="5636" spans="1:11" ht="42" customHeight="1">
      <c r="A5636" s="4" t="s">
        <v>13482</v>
      </c>
      <c r="B5636" s="5" t="s">
        <v>13482</v>
      </c>
      <c r="C5636" s="5" t="s">
        <v>94</v>
      </c>
      <c r="D5636" s="5" t="s">
        <v>95</v>
      </c>
      <c r="E5636" s="5" t="s">
        <v>139</v>
      </c>
      <c r="F5636" s="9" t="s">
        <v>1089</v>
      </c>
      <c r="G5636" s="9" t="s">
        <v>106</v>
      </c>
      <c r="H5636" s="5" t="s">
        <v>21</v>
      </c>
      <c r="I5636" s="5" t="s">
        <v>13483</v>
      </c>
      <c r="J5636" s="12" t="str">
        <f>HYPERLINK("https://www.boe.es/gazeta/dias/1808/09/23/pdfs/GMD-C-1808-127.pdf#page=3","Abrir facsímil")</f>
        <v>Abrir facsímil</v>
      </c>
      <c r="K5636" s="15" t="s">
        <v>23</v>
      </c>
    </row>
    <row r="5637" spans="1:11" ht="42" customHeight="1">
      <c r="A5637" s="4" t="s">
        <v>13484</v>
      </c>
      <c r="B5637" s="5" t="s">
        <v>13484</v>
      </c>
      <c r="C5637" s="5" t="s">
        <v>17</v>
      </c>
      <c r="D5637" s="5" t="s">
        <v>18</v>
      </c>
      <c r="E5637" s="5" t="s">
        <v>1385</v>
      </c>
      <c r="F5637" s="9" t="s">
        <v>1386</v>
      </c>
      <c r="G5637" s="9">
        <v>230</v>
      </c>
      <c r="H5637" s="5" t="s">
        <v>21</v>
      </c>
      <c r="I5637" s="5" t="s">
        <v>13485</v>
      </c>
      <c r="J5637" s="12" t="str">
        <f>HYPERLINK("https://www.boe.es/gazeta/dias/1808/03/04/pdfs/GMD-1808-19.pdf#page=8","Abrir facsímil")</f>
        <v>Abrir facsímil</v>
      </c>
      <c r="K5637" s="15" t="s">
        <v>23</v>
      </c>
    </row>
    <row r="5638" spans="1:11" ht="42" customHeight="1">
      <c r="A5638" s="4" t="s">
        <v>13486</v>
      </c>
      <c r="B5638" s="5" t="s">
        <v>13486</v>
      </c>
      <c r="C5638" s="5" t="s">
        <v>33</v>
      </c>
      <c r="D5638" s="5" t="s">
        <v>34</v>
      </c>
      <c r="E5638" s="5" t="s">
        <v>35</v>
      </c>
      <c r="F5638" s="9" t="s">
        <v>36</v>
      </c>
      <c r="G5638" s="9" t="s">
        <v>80</v>
      </c>
      <c r="H5638" s="5" t="s">
        <v>21</v>
      </c>
      <c r="I5638" s="5" t="s">
        <v>13487</v>
      </c>
      <c r="J5638" s="12" t="str">
        <f>HYPERLINK("https://www.boe.es/gazeta/dias/1808/04/22/pdfs/GMD-C-1808-38.pdf#page=18","Abrir facsímil")</f>
        <v>Abrir facsímil</v>
      </c>
      <c r="K5638" s="15" t="s">
        <v>23</v>
      </c>
    </row>
    <row r="5639" spans="1:11" ht="42" customHeight="1">
      <c r="A5639" s="4" t="s">
        <v>13488</v>
      </c>
      <c r="B5639" s="5" t="s">
        <v>13488</v>
      </c>
      <c r="C5639" s="5" t="s">
        <v>17</v>
      </c>
      <c r="D5639" s="5" t="s">
        <v>18</v>
      </c>
      <c r="E5639" s="5" t="s">
        <v>1385</v>
      </c>
      <c r="F5639" s="9" t="s">
        <v>1386</v>
      </c>
      <c r="G5639" s="9">
        <v>230</v>
      </c>
      <c r="H5639" s="5" t="s">
        <v>21</v>
      </c>
      <c r="I5639" s="5" t="s">
        <v>13489</v>
      </c>
      <c r="J5639" s="12" t="str">
        <f>HYPERLINK("https://www.boe.es/gazeta/dias/1808/03/04/pdfs/GMD-1808-19.pdf#page=8","Abrir facsímil")</f>
        <v>Abrir facsímil</v>
      </c>
      <c r="K5639" s="15" t="s">
        <v>23</v>
      </c>
    </row>
    <row r="5640" spans="1:11" ht="42" customHeight="1">
      <c r="A5640" s="4" t="s">
        <v>13490</v>
      </c>
      <c r="B5640" s="5" t="s">
        <v>13490</v>
      </c>
      <c r="C5640" s="5" t="s">
        <v>33</v>
      </c>
      <c r="D5640" s="5" t="s">
        <v>34</v>
      </c>
      <c r="E5640" s="5" t="s">
        <v>65</v>
      </c>
      <c r="F5640" s="9" t="s">
        <v>105</v>
      </c>
      <c r="G5640" s="9" t="s">
        <v>199</v>
      </c>
      <c r="H5640" s="5" t="s">
        <v>21</v>
      </c>
      <c r="I5640" s="5" t="s">
        <v>13491</v>
      </c>
      <c r="J5640" s="12" t="str">
        <f>HYPERLINK("https://www.boe.es/gazeta/dias/1808/10/18/pdfs/GMD-D-1808-135.pdf#page=2","Abrir facsímil")</f>
        <v>Abrir facsímil</v>
      </c>
      <c r="K5640" s="15" t="s">
        <v>23</v>
      </c>
    </row>
    <row r="5641" spans="1:11" ht="42" customHeight="1">
      <c r="A5641" s="4" t="s">
        <v>13492</v>
      </c>
      <c r="B5641" s="5" t="s">
        <v>13492</v>
      </c>
      <c r="C5641" s="5" t="s">
        <v>17</v>
      </c>
      <c r="D5641" s="5" t="s">
        <v>18</v>
      </c>
      <c r="E5641" s="5" t="s">
        <v>203</v>
      </c>
      <c r="F5641" s="9" t="s">
        <v>204</v>
      </c>
      <c r="G5641" s="9">
        <v>141</v>
      </c>
      <c r="H5641" s="5" t="s">
        <v>21</v>
      </c>
      <c r="I5641" s="5" t="s">
        <v>13493</v>
      </c>
      <c r="J5641" s="12" t="str">
        <f>HYPERLINK("https://www.boe.es/gazeta/dias/1808/02/09/pdfs/GMD-1808-12.pdf#page=9","Abrir facsímil")</f>
        <v>Abrir facsímil</v>
      </c>
      <c r="K5641" s="15" t="s">
        <v>23</v>
      </c>
    </row>
    <row r="5642" spans="1:11" ht="42" customHeight="1">
      <c r="A5642" s="4" t="s">
        <v>13494</v>
      </c>
      <c r="B5642" s="5" t="s">
        <v>13494</v>
      </c>
      <c r="C5642" s="5" t="s">
        <v>17</v>
      </c>
      <c r="D5642" s="5" t="s">
        <v>18</v>
      </c>
      <c r="E5642" s="5" t="s">
        <v>461</v>
      </c>
      <c r="F5642" s="9" t="s">
        <v>733</v>
      </c>
      <c r="G5642" s="9">
        <v>1448</v>
      </c>
      <c r="H5642" s="5" t="s">
        <v>21</v>
      </c>
      <c r="I5642" s="5" t="s">
        <v>13495</v>
      </c>
      <c r="J5642" s="12" t="str">
        <f>HYPERLINK("https://www.boe.es/gazeta/dias/1808/11/08/pdfs/GMD-1808-142.pdf#page=10","Abrir facsímil")</f>
        <v>Abrir facsímil</v>
      </c>
      <c r="K5642" s="15" t="s">
        <v>23</v>
      </c>
    </row>
    <row r="5643" spans="1:11" ht="42" customHeight="1">
      <c r="A5643" s="4" t="s">
        <v>13496</v>
      </c>
      <c r="B5643" s="5" t="s">
        <v>13496</v>
      </c>
      <c r="C5643" s="5" t="s">
        <v>17</v>
      </c>
      <c r="D5643" s="5" t="s">
        <v>18</v>
      </c>
      <c r="E5643" s="5" t="s">
        <v>334</v>
      </c>
      <c r="F5643" s="9" t="s">
        <v>1814</v>
      </c>
      <c r="G5643" s="9">
        <v>1246</v>
      </c>
      <c r="H5643" s="5" t="s">
        <v>21</v>
      </c>
      <c r="I5643" s="5" t="s">
        <v>13497</v>
      </c>
      <c r="J5643" s="12" t="str">
        <f>HYPERLINK("https://www.boe.es/gazeta/dias/1808/10/04/pdfs/GMD-1808-131.pdf#page=14","Abrir facsímil")</f>
        <v>Abrir facsímil</v>
      </c>
      <c r="K5643" s="15" t="s">
        <v>23</v>
      </c>
    </row>
    <row r="5644" spans="1:11" ht="42" customHeight="1">
      <c r="A5644" s="4" t="s">
        <v>13498</v>
      </c>
      <c r="B5644" s="5" t="s">
        <v>13498</v>
      </c>
      <c r="C5644" s="5" t="s">
        <v>17</v>
      </c>
      <c r="D5644" s="5" t="s">
        <v>18</v>
      </c>
      <c r="E5644" s="5" t="s">
        <v>125</v>
      </c>
      <c r="F5644" s="9" t="s">
        <v>397</v>
      </c>
      <c r="G5644" s="9">
        <v>1270</v>
      </c>
      <c r="H5644" s="5" t="s">
        <v>21</v>
      </c>
      <c r="I5644" s="5" t="s">
        <v>13499</v>
      </c>
      <c r="J5644" s="12" t="str">
        <f>HYPERLINK("https://www.boe.es/gazeta/dias/1808/10/07/pdfs/GMD-1808-132.pdf#page=10","Abrir facsímil")</f>
        <v>Abrir facsímil</v>
      </c>
      <c r="K5644" s="15" t="s">
        <v>23</v>
      </c>
    </row>
    <row r="5645" spans="1:11" ht="42" customHeight="1">
      <c r="A5645" s="4" t="s">
        <v>13500</v>
      </c>
      <c r="B5645" s="5" t="s">
        <v>13500</v>
      </c>
      <c r="C5645" s="5" t="s">
        <v>33</v>
      </c>
      <c r="D5645" s="5" t="s">
        <v>34</v>
      </c>
      <c r="E5645" s="5" t="s">
        <v>558</v>
      </c>
      <c r="F5645" s="9" t="s">
        <v>758</v>
      </c>
      <c r="G5645" s="9" t="s">
        <v>75</v>
      </c>
      <c r="H5645" s="5" t="s">
        <v>21</v>
      </c>
      <c r="I5645" s="5" t="s">
        <v>13501</v>
      </c>
      <c r="J5645" s="12" t="str">
        <f>HYPERLINK("https://www.boe.es/gazeta/dias/1808/11/25/pdfs/GMD-E-1808-147.pdf#page=4","Abrir facsímil")</f>
        <v>Abrir facsímil</v>
      </c>
      <c r="K5645" s="15" t="s">
        <v>23</v>
      </c>
    </row>
    <row r="5646" spans="1:11" ht="42" customHeight="1">
      <c r="A5646" s="4" t="s">
        <v>13502</v>
      </c>
      <c r="B5646" s="5" t="s">
        <v>13502</v>
      </c>
      <c r="C5646" s="5" t="s">
        <v>33</v>
      </c>
      <c r="D5646" s="5" t="s">
        <v>34</v>
      </c>
      <c r="E5646" s="5" t="s">
        <v>35</v>
      </c>
      <c r="F5646" s="9" t="s">
        <v>36</v>
      </c>
      <c r="G5646" s="9" t="s">
        <v>47</v>
      </c>
      <c r="H5646" s="5" t="s">
        <v>21</v>
      </c>
      <c r="I5646" s="5" t="s">
        <v>13503</v>
      </c>
      <c r="J5646" s="12" t="str">
        <f>HYPERLINK("https://www.boe.es/gazeta/dias/1808/04/22/pdfs/GMD-C-1808-38.pdf#page=13","Abrir facsímil")</f>
        <v>Abrir facsímil</v>
      </c>
      <c r="K5646" s="15" t="s">
        <v>23</v>
      </c>
    </row>
    <row r="5647" spans="1:11" ht="42" customHeight="1">
      <c r="A5647" s="4" t="s">
        <v>13504</v>
      </c>
      <c r="B5647" s="5" t="s">
        <v>13505</v>
      </c>
      <c r="C5647" s="5" t="s">
        <v>33</v>
      </c>
      <c r="D5647" s="5" t="s">
        <v>34</v>
      </c>
      <c r="E5647" s="5" t="s">
        <v>35</v>
      </c>
      <c r="F5647" s="9" t="s">
        <v>36</v>
      </c>
      <c r="G5647" s="9" t="s">
        <v>1294</v>
      </c>
      <c r="H5647" s="5" t="s">
        <v>21</v>
      </c>
      <c r="I5647" s="5" t="s">
        <v>13506</v>
      </c>
      <c r="J5647" s="12" t="str">
        <f>HYPERLINK("https://www.boe.es/gazeta/dias/1808/04/22/pdfs/GMD-C-1808-38.pdf#page=8","Abrir facsímil")</f>
        <v>Abrir facsímil</v>
      </c>
      <c r="K5647" s="15" t="s">
        <v>23</v>
      </c>
    </row>
    <row r="5648" spans="1:11" ht="42" customHeight="1">
      <c r="A5648" s="4" t="s">
        <v>13507</v>
      </c>
      <c r="B5648" s="5" t="s">
        <v>13507</v>
      </c>
      <c r="C5648" s="5" t="s">
        <v>33</v>
      </c>
      <c r="D5648" s="5" t="s">
        <v>34</v>
      </c>
      <c r="E5648" s="5" t="s">
        <v>264</v>
      </c>
      <c r="F5648" s="9" t="s">
        <v>318</v>
      </c>
      <c r="G5648" s="9" t="s">
        <v>117</v>
      </c>
      <c r="H5648" s="5" t="s">
        <v>21</v>
      </c>
      <c r="I5648" s="5" t="s">
        <v>13508</v>
      </c>
      <c r="J5648" s="12" t="str">
        <f>HYPERLINK("https://www.boe.es/gazeta/dias/1808/11/29/pdfs/GMD-C-1808-148.pdf#page=1","Abrir facsímil")</f>
        <v>Abrir facsímil</v>
      </c>
      <c r="K5648" s="15" t="s">
        <v>23</v>
      </c>
    </row>
    <row r="5649" spans="1:11" ht="42" customHeight="1">
      <c r="A5649" s="4" t="s">
        <v>13509</v>
      </c>
      <c r="B5649" s="5" t="s">
        <v>13510</v>
      </c>
      <c r="C5649" s="5" t="s">
        <v>17</v>
      </c>
      <c r="D5649" s="5" t="s">
        <v>18</v>
      </c>
      <c r="E5649" s="5" t="s">
        <v>73</v>
      </c>
      <c r="F5649" s="9" t="s">
        <v>581</v>
      </c>
      <c r="G5649" s="9">
        <v>1469</v>
      </c>
      <c r="H5649" s="5" t="s">
        <v>21</v>
      </c>
      <c r="I5649" s="5" t="s">
        <v>13511</v>
      </c>
      <c r="J5649" s="12" t="str">
        <f>HYPERLINK("https://www.boe.es/gazeta/dias/1808/11/11/pdfs/GMD-1808-143.pdf#page=11","Abrir facsímil")</f>
        <v>Abrir facsímil</v>
      </c>
      <c r="K5649" s="15" t="s">
        <v>23</v>
      </c>
    </row>
    <row r="5650" spans="1:11" ht="42" customHeight="1">
      <c r="A5650" s="4" t="s">
        <v>13512</v>
      </c>
      <c r="B5650" s="5" t="s">
        <v>13512</v>
      </c>
      <c r="C5650" s="5" t="s">
        <v>17</v>
      </c>
      <c r="D5650" s="5" t="s">
        <v>18</v>
      </c>
      <c r="E5650" s="5" t="s">
        <v>139</v>
      </c>
      <c r="F5650" s="9" t="s">
        <v>140</v>
      </c>
      <c r="G5650" s="9">
        <v>1204</v>
      </c>
      <c r="H5650" s="5" t="s">
        <v>21</v>
      </c>
      <c r="I5650" s="5" t="s">
        <v>13513</v>
      </c>
      <c r="J5650" s="12" t="str">
        <f>HYPERLINK("https://www.boe.es/gazeta/dias/1808/09/23/pdfs/GMD-1808-127.pdf#page=12","Abrir facsímil")</f>
        <v>Abrir facsímil</v>
      </c>
      <c r="K5650" s="15" t="s">
        <v>23</v>
      </c>
    </row>
    <row r="5651" spans="1:11" ht="42" customHeight="1">
      <c r="A5651" s="4" t="s">
        <v>13514</v>
      </c>
      <c r="B5651" s="5" t="s">
        <v>13514</v>
      </c>
      <c r="C5651" s="5" t="s">
        <v>33</v>
      </c>
      <c r="D5651" s="5" t="s">
        <v>34</v>
      </c>
      <c r="E5651" s="5" t="s">
        <v>461</v>
      </c>
      <c r="F5651" s="9" t="s">
        <v>462</v>
      </c>
      <c r="G5651" s="9" t="s">
        <v>106</v>
      </c>
      <c r="H5651" s="5" t="s">
        <v>21</v>
      </c>
      <c r="I5651" s="5" t="s">
        <v>13515</v>
      </c>
      <c r="J5651" s="12" t="str">
        <f>HYPERLINK("https://www.boe.es/gazeta/dias/1808/11/08/pdfs/GMD-D-1808-142.pdf#page=3","Abrir facsímil")</f>
        <v>Abrir facsímil</v>
      </c>
      <c r="K5651" s="15" t="s">
        <v>23</v>
      </c>
    </row>
    <row r="5652" spans="1:11" ht="42" customHeight="1">
      <c r="A5652" s="4" t="s">
        <v>13516</v>
      </c>
      <c r="B5652" s="5" t="s">
        <v>13517</v>
      </c>
      <c r="C5652" s="5" t="s">
        <v>33</v>
      </c>
      <c r="D5652" s="5" t="s">
        <v>34</v>
      </c>
      <c r="E5652" s="5" t="s">
        <v>35</v>
      </c>
      <c r="F5652" s="9" t="s">
        <v>36</v>
      </c>
      <c r="G5652" s="9" t="s">
        <v>2643</v>
      </c>
      <c r="H5652" s="5" t="s">
        <v>21</v>
      </c>
      <c r="I5652" s="5" t="s">
        <v>13518</v>
      </c>
      <c r="J5652" s="12" t="str">
        <f>HYPERLINK("https://www.boe.es/gazeta/dias/1808/04/22/pdfs/GMD-C-1808-38.pdf#page=17","Abrir facsímil")</f>
        <v>Abrir facsímil</v>
      </c>
      <c r="K5652" s="15" t="s">
        <v>23</v>
      </c>
    </row>
    <row r="5653" spans="1:11" ht="42" customHeight="1">
      <c r="A5653" s="4" t="s">
        <v>13519</v>
      </c>
      <c r="B5653" s="5" t="s">
        <v>13519</v>
      </c>
      <c r="C5653" s="5" t="s">
        <v>17</v>
      </c>
      <c r="D5653" s="5" t="s">
        <v>18</v>
      </c>
      <c r="E5653" s="5" t="s">
        <v>73</v>
      </c>
      <c r="F5653" s="9" t="s">
        <v>581</v>
      </c>
      <c r="G5653" s="9">
        <v>1468</v>
      </c>
      <c r="H5653" s="5" t="s">
        <v>21</v>
      </c>
      <c r="I5653" s="5" t="s">
        <v>13520</v>
      </c>
      <c r="J5653" s="12" t="str">
        <f>HYPERLINK("https://www.boe.es/gazeta/dias/1808/11/11/pdfs/GMD-1808-143.pdf#page=10","Abrir facsímil")</f>
        <v>Abrir facsímil</v>
      </c>
      <c r="K5653" s="15" t="s">
        <v>23</v>
      </c>
    </row>
    <row r="5654" spans="1:11" ht="42" customHeight="1">
      <c r="A5654" s="4" t="s">
        <v>13521</v>
      </c>
      <c r="B5654" s="5" t="s">
        <v>13522</v>
      </c>
      <c r="C5654" s="5" t="s">
        <v>17</v>
      </c>
      <c r="D5654" s="5" t="s">
        <v>18</v>
      </c>
      <c r="E5654" s="5" t="s">
        <v>28</v>
      </c>
      <c r="F5654" s="9" t="s">
        <v>29</v>
      </c>
      <c r="G5654" s="9">
        <v>1429</v>
      </c>
      <c r="H5654" s="5" t="s">
        <v>21</v>
      </c>
      <c r="I5654" s="5" t="s">
        <v>13523</v>
      </c>
      <c r="J5654" s="12" t="str">
        <f>HYPERLINK("https://www.boe.es/gazeta/dias/1808/11/04/pdfs/GMD-1808-141.pdf#page=11","Abrir facsímil")</f>
        <v>Abrir facsímil</v>
      </c>
      <c r="K5654" s="15" t="s">
        <v>23</v>
      </c>
    </row>
    <row r="5655" spans="1:11" ht="42" customHeight="1">
      <c r="A5655" s="4" t="s">
        <v>13524</v>
      </c>
      <c r="B5655" s="5" t="s">
        <v>13525</v>
      </c>
      <c r="C5655" s="5" t="s">
        <v>41</v>
      </c>
      <c r="D5655" s="5" t="s">
        <v>42</v>
      </c>
      <c r="E5655" s="5" t="s">
        <v>110</v>
      </c>
      <c r="F5655" s="9" t="s">
        <v>111</v>
      </c>
      <c r="G5655" s="9">
        <v>1384</v>
      </c>
      <c r="H5655" s="5" t="s">
        <v>21</v>
      </c>
      <c r="I5655" s="5" t="s">
        <v>13526</v>
      </c>
      <c r="J5655" s="12" t="str">
        <f>HYPERLINK("https://www.boe.es/gazeta/dias/1808/10/28/pdfs/GMD-1808-138.pdf#page=10","Abrir facsímil")</f>
        <v>Abrir facsímil</v>
      </c>
      <c r="K5655" s="15" t="s">
        <v>23</v>
      </c>
    </row>
    <row r="5656" spans="1:11" ht="42" customHeight="1">
      <c r="A5656" s="4" t="s">
        <v>13527</v>
      </c>
      <c r="B5656" s="5" t="s">
        <v>13527</v>
      </c>
      <c r="C5656" s="5" t="s">
        <v>41</v>
      </c>
      <c r="D5656" s="5" t="s">
        <v>42</v>
      </c>
      <c r="E5656" s="5" t="s">
        <v>264</v>
      </c>
      <c r="F5656" s="9" t="s">
        <v>2256</v>
      </c>
      <c r="G5656" s="9">
        <v>1565</v>
      </c>
      <c r="H5656" s="5" t="s">
        <v>21</v>
      </c>
      <c r="I5656" s="5" t="s">
        <v>13528</v>
      </c>
      <c r="J5656" s="12" t="str">
        <f>HYPERLINK("https://www.boe.es/gazeta/dias/1808/11/29/pdfs/GMD-1808-148.pdf#page=11","Abrir facsímil")</f>
        <v>Abrir facsímil</v>
      </c>
      <c r="K5656" s="15" t="s">
        <v>23</v>
      </c>
    </row>
    <row r="5657" spans="1:11" ht="42" customHeight="1">
      <c r="A5657" s="4" t="s">
        <v>13529</v>
      </c>
      <c r="B5657" s="5" t="s">
        <v>13529</v>
      </c>
      <c r="C5657" s="5" t="s">
        <v>41</v>
      </c>
      <c r="D5657" s="5" t="s">
        <v>42</v>
      </c>
      <c r="E5657" s="5" t="s">
        <v>558</v>
      </c>
      <c r="F5657" s="9" t="s">
        <v>758</v>
      </c>
      <c r="G5657" s="9" t="s">
        <v>199</v>
      </c>
      <c r="H5657" s="5" t="s">
        <v>21</v>
      </c>
      <c r="I5657" s="5" t="s">
        <v>13530</v>
      </c>
      <c r="J5657" s="12" t="str">
        <f>HYPERLINK("https://www.boe.es/gazeta/dias/1808/11/25/pdfs/GMD-E-1808-147.pdf#page=2","Abrir facsímil")</f>
        <v>Abrir facsímil</v>
      </c>
      <c r="K5657" s="15" t="s">
        <v>23</v>
      </c>
    </row>
    <row r="5658" spans="1:11" ht="42" customHeight="1">
      <c r="A5658" s="4" t="s">
        <v>13531</v>
      </c>
      <c r="B5658" s="5" t="s">
        <v>13531</v>
      </c>
      <c r="C5658" s="5" t="s">
        <v>17</v>
      </c>
      <c r="D5658" s="5" t="s">
        <v>18</v>
      </c>
      <c r="E5658" s="5" t="s">
        <v>558</v>
      </c>
      <c r="F5658" s="9" t="s">
        <v>559</v>
      </c>
      <c r="G5658" s="9">
        <v>1545</v>
      </c>
      <c r="H5658" s="5" t="s">
        <v>21</v>
      </c>
      <c r="I5658" s="5" t="s">
        <v>13532</v>
      </c>
      <c r="J5658" s="12" t="str">
        <f>HYPERLINK("https://www.boe.es/gazeta/dias/1808/11/25/pdfs/GMD-1808-147.pdf#page=11","Abrir facsímil")</f>
        <v>Abrir facsímil</v>
      </c>
      <c r="K5658" s="15" t="s">
        <v>23</v>
      </c>
    </row>
    <row r="5659" spans="1:11" ht="42" customHeight="1">
      <c r="A5659" s="4" t="s">
        <v>13533</v>
      </c>
      <c r="B5659" s="5" t="s">
        <v>13533</v>
      </c>
      <c r="C5659" s="5" t="s">
        <v>33</v>
      </c>
      <c r="D5659" s="5" t="s">
        <v>34</v>
      </c>
      <c r="E5659" s="5" t="s">
        <v>19</v>
      </c>
      <c r="F5659" s="9" t="s">
        <v>949</v>
      </c>
      <c r="G5659" s="9" t="s">
        <v>106</v>
      </c>
      <c r="H5659" s="5" t="s">
        <v>21</v>
      </c>
      <c r="I5659" s="5" t="s">
        <v>13534</v>
      </c>
      <c r="J5659" s="12" t="str">
        <f>HYPERLINK("https://www.boe.es/gazeta/dias/1808/09/30/pdfs/GMD-C-1808-130.pdf#page=3","Abrir facsímil")</f>
        <v>Abrir facsímil</v>
      </c>
      <c r="K5659" s="15" t="s">
        <v>23</v>
      </c>
    </row>
    <row r="5660" spans="1:11" ht="42" customHeight="1">
      <c r="A5660" s="4" t="s">
        <v>13535</v>
      </c>
      <c r="B5660" s="5" t="s">
        <v>13535</v>
      </c>
      <c r="C5660" s="5" t="s">
        <v>17</v>
      </c>
      <c r="D5660" s="5" t="s">
        <v>18</v>
      </c>
      <c r="E5660" s="5" t="s">
        <v>110</v>
      </c>
      <c r="F5660" s="9" t="s">
        <v>111</v>
      </c>
      <c r="G5660" s="9">
        <v>1383</v>
      </c>
      <c r="H5660" s="5" t="s">
        <v>21</v>
      </c>
      <c r="I5660" s="5" t="s">
        <v>13536</v>
      </c>
      <c r="J5660" s="12" t="str">
        <f>HYPERLINK("https://www.boe.es/gazeta/dias/1808/10/28/pdfs/GMD-1808-138.pdf#page=9","Abrir facsímil")</f>
        <v>Abrir facsímil</v>
      </c>
      <c r="K5660" s="15" t="s">
        <v>23</v>
      </c>
    </row>
    <row r="5661" spans="1:11" ht="42" customHeight="1">
      <c r="A5661" s="4" t="s">
        <v>13537</v>
      </c>
      <c r="B5661" s="5" t="s">
        <v>13537</v>
      </c>
      <c r="C5661" s="5" t="s">
        <v>33</v>
      </c>
      <c r="D5661" s="5" t="s">
        <v>34</v>
      </c>
      <c r="E5661" s="5" t="s">
        <v>35</v>
      </c>
      <c r="F5661" s="9" t="s">
        <v>36</v>
      </c>
      <c r="G5661" s="9" t="s">
        <v>324</v>
      </c>
      <c r="H5661" s="5" t="s">
        <v>21</v>
      </c>
      <c r="I5661" s="5" t="s">
        <v>13538</v>
      </c>
      <c r="J5661" s="12" t="str">
        <f>HYPERLINK("https://www.boe.es/gazeta/dias/1808/04/22/pdfs/GMD-C-1808-38.pdf#page=24","Abrir facsímil")</f>
        <v>Abrir facsímil</v>
      </c>
      <c r="K5661" s="15" t="s">
        <v>23</v>
      </c>
    </row>
    <row r="5662" spans="1:11" ht="42" customHeight="1">
      <c r="A5662" s="4" t="s">
        <v>13539</v>
      </c>
      <c r="B5662" s="5" t="s">
        <v>13540</v>
      </c>
      <c r="C5662" s="5" t="s">
        <v>41</v>
      </c>
      <c r="D5662" s="5" t="s">
        <v>42</v>
      </c>
      <c r="E5662" s="5" t="s">
        <v>197</v>
      </c>
      <c r="F5662" s="9" t="s">
        <v>198</v>
      </c>
      <c r="G5662" s="9" t="s">
        <v>199</v>
      </c>
      <c r="H5662" s="5" t="s">
        <v>21</v>
      </c>
      <c r="I5662" s="5" t="s">
        <v>13541</v>
      </c>
      <c r="J5662" s="12" t="str">
        <f>HYPERLINK("https://www.boe.es/gazeta/dias/1808/11/01/pdfs/GMD-D-1808-140.pdf#page=2","Abrir facsímil")</f>
        <v>Abrir facsímil</v>
      </c>
      <c r="K5662" s="15" t="s">
        <v>23</v>
      </c>
    </row>
    <row r="5663" spans="1:11" ht="42" customHeight="1">
      <c r="A5663" s="4" t="s">
        <v>13542</v>
      </c>
      <c r="B5663" s="5" t="s">
        <v>13542</v>
      </c>
      <c r="C5663" s="5" t="s">
        <v>17</v>
      </c>
      <c r="D5663" s="5" t="s">
        <v>18</v>
      </c>
      <c r="E5663" s="5" t="s">
        <v>28</v>
      </c>
      <c r="F5663" s="9" t="s">
        <v>29</v>
      </c>
      <c r="G5663" s="9">
        <v>1428</v>
      </c>
      <c r="H5663" s="5" t="s">
        <v>21</v>
      </c>
      <c r="I5663" s="5" t="s">
        <v>13543</v>
      </c>
      <c r="J5663" s="12" t="str">
        <f>HYPERLINK("https://www.boe.es/gazeta/dias/1808/11/04/pdfs/GMD-1808-141.pdf#page=10","Abrir facsímil")</f>
        <v>Abrir facsímil</v>
      </c>
      <c r="K5663" s="15" t="s">
        <v>23</v>
      </c>
    </row>
    <row r="5664" spans="1:11" ht="42" customHeight="1">
      <c r="A5664" s="4" t="s">
        <v>13544</v>
      </c>
      <c r="B5664" s="5" t="s">
        <v>13544</v>
      </c>
      <c r="C5664" s="5" t="s">
        <v>33</v>
      </c>
      <c r="D5664" s="5" t="s">
        <v>34</v>
      </c>
      <c r="E5664" s="5" t="s">
        <v>28</v>
      </c>
      <c r="F5664" s="9" t="s">
        <v>446</v>
      </c>
      <c r="G5664" s="9" t="s">
        <v>106</v>
      </c>
      <c r="H5664" s="5" t="s">
        <v>21</v>
      </c>
      <c r="I5664" s="5" t="s">
        <v>13545</v>
      </c>
      <c r="J5664" s="12" t="str">
        <f>HYPERLINK("https://www.boe.es/gazeta/dias/1808/11/04/pdfs/GMD-D-1808-141.pdf#page=3","Abrir facsímil")</f>
        <v>Abrir facsímil</v>
      </c>
      <c r="K5664" s="15" t="s">
        <v>23</v>
      </c>
    </row>
    <row r="5665" spans="1:11" ht="42" customHeight="1">
      <c r="A5665" s="4" t="s">
        <v>13546</v>
      </c>
      <c r="B5665" s="5" t="s">
        <v>13546</v>
      </c>
      <c r="C5665" s="5" t="s">
        <v>17</v>
      </c>
      <c r="D5665" s="5" t="s">
        <v>18</v>
      </c>
      <c r="E5665" s="5" t="s">
        <v>73</v>
      </c>
      <c r="F5665" s="9" t="s">
        <v>581</v>
      </c>
      <c r="G5665" s="9">
        <v>1468</v>
      </c>
      <c r="H5665" s="5" t="s">
        <v>21</v>
      </c>
      <c r="I5665" s="5" t="s">
        <v>13547</v>
      </c>
      <c r="J5665" s="12" t="str">
        <f>HYPERLINK("https://www.boe.es/gazeta/dias/1808/11/11/pdfs/GMD-1808-143.pdf#page=10","Abrir facsímil")</f>
        <v>Abrir facsímil</v>
      </c>
      <c r="K5665" s="15" t="s">
        <v>23</v>
      </c>
    </row>
    <row r="5666" spans="1:11" ht="42" customHeight="1">
      <c r="A5666" s="4" t="s">
        <v>13548</v>
      </c>
      <c r="B5666" s="5" t="s">
        <v>13548</v>
      </c>
      <c r="C5666" s="5" t="s">
        <v>17</v>
      </c>
      <c r="D5666" s="5" t="s">
        <v>18</v>
      </c>
      <c r="E5666" s="5" t="s">
        <v>558</v>
      </c>
      <c r="F5666" s="9" t="s">
        <v>559</v>
      </c>
      <c r="G5666" s="9">
        <v>1545</v>
      </c>
      <c r="H5666" s="5" t="s">
        <v>21</v>
      </c>
      <c r="I5666" s="5" t="s">
        <v>13549</v>
      </c>
      <c r="J5666" s="12" t="str">
        <f>HYPERLINK("https://www.boe.es/gazeta/dias/1808/11/25/pdfs/GMD-1808-147.pdf#page=11","Abrir facsímil")</f>
        <v>Abrir facsímil</v>
      </c>
      <c r="K5666" s="15" t="s">
        <v>23</v>
      </c>
    </row>
    <row r="5667" spans="1:11" ht="42" customHeight="1">
      <c r="A5667" s="4" t="s">
        <v>13550</v>
      </c>
      <c r="B5667" s="5" t="s">
        <v>13550</v>
      </c>
      <c r="C5667" s="5" t="s">
        <v>33</v>
      </c>
      <c r="D5667" s="5" t="s">
        <v>34</v>
      </c>
      <c r="E5667" s="5" t="s">
        <v>35</v>
      </c>
      <c r="F5667" s="9" t="s">
        <v>36</v>
      </c>
      <c r="G5667" s="9" t="s">
        <v>414</v>
      </c>
      <c r="H5667" s="5" t="s">
        <v>21</v>
      </c>
      <c r="I5667" s="5" t="s">
        <v>13551</v>
      </c>
      <c r="J5667" s="12" t="str">
        <f>HYPERLINK("https://www.boe.es/gazeta/dias/1808/04/22/pdfs/GMD-C-1808-38.pdf#page=20","Abrir facsímil")</f>
        <v>Abrir facsímil</v>
      </c>
      <c r="K5667" s="15" t="s">
        <v>23</v>
      </c>
    </row>
    <row r="5668" spans="1:11" ht="42" customHeight="1">
      <c r="A5668" s="4" t="s">
        <v>13552</v>
      </c>
      <c r="B5668" s="5" t="s">
        <v>13552</v>
      </c>
      <c r="C5668" s="5" t="s">
        <v>17</v>
      </c>
      <c r="D5668" s="5" t="s">
        <v>18</v>
      </c>
      <c r="E5668" s="5" t="s">
        <v>89</v>
      </c>
      <c r="F5668" s="9" t="s">
        <v>90</v>
      </c>
      <c r="G5668" s="9">
        <v>1362</v>
      </c>
      <c r="H5668" s="5" t="s">
        <v>21</v>
      </c>
      <c r="I5668" s="5" t="s">
        <v>13553</v>
      </c>
      <c r="J5668" s="12" t="str">
        <f>HYPERLINK("https://www.boe.es/gazeta/dias/1808/10/25/pdfs/GMD-1808-137.pdf#page=10","Abrir facsímil")</f>
        <v>Abrir facsímil</v>
      </c>
      <c r="K5668" s="15" t="s">
        <v>23</v>
      </c>
    </row>
    <row r="5669" spans="1:11" ht="42" customHeight="1">
      <c r="A5669" s="4" t="s">
        <v>13554</v>
      </c>
      <c r="B5669" s="5" t="s">
        <v>13554</v>
      </c>
      <c r="C5669" s="5" t="s">
        <v>33</v>
      </c>
      <c r="D5669" s="5" t="s">
        <v>34</v>
      </c>
      <c r="E5669" s="5" t="s">
        <v>363</v>
      </c>
      <c r="F5669" s="9" t="s">
        <v>364</v>
      </c>
      <c r="G5669" s="9" t="s">
        <v>106</v>
      </c>
      <c r="H5669" s="5" t="s">
        <v>21</v>
      </c>
      <c r="I5669" s="5" t="s">
        <v>13555</v>
      </c>
      <c r="J5669" s="12" t="str">
        <f>HYPERLINK("https://www.boe.es/gazeta/dias/1808/09/20/pdfs/GMD-C-1808-126.pdf#page=3","Abrir facsímil")</f>
        <v>Abrir facsímil</v>
      </c>
      <c r="K5669" s="15" t="s">
        <v>23</v>
      </c>
    </row>
    <row r="5670" spans="1:11" ht="42" customHeight="1">
      <c r="A5670" s="4" t="s">
        <v>13556</v>
      </c>
      <c r="B5670" s="5" t="s">
        <v>13556</v>
      </c>
      <c r="C5670" s="5" t="s">
        <v>33</v>
      </c>
      <c r="D5670" s="5" t="s">
        <v>34</v>
      </c>
      <c r="E5670" s="5" t="s">
        <v>28</v>
      </c>
      <c r="F5670" s="9" t="s">
        <v>446</v>
      </c>
      <c r="G5670" s="9" t="s">
        <v>117</v>
      </c>
      <c r="H5670" s="5" t="s">
        <v>21</v>
      </c>
      <c r="I5670" s="5" t="s">
        <v>13557</v>
      </c>
      <c r="J5670" s="12" t="str">
        <f>HYPERLINK("https://www.boe.es/gazeta/dias/1808/11/04/pdfs/GMD-D-1808-141.pdf#page=1","Abrir facsímil")</f>
        <v>Abrir facsímil</v>
      </c>
      <c r="K5670" s="15" t="s">
        <v>23</v>
      </c>
    </row>
    <row r="5671" spans="1:11" ht="42" customHeight="1">
      <c r="A5671" s="4" t="s">
        <v>13558</v>
      </c>
      <c r="B5671" s="5" t="s">
        <v>13559</v>
      </c>
      <c r="C5671" s="5" t="s">
        <v>33</v>
      </c>
      <c r="D5671" s="5" t="s">
        <v>34</v>
      </c>
      <c r="E5671" s="5" t="s">
        <v>35</v>
      </c>
      <c r="F5671" s="9" t="s">
        <v>36</v>
      </c>
      <c r="G5671" s="9" t="s">
        <v>1806</v>
      </c>
      <c r="H5671" s="5" t="s">
        <v>21</v>
      </c>
      <c r="I5671" s="5" t="s">
        <v>13560</v>
      </c>
      <c r="J5671" s="12" t="str">
        <f>HYPERLINK("https://www.boe.es/gazeta/dias/1808/04/22/pdfs/GMD-C-1808-38.pdf#page=6","Abrir facsímil")</f>
        <v>Abrir facsímil</v>
      </c>
      <c r="K5671" s="15" t="s">
        <v>23</v>
      </c>
    </row>
    <row r="5672" spans="1:11" ht="42" customHeight="1">
      <c r="A5672" s="4" t="s">
        <v>13561</v>
      </c>
      <c r="B5672" s="5" t="s">
        <v>13561</v>
      </c>
      <c r="C5672" s="5" t="s">
        <v>33</v>
      </c>
      <c r="D5672" s="5" t="s">
        <v>34</v>
      </c>
      <c r="E5672" s="5" t="s">
        <v>35</v>
      </c>
      <c r="F5672" s="9" t="s">
        <v>36</v>
      </c>
      <c r="G5672" s="9" t="s">
        <v>707</v>
      </c>
      <c r="H5672" s="5" t="s">
        <v>21</v>
      </c>
      <c r="I5672" s="5" t="s">
        <v>13562</v>
      </c>
      <c r="J5672" s="12" t="str">
        <f>HYPERLINK("https://www.boe.es/gazeta/dias/1808/04/22/pdfs/GMD-C-1808-38.pdf#page=42","Abrir facsímil")</f>
        <v>Abrir facsímil</v>
      </c>
      <c r="K5672" s="15" t="s">
        <v>23</v>
      </c>
    </row>
    <row r="5673" spans="1:11" ht="42" customHeight="1">
      <c r="A5673" s="4" t="s">
        <v>13563</v>
      </c>
      <c r="B5673" s="5" t="s">
        <v>13563</v>
      </c>
      <c r="C5673" s="5" t="s">
        <v>17</v>
      </c>
      <c r="D5673" s="5" t="s">
        <v>18</v>
      </c>
      <c r="E5673" s="5" t="s">
        <v>461</v>
      </c>
      <c r="F5673" s="9" t="s">
        <v>733</v>
      </c>
      <c r="G5673" s="9">
        <v>1448</v>
      </c>
      <c r="H5673" s="5" t="s">
        <v>21</v>
      </c>
      <c r="I5673" s="5" t="s">
        <v>13564</v>
      </c>
      <c r="J5673" s="12" t="str">
        <f>HYPERLINK("https://www.boe.es/gazeta/dias/1808/11/08/pdfs/GMD-1808-142.pdf#page=10","Abrir facsímil")</f>
        <v>Abrir facsímil</v>
      </c>
      <c r="K5673" s="15" t="s">
        <v>23</v>
      </c>
    </row>
    <row r="5674" spans="1:11" ht="42" customHeight="1">
      <c r="A5674" s="4" t="s">
        <v>13565</v>
      </c>
      <c r="B5674" s="5" t="s">
        <v>13565</v>
      </c>
      <c r="C5674" s="5" t="s">
        <v>33</v>
      </c>
      <c r="D5674" s="5" t="s">
        <v>34</v>
      </c>
      <c r="E5674" s="5" t="s">
        <v>65</v>
      </c>
      <c r="F5674" s="9" t="s">
        <v>105</v>
      </c>
      <c r="G5674" s="9" t="s">
        <v>75</v>
      </c>
      <c r="H5674" s="5" t="s">
        <v>21</v>
      </c>
      <c r="I5674" s="5" t="s">
        <v>13566</v>
      </c>
      <c r="J5674" s="12" t="str">
        <f>HYPERLINK("https://www.boe.es/gazeta/dias/1808/10/18/pdfs/GMD-D-1808-135.pdf#page=4","Abrir facsímil")</f>
        <v>Abrir facsímil</v>
      </c>
      <c r="K5674" s="15" t="s">
        <v>23</v>
      </c>
    </row>
    <row r="5675" spans="1:11" ht="42" customHeight="1">
      <c r="A5675" s="4" t="s">
        <v>13567</v>
      </c>
      <c r="B5675" s="5" t="s">
        <v>13567</v>
      </c>
      <c r="C5675" s="5" t="s">
        <v>33</v>
      </c>
      <c r="D5675" s="5" t="s">
        <v>34</v>
      </c>
      <c r="E5675" s="5" t="s">
        <v>166</v>
      </c>
      <c r="F5675" s="9" t="s">
        <v>400</v>
      </c>
      <c r="G5675" s="9" t="s">
        <v>75</v>
      </c>
      <c r="H5675" s="5" t="s">
        <v>21</v>
      </c>
      <c r="I5675" s="5" t="s">
        <v>13568</v>
      </c>
      <c r="J5675" s="12" t="str">
        <f>HYPERLINK("https://www.boe.es/gazeta/dias/1808/11/18/pdfs/D00069-00072.pdf#page=4","Abrir facsímil")</f>
        <v>Abrir facsímil</v>
      </c>
      <c r="K5675" s="15" t="s">
        <v>23</v>
      </c>
    </row>
    <row r="5676" spans="1:11" ht="42" customHeight="1">
      <c r="A5676" s="4" t="s">
        <v>13569</v>
      </c>
      <c r="B5676" s="5" t="s">
        <v>13570</v>
      </c>
      <c r="C5676" s="5" t="s">
        <v>41</v>
      </c>
      <c r="D5676" s="5" t="s">
        <v>42</v>
      </c>
      <c r="E5676" s="5" t="s">
        <v>461</v>
      </c>
      <c r="F5676" s="9" t="s">
        <v>462</v>
      </c>
      <c r="G5676" s="9" t="s">
        <v>75</v>
      </c>
      <c r="H5676" s="5" t="s">
        <v>21</v>
      </c>
      <c r="I5676" s="5" t="s">
        <v>13571</v>
      </c>
      <c r="J5676" s="12" t="str">
        <f>HYPERLINK("https://www.boe.es/gazeta/dias/1808/11/08/pdfs/GMD-D-1808-142.pdf#page=4","Abrir facsímil")</f>
        <v>Abrir facsímil</v>
      </c>
      <c r="K5676" s="15" t="s">
        <v>23</v>
      </c>
    </row>
    <row r="5677" spans="1:11" ht="42" customHeight="1">
      <c r="A5677" s="4" t="s">
        <v>13572</v>
      </c>
      <c r="B5677" s="5" t="s">
        <v>13573</v>
      </c>
      <c r="C5677" s="5" t="s">
        <v>17</v>
      </c>
      <c r="D5677" s="5" t="s">
        <v>18</v>
      </c>
      <c r="E5677" s="5" t="s">
        <v>558</v>
      </c>
      <c r="F5677" s="9" t="s">
        <v>559</v>
      </c>
      <c r="G5677" s="9">
        <v>1545</v>
      </c>
      <c r="H5677" s="5" t="s">
        <v>21</v>
      </c>
      <c r="I5677" s="5" t="s">
        <v>13574</v>
      </c>
      <c r="J5677" s="12" t="str">
        <f>HYPERLINK("https://www.boe.es/gazeta/dias/1808/11/25/pdfs/GMD-1808-147.pdf#page=11","Abrir facsímil")</f>
        <v>Abrir facsímil</v>
      </c>
      <c r="K5677" s="15" t="s">
        <v>23</v>
      </c>
    </row>
    <row r="5678" spans="1:11" ht="42" customHeight="1">
      <c r="A5678" s="4" t="s">
        <v>13575</v>
      </c>
      <c r="B5678" s="5" t="s">
        <v>13576</v>
      </c>
      <c r="C5678" s="5" t="s">
        <v>41</v>
      </c>
      <c r="D5678" s="5" t="s">
        <v>42</v>
      </c>
      <c r="E5678" s="5" t="s">
        <v>89</v>
      </c>
      <c r="F5678" s="9" t="s">
        <v>563</v>
      </c>
      <c r="G5678" s="9" t="s">
        <v>199</v>
      </c>
      <c r="H5678" s="5" t="s">
        <v>21</v>
      </c>
      <c r="I5678" s="5" t="s">
        <v>13577</v>
      </c>
      <c r="J5678" s="12" t="str">
        <f>HYPERLINK("https://www.boe.es/gazeta/dias/1808/10/25/pdfs/GMD-D-1808-137.pdf#page=2","Abrir facsímil")</f>
        <v>Abrir facsímil</v>
      </c>
      <c r="K5678" s="15" t="s">
        <v>23</v>
      </c>
    </row>
    <row r="5679" spans="1:11" ht="42" customHeight="1">
      <c r="A5679" s="4" t="s">
        <v>13578</v>
      </c>
      <c r="B5679" s="5" t="s">
        <v>13579</v>
      </c>
      <c r="C5679" s="5" t="s">
        <v>41</v>
      </c>
      <c r="D5679" s="5" t="s">
        <v>42</v>
      </c>
      <c r="E5679" s="5" t="s">
        <v>180</v>
      </c>
      <c r="F5679" s="9" t="s">
        <v>768</v>
      </c>
      <c r="G5679" s="9" t="s">
        <v>106</v>
      </c>
      <c r="H5679" s="5" t="s">
        <v>21</v>
      </c>
      <c r="I5679" s="5" t="s">
        <v>13580</v>
      </c>
      <c r="J5679" s="12" t="str">
        <f>HYPERLINK("https://www.boe.es/gazeta/dias/1808/11/15/pdfs/GMD-D-1808-144.pdf#page=3","Abrir facsímil")</f>
        <v>Abrir facsímil</v>
      </c>
      <c r="K5679" s="15" t="s">
        <v>23</v>
      </c>
    </row>
    <row r="5680" spans="1:11" ht="42" customHeight="1">
      <c r="A5680" s="4" t="s">
        <v>13581</v>
      </c>
      <c r="B5680" s="5" t="s">
        <v>13581</v>
      </c>
      <c r="C5680" s="5" t="s">
        <v>94</v>
      </c>
      <c r="D5680" s="5" t="s">
        <v>95</v>
      </c>
      <c r="E5680" s="5" t="s">
        <v>35</v>
      </c>
      <c r="F5680" s="9" t="s">
        <v>36</v>
      </c>
      <c r="G5680" s="9" t="s">
        <v>322</v>
      </c>
      <c r="H5680" s="5" t="s">
        <v>21</v>
      </c>
      <c r="I5680" s="5" t="s">
        <v>13582</v>
      </c>
      <c r="J5680" s="12" t="str">
        <f>HYPERLINK("https://www.boe.es/gazeta/dias/1808/04/22/pdfs/GMD-C-1808-38.pdf#page=15","Abrir facsímil")</f>
        <v>Abrir facsímil</v>
      </c>
      <c r="K5680" s="15" t="s">
        <v>23</v>
      </c>
    </row>
    <row r="5681" spans="1:11" ht="42" customHeight="1">
      <c r="A5681" s="4" t="s">
        <v>13581</v>
      </c>
      <c r="B5681" s="5" t="s">
        <v>13581</v>
      </c>
      <c r="C5681" s="5" t="s">
        <v>41</v>
      </c>
      <c r="D5681" s="5" t="s">
        <v>42</v>
      </c>
      <c r="E5681" s="5" t="s">
        <v>166</v>
      </c>
      <c r="F5681" s="9" t="s">
        <v>400</v>
      </c>
      <c r="G5681" s="9" t="s">
        <v>106</v>
      </c>
      <c r="H5681" s="5" t="s">
        <v>21</v>
      </c>
      <c r="I5681" s="5" t="s">
        <v>13583</v>
      </c>
      <c r="J5681" s="12" t="str">
        <f>HYPERLINK("https://www.boe.es/gazeta/dias/1808/11/18/pdfs/D00069-00072.pdf#page=3","Abrir facsímil")</f>
        <v>Abrir facsímil</v>
      </c>
      <c r="K5681" s="15" t="s">
        <v>23</v>
      </c>
    </row>
    <row r="5682" spans="1:11" ht="42" customHeight="1">
      <c r="A5682" s="4" t="s">
        <v>13584</v>
      </c>
      <c r="B5682" s="5" t="s">
        <v>13584</v>
      </c>
      <c r="C5682" s="5" t="s">
        <v>17</v>
      </c>
      <c r="D5682" s="5" t="s">
        <v>18</v>
      </c>
      <c r="E5682" s="5" t="s">
        <v>73</v>
      </c>
      <c r="F5682" s="9" t="s">
        <v>581</v>
      </c>
      <c r="G5682" s="9">
        <v>1468</v>
      </c>
      <c r="H5682" s="5" t="s">
        <v>21</v>
      </c>
      <c r="I5682" s="5" t="s">
        <v>13585</v>
      </c>
      <c r="J5682" s="12" t="str">
        <f>HYPERLINK("https://www.boe.es/gazeta/dias/1808/11/11/pdfs/GMD-1808-143.pdf#page=10","Abrir facsímil")</f>
        <v>Abrir facsímil</v>
      </c>
      <c r="K5682" s="15" t="s">
        <v>23</v>
      </c>
    </row>
    <row r="5683" spans="1:11" ht="42" customHeight="1">
      <c r="A5683" s="4" t="s">
        <v>13586</v>
      </c>
      <c r="B5683" s="5" t="s">
        <v>13587</v>
      </c>
      <c r="C5683" s="5" t="s">
        <v>94</v>
      </c>
      <c r="D5683" s="5" t="s">
        <v>95</v>
      </c>
      <c r="E5683" s="5" t="s">
        <v>19</v>
      </c>
      <c r="F5683" s="9" t="s">
        <v>59</v>
      </c>
      <c r="G5683" s="9">
        <v>1229</v>
      </c>
      <c r="H5683" s="5" t="s">
        <v>21</v>
      </c>
      <c r="I5683" s="5" t="s">
        <v>13588</v>
      </c>
      <c r="J5683" s="12" t="str">
        <f>HYPERLINK("https://www.boe.es/gazeta/dias/1808/09/30/pdfs/GMD-1808-130.pdf#page=9","Abrir facsímil")</f>
        <v>Abrir facsímil</v>
      </c>
      <c r="K5683" s="15" t="s">
        <v>23</v>
      </c>
    </row>
    <row r="5684" spans="1:11" ht="42" customHeight="1">
      <c r="A5684" s="4" t="s">
        <v>13586</v>
      </c>
      <c r="B5684" s="5" t="s">
        <v>13587</v>
      </c>
      <c r="C5684" s="5" t="s">
        <v>17</v>
      </c>
      <c r="D5684" s="5" t="s">
        <v>18</v>
      </c>
      <c r="E5684" s="5" t="s">
        <v>110</v>
      </c>
      <c r="F5684" s="9" t="s">
        <v>111</v>
      </c>
      <c r="G5684" s="9">
        <v>1383</v>
      </c>
      <c r="H5684" s="5" t="s">
        <v>21</v>
      </c>
      <c r="I5684" s="5" t="s">
        <v>13589</v>
      </c>
      <c r="J5684" s="12" t="str">
        <f>HYPERLINK("https://www.boe.es/gazeta/dias/1808/10/28/pdfs/GMD-1808-138.pdf#page=9","Abrir facsímil")</f>
        <v>Abrir facsímil</v>
      </c>
      <c r="K5684" s="15" t="s">
        <v>23</v>
      </c>
    </row>
    <row r="5685" spans="1:11" ht="42" customHeight="1">
      <c r="A5685" s="4" t="s">
        <v>13586</v>
      </c>
      <c r="B5685" s="5" t="s">
        <v>13587</v>
      </c>
      <c r="C5685" s="5" t="s">
        <v>17</v>
      </c>
      <c r="D5685" s="5" t="s">
        <v>18</v>
      </c>
      <c r="E5685" s="5" t="s">
        <v>719</v>
      </c>
      <c r="F5685" s="9" t="s">
        <v>720</v>
      </c>
      <c r="G5685" s="9">
        <v>1609</v>
      </c>
      <c r="H5685" s="5" t="s">
        <v>21</v>
      </c>
      <c r="I5685" s="5" t="s">
        <v>13590</v>
      </c>
      <c r="J5685" s="12" t="str">
        <f>HYPERLINK("https://www.boe.es/gazeta/dias/1808/12/16/pdfs/GMD-1808-156.pdf#page=1","Abrir facsímil")</f>
        <v>Abrir facsímil</v>
      </c>
      <c r="K5685" s="15" t="s">
        <v>23</v>
      </c>
    </row>
    <row r="5686" spans="1:11" ht="42" customHeight="1">
      <c r="A5686" s="4" t="s">
        <v>13586</v>
      </c>
      <c r="B5686" s="5" t="s">
        <v>13587</v>
      </c>
      <c r="C5686" s="5" t="s">
        <v>17</v>
      </c>
      <c r="D5686" s="5" t="s">
        <v>18</v>
      </c>
      <c r="E5686" s="5" t="s">
        <v>719</v>
      </c>
      <c r="F5686" s="9" t="s">
        <v>720</v>
      </c>
      <c r="G5686" s="9">
        <v>1611</v>
      </c>
      <c r="H5686" s="5" t="s">
        <v>21</v>
      </c>
      <c r="I5686" s="5" t="s">
        <v>13591</v>
      </c>
      <c r="J5686" s="12" t="str">
        <f>HYPERLINK("https://www.boe.es/gazeta/dias/1808/12/16/pdfs/GMD-1808-156.pdf#page=3","Abrir facsímil")</f>
        <v>Abrir facsímil</v>
      </c>
      <c r="K5686" s="15" t="s">
        <v>23</v>
      </c>
    </row>
    <row r="5687" spans="1:11" ht="42" customHeight="1">
      <c r="A5687" s="4" t="s">
        <v>13592</v>
      </c>
      <c r="B5687" s="5" t="s">
        <v>13592</v>
      </c>
      <c r="C5687" s="5" t="s">
        <v>94</v>
      </c>
      <c r="D5687" s="5" t="s">
        <v>95</v>
      </c>
      <c r="E5687" s="5" t="s">
        <v>974</v>
      </c>
      <c r="F5687" s="9" t="s">
        <v>975</v>
      </c>
      <c r="G5687" s="9">
        <v>391</v>
      </c>
      <c r="H5687" s="5" t="s">
        <v>21</v>
      </c>
      <c r="I5687" s="5" t="s">
        <v>13593</v>
      </c>
      <c r="J5687" s="12" t="str">
        <f>HYPERLINK("https://www.boe.es/gazeta/dias/1808/04/19/pdfs/GMD-1808-37.pdf#page=7","Abrir facsímil")</f>
        <v>Abrir facsímil</v>
      </c>
      <c r="K5687" s="15" t="s">
        <v>23</v>
      </c>
    </row>
    <row r="5688" spans="1:11" ht="42" customHeight="1">
      <c r="A5688" s="4" t="s">
        <v>13594</v>
      </c>
      <c r="B5688" s="5" t="s">
        <v>13594</v>
      </c>
      <c r="C5688" s="5" t="s">
        <v>33</v>
      </c>
      <c r="D5688" s="5" t="s">
        <v>34</v>
      </c>
      <c r="E5688" s="5" t="s">
        <v>35</v>
      </c>
      <c r="F5688" s="9" t="s">
        <v>36</v>
      </c>
      <c r="G5688" s="9" t="s">
        <v>818</v>
      </c>
      <c r="H5688" s="5" t="s">
        <v>21</v>
      </c>
      <c r="I5688" s="5" t="s">
        <v>13595</v>
      </c>
      <c r="J5688" s="12" t="str">
        <f>HYPERLINK("https://www.boe.es/gazeta/dias/1808/04/22/pdfs/GMD-C-1808-38.pdf#page=7","Abrir facsímil")</f>
        <v>Abrir facsímil</v>
      </c>
      <c r="K5688" s="15" t="s">
        <v>23</v>
      </c>
    </row>
    <row r="5689" spans="1:11" ht="42" customHeight="1">
      <c r="A5689" s="4" t="s">
        <v>13596</v>
      </c>
      <c r="B5689" s="5" t="s">
        <v>13597</v>
      </c>
      <c r="C5689" s="5" t="s">
        <v>389</v>
      </c>
      <c r="D5689" s="5" t="s">
        <v>390</v>
      </c>
      <c r="E5689" s="5" t="s">
        <v>65</v>
      </c>
      <c r="F5689" s="9" t="s">
        <v>66</v>
      </c>
      <c r="G5689" s="9">
        <v>1312</v>
      </c>
      <c r="H5689" s="5" t="s">
        <v>21</v>
      </c>
      <c r="I5689" s="5" t="s">
        <v>13598</v>
      </c>
      <c r="J5689" s="12" t="str">
        <f>HYPERLINK("https://www.boe.es/gazeta/dias/1808/10/18/pdfs/GMD-1808-135.pdf#page=12","Abrir facsímil")</f>
        <v>Abrir facsímil</v>
      </c>
      <c r="K5689" s="15" t="s">
        <v>23</v>
      </c>
    </row>
    <row r="5690" spans="1:11" ht="42" customHeight="1">
      <c r="A5690" s="4" t="s">
        <v>13599</v>
      </c>
      <c r="B5690" s="5" t="s">
        <v>13600</v>
      </c>
      <c r="C5690" s="5" t="s">
        <v>17</v>
      </c>
      <c r="D5690" s="5" t="s">
        <v>18</v>
      </c>
      <c r="E5690" s="5" t="s">
        <v>522</v>
      </c>
      <c r="F5690" s="9" t="s">
        <v>523</v>
      </c>
      <c r="G5690" s="9">
        <v>984</v>
      </c>
      <c r="H5690" s="5" t="s">
        <v>21</v>
      </c>
      <c r="I5690" s="5" t="s">
        <v>13601</v>
      </c>
      <c r="J5690" s="12" t="str">
        <f>HYPERLINK("https://www.boe.es/gazeta/dias/1808/08/07/pdfs/GMD-1808-110.pdf#page=6","Abrir facsímil")</f>
        <v>Abrir facsímil</v>
      </c>
      <c r="K5690" s="15" t="s">
        <v>23</v>
      </c>
    </row>
    <row r="5691" spans="1:11" ht="42" customHeight="1">
      <c r="A5691" s="4" t="s">
        <v>13602</v>
      </c>
      <c r="B5691" s="5" t="s">
        <v>13603</v>
      </c>
      <c r="C5691" s="5" t="s">
        <v>41</v>
      </c>
      <c r="D5691" s="5" t="s">
        <v>42</v>
      </c>
      <c r="E5691" s="5" t="s">
        <v>363</v>
      </c>
      <c r="F5691" s="9" t="s">
        <v>364</v>
      </c>
      <c r="G5691" s="9" t="s">
        <v>106</v>
      </c>
      <c r="H5691" s="5" t="s">
        <v>21</v>
      </c>
      <c r="I5691" s="5" t="s">
        <v>13604</v>
      </c>
      <c r="J5691" s="12" t="str">
        <f>HYPERLINK("https://www.boe.es/gazeta/dias/1808/09/20/pdfs/GMD-C-1808-126.pdf#page=3","Abrir facsímil")</f>
        <v>Abrir facsímil</v>
      </c>
      <c r="K5691" s="15" t="s">
        <v>23</v>
      </c>
    </row>
    <row r="5692" spans="1:11" ht="42" customHeight="1">
      <c r="A5692" s="4" t="s">
        <v>13605</v>
      </c>
      <c r="B5692" s="5" t="s">
        <v>13605</v>
      </c>
      <c r="C5692" s="5" t="s">
        <v>33</v>
      </c>
      <c r="D5692" s="5" t="s">
        <v>34</v>
      </c>
      <c r="E5692" s="5" t="s">
        <v>35</v>
      </c>
      <c r="F5692" s="9" t="s">
        <v>36</v>
      </c>
      <c r="G5692" s="9" t="s">
        <v>199</v>
      </c>
      <c r="H5692" s="5" t="s">
        <v>21</v>
      </c>
      <c r="I5692" s="5" t="s">
        <v>13606</v>
      </c>
      <c r="J5692" s="12" t="str">
        <f>HYPERLINK("https://www.boe.es/gazeta/dias/1808/04/22/pdfs/GMD-C-1808-38.pdf#page=2","Abrir facsímil")</f>
        <v>Abrir facsímil</v>
      </c>
      <c r="K5692" s="15" t="s">
        <v>23</v>
      </c>
    </row>
    <row r="5693" spans="1:11" ht="42" customHeight="1">
      <c r="A5693" s="4" t="s">
        <v>13607</v>
      </c>
      <c r="B5693" s="5" t="s">
        <v>13607</v>
      </c>
      <c r="C5693" s="5" t="s">
        <v>33</v>
      </c>
      <c r="D5693" s="5" t="s">
        <v>34</v>
      </c>
      <c r="E5693" s="5" t="s">
        <v>153</v>
      </c>
      <c r="F5693" s="9" t="s">
        <v>154</v>
      </c>
      <c r="G5693" s="9" t="s">
        <v>117</v>
      </c>
      <c r="H5693" s="5" t="s">
        <v>21</v>
      </c>
      <c r="I5693" s="5" t="s">
        <v>13608</v>
      </c>
      <c r="J5693" s="12" t="str">
        <f>HYPERLINK("https://www.boe.es/gazeta/dias/1808/09/09/pdfs/GMD-C-1808-121.pdf#page=1","Abrir facsímil")</f>
        <v>Abrir facsímil</v>
      </c>
      <c r="K5693" s="15" t="s">
        <v>23</v>
      </c>
    </row>
    <row r="5694" spans="1:11" ht="42" customHeight="1">
      <c r="A5694" s="4" t="s">
        <v>13609</v>
      </c>
      <c r="B5694" s="5" t="s">
        <v>13609</v>
      </c>
      <c r="C5694" s="5" t="s">
        <v>33</v>
      </c>
      <c r="D5694" s="5" t="s">
        <v>34</v>
      </c>
      <c r="E5694" s="5" t="s">
        <v>35</v>
      </c>
      <c r="F5694" s="9" t="s">
        <v>36</v>
      </c>
      <c r="G5694" s="9" t="s">
        <v>814</v>
      </c>
      <c r="H5694" s="5" t="s">
        <v>21</v>
      </c>
      <c r="I5694" s="5" t="s">
        <v>13610</v>
      </c>
      <c r="J5694" s="12" t="str">
        <f>HYPERLINK("https://www.boe.es/gazeta/dias/1808/04/22/pdfs/GMD-C-1808-38.pdf#page=25","Abrir facsímil")</f>
        <v>Abrir facsímil</v>
      </c>
      <c r="K5694" s="15" t="s">
        <v>23</v>
      </c>
    </row>
    <row r="5695" spans="1:11" ht="42" customHeight="1">
      <c r="A5695" s="4" t="s">
        <v>13611</v>
      </c>
      <c r="B5695" s="5" t="s">
        <v>13611</v>
      </c>
      <c r="C5695" s="5" t="s">
        <v>17</v>
      </c>
      <c r="D5695" s="5" t="s">
        <v>18</v>
      </c>
      <c r="E5695" s="5" t="s">
        <v>68</v>
      </c>
      <c r="F5695" s="9" t="s">
        <v>69</v>
      </c>
      <c r="G5695" s="9">
        <v>1339</v>
      </c>
      <c r="H5695" s="5" t="s">
        <v>21</v>
      </c>
      <c r="I5695" s="5" t="s">
        <v>13612</v>
      </c>
      <c r="J5695" s="12" t="str">
        <f>HYPERLINK("https://www.boe.es/gazeta/dias/1808/10/21/pdfs/GMD-1808-136.pdf#page=11","Abrir facsímil")</f>
        <v>Abrir facsímil</v>
      </c>
      <c r="K5695" s="15" t="s">
        <v>23</v>
      </c>
    </row>
    <row r="5696" spans="1:11" ht="42" customHeight="1">
      <c r="A5696" s="4" t="s">
        <v>13613</v>
      </c>
      <c r="B5696" s="5" t="s">
        <v>13613</v>
      </c>
      <c r="C5696" s="5" t="s">
        <v>33</v>
      </c>
      <c r="D5696" s="5" t="s">
        <v>34</v>
      </c>
      <c r="E5696" s="5" t="s">
        <v>153</v>
      </c>
      <c r="F5696" s="9" t="s">
        <v>154</v>
      </c>
      <c r="G5696" s="9" t="s">
        <v>75</v>
      </c>
      <c r="H5696" s="5" t="s">
        <v>21</v>
      </c>
      <c r="I5696" s="5" t="s">
        <v>13614</v>
      </c>
      <c r="J5696" s="12" t="str">
        <f>HYPERLINK("https://www.boe.es/gazeta/dias/1808/09/09/pdfs/GMD-C-1808-121.pdf#page=4","Abrir facsímil")</f>
        <v>Abrir facsímil</v>
      </c>
      <c r="K5696" s="15" t="s">
        <v>23</v>
      </c>
    </row>
    <row r="5697" spans="1:11" ht="42" customHeight="1">
      <c r="A5697" s="4" t="s">
        <v>13615</v>
      </c>
      <c r="B5697" s="5" t="s">
        <v>13616</v>
      </c>
      <c r="C5697" s="5" t="s">
        <v>33</v>
      </c>
      <c r="D5697" s="5" t="s">
        <v>34</v>
      </c>
      <c r="E5697" s="5" t="s">
        <v>68</v>
      </c>
      <c r="F5697" s="9" t="s">
        <v>309</v>
      </c>
      <c r="G5697" s="9" t="s">
        <v>117</v>
      </c>
      <c r="H5697" s="5" t="s">
        <v>21</v>
      </c>
      <c r="I5697" s="5" t="s">
        <v>13617</v>
      </c>
      <c r="J5697" s="12" t="str">
        <f>HYPERLINK("https://www.boe.es/gazeta/dias/1808/10/21/pdfs/GMD-D-1808-136.pdf#page=1","Abrir facsímil")</f>
        <v>Abrir facsímil</v>
      </c>
      <c r="K5697" s="15" t="s">
        <v>23</v>
      </c>
    </row>
    <row r="5698" spans="1:11" ht="42" customHeight="1">
      <c r="A5698" s="4" t="s">
        <v>13618</v>
      </c>
      <c r="B5698" s="5" t="s">
        <v>13618</v>
      </c>
      <c r="C5698" s="5" t="s">
        <v>41</v>
      </c>
      <c r="D5698" s="5" t="s">
        <v>42</v>
      </c>
      <c r="E5698" s="5" t="s">
        <v>368</v>
      </c>
      <c r="F5698" s="9" t="s">
        <v>369</v>
      </c>
      <c r="G5698" s="9">
        <v>168</v>
      </c>
      <c r="H5698" s="5" t="s">
        <v>21</v>
      </c>
      <c r="I5698" s="5" t="s">
        <v>13619</v>
      </c>
      <c r="J5698" s="12" t="str">
        <f>HYPERLINK("https://www.boe.es/gazeta/dias/1808/02/16/pdfs/GMD-1808-14.pdf#page=10","Abrir facsímil")</f>
        <v>Abrir facsímil</v>
      </c>
      <c r="K5698" s="15" t="s">
        <v>23</v>
      </c>
    </row>
    <row r="5699" spans="1:11" ht="42" customHeight="1">
      <c r="A5699" s="4" t="s">
        <v>13618</v>
      </c>
      <c r="B5699" s="5" t="s">
        <v>13618</v>
      </c>
      <c r="C5699" s="5" t="s">
        <v>41</v>
      </c>
      <c r="D5699" s="5" t="s">
        <v>42</v>
      </c>
      <c r="E5699" s="5" t="s">
        <v>461</v>
      </c>
      <c r="F5699" s="9" t="s">
        <v>462</v>
      </c>
      <c r="G5699" s="9" t="s">
        <v>106</v>
      </c>
      <c r="H5699" s="5" t="s">
        <v>21</v>
      </c>
      <c r="I5699" s="5" t="s">
        <v>13620</v>
      </c>
      <c r="J5699" s="12" t="str">
        <f>HYPERLINK("https://www.boe.es/gazeta/dias/1808/11/08/pdfs/GMD-D-1808-142.pdf#page=3","Abrir facsímil")</f>
        <v>Abrir facsímil</v>
      </c>
      <c r="K5699" s="15" t="s">
        <v>23</v>
      </c>
    </row>
    <row r="5700" spans="1:11" ht="42" customHeight="1">
      <c r="A5700" s="4" t="s">
        <v>13621</v>
      </c>
      <c r="B5700" s="5" t="s">
        <v>13622</v>
      </c>
      <c r="C5700" s="5" t="s">
        <v>41</v>
      </c>
      <c r="D5700" s="5" t="s">
        <v>42</v>
      </c>
      <c r="E5700" s="5" t="s">
        <v>28</v>
      </c>
      <c r="F5700" s="9" t="s">
        <v>29</v>
      </c>
      <c r="G5700" s="9">
        <v>1429</v>
      </c>
      <c r="H5700" s="5" t="s">
        <v>21</v>
      </c>
      <c r="I5700" s="5" t="s">
        <v>13623</v>
      </c>
      <c r="J5700" s="12" t="str">
        <f>HYPERLINK("https://www.boe.es/gazeta/dias/1808/11/04/pdfs/GMD-1808-141.pdf#page=11","Abrir facsímil")</f>
        <v>Abrir facsímil</v>
      </c>
      <c r="K5700" s="15" t="s">
        <v>23</v>
      </c>
    </row>
    <row r="5701" spans="1:11" ht="42" customHeight="1">
      <c r="A5701" s="4" t="s">
        <v>13624</v>
      </c>
      <c r="B5701" s="5" t="s">
        <v>13625</v>
      </c>
      <c r="C5701" s="5" t="s">
        <v>389</v>
      </c>
      <c r="D5701" s="5" t="s">
        <v>390</v>
      </c>
      <c r="E5701" s="5" t="s">
        <v>2281</v>
      </c>
      <c r="F5701" s="9" t="s">
        <v>2282</v>
      </c>
      <c r="G5701" s="9">
        <v>424</v>
      </c>
      <c r="H5701" s="5" t="s">
        <v>21</v>
      </c>
      <c r="I5701" s="5" t="s">
        <v>13626</v>
      </c>
      <c r="J5701" s="12" t="str">
        <f>HYPERLINK("https://www.boe.es/gazeta/dias/1808/04/29/pdfs/GMD-1808-42.pdf#page=8","Abrir facsímil")</f>
        <v>Abrir facsímil</v>
      </c>
      <c r="K5701" s="15" t="s">
        <v>23</v>
      </c>
    </row>
    <row r="5702" spans="1:11" ht="42" customHeight="1">
      <c r="A5702" s="4" t="s">
        <v>13627</v>
      </c>
      <c r="B5702" s="5" t="s">
        <v>13628</v>
      </c>
      <c r="C5702" s="5" t="s">
        <v>33</v>
      </c>
      <c r="D5702" s="5" t="s">
        <v>34</v>
      </c>
      <c r="E5702" s="5" t="s">
        <v>35</v>
      </c>
      <c r="F5702" s="9" t="s">
        <v>36</v>
      </c>
      <c r="G5702" s="9" t="s">
        <v>148</v>
      </c>
      <c r="H5702" s="5" t="s">
        <v>21</v>
      </c>
      <c r="I5702" s="5" t="s">
        <v>13629</v>
      </c>
      <c r="J5702" s="12" t="str">
        <f>HYPERLINK("https://www.boe.es/gazeta/dias/1808/04/22/pdfs/GMD-C-1808-38.pdf#page=38","Abrir facsímil")</f>
        <v>Abrir facsímil</v>
      </c>
      <c r="K5702" s="15" t="s">
        <v>23</v>
      </c>
    </row>
    <row r="5703" spans="1:11" ht="42" customHeight="1">
      <c r="A5703" s="4" t="s">
        <v>13630</v>
      </c>
      <c r="B5703" s="5" t="s">
        <v>13630</v>
      </c>
      <c r="C5703" s="5" t="s">
        <v>17</v>
      </c>
      <c r="D5703" s="5" t="s">
        <v>18</v>
      </c>
      <c r="E5703" s="5" t="s">
        <v>974</v>
      </c>
      <c r="F5703" s="9" t="s">
        <v>975</v>
      </c>
      <c r="G5703" s="9">
        <v>389</v>
      </c>
      <c r="H5703" s="5" t="s">
        <v>21</v>
      </c>
      <c r="I5703" s="5" t="s">
        <v>13631</v>
      </c>
      <c r="J5703" s="12" t="str">
        <f>HYPERLINK("https://www.boe.es/gazeta/dias/1808/04/19/pdfs/GMD-1808-37.pdf#page=5","Abrir facsímil")</f>
        <v>Abrir facsímil</v>
      </c>
      <c r="K5703" s="15" t="s">
        <v>23</v>
      </c>
    </row>
    <row r="5704" spans="1:11" ht="42" customHeight="1">
      <c r="A5704" s="4" t="s">
        <v>13632</v>
      </c>
      <c r="B5704" s="5" t="s">
        <v>13632</v>
      </c>
      <c r="C5704" s="5" t="s">
        <v>17</v>
      </c>
      <c r="D5704" s="5" t="s">
        <v>18</v>
      </c>
      <c r="E5704" s="5" t="s">
        <v>461</v>
      </c>
      <c r="F5704" s="9" t="s">
        <v>733</v>
      </c>
      <c r="G5704" s="9">
        <v>1447</v>
      </c>
      <c r="H5704" s="5" t="s">
        <v>21</v>
      </c>
      <c r="I5704" s="5" t="s">
        <v>13633</v>
      </c>
      <c r="J5704" s="12" t="str">
        <f>HYPERLINK("https://www.boe.es/gazeta/dias/1808/11/08/pdfs/GMD-1808-142.pdf#page=9","Abrir facsímil")</f>
        <v>Abrir facsímil</v>
      </c>
      <c r="K5704" s="15" t="s">
        <v>23</v>
      </c>
    </row>
    <row r="5705" spans="1:11" ht="42" customHeight="1">
      <c r="A5705" s="4" t="s">
        <v>13634</v>
      </c>
      <c r="B5705" s="5" t="s">
        <v>13634</v>
      </c>
      <c r="C5705" s="5" t="s">
        <v>17</v>
      </c>
      <c r="D5705" s="5" t="s">
        <v>18</v>
      </c>
      <c r="E5705" s="5" t="s">
        <v>110</v>
      </c>
      <c r="F5705" s="9" t="s">
        <v>111</v>
      </c>
      <c r="G5705" s="9">
        <v>1383</v>
      </c>
      <c r="H5705" s="5" t="s">
        <v>21</v>
      </c>
      <c r="I5705" s="5" t="s">
        <v>13635</v>
      </c>
      <c r="J5705" s="12" t="str">
        <f>HYPERLINK("https://www.boe.es/gazeta/dias/1808/10/28/pdfs/GMD-1808-138.pdf#page=9","Abrir facsímil")</f>
        <v>Abrir facsímil</v>
      </c>
      <c r="K5705" s="15" t="s">
        <v>23</v>
      </c>
    </row>
    <row r="5706" spans="1:11" ht="42" customHeight="1">
      <c r="A5706" s="4" t="s">
        <v>13636</v>
      </c>
      <c r="B5706" s="5" t="s">
        <v>13636</v>
      </c>
      <c r="C5706" s="5" t="s">
        <v>41</v>
      </c>
      <c r="D5706" s="5" t="s">
        <v>42</v>
      </c>
      <c r="E5706" s="5" t="s">
        <v>363</v>
      </c>
      <c r="F5706" s="9" t="s">
        <v>364</v>
      </c>
      <c r="G5706" s="9" t="s">
        <v>106</v>
      </c>
      <c r="H5706" s="5" t="s">
        <v>21</v>
      </c>
      <c r="I5706" s="5" t="s">
        <v>13637</v>
      </c>
      <c r="J5706" s="12" t="str">
        <f>HYPERLINK("https://www.boe.es/gazeta/dias/1808/09/20/pdfs/GMD-C-1808-126.pdf#page=3","Abrir facsímil")</f>
        <v>Abrir facsímil</v>
      </c>
      <c r="K5706" s="15" t="s">
        <v>23</v>
      </c>
    </row>
    <row r="5707" spans="1:11" ht="42" customHeight="1">
      <c r="A5707" s="4" t="s">
        <v>13638</v>
      </c>
      <c r="B5707" s="5" t="s">
        <v>13638</v>
      </c>
      <c r="C5707" s="5" t="s">
        <v>33</v>
      </c>
      <c r="D5707" s="5" t="s">
        <v>34</v>
      </c>
      <c r="E5707" s="5" t="s">
        <v>35</v>
      </c>
      <c r="F5707" s="9" t="s">
        <v>36</v>
      </c>
      <c r="G5707" s="9" t="s">
        <v>1294</v>
      </c>
      <c r="H5707" s="5" t="s">
        <v>21</v>
      </c>
      <c r="I5707" s="5" t="s">
        <v>13639</v>
      </c>
      <c r="J5707" s="12" t="str">
        <f>HYPERLINK("https://www.boe.es/gazeta/dias/1808/04/22/pdfs/GMD-C-1808-38.pdf#page=8","Abrir facsímil")</f>
        <v>Abrir facsímil</v>
      </c>
      <c r="K5707" s="15" t="s">
        <v>23</v>
      </c>
    </row>
    <row r="5708" spans="1:11" ht="42" customHeight="1">
      <c r="A5708" s="4" t="s">
        <v>13640</v>
      </c>
      <c r="B5708" s="5" t="s">
        <v>13641</v>
      </c>
      <c r="C5708" s="5" t="s">
        <v>41</v>
      </c>
      <c r="D5708" s="5" t="s">
        <v>42</v>
      </c>
      <c r="E5708" s="5" t="s">
        <v>1791</v>
      </c>
      <c r="F5708" s="9" t="s">
        <v>1792</v>
      </c>
      <c r="G5708" s="9">
        <v>144</v>
      </c>
      <c r="H5708" s="5" t="s">
        <v>21</v>
      </c>
      <c r="I5708" s="5" t="s">
        <v>13642</v>
      </c>
      <c r="J5708" s="12" t="str">
        <f>HYPERLINK("https://www.boe.es/gazeta/dias/1808/07/30/pdfs/GMS-1808-18.pdf#page=8","Abrir facsímil")</f>
        <v>Abrir facsímil</v>
      </c>
      <c r="K5708" s="15" t="s">
        <v>23</v>
      </c>
    </row>
    <row r="5709" spans="1:11" ht="42" customHeight="1">
      <c r="A5709" s="4" t="s">
        <v>13643</v>
      </c>
      <c r="B5709" s="5" t="s">
        <v>13643</v>
      </c>
      <c r="C5709" s="5" t="s">
        <v>33</v>
      </c>
      <c r="D5709" s="5" t="s">
        <v>34</v>
      </c>
      <c r="E5709" s="5" t="s">
        <v>35</v>
      </c>
      <c r="F5709" s="9" t="s">
        <v>36</v>
      </c>
      <c r="G5709" s="9" t="s">
        <v>1294</v>
      </c>
      <c r="H5709" s="5" t="s">
        <v>21</v>
      </c>
      <c r="I5709" s="5" t="s">
        <v>13644</v>
      </c>
      <c r="J5709" s="12" t="str">
        <f>HYPERLINK("https://www.boe.es/gazeta/dias/1808/04/22/pdfs/GMD-C-1808-38.pdf#page=8","Abrir facsímil")</f>
        <v>Abrir facsímil</v>
      </c>
      <c r="K5709" s="15" t="s">
        <v>23</v>
      </c>
    </row>
    <row r="5710" spans="1:11" ht="42" customHeight="1">
      <c r="A5710" s="4" t="s">
        <v>13645</v>
      </c>
      <c r="B5710" s="5" t="s">
        <v>13645</v>
      </c>
      <c r="C5710" s="5" t="s">
        <v>17</v>
      </c>
      <c r="D5710" s="5" t="s">
        <v>18</v>
      </c>
      <c r="E5710" s="5" t="s">
        <v>558</v>
      </c>
      <c r="F5710" s="9" t="s">
        <v>559</v>
      </c>
      <c r="G5710" s="9">
        <v>1544</v>
      </c>
      <c r="H5710" s="5" t="s">
        <v>21</v>
      </c>
      <c r="I5710" s="5" t="s">
        <v>13646</v>
      </c>
      <c r="J5710" s="12" t="str">
        <f>HYPERLINK("https://www.boe.es/gazeta/dias/1808/11/25/pdfs/GMD-1808-147.pdf#page=10","Abrir facsímil")</f>
        <v>Abrir facsímil</v>
      </c>
      <c r="K5710" s="15" t="s">
        <v>23</v>
      </c>
    </row>
    <row r="5711" spans="1:11" ht="42" customHeight="1">
      <c r="A5711" s="4" t="s">
        <v>13647</v>
      </c>
      <c r="B5711" s="5" t="s">
        <v>13648</v>
      </c>
      <c r="C5711" s="5" t="s">
        <v>17</v>
      </c>
      <c r="D5711" s="5" t="s">
        <v>18</v>
      </c>
      <c r="E5711" s="5" t="s">
        <v>8354</v>
      </c>
      <c r="F5711" s="9" t="s">
        <v>8355</v>
      </c>
      <c r="G5711" s="9">
        <v>805</v>
      </c>
      <c r="H5711" s="5" t="s">
        <v>21</v>
      </c>
      <c r="I5711" s="5" t="s">
        <v>13649</v>
      </c>
      <c r="J5711" s="12" t="str">
        <f>HYPERLINK("https://www.boe.es/gazeta/dias/1808/07/14/pdfs/GMD-1808-86.pdf#page=7","Abrir facsímil")</f>
        <v>Abrir facsímil</v>
      </c>
      <c r="K5711" s="15" t="s">
        <v>23</v>
      </c>
    </row>
    <row r="5712" spans="1:11" ht="42" customHeight="1">
      <c r="A5712" s="4" t="s">
        <v>13650</v>
      </c>
      <c r="B5712" s="5" t="s">
        <v>13650</v>
      </c>
      <c r="C5712" s="5" t="s">
        <v>17</v>
      </c>
      <c r="D5712" s="5" t="s">
        <v>18</v>
      </c>
      <c r="E5712" s="5" t="s">
        <v>1472</v>
      </c>
      <c r="F5712" s="9" t="s">
        <v>1473</v>
      </c>
      <c r="G5712" s="9">
        <v>95</v>
      </c>
      <c r="H5712" s="5" t="s">
        <v>21</v>
      </c>
      <c r="I5712" s="5" t="s">
        <v>13651</v>
      </c>
      <c r="J5712" s="12" t="str">
        <f>HYPERLINK("https://www.boe.es/gazeta/dias/1808/01/26/pdfs/GMD-1808-8.pdf#page=11","Abrir facsímil")</f>
        <v>Abrir facsímil</v>
      </c>
      <c r="K5712" s="15" t="s">
        <v>23</v>
      </c>
    </row>
    <row r="5713" spans="1:11" ht="42" customHeight="1">
      <c r="A5713" s="4" t="s">
        <v>13652</v>
      </c>
      <c r="B5713" s="5" t="s">
        <v>13652</v>
      </c>
      <c r="C5713" s="5" t="s">
        <v>17</v>
      </c>
      <c r="D5713" s="5" t="s">
        <v>18</v>
      </c>
      <c r="E5713" s="5" t="s">
        <v>461</v>
      </c>
      <c r="F5713" s="9" t="s">
        <v>733</v>
      </c>
      <c r="G5713" s="9">
        <v>1448</v>
      </c>
      <c r="H5713" s="5" t="s">
        <v>21</v>
      </c>
      <c r="I5713" s="5" t="s">
        <v>13653</v>
      </c>
      <c r="J5713" s="12" t="str">
        <f>HYPERLINK("https://www.boe.es/gazeta/dias/1808/11/08/pdfs/GMD-1808-142.pdf#page=10","Abrir facsímil")</f>
        <v>Abrir facsímil</v>
      </c>
      <c r="K5713" s="15" t="s">
        <v>23</v>
      </c>
    </row>
    <row r="5714" spans="1:11" ht="42" customHeight="1">
      <c r="A5714" s="4" t="s">
        <v>13654</v>
      </c>
      <c r="B5714" s="5" t="s">
        <v>13654</v>
      </c>
      <c r="C5714" s="5" t="s">
        <v>17</v>
      </c>
      <c r="D5714" s="5" t="s">
        <v>18</v>
      </c>
      <c r="E5714" s="5" t="s">
        <v>61</v>
      </c>
      <c r="F5714" s="9" t="s">
        <v>62</v>
      </c>
      <c r="G5714" s="9">
        <v>1286</v>
      </c>
      <c r="H5714" s="5" t="s">
        <v>21</v>
      </c>
      <c r="I5714" s="5" t="s">
        <v>13655</v>
      </c>
      <c r="J5714" s="12" t="str">
        <f>HYPERLINK("https://www.boe.es/gazeta/dias/1808/10/11/pdfs/GMD-1808-133.pdf#page=14","Abrir facsímil")</f>
        <v>Abrir facsímil</v>
      </c>
      <c r="K5714" s="15" t="s">
        <v>23</v>
      </c>
    </row>
    <row r="5715" spans="1:11" ht="42" customHeight="1">
      <c r="A5715" s="4" t="s">
        <v>13656</v>
      </c>
      <c r="B5715" s="5" t="s">
        <v>13656</v>
      </c>
      <c r="C5715" s="5" t="s">
        <v>17</v>
      </c>
      <c r="D5715" s="5" t="s">
        <v>18</v>
      </c>
      <c r="E5715" s="5" t="s">
        <v>73</v>
      </c>
      <c r="F5715" s="9" t="s">
        <v>581</v>
      </c>
      <c r="G5715" s="9">
        <v>1469</v>
      </c>
      <c r="H5715" s="5" t="s">
        <v>21</v>
      </c>
      <c r="I5715" s="5" t="s">
        <v>13657</v>
      </c>
      <c r="J5715" s="12" t="str">
        <f>HYPERLINK("https://www.boe.es/gazeta/dias/1808/11/11/pdfs/GMD-1808-143.pdf#page=11","Abrir facsímil")</f>
        <v>Abrir facsímil</v>
      </c>
      <c r="K5715" s="15" t="s">
        <v>23</v>
      </c>
    </row>
    <row r="5716" spans="1:11" ht="42" customHeight="1">
      <c r="A5716" s="4" t="s">
        <v>13658</v>
      </c>
      <c r="B5716" s="5" t="s">
        <v>13658</v>
      </c>
      <c r="C5716" s="5" t="s">
        <v>41</v>
      </c>
      <c r="D5716" s="5" t="s">
        <v>42</v>
      </c>
      <c r="E5716" s="5" t="s">
        <v>35</v>
      </c>
      <c r="F5716" s="9" t="s">
        <v>36</v>
      </c>
      <c r="G5716" s="9" t="s">
        <v>277</v>
      </c>
      <c r="H5716" s="5" t="s">
        <v>21</v>
      </c>
      <c r="I5716" s="5" t="s">
        <v>13659</v>
      </c>
      <c r="J5716" s="12" t="str">
        <f>HYPERLINK("https://www.boe.es/gazeta/dias/1808/04/22/pdfs/GMD-C-1808-38.pdf#page=34","Abrir facsímil")</f>
        <v>Abrir facsímil</v>
      </c>
      <c r="K5716" s="15" t="s">
        <v>23</v>
      </c>
    </row>
    <row r="5717" spans="1:11" ht="42" customHeight="1">
      <c r="A5717" s="4" t="s">
        <v>13658</v>
      </c>
      <c r="B5717" s="5" t="s">
        <v>13658</v>
      </c>
      <c r="C5717" s="5" t="s">
        <v>33</v>
      </c>
      <c r="D5717" s="5" t="s">
        <v>34</v>
      </c>
      <c r="E5717" s="5" t="s">
        <v>35</v>
      </c>
      <c r="F5717" s="9" t="s">
        <v>36</v>
      </c>
      <c r="G5717" s="9" t="s">
        <v>655</v>
      </c>
      <c r="H5717" s="5" t="s">
        <v>21</v>
      </c>
      <c r="I5717" s="5" t="s">
        <v>13660</v>
      </c>
      <c r="J5717" s="12" t="str">
        <f>HYPERLINK("https://www.boe.es/gazeta/dias/1808/04/22/pdfs/GMD-C-1808-38.pdf#page=43","Abrir facsímil")</f>
        <v>Abrir facsímil</v>
      </c>
      <c r="K5717" s="15" t="s">
        <v>23</v>
      </c>
    </row>
    <row r="5718" spans="1:11" ht="42" customHeight="1">
      <c r="A5718" s="4" t="s">
        <v>13658</v>
      </c>
      <c r="B5718" s="5" t="s">
        <v>13658</v>
      </c>
      <c r="C5718" s="5" t="s">
        <v>94</v>
      </c>
      <c r="D5718" s="5" t="s">
        <v>95</v>
      </c>
      <c r="E5718" s="5" t="s">
        <v>4137</v>
      </c>
      <c r="F5718" s="9" t="s">
        <v>4138</v>
      </c>
      <c r="G5718" s="9">
        <v>560</v>
      </c>
      <c r="H5718" s="5" t="s">
        <v>21</v>
      </c>
      <c r="I5718" s="5" t="s">
        <v>13661</v>
      </c>
      <c r="J5718" s="12" t="str">
        <f>HYPERLINK("https://www.boe.es/gazeta/dias/1808/06/12/pdfs/GMD-1808-56E.pdf#page=2","Abrir facsímil")</f>
        <v>Abrir facsímil</v>
      </c>
      <c r="K5718" s="15" t="s">
        <v>23</v>
      </c>
    </row>
    <row r="5719" spans="1:11" ht="42" customHeight="1">
      <c r="A5719" s="4" t="s">
        <v>13658</v>
      </c>
      <c r="B5719" s="5" t="s">
        <v>13658</v>
      </c>
      <c r="C5719" s="5" t="s">
        <v>33</v>
      </c>
      <c r="D5719" s="5" t="s">
        <v>34</v>
      </c>
      <c r="E5719" s="5" t="s">
        <v>3791</v>
      </c>
      <c r="F5719" s="9" t="s">
        <v>8498</v>
      </c>
      <c r="G5719" s="9">
        <v>620</v>
      </c>
      <c r="H5719" s="5" t="s">
        <v>21</v>
      </c>
      <c r="I5719" s="5" t="s">
        <v>13662</v>
      </c>
      <c r="J5719" s="12" t="str">
        <f>HYPERLINK("https://www.boe.es/gazeta/dias/1808/06/21/pdfs/GMD-C-1808-63.pdf#page=2","Abrir facsímil")</f>
        <v>Abrir facsímil</v>
      </c>
      <c r="K5719" s="15" t="s">
        <v>23</v>
      </c>
    </row>
    <row r="5720" spans="1:11" ht="42" customHeight="1">
      <c r="A5720" s="4" t="s">
        <v>13663</v>
      </c>
      <c r="B5720" s="5" t="s">
        <v>13663</v>
      </c>
      <c r="C5720" s="5" t="s">
        <v>17</v>
      </c>
      <c r="D5720" s="5" t="s">
        <v>18</v>
      </c>
      <c r="E5720" s="5" t="s">
        <v>2935</v>
      </c>
      <c r="F5720" s="9" t="s">
        <v>2936</v>
      </c>
      <c r="G5720" s="9">
        <v>429</v>
      </c>
      <c r="H5720" s="5" t="s">
        <v>21</v>
      </c>
      <c r="I5720" s="5" t="s">
        <v>13664</v>
      </c>
      <c r="J5720" s="12" t="str">
        <f>HYPERLINK("https://www.boe.es/gazeta/dias/1808/12/02/pdfs/GMS-1808-54.pdf#page=5","Abrir facsímil")</f>
        <v>Abrir facsímil</v>
      </c>
      <c r="K5720" s="15" t="s">
        <v>23</v>
      </c>
    </row>
    <row r="5721" spans="1:11" ht="42" customHeight="1">
      <c r="A5721" s="4" t="s">
        <v>13665</v>
      </c>
      <c r="B5721" s="5" t="s">
        <v>13665</v>
      </c>
      <c r="C5721" s="5" t="s">
        <v>33</v>
      </c>
      <c r="D5721" s="5" t="s">
        <v>34</v>
      </c>
      <c r="E5721" s="5" t="s">
        <v>197</v>
      </c>
      <c r="F5721" s="9" t="s">
        <v>198</v>
      </c>
      <c r="G5721" s="9" t="s">
        <v>106</v>
      </c>
      <c r="H5721" s="5" t="s">
        <v>21</v>
      </c>
      <c r="I5721" s="5" t="s">
        <v>13666</v>
      </c>
      <c r="J5721" s="12" t="str">
        <f>HYPERLINK("https://www.boe.es/gazeta/dias/1808/11/01/pdfs/GMD-D-1808-140.pdf#page=3","Abrir facsímil")</f>
        <v>Abrir facsímil</v>
      </c>
      <c r="K5721" s="15" t="s">
        <v>23</v>
      </c>
    </row>
    <row r="5722" spans="1:11" ht="42" customHeight="1">
      <c r="A5722" s="4" t="s">
        <v>13667</v>
      </c>
      <c r="B5722" s="5" t="s">
        <v>13667</v>
      </c>
      <c r="C5722" s="5" t="s">
        <v>33</v>
      </c>
      <c r="D5722" s="5" t="s">
        <v>34</v>
      </c>
      <c r="E5722" s="5" t="s">
        <v>153</v>
      </c>
      <c r="F5722" s="9" t="s">
        <v>154</v>
      </c>
      <c r="G5722" s="9" t="s">
        <v>75</v>
      </c>
      <c r="H5722" s="5" t="s">
        <v>21</v>
      </c>
      <c r="I5722" s="5" t="s">
        <v>13668</v>
      </c>
      <c r="J5722" s="12" t="str">
        <f>HYPERLINK("https://www.boe.es/gazeta/dias/1808/09/09/pdfs/GMD-C-1808-121.pdf#page=4","Abrir facsímil")</f>
        <v>Abrir facsímil</v>
      </c>
      <c r="K5722" s="15" t="s">
        <v>23</v>
      </c>
    </row>
    <row r="5723" spans="1:11" ht="42" customHeight="1">
      <c r="A5723" s="4" t="s">
        <v>13669</v>
      </c>
      <c r="B5723" s="5" t="s">
        <v>13669</v>
      </c>
      <c r="C5723" s="5" t="s">
        <v>41</v>
      </c>
      <c r="D5723" s="5" t="s">
        <v>42</v>
      </c>
      <c r="E5723" s="5" t="s">
        <v>2159</v>
      </c>
      <c r="F5723" s="9" t="s">
        <v>2160</v>
      </c>
      <c r="G5723" s="9">
        <v>185</v>
      </c>
      <c r="H5723" s="5" t="s">
        <v>21</v>
      </c>
      <c r="I5723" s="5" t="s">
        <v>13670</v>
      </c>
      <c r="J5723" s="12" t="str">
        <f>HYPERLINK("https://www.boe.es/gazeta/dias/1808/02/19/pdfs/GMD-1808-15.pdf#page=15","Abrir facsímil")</f>
        <v>Abrir facsímil</v>
      </c>
      <c r="K5723" s="15" t="s">
        <v>23</v>
      </c>
    </row>
    <row r="5724" spans="1:11" ht="42" customHeight="1">
      <c r="A5724" s="4" t="s">
        <v>13669</v>
      </c>
      <c r="B5724" s="5" t="s">
        <v>13669</v>
      </c>
      <c r="C5724" s="5" t="s">
        <v>41</v>
      </c>
      <c r="D5724" s="5" t="s">
        <v>42</v>
      </c>
      <c r="E5724" s="5" t="s">
        <v>478</v>
      </c>
      <c r="F5724" s="9" t="s">
        <v>479</v>
      </c>
      <c r="G5724" s="9">
        <v>243</v>
      </c>
      <c r="H5724" s="5" t="s">
        <v>21</v>
      </c>
      <c r="I5724" s="5" t="s">
        <v>13671</v>
      </c>
      <c r="J5724" s="12" t="str">
        <f>HYPERLINK("https://www.boe.es/gazeta/dias/1808/03/08/pdfs/GMD-1808-20.pdf#page=9","Abrir facsímil")</f>
        <v>Abrir facsímil</v>
      </c>
      <c r="K5724" s="15" t="s">
        <v>23</v>
      </c>
    </row>
    <row r="5725" spans="1:11" ht="42" customHeight="1">
      <c r="A5725" s="4" t="s">
        <v>13669</v>
      </c>
      <c r="B5725" s="5" t="s">
        <v>13669</v>
      </c>
      <c r="C5725" s="5" t="s">
        <v>41</v>
      </c>
      <c r="D5725" s="5" t="s">
        <v>42</v>
      </c>
      <c r="E5725" s="5" t="s">
        <v>96</v>
      </c>
      <c r="F5725" s="9" t="s">
        <v>97</v>
      </c>
      <c r="G5725" s="9">
        <v>267</v>
      </c>
      <c r="H5725" s="5" t="s">
        <v>21</v>
      </c>
      <c r="I5725" s="5" t="s">
        <v>13672</v>
      </c>
      <c r="J5725" s="12" t="str">
        <f>HYPERLINK("https://www.boe.es/gazeta/dias/1808/03/15/pdfs/GMD-1808-22.pdf#page=9","Abrir facsímil")</f>
        <v>Abrir facsímil</v>
      </c>
      <c r="K5725" s="15" t="s">
        <v>23</v>
      </c>
    </row>
    <row r="5726" spans="1:11" ht="42" customHeight="1">
      <c r="A5726" s="4" t="s">
        <v>13669</v>
      </c>
      <c r="B5726" s="5" t="s">
        <v>13669</v>
      </c>
      <c r="C5726" s="5" t="s">
        <v>17</v>
      </c>
      <c r="D5726" s="5" t="s">
        <v>18</v>
      </c>
      <c r="E5726" s="5" t="s">
        <v>522</v>
      </c>
      <c r="F5726" s="9" t="s">
        <v>523</v>
      </c>
      <c r="G5726" s="9">
        <v>984</v>
      </c>
      <c r="H5726" s="5" t="s">
        <v>21</v>
      </c>
      <c r="I5726" s="5" t="s">
        <v>13673</v>
      </c>
      <c r="J5726" s="12" t="str">
        <f>HYPERLINK("https://www.boe.es/gazeta/dias/1808/08/07/pdfs/GMD-1808-110.pdf#page=6","Abrir facsímil")</f>
        <v>Abrir facsímil</v>
      </c>
      <c r="K5726" s="15" t="s">
        <v>23</v>
      </c>
    </row>
    <row r="5727" spans="1:11" ht="42" customHeight="1">
      <c r="A5727" s="4" t="s">
        <v>13669</v>
      </c>
      <c r="B5727" s="5" t="s">
        <v>13669</v>
      </c>
      <c r="C5727" s="5" t="s">
        <v>17</v>
      </c>
      <c r="D5727" s="5" t="s">
        <v>18</v>
      </c>
      <c r="E5727" s="5" t="s">
        <v>65</v>
      </c>
      <c r="F5727" s="9" t="s">
        <v>66</v>
      </c>
      <c r="G5727" s="9">
        <v>1312</v>
      </c>
      <c r="H5727" s="5" t="s">
        <v>21</v>
      </c>
      <c r="I5727" s="5" t="s">
        <v>13674</v>
      </c>
      <c r="J5727" s="12" t="str">
        <f>HYPERLINK("https://www.boe.es/gazeta/dias/1808/10/18/pdfs/GMD-1808-135.pdf#page=12","Abrir facsímil")</f>
        <v>Abrir facsímil</v>
      </c>
      <c r="K5727" s="15" t="s">
        <v>23</v>
      </c>
    </row>
    <row r="5728" spans="1:11" ht="42" customHeight="1">
      <c r="A5728" s="4" t="s">
        <v>13675</v>
      </c>
      <c r="B5728" s="5" t="s">
        <v>13675</v>
      </c>
      <c r="C5728" s="5" t="s">
        <v>41</v>
      </c>
      <c r="D5728" s="5" t="s">
        <v>42</v>
      </c>
      <c r="E5728" s="5" t="s">
        <v>35</v>
      </c>
      <c r="F5728" s="9" t="s">
        <v>36</v>
      </c>
      <c r="G5728" s="9" t="s">
        <v>162</v>
      </c>
      <c r="H5728" s="5" t="s">
        <v>21</v>
      </c>
      <c r="I5728" s="5" t="s">
        <v>13676</v>
      </c>
      <c r="J5728" s="12" t="str">
        <f>HYPERLINK("https://www.boe.es/gazeta/dias/1808/04/22/pdfs/GMD-C-1808-38.pdf#page=31","Abrir facsímil")</f>
        <v>Abrir facsímil</v>
      </c>
      <c r="K5728" s="15" t="s">
        <v>23</v>
      </c>
    </row>
    <row r="5729" spans="1:11" ht="42" customHeight="1">
      <c r="A5729" s="4" t="s">
        <v>13677</v>
      </c>
      <c r="B5729" s="5" t="s">
        <v>13677</v>
      </c>
      <c r="C5729" s="5" t="s">
        <v>17</v>
      </c>
      <c r="D5729" s="5" t="s">
        <v>18</v>
      </c>
      <c r="E5729" s="5" t="s">
        <v>719</v>
      </c>
      <c r="F5729" s="9" t="s">
        <v>720</v>
      </c>
      <c r="G5729" s="9">
        <v>1609</v>
      </c>
      <c r="H5729" s="5" t="s">
        <v>21</v>
      </c>
      <c r="I5729" s="5" t="s">
        <v>13678</v>
      </c>
      <c r="J5729" s="12" t="str">
        <f>HYPERLINK("https://www.boe.es/gazeta/dias/1808/12/16/pdfs/GMD-1808-156.pdf#page=1","Abrir facsímil")</f>
        <v>Abrir facsímil</v>
      </c>
      <c r="K5729" s="15" t="s">
        <v>23</v>
      </c>
    </row>
    <row r="5730" spans="1:11" ht="42" customHeight="1">
      <c r="A5730" s="4" t="s">
        <v>13679</v>
      </c>
      <c r="B5730" s="5" t="s">
        <v>13679</v>
      </c>
      <c r="C5730" s="5" t="s">
        <v>33</v>
      </c>
      <c r="D5730" s="5" t="s">
        <v>34</v>
      </c>
      <c r="E5730" s="5" t="s">
        <v>35</v>
      </c>
      <c r="F5730" s="9" t="s">
        <v>36</v>
      </c>
      <c r="G5730" s="9" t="s">
        <v>867</v>
      </c>
      <c r="H5730" s="5" t="s">
        <v>21</v>
      </c>
      <c r="I5730" s="5" t="s">
        <v>13680</v>
      </c>
      <c r="J5730" s="12" t="str">
        <f>HYPERLINK("https://www.boe.es/gazeta/dias/1808/04/22/pdfs/GMD-C-1808-38.pdf#page=19","Abrir facsímil")</f>
        <v>Abrir facsímil</v>
      </c>
      <c r="K5730" s="15" t="s">
        <v>23</v>
      </c>
    </row>
    <row r="5731" spans="1:11" ht="42" customHeight="1">
      <c r="A5731" s="4" t="s">
        <v>13679</v>
      </c>
      <c r="B5731" s="5" t="s">
        <v>13679</v>
      </c>
      <c r="C5731" s="5" t="s">
        <v>17</v>
      </c>
      <c r="D5731" s="5" t="s">
        <v>18</v>
      </c>
      <c r="E5731" s="5" t="s">
        <v>558</v>
      </c>
      <c r="F5731" s="9" t="s">
        <v>559</v>
      </c>
      <c r="G5731" s="9">
        <v>1545</v>
      </c>
      <c r="H5731" s="5" t="s">
        <v>21</v>
      </c>
      <c r="I5731" s="5" t="s">
        <v>13681</v>
      </c>
      <c r="J5731" s="12" t="str">
        <f>HYPERLINK("https://www.boe.es/gazeta/dias/1808/11/25/pdfs/GMD-1808-147.pdf#page=11","Abrir facsímil")</f>
        <v>Abrir facsímil</v>
      </c>
      <c r="K5731" s="15" t="s">
        <v>23</v>
      </c>
    </row>
    <row r="5732" spans="1:11" ht="42" customHeight="1">
      <c r="A5732" s="4" t="s">
        <v>13682</v>
      </c>
      <c r="B5732" s="5" t="s">
        <v>13682</v>
      </c>
      <c r="C5732" s="5" t="s">
        <v>389</v>
      </c>
      <c r="D5732" s="5" t="s">
        <v>390</v>
      </c>
      <c r="E5732" s="5" t="s">
        <v>558</v>
      </c>
      <c r="F5732" s="9" t="s">
        <v>559</v>
      </c>
      <c r="G5732" s="9">
        <v>1546</v>
      </c>
      <c r="H5732" s="5" t="s">
        <v>21</v>
      </c>
      <c r="I5732" s="5" t="s">
        <v>13683</v>
      </c>
      <c r="J5732" s="12" t="str">
        <f>HYPERLINK("https://www.boe.es/gazeta/dias/1808/11/25/pdfs/GMD-1808-147.pdf#page=12","Abrir facsímil")</f>
        <v>Abrir facsímil</v>
      </c>
      <c r="K5732" s="15" t="s">
        <v>23</v>
      </c>
    </row>
    <row r="5733" spans="1:11" ht="42" customHeight="1">
      <c r="A5733" s="4" t="s">
        <v>13684</v>
      </c>
      <c r="B5733" s="5" t="s">
        <v>13684</v>
      </c>
      <c r="C5733" s="5" t="s">
        <v>33</v>
      </c>
      <c r="D5733" s="5" t="s">
        <v>34</v>
      </c>
      <c r="E5733" s="5" t="s">
        <v>418</v>
      </c>
      <c r="F5733" s="9" t="s">
        <v>419</v>
      </c>
      <c r="G5733" s="9">
        <v>1137</v>
      </c>
      <c r="H5733" s="5" t="s">
        <v>21</v>
      </c>
      <c r="I5733" s="5" t="s">
        <v>13685</v>
      </c>
      <c r="J5733" s="12" t="str">
        <f>HYPERLINK("https://www.boe.es/gazeta/dias/1808/09/06/pdfs/GMD-C-1808-120.pdf#page=11","Abrir facsímil")</f>
        <v>Abrir facsímil</v>
      </c>
      <c r="K5733" s="15" t="s">
        <v>23</v>
      </c>
    </row>
    <row r="5734" spans="1:11" ht="42" customHeight="1">
      <c r="A5734" s="4" t="s">
        <v>13686</v>
      </c>
      <c r="B5734" s="5" t="s">
        <v>13686</v>
      </c>
      <c r="C5734" s="5" t="s">
        <v>389</v>
      </c>
      <c r="D5734" s="5" t="s">
        <v>390</v>
      </c>
      <c r="E5734" s="5" t="s">
        <v>1760</v>
      </c>
      <c r="F5734" s="9" t="s">
        <v>1761</v>
      </c>
      <c r="G5734" s="9">
        <v>429</v>
      </c>
      <c r="H5734" s="5" t="s">
        <v>21</v>
      </c>
      <c r="I5734" s="5" t="s">
        <v>13687</v>
      </c>
      <c r="J5734" s="12" t="str">
        <f>HYPERLINK("https://www.boe.es/gazeta/dias/1808/05/03/pdfs/GMD-1808-43.pdf#page=5","Abrir facsímil")</f>
        <v>Abrir facsímil</v>
      </c>
      <c r="K5734" s="15" t="s">
        <v>23</v>
      </c>
    </row>
    <row r="5735" spans="1:11" ht="42" customHeight="1">
      <c r="A5735" s="4" t="s">
        <v>13688</v>
      </c>
      <c r="B5735" s="5" t="s">
        <v>13689</v>
      </c>
      <c r="C5735" s="5" t="s">
        <v>33</v>
      </c>
      <c r="D5735" s="5" t="s">
        <v>34</v>
      </c>
      <c r="E5735" s="5" t="s">
        <v>68</v>
      </c>
      <c r="F5735" s="9" t="s">
        <v>309</v>
      </c>
      <c r="G5735" s="9" t="s">
        <v>106</v>
      </c>
      <c r="H5735" s="5" t="s">
        <v>21</v>
      </c>
      <c r="I5735" s="5" t="s">
        <v>13690</v>
      </c>
      <c r="J5735" s="12" t="str">
        <f>HYPERLINK("https://www.boe.es/gazeta/dias/1808/10/21/pdfs/GMD-D-1808-136.pdf#page=3","Abrir facsímil")</f>
        <v>Abrir facsímil</v>
      </c>
      <c r="K5735" s="15" t="s">
        <v>23</v>
      </c>
    </row>
    <row r="5736" spans="1:11" ht="42" customHeight="1">
      <c r="A5736" s="4" t="s">
        <v>13691</v>
      </c>
      <c r="B5736" s="5" t="s">
        <v>13691</v>
      </c>
      <c r="C5736" s="5" t="s">
        <v>17</v>
      </c>
      <c r="D5736" s="5" t="s">
        <v>18</v>
      </c>
      <c r="E5736" s="5" t="s">
        <v>877</v>
      </c>
      <c r="F5736" s="9" t="s">
        <v>878</v>
      </c>
      <c r="G5736" s="9">
        <v>118</v>
      </c>
      <c r="H5736" s="5" t="s">
        <v>21</v>
      </c>
      <c r="I5736" s="5" t="s">
        <v>13692</v>
      </c>
      <c r="J5736" s="12" t="str">
        <f>HYPERLINK("https://www.boe.es/gazeta/dias/1808/02/02/pdfs/GMD-1808-10.pdf#page=10","Abrir facsímil")</f>
        <v>Abrir facsímil</v>
      </c>
      <c r="K5736" s="15" t="s">
        <v>23</v>
      </c>
    </row>
    <row r="5737" spans="1:11" ht="42" customHeight="1">
      <c r="A5737" s="4" t="s">
        <v>13693</v>
      </c>
      <c r="B5737" s="5" t="s">
        <v>13693</v>
      </c>
      <c r="C5737" s="5" t="s">
        <v>17</v>
      </c>
      <c r="D5737" s="5" t="s">
        <v>18</v>
      </c>
      <c r="E5737" s="5" t="s">
        <v>558</v>
      </c>
      <c r="F5737" s="9" t="s">
        <v>559</v>
      </c>
      <c r="G5737" s="9">
        <v>1544</v>
      </c>
      <c r="H5737" s="5" t="s">
        <v>21</v>
      </c>
      <c r="I5737" s="5" t="s">
        <v>13694</v>
      </c>
      <c r="J5737" s="12" t="str">
        <f>HYPERLINK("https://www.boe.es/gazeta/dias/1808/11/25/pdfs/GMD-1808-147.pdf#page=10","Abrir facsímil")</f>
        <v>Abrir facsímil</v>
      </c>
      <c r="K5737" s="15" t="s">
        <v>23</v>
      </c>
    </row>
    <row r="5738" spans="1:11" ht="42" customHeight="1">
      <c r="A5738" s="4" t="s">
        <v>13695</v>
      </c>
      <c r="B5738" s="5" t="s">
        <v>13696</v>
      </c>
      <c r="C5738" s="5" t="s">
        <v>33</v>
      </c>
      <c r="D5738" s="5" t="s">
        <v>34</v>
      </c>
      <c r="E5738" s="5" t="s">
        <v>35</v>
      </c>
      <c r="F5738" s="9" t="s">
        <v>36</v>
      </c>
      <c r="G5738" s="9" t="s">
        <v>47</v>
      </c>
      <c r="H5738" s="5" t="s">
        <v>21</v>
      </c>
      <c r="I5738" s="5" t="s">
        <v>13697</v>
      </c>
      <c r="J5738" s="12" t="str">
        <f>HYPERLINK("https://www.boe.es/gazeta/dias/1808/04/22/pdfs/GMD-C-1808-38.pdf#page=13","Abrir facsímil")</f>
        <v>Abrir facsímil</v>
      </c>
      <c r="K5738" s="15" t="s">
        <v>23</v>
      </c>
    </row>
    <row r="5739" spans="1:11" ht="42" customHeight="1">
      <c r="A5739" s="4" t="s">
        <v>13698</v>
      </c>
      <c r="B5739" s="5" t="s">
        <v>13698</v>
      </c>
      <c r="C5739" s="5" t="s">
        <v>41</v>
      </c>
      <c r="D5739" s="5" t="s">
        <v>42</v>
      </c>
      <c r="E5739" s="5" t="s">
        <v>35</v>
      </c>
      <c r="F5739" s="9" t="s">
        <v>36</v>
      </c>
      <c r="G5739" s="9" t="s">
        <v>43</v>
      </c>
      <c r="H5739" s="5" t="s">
        <v>21</v>
      </c>
      <c r="I5739" s="5" t="s">
        <v>13699</v>
      </c>
      <c r="J5739" s="12" t="str">
        <f>HYPERLINK("https://www.boe.es/gazeta/dias/1808/04/22/pdfs/GMD-C-1808-38.pdf#page=30","Abrir facsímil")</f>
        <v>Abrir facsímil</v>
      </c>
      <c r="K5739" s="15" t="s">
        <v>23</v>
      </c>
    </row>
    <row r="5740" spans="1:11" ht="42" customHeight="1">
      <c r="A5740" s="4" t="s">
        <v>13698</v>
      </c>
      <c r="B5740" s="5" t="s">
        <v>13698</v>
      </c>
      <c r="C5740" s="5" t="s">
        <v>94</v>
      </c>
      <c r="D5740" s="5" t="s">
        <v>95</v>
      </c>
      <c r="E5740" s="5" t="s">
        <v>35</v>
      </c>
      <c r="F5740" s="9" t="s">
        <v>36</v>
      </c>
      <c r="G5740" s="9" t="s">
        <v>501</v>
      </c>
      <c r="H5740" s="5" t="s">
        <v>21</v>
      </c>
      <c r="I5740" s="5" t="s">
        <v>13700</v>
      </c>
      <c r="J5740" s="12" t="str">
        <f>HYPERLINK("https://www.boe.es/gazeta/dias/1808/04/22/pdfs/GMD-C-1808-38.pdf#page=5","Abrir facsímil")</f>
        <v>Abrir facsímil</v>
      </c>
      <c r="K5740" s="15" t="s">
        <v>23</v>
      </c>
    </row>
    <row r="5741" spans="1:11" ht="42" customHeight="1">
      <c r="A5741" s="4" t="s">
        <v>13701</v>
      </c>
      <c r="B5741" s="5" t="s">
        <v>13701</v>
      </c>
      <c r="C5741" s="5" t="s">
        <v>33</v>
      </c>
      <c r="D5741" s="5" t="s">
        <v>34</v>
      </c>
      <c r="E5741" s="5" t="s">
        <v>35</v>
      </c>
      <c r="F5741" s="9" t="s">
        <v>36</v>
      </c>
      <c r="G5741" s="9" t="s">
        <v>795</v>
      </c>
      <c r="H5741" s="5" t="s">
        <v>21</v>
      </c>
      <c r="I5741" s="5" t="s">
        <v>13702</v>
      </c>
      <c r="J5741" s="12" t="str">
        <f>HYPERLINK("https://www.boe.es/gazeta/dias/1808/04/22/pdfs/GMD-C-1808-38.pdf#page=21","Abrir facsímil")</f>
        <v>Abrir facsímil</v>
      </c>
      <c r="K5741" s="15" t="s">
        <v>23</v>
      </c>
    </row>
    <row r="5742" spans="1:11" ht="42" customHeight="1">
      <c r="A5742" s="4" t="s">
        <v>13703</v>
      </c>
      <c r="B5742" s="5" t="s">
        <v>13703</v>
      </c>
      <c r="C5742" s="5" t="s">
        <v>41</v>
      </c>
      <c r="D5742" s="5" t="s">
        <v>42</v>
      </c>
      <c r="E5742" s="5" t="s">
        <v>264</v>
      </c>
      <c r="F5742" s="9" t="s">
        <v>318</v>
      </c>
      <c r="G5742" s="9" t="s">
        <v>117</v>
      </c>
      <c r="H5742" s="5" t="s">
        <v>21</v>
      </c>
      <c r="I5742" s="5" t="s">
        <v>13704</v>
      </c>
      <c r="J5742" s="12" t="str">
        <f>HYPERLINK("https://www.boe.es/gazeta/dias/1808/11/29/pdfs/GMD-C-1808-148.pdf#page=1","Abrir facsímil")</f>
        <v>Abrir facsímil</v>
      </c>
      <c r="K5742" s="15" t="s">
        <v>23</v>
      </c>
    </row>
    <row r="5743" spans="1:11" ht="42" customHeight="1">
      <c r="A5743" s="4" t="s">
        <v>13705</v>
      </c>
      <c r="B5743" s="5" t="s">
        <v>13705</v>
      </c>
      <c r="C5743" s="5" t="s">
        <v>33</v>
      </c>
      <c r="D5743" s="5" t="s">
        <v>34</v>
      </c>
      <c r="E5743" s="5" t="s">
        <v>180</v>
      </c>
      <c r="F5743" s="9" t="s">
        <v>768</v>
      </c>
      <c r="G5743" s="9" t="s">
        <v>75</v>
      </c>
      <c r="H5743" s="5" t="s">
        <v>21</v>
      </c>
      <c r="I5743" s="5" t="s">
        <v>13706</v>
      </c>
      <c r="J5743" s="12" t="str">
        <f>HYPERLINK("https://www.boe.es/gazeta/dias/1808/11/15/pdfs/GMD-D-1808-144.pdf#page=4","Abrir facsímil")</f>
        <v>Abrir facsímil</v>
      </c>
      <c r="K5743" s="15" t="s">
        <v>23</v>
      </c>
    </row>
    <row r="5744" spans="1:11" ht="42" customHeight="1">
      <c r="A5744" s="4" t="s">
        <v>13707</v>
      </c>
      <c r="B5744" s="5" t="s">
        <v>13708</v>
      </c>
      <c r="C5744" s="5" t="s">
        <v>17</v>
      </c>
      <c r="D5744" s="5" t="s">
        <v>18</v>
      </c>
      <c r="E5744" s="5" t="s">
        <v>334</v>
      </c>
      <c r="F5744" s="9" t="s">
        <v>1814</v>
      </c>
      <c r="G5744" s="9">
        <v>1247</v>
      </c>
      <c r="H5744" s="5" t="s">
        <v>21</v>
      </c>
      <c r="I5744" s="5" t="s">
        <v>13709</v>
      </c>
      <c r="J5744" s="12" t="str">
        <f>HYPERLINK("https://www.boe.es/gazeta/dias/1808/10/04/pdfs/GMD-1808-131.pdf#page=15","Abrir facsímil")</f>
        <v>Abrir facsímil</v>
      </c>
      <c r="K5744" s="15" t="s">
        <v>23</v>
      </c>
    </row>
    <row r="5745" spans="1:11" ht="42" customHeight="1">
      <c r="A5745" s="4" t="s">
        <v>13710</v>
      </c>
      <c r="B5745" s="5" t="s">
        <v>13711</v>
      </c>
      <c r="C5745" s="5" t="s">
        <v>33</v>
      </c>
      <c r="D5745" s="5" t="s">
        <v>34</v>
      </c>
      <c r="E5745" s="5" t="s">
        <v>65</v>
      </c>
      <c r="F5745" s="9" t="s">
        <v>105</v>
      </c>
      <c r="G5745" s="9" t="s">
        <v>199</v>
      </c>
      <c r="H5745" s="5" t="s">
        <v>21</v>
      </c>
      <c r="I5745" s="5" t="s">
        <v>13712</v>
      </c>
      <c r="J5745" s="12" t="str">
        <f>HYPERLINK("https://www.boe.es/gazeta/dias/1808/10/18/pdfs/GMD-D-1808-135.pdf#page=2","Abrir facsímil")</f>
        <v>Abrir facsímil</v>
      </c>
      <c r="K5745" s="15" t="s">
        <v>23</v>
      </c>
    </row>
    <row r="5746" spans="1:11" ht="42" customHeight="1">
      <c r="A5746" s="4" t="s">
        <v>13713</v>
      </c>
      <c r="B5746" s="5" t="s">
        <v>13713</v>
      </c>
      <c r="C5746" s="5" t="s">
        <v>389</v>
      </c>
      <c r="D5746" s="5" t="s">
        <v>390</v>
      </c>
      <c r="E5746" s="5" t="s">
        <v>572</v>
      </c>
      <c r="F5746" s="9" t="s">
        <v>573</v>
      </c>
      <c r="G5746" s="9">
        <v>21</v>
      </c>
      <c r="H5746" s="5" t="s">
        <v>21</v>
      </c>
      <c r="I5746" s="5" t="s">
        <v>13714</v>
      </c>
      <c r="J5746" s="12" t="str">
        <f>HYPERLINK("https://www.boe.es/gazeta/dias/1808/01/05/pdfs/GMD-1808-2.pdf#page=9","Abrir facsímil")</f>
        <v>Abrir facsímil</v>
      </c>
      <c r="K5746" s="15" t="s">
        <v>23</v>
      </c>
    </row>
    <row r="5747" spans="1:11" ht="42" customHeight="1">
      <c r="A5747" s="4" t="s">
        <v>13715</v>
      </c>
      <c r="B5747" s="5" t="s">
        <v>13715</v>
      </c>
      <c r="C5747" s="5" t="s">
        <v>33</v>
      </c>
      <c r="D5747" s="5" t="s">
        <v>34</v>
      </c>
      <c r="E5747" s="5" t="s">
        <v>73</v>
      </c>
      <c r="F5747" s="9" t="s">
        <v>74</v>
      </c>
      <c r="G5747" s="9" t="s">
        <v>117</v>
      </c>
      <c r="H5747" s="5" t="s">
        <v>21</v>
      </c>
      <c r="I5747" s="5" t="s">
        <v>13716</v>
      </c>
      <c r="J5747" s="12" t="str">
        <f>HYPERLINK("https://www.boe.es/gazeta/dias/1808/11/11/pdfs/GMD-D-1808-143.pdf#page=1","Abrir facsímil")</f>
        <v>Abrir facsímil</v>
      </c>
      <c r="K5747" s="15" t="s">
        <v>23</v>
      </c>
    </row>
    <row r="5748" spans="1:11" ht="42" customHeight="1">
      <c r="A5748" s="4" t="s">
        <v>13717</v>
      </c>
      <c r="B5748" s="5" t="s">
        <v>13717</v>
      </c>
      <c r="C5748" s="5" t="s">
        <v>94</v>
      </c>
      <c r="D5748" s="5" t="s">
        <v>95</v>
      </c>
      <c r="E5748" s="5" t="s">
        <v>238</v>
      </c>
      <c r="F5748" s="9" t="s">
        <v>239</v>
      </c>
      <c r="G5748" s="9">
        <v>35</v>
      </c>
      <c r="H5748" s="5" t="s">
        <v>21</v>
      </c>
      <c r="I5748" s="5" t="s">
        <v>13718</v>
      </c>
      <c r="J5748" s="12" t="str">
        <f>HYPERLINK("https://www.boe.es/gazeta/dias/1808/01/08/pdfs/GMD-1808-3.pdf#page=11","Abrir facsímil")</f>
        <v>Abrir facsímil</v>
      </c>
      <c r="K5748" s="15" t="s">
        <v>23</v>
      </c>
    </row>
    <row r="5749" spans="1:11" ht="42" customHeight="1">
      <c r="A5749" s="4" t="s">
        <v>13719</v>
      </c>
      <c r="B5749" s="5" t="s">
        <v>13719</v>
      </c>
      <c r="C5749" s="5" t="s">
        <v>41</v>
      </c>
      <c r="D5749" s="5" t="s">
        <v>42</v>
      </c>
      <c r="E5749" s="5" t="s">
        <v>35</v>
      </c>
      <c r="F5749" s="9" t="s">
        <v>36</v>
      </c>
      <c r="G5749" s="9" t="s">
        <v>281</v>
      </c>
      <c r="H5749" s="5" t="s">
        <v>21</v>
      </c>
      <c r="I5749" s="5" t="s">
        <v>13720</v>
      </c>
      <c r="J5749" s="12" t="str">
        <f>HYPERLINK("https://www.boe.es/gazeta/dias/1808/04/22/pdfs/GMD-C-1808-38.pdf#page=47","Abrir facsímil")</f>
        <v>Abrir facsímil</v>
      </c>
      <c r="K5749" s="15" t="s">
        <v>23</v>
      </c>
    </row>
    <row r="5750" spans="1:11" ht="42" customHeight="1">
      <c r="A5750" s="4" t="s">
        <v>13721</v>
      </c>
      <c r="B5750" s="5" t="s">
        <v>13721</v>
      </c>
      <c r="C5750" s="5" t="s">
        <v>94</v>
      </c>
      <c r="D5750" s="5" t="s">
        <v>95</v>
      </c>
      <c r="E5750" s="5" t="s">
        <v>203</v>
      </c>
      <c r="F5750" s="9" t="s">
        <v>204</v>
      </c>
      <c r="G5750" s="9">
        <v>141</v>
      </c>
      <c r="H5750" s="5" t="s">
        <v>21</v>
      </c>
      <c r="I5750" s="5" t="s">
        <v>13722</v>
      </c>
      <c r="J5750" s="12" t="str">
        <f>HYPERLINK("https://www.boe.es/gazeta/dias/1808/02/09/pdfs/GMD-1808-12.pdf#page=9","Abrir facsímil")</f>
        <v>Abrir facsímil</v>
      </c>
      <c r="K5750" s="15" t="s">
        <v>23</v>
      </c>
    </row>
    <row r="5751" spans="1:11" ht="42" customHeight="1">
      <c r="A5751" s="4" t="s">
        <v>13721</v>
      </c>
      <c r="B5751" s="5" t="s">
        <v>13721</v>
      </c>
      <c r="C5751" s="5" t="s">
        <v>33</v>
      </c>
      <c r="D5751" s="5" t="s">
        <v>34</v>
      </c>
      <c r="E5751" s="5" t="s">
        <v>65</v>
      </c>
      <c r="F5751" s="9" t="s">
        <v>105</v>
      </c>
      <c r="G5751" s="9" t="s">
        <v>199</v>
      </c>
      <c r="H5751" s="5" t="s">
        <v>21</v>
      </c>
      <c r="I5751" s="5" t="s">
        <v>13723</v>
      </c>
      <c r="J5751" s="12" t="str">
        <f>HYPERLINK("https://www.boe.es/gazeta/dias/1808/10/18/pdfs/GMD-D-1808-135.pdf#page=2","Abrir facsímil")</f>
        <v>Abrir facsímil</v>
      </c>
      <c r="K5751" s="15" t="s">
        <v>23</v>
      </c>
    </row>
    <row r="5752" spans="1:11" ht="42" customHeight="1">
      <c r="A5752" s="4" t="s">
        <v>13724</v>
      </c>
      <c r="B5752" s="5" t="s">
        <v>13724</v>
      </c>
      <c r="C5752" s="5" t="s">
        <v>17</v>
      </c>
      <c r="D5752" s="5" t="s">
        <v>18</v>
      </c>
      <c r="E5752" s="5" t="s">
        <v>130</v>
      </c>
      <c r="F5752" s="9" t="s">
        <v>131</v>
      </c>
      <c r="G5752" s="9">
        <v>1602</v>
      </c>
      <c r="H5752" s="5" t="s">
        <v>21</v>
      </c>
      <c r="I5752" s="5" t="s">
        <v>13725</v>
      </c>
      <c r="J5752" s="12" t="str">
        <f>HYPERLINK("https://www.boe.es/gazeta/dias/1808/12/15/pdfs/GMD-1808-155.pdf#page=6","Abrir facsímil")</f>
        <v>Abrir facsímil</v>
      </c>
      <c r="K5752" s="15" t="s">
        <v>23</v>
      </c>
    </row>
    <row r="5753" spans="1:11" ht="42" customHeight="1">
      <c r="A5753" s="4" t="s">
        <v>13726</v>
      </c>
      <c r="B5753" s="5" t="s">
        <v>13726</v>
      </c>
      <c r="C5753" s="5" t="s">
        <v>94</v>
      </c>
      <c r="D5753" s="5" t="s">
        <v>95</v>
      </c>
      <c r="E5753" s="5" t="s">
        <v>427</v>
      </c>
      <c r="F5753" s="9" t="s">
        <v>1802</v>
      </c>
      <c r="G5753" s="9">
        <v>1519</v>
      </c>
      <c r="H5753" s="5" t="s">
        <v>21</v>
      </c>
      <c r="I5753" s="5" t="s">
        <v>13727</v>
      </c>
      <c r="J5753" s="12" t="str">
        <f>HYPERLINK("https://www.boe.es/gazeta/dias/1808/11/22/pdfs/GMD-1808-146.pdf#page=5","Abrir facsímil")</f>
        <v>Abrir facsímil</v>
      </c>
      <c r="K5753" s="15" t="s">
        <v>23</v>
      </c>
    </row>
    <row r="5754" spans="1:11" ht="42" customHeight="1">
      <c r="A5754" s="4" t="s">
        <v>13728</v>
      </c>
      <c r="B5754" s="5" t="s">
        <v>13728</v>
      </c>
      <c r="C5754" s="5" t="s">
        <v>94</v>
      </c>
      <c r="D5754" s="5" t="s">
        <v>95</v>
      </c>
      <c r="E5754" s="5" t="s">
        <v>210</v>
      </c>
      <c r="F5754" s="9" t="s">
        <v>211</v>
      </c>
      <c r="G5754" s="9">
        <v>254</v>
      </c>
      <c r="H5754" s="5" t="s">
        <v>21</v>
      </c>
      <c r="I5754" s="5" t="s">
        <v>13729</v>
      </c>
      <c r="J5754" s="12" t="str">
        <f>HYPERLINK("https://www.boe.es/gazeta/dias/1808/03/11/pdfs/GMD-1808-21.pdf#page=8","Abrir facsímil")</f>
        <v>Abrir facsímil</v>
      </c>
      <c r="K5754" s="15" t="s">
        <v>23</v>
      </c>
    </row>
    <row r="5755" spans="1:11" ht="42" customHeight="1">
      <c r="A5755" s="4" t="s">
        <v>13730</v>
      </c>
      <c r="B5755" s="5" t="s">
        <v>13730</v>
      </c>
      <c r="C5755" s="5" t="s">
        <v>33</v>
      </c>
      <c r="D5755" s="5" t="s">
        <v>34</v>
      </c>
      <c r="E5755" s="5" t="s">
        <v>68</v>
      </c>
      <c r="F5755" s="9" t="s">
        <v>309</v>
      </c>
      <c r="G5755" s="9" t="s">
        <v>199</v>
      </c>
      <c r="H5755" s="5" t="s">
        <v>21</v>
      </c>
      <c r="I5755" s="5" t="s">
        <v>13731</v>
      </c>
      <c r="J5755" s="12" t="str">
        <f>HYPERLINK("https://www.boe.es/gazeta/dias/1808/10/21/pdfs/GMD-D-1808-136.pdf#page=2","Abrir facsímil")</f>
        <v>Abrir facsímil</v>
      </c>
      <c r="K5755" s="15" t="s">
        <v>23</v>
      </c>
    </row>
    <row r="5756" spans="1:11" ht="42" customHeight="1">
      <c r="A5756" s="4" t="s">
        <v>13732</v>
      </c>
      <c r="B5756" s="5" t="s">
        <v>13732</v>
      </c>
      <c r="C5756" s="5" t="s">
        <v>17</v>
      </c>
      <c r="D5756" s="5" t="s">
        <v>18</v>
      </c>
      <c r="E5756" s="5" t="s">
        <v>130</v>
      </c>
      <c r="F5756" s="9" t="s">
        <v>131</v>
      </c>
      <c r="G5756" s="9">
        <v>1603</v>
      </c>
      <c r="H5756" s="5" t="s">
        <v>21</v>
      </c>
      <c r="I5756" s="5" t="s">
        <v>13733</v>
      </c>
      <c r="J5756" s="12" t="str">
        <f>HYPERLINK("https://www.boe.es/gazeta/dias/1808/12/15/pdfs/GMD-1808-155.pdf#page=7","Abrir facsímil")</f>
        <v>Abrir facsímil</v>
      </c>
      <c r="K5756" s="15" t="s">
        <v>23</v>
      </c>
    </row>
    <row r="5757" spans="1:11" ht="42" customHeight="1">
      <c r="A5757" s="4" t="s">
        <v>13734</v>
      </c>
      <c r="B5757" s="5" t="s">
        <v>13734</v>
      </c>
      <c r="C5757" s="5" t="s">
        <v>41</v>
      </c>
      <c r="D5757" s="5" t="s">
        <v>42</v>
      </c>
      <c r="E5757" s="5" t="s">
        <v>2194</v>
      </c>
      <c r="F5757" s="9" t="s">
        <v>2195</v>
      </c>
      <c r="G5757" s="9">
        <v>344</v>
      </c>
      <c r="H5757" s="5" t="s">
        <v>21</v>
      </c>
      <c r="I5757" s="5" t="s">
        <v>13735</v>
      </c>
      <c r="J5757" s="12" t="str">
        <f>HYPERLINK("https://www.boe.es/gazeta/dias/1808/04/05/pdfs/GMD-C-1808-31.pdf#page=2","Abrir facsímil")</f>
        <v>Abrir facsímil</v>
      </c>
      <c r="K5757" s="15" t="s">
        <v>23</v>
      </c>
    </row>
    <row r="5758" spans="1:11" ht="42" customHeight="1">
      <c r="A5758" s="4" t="s">
        <v>13736</v>
      </c>
      <c r="B5758" s="5" t="s">
        <v>13736</v>
      </c>
      <c r="C5758" s="5" t="s">
        <v>17</v>
      </c>
      <c r="D5758" s="5" t="s">
        <v>18</v>
      </c>
      <c r="E5758" s="5" t="s">
        <v>3365</v>
      </c>
      <c r="F5758" s="9" t="s">
        <v>3366</v>
      </c>
      <c r="G5758" s="9">
        <v>123</v>
      </c>
      <c r="H5758" s="5" t="s">
        <v>21</v>
      </c>
      <c r="I5758" s="5" t="s">
        <v>13737</v>
      </c>
      <c r="J5758" s="12" t="str">
        <f>HYPERLINK("https://www.boe.es/gazeta/dias/1808/07/23/pdfs/GMS-1808-16.pdf#page=3","Abrir facsímil")</f>
        <v>Abrir facsímil</v>
      </c>
      <c r="K5758" s="15" t="s">
        <v>23</v>
      </c>
    </row>
    <row r="5759" spans="1:11" ht="42" customHeight="1">
      <c r="A5759" s="4" t="s">
        <v>13738</v>
      </c>
      <c r="B5759" s="5" t="s">
        <v>13739</v>
      </c>
      <c r="C5759" s="5" t="s">
        <v>26</v>
      </c>
      <c r="D5759" s="5" t="s">
        <v>27</v>
      </c>
      <c r="E5759" s="5" t="s">
        <v>391</v>
      </c>
      <c r="F5759" s="9" t="s">
        <v>588</v>
      </c>
      <c r="G5759" s="9" t="s">
        <v>117</v>
      </c>
      <c r="H5759" s="5" t="s">
        <v>21</v>
      </c>
      <c r="I5759" s="5" t="s">
        <v>13740</v>
      </c>
      <c r="J5759" s="12" t="str">
        <f>HYPERLINK("https://www.boe.es/gazeta/dias/1808/09/27/pdfs/GMD-C-1808-128.pdf#page=1","Abrir facsímil")</f>
        <v>Abrir facsímil</v>
      </c>
      <c r="K5759" s="15" t="s">
        <v>23</v>
      </c>
    </row>
    <row r="5760" spans="1:11" ht="42" customHeight="1">
      <c r="A5760" s="4" t="s">
        <v>13741</v>
      </c>
      <c r="B5760" s="5" t="s">
        <v>13741</v>
      </c>
      <c r="C5760" s="5" t="s">
        <v>17</v>
      </c>
      <c r="D5760" s="5" t="s">
        <v>18</v>
      </c>
      <c r="E5760" s="5" t="s">
        <v>1182</v>
      </c>
      <c r="F5760" s="9" t="s">
        <v>1197</v>
      </c>
      <c r="G5760" s="9">
        <v>659</v>
      </c>
      <c r="H5760" s="5" t="s">
        <v>21</v>
      </c>
      <c r="I5760" s="5" t="s">
        <v>13742</v>
      </c>
      <c r="J5760" s="12" t="str">
        <f>HYPERLINK("https://www.boe.es/gazeta/dias/1808/06/26/pdfs/GMD-1808-68.pdf#page=5","Abrir facsímil")</f>
        <v>Abrir facsímil</v>
      </c>
      <c r="K5760" s="15" t="s">
        <v>23</v>
      </c>
    </row>
    <row r="5761" spans="1:11" ht="42" customHeight="1">
      <c r="A5761" s="4" t="s">
        <v>13743</v>
      </c>
      <c r="B5761" s="5" t="s">
        <v>13743</v>
      </c>
      <c r="C5761" s="5" t="s">
        <v>94</v>
      </c>
      <c r="D5761" s="5" t="s">
        <v>95</v>
      </c>
      <c r="E5761" s="5" t="s">
        <v>1702</v>
      </c>
      <c r="F5761" s="9" t="s">
        <v>3079</v>
      </c>
      <c r="G5761" s="9">
        <v>796</v>
      </c>
      <c r="H5761" s="5" t="s">
        <v>21</v>
      </c>
      <c r="I5761" s="5" t="s">
        <v>13744</v>
      </c>
      <c r="J5761" s="12" t="str">
        <f>HYPERLINK("https://www.boe.es/gazeta/dias/1808/07/13/pdfs/GMD-1808-85.pdf#page=6","Abrir facsímil")</f>
        <v>Abrir facsímil</v>
      </c>
      <c r="K5761" s="15" t="s">
        <v>23</v>
      </c>
    </row>
    <row r="5762" spans="1:11" ht="42" customHeight="1">
      <c r="A5762" s="4" t="s">
        <v>13743</v>
      </c>
      <c r="B5762" s="5" t="s">
        <v>13743</v>
      </c>
      <c r="C5762" s="5" t="s">
        <v>41</v>
      </c>
      <c r="D5762" s="5" t="s">
        <v>42</v>
      </c>
      <c r="E5762" s="5" t="s">
        <v>558</v>
      </c>
      <c r="F5762" s="9" t="s">
        <v>1310</v>
      </c>
      <c r="G5762" s="9">
        <v>1547</v>
      </c>
      <c r="H5762" s="5" t="s">
        <v>21</v>
      </c>
      <c r="I5762" s="5" t="s">
        <v>13745</v>
      </c>
      <c r="J5762" s="12" t="str">
        <f>HYPERLINK("https://www.boe.es/gazeta/dias/1808/11/25/pdfs/GMD-C-1808-147.pdf#page=1","Abrir facsímil")</f>
        <v>Abrir facsímil</v>
      </c>
      <c r="K5762" s="15" t="s">
        <v>23</v>
      </c>
    </row>
    <row r="5763" spans="1:11" ht="42" customHeight="1">
      <c r="A5763" s="4" t="s">
        <v>13746</v>
      </c>
      <c r="B5763" s="5" t="s">
        <v>13746</v>
      </c>
      <c r="C5763" s="5" t="s">
        <v>17</v>
      </c>
      <c r="D5763" s="5" t="s">
        <v>18</v>
      </c>
      <c r="E5763" s="5" t="s">
        <v>1361</v>
      </c>
      <c r="F5763" s="9" t="s">
        <v>1362</v>
      </c>
      <c r="G5763" s="9">
        <v>471</v>
      </c>
      <c r="H5763" s="5" t="s">
        <v>21</v>
      </c>
      <c r="I5763" s="5" t="s">
        <v>13747</v>
      </c>
      <c r="J5763" s="12" t="str">
        <f>HYPERLINK("https://www.boe.es/gazeta/dias/1808/05/17/pdfs/GMD-1808-47.pdf#page=11","Abrir facsímil")</f>
        <v>Abrir facsímil</v>
      </c>
      <c r="K5763" s="15" t="s">
        <v>23</v>
      </c>
    </row>
    <row r="5764" spans="1:11" ht="42" customHeight="1">
      <c r="A5764" s="4" t="s">
        <v>13748</v>
      </c>
      <c r="B5764" s="5" t="s">
        <v>13748</v>
      </c>
      <c r="C5764" s="5" t="s">
        <v>33</v>
      </c>
      <c r="D5764" s="5" t="s">
        <v>34</v>
      </c>
      <c r="E5764" s="5" t="s">
        <v>35</v>
      </c>
      <c r="F5764" s="9" t="s">
        <v>36</v>
      </c>
      <c r="G5764" s="9" t="s">
        <v>924</v>
      </c>
      <c r="H5764" s="5" t="s">
        <v>21</v>
      </c>
      <c r="I5764" s="5" t="s">
        <v>13749</v>
      </c>
      <c r="J5764" s="12" t="str">
        <f>HYPERLINK("https://www.boe.es/gazeta/dias/1808/04/22/pdfs/GMD-C-1808-38.pdf#page=27","Abrir facsímil")</f>
        <v>Abrir facsímil</v>
      </c>
      <c r="K5764" s="15" t="s">
        <v>23</v>
      </c>
    </row>
    <row r="5765" spans="1:11" ht="42" customHeight="1">
      <c r="A5765" s="4" t="s">
        <v>13750</v>
      </c>
      <c r="B5765" s="5" t="s">
        <v>13750</v>
      </c>
      <c r="C5765" s="5" t="s">
        <v>17</v>
      </c>
      <c r="D5765" s="5" t="s">
        <v>18</v>
      </c>
      <c r="E5765" s="5" t="s">
        <v>19</v>
      </c>
      <c r="F5765" s="9" t="s">
        <v>59</v>
      </c>
      <c r="G5765" s="9">
        <v>1228</v>
      </c>
      <c r="H5765" s="5" t="s">
        <v>21</v>
      </c>
      <c r="I5765" s="5" t="s">
        <v>13751</v>
      </c>
      <c r="J5765" s="12" t="str">
        <f>HYPERLINK("https://www.boe.es/gazeta/dias/1808/09/30/pdfs/GMD-1808-130.pdf#page=8","Abrir facsímil")</f>
        <v>Abrir facsímil</v>
      </c>
      <c r="K5765" s="15" t="s">
        <v>23</v>
      </c>
    </row>
    <row r="5766" spans="1:11" ht="42" customHeight="1">
      <c r="A5766" s="4" t="s">
        <v>13752</v>
      </c>
      <c r="B5766" s="5" t="s">
        <v>13752</v>
      </c>
      <c r="C5766" s="5" t="s">
        <v>33</v>
      </c>
      <c r="D5766" s="5" t="s">
        <v>34</v>
      </c>
      <c r="E5766" s="5" t="s">
        <v>89</v>
      </c>
      <c r="F5766" s="9" t="s">
        <v>563</v>
      </c>
      <c r="G5766" s="9" t="s">
        <v>106</v>
      </c>
      <c r="H5766" s="5" t="s">
        <v>21</v>
      </c>
      <c r="I5766" s="5" t="s">
        <v>13753</v>
      </c>
      <c r="J5766" s="12" t="str">
        <f>HYPERLINK("https://www.boe.es/gazeta/dias/1808/10/25/pdfs/GMD-D-1808-137.pdf#page=3","Abrir facsímil")</f>
        <v>Abrir facsímil</v>
      </c>
      <c r="K5766" s="15" t="s">
        <v>23</v>
      </c>
    </row>
    <row r="5767" spans="1:11" ht="42" customHeight="1">
      <c r="A5767" s="4" t="s">
        <v>13754</v>
      </c>
      <c r="B5767" s="5" t="s">
        <v>13754</v>
      </c>
      <c r="C5767" s="5" t="s">
        <v>17</v>
      </c>
      <c r="D5767" s="5" t="s">
        <v>18</v>
      </c>
      <c r="E5767" s="5" t="s">
        <v>1791</v>
      </c>
      <c r="F5767" s="9" t="s">
        <v>2814</v>
      </c>
      <c r="G5767" s="9">
        <v>930</v>
      </c>
      <c r="H5767" s="5" t="s">
        <v>21</v>
      </c>
      <c r="I5767" s="5" t="s">
        <v>13755</v>
      </c>
      <c r="J5767" s="12" t="str">
        <f>HYPERLINK("https://www.boe.es/gazeta/dias/1808/07/30/pdfs/GMD-1808-102.pdf#page=4","Abrir facsímil")</f>
        <v>Abrir facsímil</v>
      </c>
      <c r="K5767" s="15" t="s">
        <v>23</v>
      </c>
    </row>
    <row r="5768" spans="1:11" ht="42" customHeight="1">
      <c r="A5768" s="4" t="s">
        <v>13756</v>
      </c>
      <c r="B5768" s="5" t="s">
        <v>13756</v>
      </c>
      <c r="C5768" s="5" t="s">
        <v>94</v>
      </c>
      <c r="D5768" s="5" t="s">
        <v>95</v>
      </c>
      <c r="E5768" s="5" t="s">
        <v>493</v>
      </c>
      <c r="F5768" s="9" t="s">
        <v>494</v>
      </c>
      <c r="G5768" s="9">
        <v>44</v>
      </c>
      <c r="H5768" s="5" t="s">
        <v>21</v>
      </c>
      <c r="I5768" s="5" t="s">
        <v>13757</v>
      </c>
      <c r="J5768" s="12" t="str">
        <f>HYPERLINK("https://www.boe.es/gazeta/dias/1808/01/12/pdfs/GMD-1808-4.pdf#page=8","Abrir facsímil")</f>
        <v>Abrir facsímil</v>
      </c>
      <c r="K5768" s="15" t="s">
        <v>23</v>
      </c>
    </row>
    <row r="5769" spans="1:11" ht="42" customHeight="1">
      <c r="A5769" s="4" t="s">
        <v>13758</v>
      </c>
      <c r="B5769" s="5" t="s">
        <v>13758</v>
      </c>
      <c r="C5769" s="5" t="s">
        <v>33</v>
      </c>
      <c r="D5769" s="5" t="s">
        <v>34</v>
      </c>
      <c r="E5769" s="5" t="s">
        <v>35</v>
      </c>
      <c r="F5769" s="9" t="s">
        <v>36</v>
      </c>
      <c r="G5769" s="9" t="s">
        <v>313</v>
      </c>
      <c r="H5769" s="5" t="s">
        <v>21</v>
      </c>
      <c r="I5769" s="5" t="s">
        <v>13759</v>
      </c>
      <c r="J5769" s="12" t="str">
        <f>HYPERLINK("https://www.boe.es/gazeta/dias/1808/04/22/pdfs/GMD-C-1808-38.pdf#page=29","Abrir facsímil")</f>
        <v>Abrir facsímil</v>
      </c>
      <c r="K5769" s="15" t="s">
        <v>23</v>
      </c>
    </row>
    <row r="5770" spans="1:11" ht="42" customHeight="1">
      <c r="A5770" s="4" t="s">
        <v>13758</v>
      </c>
      <c r="B5770" s="5" t="s">
        <v>13758</v>
      </c>
      <c r="C5770" s="5" t="s">
        <v>33</v>
      </c>
      <c r="D5770" s="5" t="s">
        <v>34</v>
      </c>
      <c r="E5770" s="5" t="s">
        <v>35</v>
      </c>
      <c r="F5770" s="9" t="s">
        <v>36</v>
      </c>
      <c r="G5770" s="9" t="s">
        <v>162</v>
      </c>
      <c r="H5770" s="5" t="s">
        <v>21</v>
      </c>
      <c r="I5770" s="5" t="s">
        <v>13760</v>
      </c>
      <c r="J5770" s="12" t="str">
        <f>HYPERLINK("https://www.boe.es/gazeta/dias/1808/04/22/pdfs/GMD-C-1808-38.pdf#page=31","Abrir facsímil")</f>
        <v>Abrir facsímil</v>
      </c>
      <c r="K5770" s="15" t="s">
        <v>23</v>
      </c>
    </row>
    <row r="5771" spans="1:11" ht="42" customHeight="1">
      <c r="A5771" s="4" t="s">
        <v>13761</v>
      </c>
      <c r="B5771" s="5" t="s">
        <v>13761</v>
      </c>
      <c r="C5771" s="5" t="s">
        <v>33</v>
      </c>
      <c r="D5771" s="5" t="s">
        <v>34</v>
      </c>
      <c r="E5771" s="5" t="s">
        <v>35</v>
      </c>
      <c r="F5771" s="9" t="s">
        <v>36</v>
      </c>
      <c r="G5771" s="9" t="s">
        <v>148</v>
      </c>
      <c r="H5771" s="5" t="s">
        <v>21</v>
      </c>
      <c r="I5771" s="5" t="s">
        <v>13762</v>
      </c>
      <c r="J5771" s="12" t="str">
        <f>HYPERLINK("https://www.boe.es/gazeta/dias/1808/04/22/pdfs/GMD-C-1808-38.pdf#page=38","Abrir facsímil")</f>
        <v>Abrir facsímil</v>
      </c>
      <c r="K5771" s="15" t="s">
        <v>23</v>
      </c>
    </row>
    <row r="5772" spans="1:11" ht="42" customHeight="1">
      <c r="A5772" s="4" t="s">
        <v>13763</v>
      </c>
      <c r="B5772" s="5" t="s">
        <v>13763</v>
      </c>
      <c r="C5772" s="5" t="s">
        <v>33</v>
      </c>
      <c r="D5772" s="5" t="s">
        <v>34</v>
      </c>
      <c r="E5772" s="5" t="s">
        <v>456</v>
      </c>
      <c r="F5772" s="9" t="s">
        <v>748</v>
      </c>
      <c r="G5772" s="9" t="s">
        <v>75</v>
      </c>
      <c r="H5772" s="5" t="s">
        <v>21</v>
      </c>
      <c r="I5772" s="5" t="s">
        <v>13764</v>
      </c>
      <c r="J5772" s="12" t="str">
        <f>HYPERLINK("https://www.boe.es/gazeta/dias/1808/10/14/pdfs/GMD-C-1808-134.pdf#page=4","Abrir facsímil")</f>
        <v>Abrir facsímil</v>
      </c>
      <c r="K5772" s="15" t="s">
        <v>23</v>
      </c>
    </row>
    <row r="5773" spans="1:11" ht="42" customHeight="1">
      <c r="A5773" s="4" t="s">
        <v>13765</v>
      </c>
      <c r="B5773" s="5" t="s">
        <v>13765</v>
      </c>
      <c r="C5773" s="5" t="s">
        <v>17</v>
      </c>
      <c r="D5773" s="5" t="s">
        <v>18</v>
      </c>
      <c r="E5773" s="5" t="s">
        <v>461</v>
      </c>
      <c r="F5773" s="9" t="s">
        <v>733</v>
      </c>
      <c r="G5773" s="9">
        <v>1448</v>
      </c>
      <c r="H5773" s="5" t="s">
        <v>21</v>
      </c>
      <c r="I5773" s="5" t="s">
        <v>13766</v>
      </c>
      <c r="J5773" s="12" t="str">
        <f>HYPERLINK("https://www.boe.es/gazeta/dias/1808/11/08/pdfs/GMD-1808-142.pdf#page=10","Abrir facsímil")</f>
        <v>Abrir facsímil</v>
      </c>
      <c r="K5773" s="15" t="s">
        <v>23</v>
      </c>
    </row>
    <row r="5774" spans="1:11" ht="42" customHeight="1">
      <c r="A5774" s="4" t="s">
        <v>13767</v>
      </c>
      <c r="B5774" s="5" t="s">
        <v>13767</v>
      </c>
      <c r="C5774" s="5" t="s">
        <v>41</v>
      </c>
      <c r="D5774" s="5" t="s">
        <v>42</v>
      </c>
      <c r="E5774" s="5" t="s">
        <v>35</v>
      </c>
      <c r="F5774" s="9" t="s">
        <v>36</v>
      </c>
      <c r="G5774" s="9" t="s">
        <v>1178</v>
      </c>
      <c r="H5774" s="5" t="s">
        <v>21</v>
      </c>
      <c r="I5774" s="5" t="s">
        <v>13768</v>
      </c>
      <c r="J5774" s="12" t="str">
        <f>HYPERLINK("https://www.boe.es/gazeta/dias/1808/04/22/pdfs/GMD-C-1808-38.pdf#page=9","Abrir facsímil")</f>
        <v>Abrir facsímil</v>
      </c>
      <c r="K5774" s="15" t="s">
        <v>23</v>
      </c>
    </row>
    <row r="5775" spans="1:11" ht="42" customHeight="1">
      <c r="A5775" s="4" t="s">
        <v>13769</v>
      </c>
      <c r="B5775" s="5" t="s">
        <v>13769</v>
      </c>
      <c r="C5775" s="5" t="s">
        <v>94</v>
      </c>
      <c r="D5775" s="5" t="s">
        <v>95</v>
      </c>
      <c r="E5775" s="5" t="s">
        <v>1760</v>
      </c>
      <c r="F5775" s="9" t="s">
        <v>1761</v>
      </c>
      <c r="G5775" s="9">
        <v>429</v>
      </c>
      <c r="H5775" s="5" t="s">
        <v>21</v>
      </c>
      <c r="I5775" s="5" t="s">
        <v>13770</v>
      </c>
      <c r="J5775" s="12" t="str">
        <f>HYPERLINK("https://www.boe.es/gazeta/dias/1808/05/03/pdfs/GMD-1808-43.pdf#page=5","Abrir facsímil")</f>
        <v>Abrir facsímil</v>
      </c>
      <c r="K5775" s="15" t="s">
        <v>23</v>
      </c>
    </row>
    <row r="5776" spans="1:11" ht="42" customHeight="1">
      <c r="A5776" s="4" t="s">
        <v>13771</v>
      </c>
      <c r="B5776" s="5" t="s">
        <v>13771</v>
      </c>
      <c r="C5776" s="5" t="s">
        <v>33</v>
      </c>
      <c r="D5776" s="5" t="s">
        <v>34</v>
      </c>
      <c r="E5776" s="5" t="s">
        <v>197</v>
      </c>
      <c r="F5776" s="9" t="s">
        <v>2269</v>
      </c>
      <c r="G5776" s="9">
        <v>1415</v>
      </c>
      <c r="H5776" s="5" t="s">
        <v>21</v>
      </c>
      <c r="I5776" s="5" t="s">
        <v>13772</v>
      </c>
      <c r="J5776" s="12" t="str">
        <f>HYPERLINK("https://www.boe.es/gazeta/dias/1808/11/01/pdfs/GMD-C-1808-140.pdf#page=5","Abrir facsímil")</f>
        <v>Abrir facsímil</v>
      </c>
      <c r="K5776" s="15" t="s">
        <v>23</v>
      </c>
    </row>
    <row r="5777" spans="1:11" ht="42" customHeight="1">
      <c r="A5777" s="4" t="s">
        <v>13773</v>
      </c>
      <c r="B5777" s="5" t="s">
        <v>13773</v>
      </c>
      <c r="C5777" s="5" t="s">
        <v>17</v>
      </c>
      <c r="D5777" s="5" t="s">
        <v>18</v>
      </c>
      <c r="E5777" s="5" t="s">
        <v>522</v>
      </c>
      <c r="F5777" s="9" t="s">
        <v>523</v>
      </c>
      <c r="G5777" s="9">
        <v>984</v>
      </c>
      <c r="H5777" s="5" t="s">
        <v>21</v>
      </c>
      <c r="I5777" s="5" t="s">
        <v>13774</v>
      </c>
      <c r="J5777" s="12" t="str">
        <f>HYPERLINK("https://www.boe.es/gazeta/dias/1808/08/07/pdfs/GMD-1808-110.pdf#page=6","Abrir facsímil")</f>
        <v>Abrir facsímil</v>
      </c>
      <c r="K5777" s="15" t="s">
        <v>23</v>
      </c>
    </row>
    <row r="5778" spans="1:11" ht="42" customHeight="1">
      <c r="A5778" s="4" t="s">
        <v>13775</v>
      </c>
      <c r="B5778" s="5" t="s">
        <v>13775</v>
      </c>
      <c r="C5778" s="5" t="s">
        <v>17</v>
      </c>
      <c r="D5778" s="5" t="s">
        <v>18</v>
      </c>
      <c r="E5778" s="5" t="s">
        <v>110</v>
      </c>
      <c r="F5778" s="9" t="s">
        <v>111</v>
      </c>
      <c r="G5778" s="9">
        <v>1383</v>
      </c>
      <c r="H5778" s="5" t="s">
        <v>21</v>
      </c>
      <c r="I5778" s="5" t="s">
        <v>13776</v>
      </c>
      <c r="J5778" s="12" t="str">
        <f>HYPERLINK("https://www.boe.es/gazeta/dias/1808/10/28/pdfs/GMD-1808-138.pdf#page=9","Abrir facsímil")</f>
        <v>Abrir facsímil</v>
      </c>
      <c r="K5778" s="15" t="s">
        <v>23</v>
      </c>
    </row>
    <row r="5779" spans="1:11" ht="42" customHeight="1">
      <c r="A5779" s="4" t="s">
        <v>13775</v>
      </c>
      <c r="B5779" s="5" t="s">
        <v>13775</v>
      </c>
      <c r="C5779" s="5" t="s">
        <v>17</v>
      </c>
      <c r="D5779" s="5" t="s">
        <v>18</v>
      </c>
      <c r="E5779" s="5" t="s">
        <v>73</v>
      </c>
      <c r="F5779" s="9" t="s">
        <v>581</v>
      </c>
      <c r="G5779" s="9">
        <v>1468</v>
      </c>
      <c r="H5779" s="5" t="s">
        <v>21</v>
      </c>
      <c r="I5779" s="5" t="s">
        <v>13777</v>
      </c>
      <c r="J5779" s="12" t="str">
        <f>HYPERLINK("https://www.boe.es/gazeta/dias/1808/11/11/pdfs/GMD-1808-143.pdf#page=10","Abrir facsímil")</f>
        <v>Abrir facsímil</v>
      </c>
      <c r="K5779" s="15" t="s">
        <v>23</v>
      </c>
    </row>
    <row r="5780" spans="1:11" ht="42" customHeight="1">
      <c r="A5780" s="4" t="s">
        <v>13778</v>
      </c>
      <c r="B5780" s="5" t="s">
        <v>13779</v>
      </c>
      <c r="C5780" s="5" t="s">
        <v>94</v>
      </c>
      <c r="D5780" s="5" t="s">
        <v>95</v>
      </c>
      <c r="E5780" s="5" t="s">
        <v>508</v>
      </c>
      <c r="F5780" s="9" t="s">
        <v>1561</v>
      </c>
      <c r="G5780" s="9">
        <v>1029</v>
      </c>
      <c r="H5780" s="5" t="s">
        <v>21</v>
      </c>
      <c r="I5780" s="5" t="s">
        <v>13780</v>
      </c>
      <c r="J5780" s="12" t="str">
        <f>HYPERLINK("https://www.boe.es/gazeta/dias/1808/08/16/pdfs/GMD-C-1808-113.pdf#page=9","Abrir facsímil")</f>
        <v>Abrir facsímil</v>
      </c>
      <c r="K5780" s="15" t="s">
        <v>23</v>
      </c>
    </row>
    <row r="5781" spans="1:11" ht="42" customHeight="1">
      <c r="A5781" s="4" t="s">
        <v>13781</v>
      </c>
      <c r="B5781" s="5" t="s">
        <v>13781</v>
      </c>
      <c r="C5781" s="5" t="s">
        <v>33</v>
      </c>
      <c r="D5781" s="5" t="s">
        <v>34</v>
      </c>
      <c r="E5781" s="5" t="s">
        <v>115</v>
      </c>
      <c r="F5781" s="9" t="s">
        <v>116</v>
      </c>
      <c r="G5781" s="9" t="s">
        <v>117</v>
      </c>
      <c r="H5781" s="5" t="s">
        <v>21</v>
      </c>
      <c r="I5781" s="5" t="s">
        <v>13782</v>
      </c>
      <c r="J5781" s="12" t="str">
        <f>HYPERLINK("https://www.boe.es/gazeta/dias/1808/09/16/pdfs/GMD-C-1808-125.pdf#page=1","Abrir facsímil")</f>
        <v>Abrir facsímil</v>
      </c>
      <c r="K5781" s="15" t="s">
        <v>23</v>
      </c>
    </row>
    <row r="5782" spans="1:11" ht="42" customHeight="1">
      <c r="A5782" s="4" t="s">
        <v>13783</v>
      </c>
      <c r="B5782" s="5" t="s">
        <v>13784</v>
      </c>
      <c r="C5782" s="5" t="s">
        <v>94</v>
      </c>
      <c r="D5782" s="5" t="s">
        <v>95</v>
      </c>
      <c r="E5782" s="5" t="s">
        <v>4337</v>
      </c>
      <c r="F5782" s="9" t="s">
        <v>4338</v>
      </c>
      <c r="G5782" s="9">
        <v>1570</v>
      </c>
      <c r="H5782" s="5" t="s">
        <v>21</v>
      </c>
      <c r="I5782" s="5" t="s">
        <v>13785</v>
      </c>
      <c r="J5782" s="12" t="str">
        <f>HYPERLINK("https://www.boe.es/gazeta/dias/1808/11/30/pdfs/GMD-1808-149E.pdf#page=4","Abrir facsímil")</f>
        <v>Abrir facsímil</v>
      </c>
      <c r="K5782" s="15" t="s">
        <v>23</v>
      </c>
    </row>
    <row r="5783" spans="1:11" ht="42" customHeight="1">
      <c r="A5783" s="4" t="s">
        <v>13786</v>
      </c>
      <c r="B5783" s="5" t="s">
        <v>13786</v>
      </c>
      <c r="C5783" s="5" t="s">
        <v>33</v>
      </c>
      <c r="D5783" s="5" t="s">
        <v>34</v>
      </c>
      <c r="E5783" s="5" t="s">
        <v>125</v>
      </c>
      <c r="F5783" s="9" t="s">
        <v>126</v>
      </c>
      <c r="G5783" s="9" t="s">
        <v>117</v>
      </c>
      <c r="H5783" s="5" t="s">
        <v>21</v>
      </c>
      <c r="I5783" s="5" t="s">
        <v>13787</v>
      </c>
      <c r="J5783" s="12" t="str">
        <f>HYPERLINK("https://www.boe.es/gazeta/dias/1808/10/07/pdfs/GMD-C-1808-132.pdf#page=1","Abrir facsímil")</f>
        <v>Abrir facsímil</v>
      </c>
      <c r="K5783" s="15" t="s">
        <v>23</v>
      </c>
    </row>
    <row r="5784" spans="1:11" ht="42" customHeight="1">
      <c r="A5784" s="4" t="s">
        <v>13788</v>
      </c>
      <c r="B5784" s="5" t="s">
        <v>13789</v>
      </c>
      <c r="C5784" s="5" t="s">
        <v>17</v>
      </c>
      <c r="D5784" s="5" t="s">
        <v>18</v>
      </c>
      <c r="E5784" s="5" t="s">
        <v>2524</v>
      </c>
      <c r="F5784" s="9" t="s">
        <v>4648</v>
      </c>
      <c r="G5784" s="9">
        <v>475</v>
      </c>
      <c r="H5784" s="5" t="s">
        <v>21</v>
      </c>
      <c r="I5784" s="5" t="s">
        <v>13790</v>
      </c>
      <c r="J5784" s="12" t="str">
        <f>HYPERLINK("https://www.boe.es/gazeta/dias/1808/12/23/pdfs/GMS-1808-60.pdf#page=3","Abrir facsímil")</f>
        <v>Abrir facsímil</v>
      </c>
      <c r="K5784" s="15" t="s">
        <v>23</v>
      </c>
    </row>
    <row r="5785" spans="1:11" ht="42" customHeight="1">
      <c r="A5785" s="4" t="s">
        <v>13791</v>
      </c>
      <c r="B5785" s="5" t="s">
        <v>13792</v>
      </c>
      <c r="C5785" s="5" t="s">
        <v>33</v>
      </c>
      <c r="D5785" s="5" t="s">
        <v>34</v>
      </c>
      <c r="E5785" s="5" t="s">
        <v>68</v>
      </c>
      <c r="F5785" s="9" t="s">
        <v>309</v>
      </c>
      <c r="G5785" s="9" t="s">
        <v>117</v>
      </c>
      <c r="H5785" s="5" t="s">
        <v>21</v>
      </c>
      <c r="I5785" s="5" t="s">
        <v>13793</v>
      </c>
      <c r="J5785" s="12" t="str">
        <f>HYPERLINK("https://www.boe.es/gazeta/dias/1808/10/21/pdfs/GMD-D-1808-136.pdf#page=1","Abrir facsímil")</f>
        <v>Abrir facsímil</v>
      </c>
      <c r="K5785" s="15" t="s">
        <v>23</v>
      </c>
    </row>
    <row r="5786" spans="1:11" ht="42" customHeight="1">
      <c r="A5786" s="4" t="s">
        <v>13794</v>
      </c>
      <c r="B5786" s="5" t="s">
        <v>13795</v>
      </c>
      <c r="C5786" s="5" t="s">
        <v>94</v>
      </c>
      <c r="D5786" s="5" t="s">
        <v>95</v>
      </c>
      <c r="E5786" s="5" t="s">
        <v>185</v>
      </c>
      <c r="F5786" s="9" t="s">
        <v>186</v>
      </c>
      <c r="G5786" s="9">
        <v>1097</v>
      </c>
      <c r="H5786" s="5" t="s">
        <v>21</v>
      </c>
      <c r="I5786" s="5" t="s">
        <v>13796</v>
      </c>
      <c r="J5786" s="12" t="str">
        <f>HYPERLINK("https://www.boe.es/gazeta/dias/1808/08/30/pdfs/GMD-1808-118.pdf#page=3","Abrir facsímil")</f>
        <v>Abrir facsímil</v>
      </c>
      <c r="K5786" s="15" t="s">
        <v>23</v>
      </c>
    </row>
    <row r="5787" spans="1:11" ht="42" customHeight="1">
      <c r="A5787" s="4" t="s">
        <v>13797</v>
      </c>
      <c r="B5787" s="5" t="s">
        <v>13798</v>
      </c>
      <c r="C5787" s="5" t="s">
        <v>41</v>
      </c>
      <c r="D5787" s="5" t="s">
        <v>42</v>
      </c>
      <c r="E5787" s="5" t="s">
        <v>391</v>
      </c>
      <c r="F5787" s="9" t="s">
        <v>392</v>
      </c>
      <c r="G5787" s="9">
        <v>1208</v>
      </c>
      <c r="H5787" s="5" t="s">
        <v>21</v>
      </c>
      <c r="I5787" s="5" t="s">
        <v>13799</v>
      </c>
      <c r="J5787" s="12" t="str">
        <f>HYPERLINK("https://www.boe.es/gazeta/dias/1808/09/27/pdfs/GMD-1808-128.pdf#page=4","Abrir facsímil")</f>
        <v>Abrir facsímil</v>
      </c>
      <c r="K5787" s="15" t="s">
        <v>23</v>
      </c>
    </row>
    <row r="5788" spans="1:11" ht="42" customHeight="1">
      <c r="A5788" s="4" t="s">
        <v>13797</v>
      </c>
      <c r="B5788" s="5" t="s">
        <v>13798</v>
      </c>
      <c r="C5788" s="5" t="s">
        <v>17</v>
      </c>
      <c r="D5788" s="5" t="s">
        <v>18</v>
      </c>
      <c r="E5788" s="5" t="s">
        <v>461</v>
      </c>
      <c r="F5788" s="9" t="s">
        <v>733</v>
      </c>
      <c r="G5788" s="9">
        <v>1444</v>
      </c>
      <c r="H5788" s="5" t="s">
        <v>21</v>
      </c>
      <c r="I5788" s="5" t="s">
        <v>13800</v>
      </c>
      <c r="J5788" s="12" t="str">
        <f>HYPERLINK("https://www.boe.es/gazeta/dias/1808/11/08/pdfs/GMD-1808-142.pdf#page=6","Abrir facsímil")</f>
        <v>Abrir facsímil</v>
      </c>
      <c r="K5788" s="15" t="s">
        <v>23</v>
      </c>
    </row>
    <row r="5789" spans="1:11" ht="42" customHeight="1">
      <c r="A5789" s="4" t="s">
        <v>13801</v>
      </c>
      <c r="B5789" s="5" t="s">
        <v>13802</v>
      </c>
      <c r="C5789" s="5" t="s">
        <v>33</v>
      </c>
      <c r="D5789" s="5" t="s">
        <v>34</v>
      </c>
      <c r="E5789" s="5" t="s">
        <v>89</v>
      </c>
      <c r="F5789" s="9" t="s">
        <v>563</v>
      </c>
      <c r="G5789" s="9" t="s">
        <v>75</v>
      </c>
      <c r="H5789" s="5" t="s">
        <v>21</v>
      </c>
      <c r="I5789" s="5" t="s">
        <v>13803</v>
      </c>
      <c r="J5789" s="12" t="str">
        <f>HYPERLINK("https://www.boe.es/gazeta/dias/1808/10/25/pdfs/GMD-D-1808-137.pdf#page=4","Abrir facsímil")</f>
        <v>Abrir facsímil</v>
      </c>
      <c r="K5789" s="15" t="s">
        <v>23</v>
      </c>
    </row>
    <row r="5790" spans="1:11" ht="42" customHeight="1">
      <c r="A5790" s="4" t="s">
        <v>13801</v>
      </c>
      <c r="B5790" s="5" t="s">
        <v>13802</v>
      </c>
      <c r="C5790" s="5" t="s">
        <v>17</v>
      </c>
      <c r="D5790" s="5" t="s">
        <v>18</v>
      </c>
      <c r="E5790" s="5" t="s">
        <v>130</v>
      </c>
      <c r="F5790" s="9" t="s">
        <v>131</v>
      </c>
      <c r="G5790" s="9">
        <v>1602</v>
      </c>
      <c r="H5790" s="5" t="s">
        <v>21</v>
      </c>
      <c r="I5790" s="5" t="s">
        <v>13804</v>
      </c>
      <c r="J5790" s="12" t="str">
        <f>HYPERLINK("https://www.boe.es/gazeta/dias/1808/12/15/pdfs/GMD-1808-155.pdf#page=6","Abrir facsímil")</f>
        <v>Abrir facsímil</v>
      </c>
      <c r="K5790" s="15" t="s">
        <v>23</v>
      </c>
    </row>
    <row r="5791" spans="1:11" ht="42" customHeight="1">
      <c r="A5791" s="4" t="s">
        <v>13805</v>
      </c>
      <c r="B5791" s="5" t="s">
        <v>13806</v>
      </c>
      <c r="C5791" s="5" t="s">
        <v>33</v>
      </c>
      <c r="D5791" s="5" t="s">
        <v>34</v>
      </c>
      <c r="E5791" s="5" t="s">
        <v>19</v>
      </c>
      <c r="F5791" s="9" t="s">
        <v>949</v>
      </c>
      <c r="G5791" s="9" t="s">
        <v>106</v>
      </c>
      <c r="H5791" s="5" t="s">
        <v>21</v>
      </c>
      <c r="I5791" s="5" t="s">
        <v>13807</v>
      </c>
      <c r="J5791" s="12" t="str">
        <f>HYPERLINK("https://www.boe.es/gazeta/dias/1808/09/30/pdfs/GMD-C-1808-130.pdf#page=3","Abrir facsímil")</f>
        <v>Abrir facsímil</v>
      </c>
      <c r="K5791" s="15" t="s">
        <v>23</v>
      </c>
    </row>
    <row r="5792" spans="1:11" ht="42" customHeight="1">
      <c r="A5792" s="4" t="s">
        <v>13808</v>
      </c>
      <c r="B5792" s="5" t="s">
        <v>13808</v>
      </c>
      <c r="C5792" s="5" t="s">
        <v>33</v>
      </c>
      <c r="D5792" s="5" t="s">
        <v>34</v>
      </c>
      <c r="E5792" s="5" t="s">
        <v>35</v>
      </c>
      <c r="F5792" s="9" t="s">
        <v>36</v>
      </c>
      <c r="G5792" s="9" t="s">
        <v>1006</v>
      </c>
      <c r="H5792" s="5" t="s">
        <v>21</v>
      </c>
      <c r="I5792" s="5" t="s">
        <v>13809</v>
      </c>
      <c r="J5792" s="12" t="str">
        <f>HYPERLINK("https://www.boe.es/gazeta/dias/1808/04/22/pdfs/GMD-C-1808-38.pdf#page=46","Abrir facsímil")</f>
        <v>Abrir facsímil</v>
      </c>
      <c r="K5792" s="15" t="s">
        <v>23</v>
      </c>
    </row>
    <row r="5793" spans="1:11" ht="42" customHeight="1">
      <c r="A5793" s="4" t="s">
        <v>13810</v>
      </c>
      <c r="B5793" s="5" t="s">
        <v>13811</v>
      </c>
      <c r="C5793" s="5" t="s">
        <v>94</v>
      </c>
      <c r="D5793" s="5" t="s">
        <v>95</v>
      </c>
      <c r="E5793" s="5" t="s">
        <v>238</v>
      </c>
      <c r="F5793" s="9" t="s">
        <v>239</v>
      </c>
      <c r="G5793" s="9">
        <v>35</v>
      </c>
      <c r="H5793" s="5" t="s">
        <v>21</v>
      </c>
      <c r="I5793" s="5" t="s">
        <v>13812</v>
      </c>
      <c r="J5793" s="12" t="str">
        <f>HYPERLINK("https://www.boe.es/gazeta/dias/1808/01/08/pdfs/GMD-1808-3.pdf#page=11","Abrir facsímil")</f>
        <v>Abrir facsímil</v>
      </c>
      <c r="K5793" s="15" t="s">
        <v>23</v>
      </c>
    </row>
    <row r="5794" spans="1:11" ht="42" customHeight="1">
      <c r="A5794" s="4" t="s">
        <v>13813</v>
      </c>
      <c r="B5794" s="5" t="s">
        <v>13814</v>
      </c>
      <c r="C5794" s="5" t="s">
        <v>389</v>
      </c>
      <c r="D5794" s="5" t="s">
        <v>390</v>
      </c>
      <c r="E5794" s="5" t="s">
        <v>197</v>
      </c>
      <c r="F5794" s="9" t="s">
        <v>790</v>
      </c>
      <c r="G5794" s="9">
        <v>1410</v>
      </c>
      <c r="H5794" s="5" t="s">
        <v>21</v>
      </c>
      <c r="I5794" s="5" t="s">
        <v>13815</v>
      </c>
      <c r="J5794" s="12" t="str">
        <f>HYPERLINK("https://www.boe.es/gazeta/dias/1808/11/01/pdfs/GMD-1808-140.pdf#page=12","Abrir facsímil")</f>
        <v>Abrir facsímil</v>
      </c>
      <c r="K5794" s="15" t="s">
        <v>23</v>
      </c>
    </row>
    <row r="5795" spans="1:11" ht="42" customHeight="1">
      <c r="A5795" s="4" t="s">
        <v>13816</v>
      </c>
      <c r="B5795" s="5" t="s">
        <v>13817</v>
      </c>
      <c r="C5795" s="5" t="s">
        <v>94</v>
      </c>
      <c r="D5795" s="5" t="s">
        <v>95</v>
      </c>
      <c r="E5795" s="5" t="s">
        <v>974</v>
      </c>
      <c r="F5795" s="9" t="s">
        <v>975</v>
      </c>
      <c r="G5795" s="9">
        <v>391</v>
      </c>
      <c r="H5795" s="5" t="s">
        <v>21</v>
      </c>
      <c r="I5795" s="5" t="s">
        <v>13818</v>
      </c>
      <c r="J5795" s="12" t="str">
        <f>HYPERLINK("https://www.boe.es/gazeta/dias/1808/04/19/pdfs/GMD-1808-37.pdf#page=7","Abrir facsímil")</f>
        <v>Abrir facsímil</v>
      </c>
      <c r="K5795" s="15" t="s">
        <v>23</v>
      </c>
    </row>
    <row r="5796" spans="1:11" ht="42" customHeight="1">
      <c r="A5796" s="4" t="s">
        <v>13819</v>
      </c>
      <c r="B5796" s="5" t="s">
        <v>13819</v>
      </c>
      <c r="C5796" s="5" t="s">
        <v>101</v>
      </c>
      <c r="D5796" s="5" t="s">
        <v>102</v>
      </c>
      <c r="E5796" s="5" t="s">
        <v>1345</v>
      </c>
      <c r="F5796" s="9" t="s">
        <v>3321</v>
      </c>
      <c r="G5796" s="9">
        <v>738</v>
      </c>
      <c r="H5796" s="5" t="s">
        <v>21</v>
      </c>
      <c r="I5796" s="5" t="s">
        <v>13820</v>
      </c>
      <c r="J5796" s="12" t="str">
        <f>HYPERLINK("https://www.boe.es/gazeta/dias/1808/07/06/pdfs/GMD-1808-78.pdf#page=4","Abrir facsímil")</f>
        <v>Abrir facsímil</v>
      </c>
      <c r="K5796" s="15" t="s">
        <v>23</v>
      </c>
    </row>
    <row r="5797" spans="1:11" ht="42" customHeight="1">
      <c r="A5797" s="4" t="s">
        <v>13821</v>
      </c>
      <c r="B5797" s="5" t="s">
        <v>13822</v>
      </c>
      <c r="C5797" s="5" t="s">
        <v>94</v>
      </c>
      <c r="D5797" s="5" t="s">
        <v>95</v>
      </c>
      <c r="E5797" s="5" t="s">
        <v>548</v>
      </c>
      <c r="F5797" s="9" t="s">
        <v>549</v>
      </c>
      <c r="G5797" s="9">
        <v>277</v>
      </c>
      <c r="H5797" s="5" t="s">
        <v>21</v>
      </c>
      <c r="I5797" s="5" t="s">
        <v>13823</v>
      </c>
      <c r="J5797" s="12" t="str">
        <f>HYPERLINK("https://www.boe.es/gazeta/dias/1808/03/18/pdfs/GMD-1808-23.pdf#page=7","Abrir facsímil")</f>
        <v>Abrir facsímil</v>
      </c>
      <c r="K5797" s="15" t="s">
        <v>23</v>
      </c>
    </row>
    <row r="5798" spans="1:11" ht="42" customHeight="1">
      <c r="A5798" s="4" t="s">
        <v>13824</v>
      </c>
      <c r="B5798" s="5" t="s">
        <v>13825</v>
      </c>
      <c r="C5798" s="5" t="s">
        <v>94</v>
      </c>
      <c r="D5798" s="5" t="s">
        <v>95</v>
      </c>
      <c r="E5798" s="5" t="s">
        <v>35</v>
      </c>
      <c r="F5798" s="9" t="s">
        <v>3452</v>
      </c>
      <c r="G5798" s="9">
        <v>402</v>
      </c>
      <c r="H5798" s="5" t="s">
        <v>21</v>
      </c>
      <c r="I5798" s="5" t="s">
        <v>13826</v>
      </c>
      <c r="J5798" s="12" t="str">
        <f>HYPERLINK("https://www.boe.es/gazeta/dias/1808/04/22/pdfs/GMD-1808-38.pdf#page=10","Abrir facsímil")</f>
        <v>Abrir facsímil</v>
      </c>
      <c r="K5798" s="15" t="s">
        <v>23</v>
      </c>
    </row>
    <row r="5799" spans="1:11" ht="42" customHeight="1">
      <c r="A5799" s="4" t="s">
        <v>13827</v>
      </c>
      <c r="B5799" s="5" t="s">
        <v>13828</v>
      </c>
      <c r="C5799" s="5" t="s">
        <v>389</v>
      </c>
      <c r="D5799" s="5" t="s">
        <v>390</v>
      </c>
      <c r="E5799" s="5" t="s">
        <v>245</v>
      </c>
      <c r="F5799" s="9" t="s">
        <v>246</v>
      </c>
      <c r="G5799" s="9">
        <v>546</v>
      </c>
      <c r="H5799" s="5" t="s">
        <v>21</v>
      </c>
      <c r="I5799" s="5" t="s">
        <v>13829</v>
      </c>
      <c r="J5799" s="12" t="str">
        <f>HYPERLINK("https://www.boe.es/gazeta/dias/1808/06/07/pdfs/GMD-1808-54.pdf#page=12","Abrir facsímil")</f>
        <v>Abrir facsímil</v>
      </c>
      <c r="K5799" s="15" t="s">
        <v>23</v>
      </c>
    </row>
    <row r="5800" spans="1:11" ht="42" customHeight="1">
      <c r="A5800" s="4" t="s">
        <v>13830</v>
      </c>
      <c r="B5800" s="5" t="s">
        <v>13831</v>
      </c>
      <c r="C5800" s="5" t="s">
        <v>94</v>
      </c>
      <c r="D5800" s="5" t="s">
        <v>95</v>
      </c>
      <c r="E5800" s="5" t="s">
        <v>68</v>
      </c>
      <c r="F5800" s="9" t="s">
        <v>849</v>
      </c>
      <c r="G5800" s="9">
        <v>1348</v>
      </c>
      <c r="H5800" s="5" t="s">
        <v>21</v>
      </c>
      <c r="I5800" s="5" t="s">
        <v>13832</v>
      </c>
      <c r="J5800" s="12" t="str">
        <f>HYPERLINK("https://www.boe.es/gazeta/dias/1808/10/21/pdfs/GMD-C-1808-136.pdf#page=8","Abrir facsímil")</f>
        <v>Abrir facsímil</v>
      </c>
      <c r="K5800" s="15" t="s">
        <v>23</v>
      </c>
    </row>
    <row r="5801" spans="1:11" ht="42" customHeight="1">
      <c r="A5801" s="4" t="s">
        <v>13833</v>
      </c>
      <c r="B5801" s="5" t="s">
        <v>13834</v>
      </c>
      <c r="C5801" s="5" t="s">
        <v>94</v>
      </c>
      <c r="D5801" s="5" t="s">
        <v>95</v>
      </c>
      <c r="E5801" s="5" t="s">
        <v>469</v>
      </c>
      <c r="F5801" s="9" t="s">
        <v>470</v>
      </c>
      <c r="G5801" s="9">
        <v>153</v>
      </c>
      <c r="H5801" s="5" t="s">
        <v>21</v>
      </c>
      <c r="I5801" s="5" t="s">
        <v>13835</v>
      </c>
      <c r="J5801" s="12" t="str">
        <f>HYPERLINK("https://www.boe.es/gazeta/dias/1808/02/12/pdfs/GMD-1808-13.pdf#page=9","Abrir facsímil")</f>
        <v>Abrir facsímil</v>
      </c>
      <c r="K5801" s="15" t="s">
        <v>23</v>
      </c>
    </row>
    <row r="5802" spans="1:11" ht="42" customHeight="1">
      <c r="A5802" s="4" t="s">
        <v>13836</v>
      </c>
      <c r="B5802" s="5" t="s">
        <v>13837</v>
      </c>
      <c r="C5802" s="5" t="s">
        <v>17</v>
      </c>
      <c r="D5802" s="5" t="s">
        <v>18</v>
      </c>
      <c r="E5802" s="5" t="s">
        <v>89</v>
      </c>
      <c r="F5802" s="9" t="s">
        <v>90</v>
      </c>
      <c r="G5802" s="9">
        <v>1362</v>
      </c>
      <c r="H5802" s="5" t="s">
        <v>21</v>
      </c>
      <c r="I5802" s="5" t="s">
        <v>13838</v>
      </c>
      <c r="J5802" s="12" t="str">
        <f>HYPERLINK("https://www.boe.es/gazeta/dias/1808/10/25/pdfs/GMD-1808-137.pdf#page=10","Abrir facsímil")</f>
        <v>Abrir facsímil</v>
      </c>
      <c r="K5802" s="15" t="s">
        <v>23</v>
      </c>
    </row>
    <row r="5803" spans="1:11" ht="42" customHeight="1">
      <c r="A5803" s="4" t="s">
        <v>13839</v>
      </c>
      <c r="B5803" s="5" t="s">
        <v>13839</v>
      </c>
      <c r="C5803" s="5" t="s">
        <v>33</v>
      </c>
      <c r="D5803" s="5" t="s">
        <v>34</v>
      </c>
      <c r="E5803" s="5" t="s">
        <v>35</v>
      </c>
      <c r="F5803" s="9" t="s">
        <v>36</v>
      </c>
      <c r="G5803" s="9" t="s">
        <v>313</v>
      </c>
      <c r="H5803" s="5" t="s">
        <v>21</v>
      </c>
      <c r="I5803" s="5" t="s">
        <v>13840</v>
      </c>
      <c r="J5803" s="12" t="str">
        <f>HYPERLINK("https://www.boe.es/gazeta/dias/1808/04/22/pdfs/GMD-C-1808-38.pdf#page=29","Abrir facsímil")</f>
        <v>Abrir facsímil</v>
      </c>
      <c r="K5803" s="15" t="s">
        <v>23</v>
      </c>
    </row>
    <row r="5804" spans="1:11" ht="42" customHeight="1">
      <c r="A5804" s="4" t="s">
        <v>13841</v>
      </c>
      <c r="B5804" s="5" t="s">
        <v>13842</v>
      </c>
      <c r="C5804" s="5" t="s">
        <v>41</v>
      </c>
      <c r="D5804" s="5" t="s">
        <v>42</v>
      </c>
      <c r="E5804" s="5" t="s">
        <v>35</v>
      </c>
      <c r="F5804" s="9" t="s">
        <v>36</v>
      </c>
      <c r="G5804" s="9" t="s">
        <v>924</v>
      </c>
      <c r="H5804" s="5" t="s">
        <v>21</v>
      </c>
      <c r="I5804" s="5" t="s">
        <v>13843</v>
      </c>
      <c r="J5804" s="12" t="str">
        <f>HYPERLINK("https://www.boe.es/gazeta/dias/1808/04/22/pdfs/GMD-C-1808-38.pdf#page=27","Abrir facsímil")</f>
        <v>Abrir facsímil</v>
      </c>
      <c r="K5804" s="15" t="s">
        <v>23</v>
      </c>
    </row>
    <row r="5805" spans="1:11" ht="42" customHeight="1">
      <c r="A5805" s="4" t="s">
        <v>13844</v>
      </c>
      <c r="B5805" s="5" t="s">
        <v>13844</v>
      </c>
      <c r="C5805" s="5" t="s">
        <v>33</v>
      </c>
      <c r="D5805" s="5" t="s">
        <v>34</v>
      </c>
      <c r="E5805" s="5" t="s">
        <v>427</v>
      </c>
      <c r="F5805" s="9" t="s">
        <v>428</v>
      </c>
      <c r="G5805" s="9" t="s">
        <v>106</v>
      </c>
      <c r="H5805" s="5" t="s">
        <v>21</v>
      </c>
      <c r="I5805" s="5" t="s">
        <v>13845</v>
      </c>
      <c r="J5805" s="12" t="str">
        <f>HYPERLINK("https://www.boe.es/gazeta/dias/1808/11/22/pdfs/GMD-D-1808-146.pdf#page=3","Abrir facsímil")</f>
        <v>Abrir facsímil</v>
      </c>
      <c r="K5805" s="15" t="s">
        <v>23</v>
      </c>
    </row>
    <row r="5806" spans="1:11" ht="42" customHeight="1">
      <c r="A5806" s="4" t="s">
        <v>13846</v>
      </c>
      <c r="B5806" s="5" t="s">
        <v>13847</v>
      </c>
      <c r="C5806" s="5" t="s">
        <v>33</v>
      </c>
      <c r="D5806" s="5" t="s">
        <v>34</v>
      </c>
      <c r="E5806" s="5" t="s">
        <v>35</v>
      </c>
      <c r="F5806" s="9" t="s">
        <v>36</v>
      </c>
      <c r="G5806" s="9" t="s">
        <v>80</v>
      </c>
      <c r="H5806" s="5" t="s">
        <v>21</v>
      </c>
      <c r="I5806" s="5" t="s">
        <v>13848</v>
      </c>
      <c r="J5806" s="12" t="str">
        <f>HYPERLINK("https://www.boe.es/gazeta/dias/1808/04/22/pdfs/GMD-C-1808-38.pdf#page=18","Abrir facsímil")</f>
        <v>Abrir facsímil</v>
      </c>
      <c r="K5806" s="15" t="s">
        <v>23</v>
      </c>
    </row>
    <row r="5807" spans="1:11" ht="42" customHeight="1">
      <c r="A5807" s="4" t="s">
        <v>13849</v>
      </c>
      <c r="B5807" s="5" t="s">
        <v>13850</v>
      </c>
      <c r="C5807" s="5" t="s">
        <v>17</v>
      </c>
      <c r="D5807" s="5" t="s">
        <v>18</v>
      </c>
      <c r="E5807" s="5" t="s">
        <v>558</v>
      </c>
      <c r="F5807" s="9" t="s">
        <v>3837</v>
      </c>
      <c r="G5807" s="9">
        <v>412</v>
      </c>
      <c r="H5807" s="5" t="s">
        <v>21</v>
      </c>
      <c r="I5807" s="5" t="s">
        <v>13851</v>
      </c>
      <c r="J5807" s="12" t="str">
        <f>HYPERLINK("https://www.boe.es/gazeta/dias/1808/11/25/pdfs/GMS-1808-52.pdf#page=4","Abrir facsímil")</f>
        <v>Abrir facsímil</v>
      </c>
      <c r="K5807" s="15" t="s">
        <v>23</v>
      </c>
    </row>
    <row r="5808" spans="1:11" ht="42" customHeight="1">
      <c r="A5808" s="4" t="s">
        <v>13852</v>
      </c>
      <c r="B5808" s="5" t="s">
        <v>13853</v>
      </c>
      <c r="C5808" s="5" t="s">
        <v>17</v>
      </c>
      <c r="D5808" s="5" t="s">
        <v>18</v>
      </c>
      <c r="E5808" s="5" t="s">
        <v>130</v>
      </c>
      <c r="F5808" s="9" t="s">
        <v>131</v>
      </c>
      <c r="G5808" s="9">
        <v>1603</v>
      </c>
      <c r="H5808" s="5" t="s">
        <v>21</v>
      </c>
      <c r="I5808" s="5" t="s">
        <v>13854</v>
      </c>
      <c r="J5808" s="12" t="str">
        <f>HYPERLINK("https://www.boe.es/gazeta/dias/1808/12/15/pdfs/GMD-1808-155.pdf#page=7","Abrir facsímil")</f>
        <v>Abrir facsímil</v>
      </c>
      <c r="K5808" s="15" t="s">
        <v>23</v>
      </c>
    </row>
    <row r="5809" spans="1:11" ht="42" customHeight="1">
      <c r="A5809" s="4" t="s">
        <v>13855</v>
      </c>
      <c r="B5809" s="5" t="s">
        <v>13856</v>
      </c>
      <c r="C5809" s="5" t="s">
        <v>33</v>
      </c>
      <c r="D5809" s="5" t="s">
        <v>34</v>
      </c>
      <c r="E5809" s="5" t="s">
        <v>89</v>
      </c>
      <c r="F5809" s="9" t="s">
        <v>563</v>
      </c>
      <c r="G5809" s="9" t="s">
        <v>117</v>
      </c>
      <c r="H5809" s="5" t="s">
        <v>21</v>
      </c>
      <c r="I5809" s="5" t="s">
        <v>13857</v>
      </c>
      <c r="J5809" s="12" t="str">
        <f>HYPERLINK("https://www.boe.es/gazeta/dias/1808/10/25/pdfs/GMD-D-1808-137.pdf#page=1","Abrir facsímil")</f>
        <v>Abrir facsímil</v>
      </c>
      <c r="K5809" s="15" t="s">
        <v>23</v>
      </c>
    </row>
    <row r="5810" spans="1:11" ht="42" customHeight="1">
      <c r="A5810" s="4" t="s">
        <v>13858</v>
      </c>
      <c r="B5810" s="5" t="s">
        <v>13859</v>
      </c>
      <c r="C5810" s="5" t="s">
        <v>17</v>
      </c>
      <c r="D5810" s="5" t="s">
        <v>18</v>
      </c>
      <c r="E5810" s="5" t="s">
        <v>558</v>
      </c>
      <c r="F5810" s="9" t="s">
        <v>559</v>
      </c>
      <c r="G5810" s="9">
        <v>1544</v>
      </c>
      <c r="H5810" s="5" t="s">
        <v>21</v>
      </c>
      <c r="I5810" s="5" t="s">
        <v>13860</v>
      </c>
      <c r="J5810" s="12" t="str">
        <f>HYPERLINK("https://www.boe.es/gazeta/dias/1808/11/25/pdfs/GMD-1808-147.pdf#page=10","Abrir facsímil")</f>
        <v>Abrir facsímil</v>
      </c>
      <c r="K5810" s="15" t="s">
        <v>23</v>
      </c>
    </row>
    <row r="5811" spans="1:11" ht="42" customHeight="1">
      <c r="A5811" s="4" t="s">
        <v>13858</v>
      </c>
      <c r="B5811" s="5" t="s">
        <v>13859</v>
      </c>
      <c r="C5811" s="5" t="s">
        <v>17</v>
      </c>
      <c r="D5811" s="5" t="s">
        <v>18</v>
      </c>
      <c r="E5811" s="5" t="s">
        <v>558</v>
      </c>
      <c r="F5811" s="9" t="s">
        <v>559</v>
      </c>
      <c r="G5811" s="9">
        <v>1545</v>
      </c>
      <c r="H5811" s="5" t="s">
        <v>21</v>
      </c>
      <c r="I5811" s="5" t="s">
        <v>13861</v>
      </c>
      <c r="J5811" s="12" t="str">
        <f>HYPERLINK("https://www.boe.es/gazeta/dias/1808/11/25/pdfs/GMD-1808-147.pdf#page=11","Abrir facsímil")</f>
        <v>Abrir facsímil</v>
      </c>
      <c r="K5811" s="15" t="s">
        <v>23</v>
      </c>
    </row>
    <row r="5812" spans="1:11" ht="42" customHeight="1">
      <c r="A5812" s="4" t="s">
        <v>13862</v>
      </c>
      <c r="B5812" s="5" t="s">
        <v>13863</v>
      </c>
      <c r="C5812" s="5" t="s">
        <v>17</v>
      </c>
      <c r="D5812" s="5" t="s">
        <v>18</v>
      </c>
      <c r="E5812" s="5" t="s">
        <v>218</v>
      </c>
      <c r="F5812" s="9" t="s">
        <v>219</v>
      </c>
      <c r="G5812" s="9">
        <v>331</v>
      </c>
      <c r="H5812" s="5" t="s">
        <v>21</v>
      </c>
      <c r="I5812" s="5" t="s">
        <v>13864</v>
      </c>
      <c r="J5812" s="12" t="str">
        <f>HYPERLINK("https://www.boe.es/gazeta/dias/1808/04/01/pdfs/GMD-1808-29.pdf#page=7","Abrir facsímil")</f>
        <v>Abrir facsímil</v>
      </c>
      <c r="K5812" s="15" t="s">
        <v>23</v>
      </c>
    </row>
    <row r="5813" spans="1:11" ht="42" customHeight="1">
      <c r="A5813" s="4" t="s">
        <v>13865</v>
      </c>
      <c r="B5813" s="5" t="s">
        <v>13866</v>
      </c>
      <c r="C5813" s="5" t="s">
        <v>41</v>
      </c>
      <c r="D5813" s="5" t="s">
        <v>42</v>
      </c>
      <c r="E5813" s="5" t="s">
        <v>1791</v>
      </c>
      <c r="F5813" s="9" t="s">
        <v>2814</v>
      </c>
      <c r="G5813" s="9">
        <v>930</v>
      </c>
      <c r="H5813" s="5" t="s">
        <v>21</v>
      </c>
      <c r="I5813" s="5" t="s">
        <v>13867</v>
      </c>
      <c r="J5813" s="12" t="str">
        <f>HYPERLINK("https://www.boe.es/gazeta/dias/1808/07/30/pdfs/GMD-1808-102.pdf#page=4","Abrir facsímil")</f>
        <v>Abrir facsímil</v>
      </c>
      <c r="K5813" s="15" t="s">
        <v>23</v>
      </c>
    </row>
    <row r="5814" spans="1:11" ht="42" customHeight="1">
      <c r="A5814" s="4" t="s">
        <v>13868</v>
      </c>
      <c r="B5814" s="5" t="s">
        <v>13869</v>
      </c>
      <c r="C5814" s="5" t="s">
        <v>41</v>
      </c>
      <c r="D5814" s="5" t="s">
        <v>42</v>
      </c>
      <c r="E5814" s="5" t="s">
        <v>427</v>
      </c>
      <c r="F5814" s="9" t="s">
        <v>1802</v>
      </c>
      <c r="G5814" s="9">
        <v>1526</v>
      </c>
      <c r="H5814" s="5" t="s">
        <v>21</v>
      </c>
      <c r="I5814" s="5" t="s">
        <v>13870</v>
      </c>
      <c r="J5814" s="12" t="str">
        <f>HYPERLINK("https://www.boe.es/gazeta/dias/1808/11/22/pdfs/GMD-1808-146.pdf#page=12","Abrir facsímil")</f>
        <v>Abrir facsímil</v>
      </c>
      <c r="K5814" s="15" t="s">
        <v>23</v>
      </c>
    </row>
    <row r="5815" spans="1:11" ht="42" customHeight="1">
      <c r="A5815" s="4" t="s">
        <v>13871</v>
      </c>
      <c r="B5815" s="5" t="s">
        <v>13872</v>
      </c>
      <c r="C5815" s="5" t="s">
        <v>17</v>
      </c>
      <c r="D5815" s="5" t="s">
        <v>18</v>
      </c>
      <c r="E5815" s="5" t="s">
        <v>19</v>
      </c>
      <c r="F5815" s="9" t="s">
        <v>59</v>
      </c>
      <c r="G5815" s="9">
        <v>1230</v>
      </c>
      <c r="H5815" s="5" t="s">
        <v>21</v>
      </c>
      <c r="I5815" s="5" t="s">
        <v>13873</v>
      </c>
      <c r="J5815" s="12" t="str">
        <f>HYPERLINK("https://www.boe.es/gazeta/dias/1808/09/30/pdfs/GMD-1808-130.pdf#page=10","Abrir facsímil")</f>
        <v>Abrir facsímil</v>
      </c>
      <c r="K5815" s="15" t="s">
        <v>23</v>
      </c>
    </row>
    <row r="5816" spans="1:11" ht="42" customHeight="1">
      <c r="A5816" s="4" t="s">
        <v>13874</v>
      </c>
      <c r="B5816" s="5" t="s">
        <v>13875</v>
      </c>
      <c r="C5816" s="5" t="s">
        <v>17</v>
      </c>
      <c r="D5816" s="5" t="s">
        <v>18</v>
      </c>
      <c r="E5816" s="5" t="s">
        <v>19</v>
      </c>
      <c r="F5816" s="9" t="s">
        <v>59</v>
      </c>
      <c r="G5816" s="9">
        <v>1228</v>
      </c>
      <c r="H5816" s="5" t="s">
        <v>21</v>
      </c>
      <c r="I5816" s="5" t="s">
        <v>13876</v>
      </c>
      <c r="J5816" s="12" t="str">
        <f>HYPERLINK("https://www.boe.es/gazeta/dias/1808/09/30/pdfs/GMD-1808-130.pdf#page=8","Abrir facsímil")</f>
        <v>Abrir facsímil</v>
      </c>
      <c r="K5816" s="15" t="s">
        <v>23</v>
      </c>
    </row>
    <row r="5817" spans="1:11" ht="42" customHeight="1">
      <c r="A5817" s="4" t="s">
        <v>13877</v>
      </c>
      <c r="B5817" s="5" t="s">
        <v>13878</v>
      </c>
      <c r="C5817" s="5" t="s">
        <v>94</v>
      </c>
      <c r="D5817" s="5" t="s">
        <v>95</v>
      </c>
      <c r="E5817" s="5" t="s">
        <v>242</v>
      </c>
      <c r="F5817" s="9" t="s">
        <v>243</v>
      </c>
      <c r="G5817" s="9">
        <v>10</v>
      </c>
      <c r="H5817" s="5" t="s">
        <v>21</v>
      </c>
      <c r="I5817" s="5" t="s">
        <v>13879</v>
      </c>
      <c r="J5817" s="12" t="str">
        <f>HYPERLINK("https://www.boe.es/gazeta/dias/1808/01/01/pdfs/GMD-1808-1.pdf#page=10","Abrir facsímil")</f>
        <v>Abrir facsímil</v>
      </c>
      <c r="K5817" s="15" t="s">
        <v>23</v>
      </c>
    </row>
    <row r="5818" spans="1:11" ht="42" customHeight="1">
      <c r="A5818" s="4" t="s">
        <v>13880</v>
      </c>
      <c r="B5818" s="5" t="s">
        <v>13881</v>
      </c>
      <c r="C5818" s="5" t="s">
        <v>17</v>
      </c>
      <c r="D5818" s="5" t="s">
        <v>18</v>
      </c>
      <c r="E5818" s="5" t="s">
        <v>558</v>
      </c>
      <c r="F5818" s="9" t="s">
        <v>559</v>
      </c>
      <c r="G5818" s="9">
        <v>1544</v>
      </c>
      <c r="H5818" s="5" t="s">
        <v>21</v>
      </c>
      <c r="I5818" s="5" t="s">
        <v>13882</v>
      </c>
      <c r="J5818" s="12" t="str">
        <f>HYPERLINK("https://www.boe.es/gazeta/dias/1808/11/25/pdfs/GMD-1808-147.pdf#page=10","Abrir facsímil")</f>
        <v>Abrir facsímil</v>
      </c>
      <c r="K5818" s="15" t="s">
        <v>23</v>
      </c>
    </row>
    <row r="5819" spans="1:11" ht="42" customHeight="1">
      <c r="A5819" s="4" t="s">
        <v>13883</v>
      </c>
      <c r="B5819" s="5" t="s">
        <v>13884</v>
      </c>
      <c r="C5819" s="5" t="s">
        <v>41</v>
      </c>
      <c r="D5819" s="5" t="s">
        <v>42</v>
      </c>
      <c r="E5819" s="5" t="s">
        <v>153</v>
      </c>
      <c r="F5819" s="9" t="s">
        <v>154</v>
      </c>
      <c r="G5819" s="9" t="s">
        <v>106</v>
      </c>
      <c r="H5819" s="5" t="s">
        <v>21</v>
      </c>
      <c r="I5819" s="5" t="s">
        <v>13885</v>
      </c>
      <c r="J5819" s="12" t="str">
        <f>HYPERLINK("https://www.boe.es/gazeta/dias/1808/09/09/pdfs/GMD-C-1808-121.pdf#page=3","Abrir facsímil")</f>
        <v>Abrir facsímil</v>
      </c>
      <c r="K5819" s="15" t="s">
        <v>23</v>
      </c>
    </row>
    <row r="5820" spans="1:11" ht="42" customHeight="1">
      <c r="A5820" s="4" t="s">
        <v>13886</v>
      </c>
      <c r="B5820" s="5" t="s">
        <v>13887</v>
      </c>
      <c r="C5820" s="5" t="s">
        <v>41</v>
      </c>
      <c r="D5820" s="5" t="s">
        <v>42</v>
      </c>
      <c r="E5820" s="5" t="s">
        <v>125</v>
      </c>
      <c r="F5820" s="9" t="s">
        <v>126</v>
      </c>
      <c r="G5820" s="9" t="s">
        <v>106</v>
      </c>
      <c r="H5820" s="5" t="s">
        <v>21</v>
      </c>
      <c r="I5820" s="5" t="s">
        <v>13888</v>
      </c>
      <c r="J5820" s="12" t="str">
        <f>HYPERLINK("https://www.boe.es/gazeta/dias/1808/10/07/pdfs/GMD-C-1808-132.pdf#page=3","Abrir facsímil")</f>
        <v>Abrir facsímil</v>
      </c>
      <c r="K5820" s="15" t="s">
        <v>23</v>
      </c>
    </row>
    <row r="5821" spans="1:11" ht="42" customHeight="1">
      <c r="A5821" s="4" t="s">
        <v>13889</v>
      </c>
      <c r="B5821" s="5" t="s">
        <v>13890</v>
      </c>
      <c r="C5821" s="5" t="s">
        <v>17</v>
      </c>
      <c r="D5821" s="5" t="s">
        <v>18</v>
      </c>
      <c r="E5821" s="5" t="s">
        <v>616</v>
      </c>
      <c r="F5821" s="9" t="s">
        <v>617</v>
      </c>
      <c r="G5821" s="9">
        <v>1041</v>
      </c>
      <c r="H5821" s="5" t="s">
        <v>21</v>
      </c>
      <c r="I5821" s="5" t="s">
        <v>13891</v>
      </c>
      <c r="J5821" s="12" t="str">
        <f>HYPERLINK("https://www.boe.es/gazeta/dias/1808/08/19/pdfs/GMD-1808-115.pdf#page=7","Abrir facsímil")</f>
        <v>Abrir facsímil</v>
      </c>
      <c r="K5821" s="15" t="s">
        <v>23</v>
      </c>
    </row>
    <row r="5822" spans="1:11" ht="42" customHeight="1">
      <c r="A5822" s="4" t="s">
        <v>13892</v>
      </c>
      <c r="B5822" s="5" t="s">
        <v>13893</v>
      </c>
      <c r="C5822" s="5" t="s">
        <v>33</v>
      </c>
      <c r="D5822" s="5" t="s">
        <v>34</v>
      </c>
      <c r="E5822" s="5" t="s">
        <v>35</v>
      </c>
      <c r="F5822" s="9" t="s">
        <v>36</v>
      </c>
      <c r="G5822" s="9" t="s">
        <v>498</v>
      </c>
      <c r="H5822" s="5" t="s">
        <v>21</v>
      </c>
      <c r="I5822" s="5" t="s">
        <v>13894</v>
      </c>
      <c r="J5822" s="12" t="str">
        <f>HYPERLINK("https://www.boe.es/gazeta/dias/1808/04/22/pdfs/GMD-C-1808-38.pdf#page=22","Abrir facsímil")</f>
        <v>Abrir facsímil</v>
      </c>
      <c r="K5822" s="15" t="s">
        <v>23</v>
      </c>
    </row>
    <row r="5823" spans="1:11" ht="42" customHeight="1">
      <c r="A5823" s="4" t="s">
        <v>13892</v>
      </c>
      <c r="B5823" s="5" t="s">
        <v>13893</v>
      </c>
      <c r="C5823" s="5" t="s">
        <v>33</v>
      </c>
      <c r="D5823" s="5" t="s">
        <v>34</v>
      </c>
      <c r="E5823" s="5" t="s">
        <v>35</v>
      </c>
      <c r="F5823" s="9" t="s">
        <v>36</v>
      </c>
      <c r="G5823" s="9" t="s">
        <v>1075</v>
      </c>
      <c r="H5823" s="5" t="s">
        <v>21</v>
      </c>
      <c r="I5823" s="5" t="s">
        <v>13895</v>
      </c>
      <c r="J5823" s="12" t="str">
        <f>HYPERLINK("https://www.boe.es/gazeta/dias/1808/04/22/pdfs/GMD-C-1808-38.pdf#page=32","Abrir facsímil")</f>
        <v>Abrir facsímil</v>
      </c>
      <c r="K5823" s="15" t="s">
        <v>23</v>
      </c>
    </row>
    <row r="5824" spans="1:11" ht="42" customHeight="1">
      <c r="A5824" s="4" t="s">
        <v>13896</v>
      </c>
      <c r="B5824" s="5" t="s">
        <v>13897</v>
      </c>
      <c r="C5824" s="5" t="s">
        <v>17</v>
      </c>
      <c r="D5824" s="5" t="s">
        <v>18</v>
      </c>
      <c r="E5824" s="5" t="s">
        <v>19</v>
      </c>
      <c r="F5824" s="9" t="s">
        <v>59</v>
      </c>
      <c r="G5824" s="9">
        <v>1228</v>
      </c>
      <c r="H5824" s="5" t="s">
        <v>21</v>
      </c>
      <c r="I5824" s="5" t="s">
        <v>13898</v>
      </c>
      <c r="J5824" s="12" t="str">
        <f>HYPERLINK("https://www.boe.es/gazeta/dias/1808/09/30/pdfs/GMD-1808-130.pdf#page=8","Abrir facsímil")</f>
        <v>Abrir facsímil</v>
      </c>
      <c r="K5824" s="15" t="s">
        <v>23</v>
      </c>
    </row>
    <row r="5825" spans="1:11" ht="42" customHeight="1">
      <c r="A5825" s="4" t="s">
        <v>13896</v>
      </c>
      <c r="B5825" s="5" t="s">
        <v>13897</v>
      </c>
      <c r="C5825" s="5" t="s">
        <v>33</v>
      </c>
      <c r="D5825" s="5" t="s">
        <v>34</v>
      </c>
      <c r="E5825" s="5" t="s">
        <v>197</v>
      </c>
      <c r="F5825" s="9" t="s">
        <v>198</v>
      </c>
      <c r="G5825" s="9" t="s">
        <v>106</v>
      </c>
      <c r="H5825" s="5" t="s">
        <v>21</v>
      </c>
      <c r="I5825" s="5" t="s">
        <v>13899</v>
      </c>
      <c r="J5825" s="12" t="str">
        <f>HYPERLINK("https://www.boe.es/gazeta/dias/1808/11/01/pdfs/GMD-D-1808-140.pdf#page=3","Abrir facsímil")</f>
        <v>Abrir facsímil</v>
      </c>
      <c r="K5825" s="15" t="s">
        <v>23</v>
      </c>
    </row>
    <row r="5826" spans="1:11" ht="42" customHeight="1">
      <c r="A5826" s="4" t="s">
        <v>13900</v>
      </c>
      <c r="B5826" s="5" t="s">
        <v>13901</v>
      </c>
      <c r="C5826" s="5" t="s">
        <v>17</v>
      </c>
      <c r="D5826" s="5" t="s">
        <v>18</v>
      </c>
      <c r="E5826" s="5" t="s">
        <v>558</v>
      </c>
      <c r="F5826" s="9" t="s">
        <v>559</v>
      </c>
      <c r="G5826" s="9">
        <v>1544</v>
      </c>
      <c r="H5826" s="5" t="s">
        <v>21</v>
      </c>
      <c r="I5826" s="5" t="s">
        <v>13902</v>
      </c>
      <c r="J5826" s="12" t="str">
        <f>HYPERLINK("https://www.boe.es/gazeta/dias/1808/11/25/pdfs/GMD-1808-147.pdf#page=10","Abrir facsímil")</f>
        <v>Abrir facsímil</v>
      </c>
      <c r="K5826" s="15" t="s">
        <v>23</v>
      </c>
    </row>
    <row r="5827" spans="1:11" ht="42" customHeight="1">
      <c r="A5827" s="4" t="s">
        <v>13903</v>
      </c>
      <c r="B5827" s="5" t="s">
        <v>13904</v>
      </c>
      <c r="C5827" s="5" t="s">
        <v>26</v>
      </c>
      <c r="D5827" s="5" t="s">
        <v>27</v>
      </c>
      <c r="E5827" s="5" t="s">
        <v>197</v>
      </c>
      <c r="F5827" s="9" t="s">
        <v>198</v>
      </c>
      <c r="G5827" s="9" t="s">
        <v>106</v>
      </c>
      <c r="H5827" s="5" t="s">
        <v>21</v>
      </c>
      <c r="I5827" s="5" t="s">
        <v>13905</v>
      </c>
      <c r="J5827" s="12" t="str">
        <f>HYPERLINK("https://www.boe.es/gazeta/dias/1808/11/01/pdfs/GMD-D-1808-140.pdf#page=3","Abrir facsímil")</f>
        <v>Abrir facsímil</v>
      </c>
      <c r="K5827" s="15" t="s">
        <v>23</v>
      </c>
    </row>
    <row r="5828" spans="1:11" ht="42" customHeight="1">
      <c r="A5828" s="4" t="s">
        <v>13906</v>
      </c>
      <c r="B5828" s="5" t="s">
        <v>13907</v>
      </c>
      <c r="C5828" s="5" t="s">
        <v>41</v>
      </c>
      <c r="D5828" s="5" t="s">
        <v>42</v>
      </c>
      <c r="E5828" s="5" t="s">
        <v>65</v>
      </c>
      <c r="F5828" s="9" t="s">
        <v>66</v>
      </c>
      <c r="G5828" s="9">
        <v>1316</v>
      </c>
      <c r="H5828" s="5" t="s">
        <v>21</v>
      </c>
      <c r="I5828" s="5" t="s">
        <v>13908</v>
      </c>
      <c r="J5828" s="12" t="str">
        <f>HYPERLINK("https://www.boe.es/gazeta/dias/1808/10/18/pdfs/GMD-1808-135.pdf#page=16","Abrir facsímil")</f>
        <v>Abrir facsímil</v>
      </c>
      <c r="K5828" s="15" t="s">
        <v>23</v>
      </c>
    </row>
    <row r="5829" spans="1:11" ht="42" customHeight="1">
      <c r="A5829" s="4" t="s">
        <v>13909</v>
      </c>
      <c r="B5829" s="5" t="s">
        <v>13910</v>
      </c>
      <c r="C5829" s="5" t="s">
        <v>260</v>
      </c>
      <c r="D5829" s="5" t="s">
        <v>42</v>
      </c>
      <c r="E5829" s="5" t="s">
        <v>572</v>
      </c>
      <c r="F5829" s="9" t="s">
        <v>573</v>
      </c>
      <c r="G5829" s="9">
        <v>21</v>
      </c>
      <c r="H5829" s="5" t="s">
        <v>21</v>
      </c>
      <c r="I5829" s="5" t="s">
        <v>13911</v>
      </c>
      <c r="J5829" s="12" t="str">
        <f>HYPERLINK("https://www.boe.es/gazeta/dias/1808/01/05/pdfs/GMD-1808-2.pdf#page=9","Abrir facsímil")</f>
        <v>Abrir facsímil</v>
      </c>
      <c r="K5829" s="15" t="s">
        <v>23</v>
      </c>
    </row>
    <row r="5830" spans="1:11" ht="42" customHeight="1">
      <c r="A5830" s="4" t="s">
        <v>13912</v>
      </c>
      <c r="B5830" s="5" t="s">
        <v>13913</v>
      </c>
      <c r="C5830" s="5" t="s">
        <v>260</v>
      </c>
      <c r="D5830" s="5" t="s">
        <v>42</v>
      </c>
      <c r="E5830" s="5" t="s">
        <v>991</v>
      </c>
      <c r="F5830" s="9" t="s">
        <v>992</v>
      </c>
      <c r="G5830" s="9">
        <v>219</v>
      </c>
      <c r="H5830" s="5" t="s">
        <v>21</v>
      </c>
      <c r="I5830" s="5" t="s">
        <v>13914</v>
      </c>
      <c r="J5830" s="12" t="str">
        <f>HYPERLINK("https://www.boe.es/gazeta/dias/1808/03/01/pdfs/GMD-1808-18.pdf#page=9","Abrir facsímil")</f>
        <v>Abrir facsímil</v>
      </c>
      <c r="K5830" s="15" t="s">
        <v>23</v>
      </c>
    </row>
    <row r="5831" spans="1:11" ht="42" customHeight="1">
      <c r="A5831" s="4" t="s">
        <v>13912</v>
      </c>
      <c r="B5831" s="5" t="s">
        <v>13913</v>
      </c>
      <c r="C5831" s="5" t="s">
        <v>17</v>
      </c>
      <c r="D5831" s="5" t="s">
        <v>18</v>
      </c>
      <c r="E5831" s="5" t="s">
        <v>968</v>
      </c>
      <c r="F5831" s="9" t="s">
        <v>969</v>
      </c>
      <c r="G5831" s="9">
        <v>899</v>
      </c>
      <c r="H5831" s="5" t="s">
        <v>21</v>
      </c>
      <c r="I5831" s="5" t="s">
        <v>13915</v>
      </c>
      <c r="J5831" s="12" t="str">
        <f>HYPERLINK("https://www.boe.es/gazeta/dias/1808/07/26/pdfs/GMD-1808-98.pdf#page=5","Abrir facsímil")</f>
        <v>Abrir facsímil</v>
      </c>
      <c r="K5831" s="15" t="s">
        <v>23</v>
      </c>
    </row>
    <row r="5832" spans="1:11" ht="42" customHeight="1">
      <c r="A5832" s="4" t="s">
        <v>13916</v>
      </c>
      <c r="B5832" s="5" t="s">
        <v>13917</v>
      </c>
      <c r="C5832" s="5" t="s">
        <v>41</v>
      </c>
      <c r="D5832" s="5" t="s">
        <v>42</v>
      </c>
      <c r="E5832" s="5" t="s">
        <v>35</v>
      </c>
      <c r="F5832" s="9" t="s">
        <v>36</v>
      </c>
      <c r="G5832" s="9" t="s">
        <v>135</v>
      </c>
      <c r="H5832" s="5" t="s">
        <v>21</v>
      </c>
      <c r="I5832" s="5" t="s">
        <v>13918</v>
      </c>
      <c r="J5832" s="12" t="str">
        <f>HYPERLINK("https://www.boe.es/gazeta/dias/1808/04/22/pdfs/GMD-C-1808-38.pdf#page=26","Abrir facsímil")</f>
        <v>Abrir facsímil</v>
      </c>
      <c r="K5832" s="15" t="s">
        <v>23</v>
      </c>
    </row>
    <row r="5833" spans="1:11" ht="42" customHeight="1">
      <c r="A5833" s="4" t="s">
        <v>13919</v>
      </c>
      <c r="B5833" s="5" t="s">
        <v>13920</v>
      </c>
      <c r="C5833" s="5" t="s">
        <v>33</v>
      </c>
      <c r="D5833" s="5" t="s">
        <v>34</v>
      </c>
      <c r="E5833" s="5" t="s">
        <v>35</v>
      </c>
      <c r="F5833" s="9" t="s">
        <v>36</v>
      </c>
      <c r="G5833" s="9" t="s">
        <v>162</v>
      </c>
      <c r="H5833" s="5" t="s">
        <v>21</v>
      </c>
      <c r="I5833" s="5" t="s">
        <v>13921</v>
      </c>
      <c r="J5833" s="12" t="str">
        <f>HYPERLINK("https://www.boe.es/gazeta/dias/1808/04/22/pdfs/GMD-C-1808-38.pdf#page=31","Abrir facsímil")</f>
        <v>Abrir facsímil</v>
      </c>
      <c r="K5833" s="15" t="s">
        <v>23</v>
      </c>
    </row>
    <row r="5834" spans="1:11" ht="42" customHeight="1">
      <c r="A5834" s="4" t="s">
        <v>13922</v>
      </c>
      <c r="B5834" s="5" t="s">
        <v>13923</v>
      </c>
      <c r="C5834" s="5" t="s">
        <v>33</v>
      </c>
      <c r="D5834" s="5" t="s">
        <v>34</v>
      </c>
      <c r="E5834" s="5" t="s">
        <v>35</v>
      </c>
      <c r="F5834" s="9" t="s">
        <v>36</v>
      </c>
      <c r="G5834" s="9" t="s">
        <v>655</v>
      </c>
      <c r="H5834" s="5" t="s">
        <v>21</v>
      </c>
      <c r="I5834" s="5" t="s">
        <v>13924</v>
      </c>
      <c r="J5834" s="12" t="str">
        <f>HYPERLINK("https://www.boe.es/gazeta/dias/1808/04/22/pdfs/GMD-C-1808-38.pdf#page=43","Abrir facsímil")</f>
        <v>Abrir facsímil</v>
      </c>
      <c r="K5834" s="15" t="s">
        <v>23</v>
      </c>
    </row>
    <row r="5835" spans="1:11" ht="42" customHeight="1">
      <c r="A5835" s="4" t="s">
        <v>13925</v>
      </c>
      <c r="B5835" s="5" t="s">
        <v>13926</v>
      </c>
      <c r="C5835" s="5" t="s">
        <v>94</v>
      </c>
      <c r="D5835" s="5" t="s">
        <v>95</v>
      </c>
      <c r="E5835" s="5" t="s">
        <v>245</v>
      </c>
      <c r="F5835" s="9" t="s">
        <v>246</v>
      </c>
      <c r="G5835" s="9">
        <v>546</v>
      </c>
      <c r="H5835" s="5" t="s">
        <v>21</v>
      </c>
      <c r="I5835" s="5" t="s">
        <v>13927</v>
      </c>
      <c r="J5835" s="12" t="str">
        <f>HYPERLINK("https://www.boe.es/gazeta/dias/1808/06/07/pdfs/GMD-1808-54.pdf#page=12","Abrir facsímil")</f>
        <v>Abrir facsímil</v>
      </c>
      <c r="K5835" s="15" t="s">
        <v>23</v>
      </c>
    </row>
    <row r="5836" spans="1:11" ht="42" customHeight="1">
      <c r="A5836" s="4" t="s">
        <v>13925</v>
      </c>
      <c r="B5836" s="5" t="s">
        <v>13926</v>
      </c>
      <c r="C5836" s="5" t="s">
        <v>94</v>
      </c>
      <c r="D5836" s="5" t="s">
        <v>95</v>
      </c>
      <c r="E5836" s="5" t="s">
        <v>539</v>
      </c>
      <c r="F5836" s="9" t="s">
        <v>540</v>
      </c>
      <c r="G5836" s="9">
        <v>1117</v>
      </c>
      <c r="H5836" s="5" t="s">
        <v>21</v>
      </c>
      <c r="I5836" s="5" t="s">
        <v>13928</v>
      </c>
      <c r="J5836" s="12" t="str">
        <f>HYPERLINK("https://www.boe.es/gazeta/dias/1808/09/02/pdfs/GMD-1808-119.pdf#page=11","Abrir facsímil")</f>
        <v>Abrir facsímil</v>
      </c>
      <c r="K5836" s="15" t="s">
        <v>23</v>
      </c>
    </row>
    <row r="5837" spans="1:11" ht="42" customHeight="1">
      <c r="A5837" s="4" t="s">
        <v>13929</v>
      </c>
      <c r="B5837" s="5" t="s">
        <v>13930</v>
      </c>
      <c r="C5837" s="5" t="s">
        <v>94</v>
      </c>
      <c r="D5837" s="5" t="s">
        <v>95</v>
      </c>
      <c r="E5837" s="5" t="s">
        <v>28</v>
      </c>
      <c r="F5837" s="9" t="s">
        <v>446</v>
      </c>
      <c r="G5837" s="9" t="s">
        <v>106</v>
      </c>
      <c r="H5837" s="5" t="s">
        <v>21</v>
      </c>
      <c r="I5837" s="5" t="s">
        <v>13931</v>
      </c>
      <c r="J5837" s="12" t="str">
        <f>HYPERLINK("https://www.boe.es/gazeta/dias/1808/11/04/pdfs/GMD-D-1808-141.pdf#page=3","Abrir facsímil")</f>
        <v>Abrir facsímil</v>
      </c>
      <c r="K5837" s="15" t="s">
        <v>23</v>
      </c>
    </row>
    <row r="5838" spans="1:11" ht="42" customHeight="1">
      <c r="A5838" s="4" t="s">
        <v>13932</v>
      </c>
      <c r="B5838" s="5" t="s">
        <v>13933</v>
      </c>
      <c r="C5838" s="5" t="s">
        <v>17</v>
      </c>
      <c r="D5838" s="5" t="s">
        <v>18</v>
      </c>
      <c r="E5838" s="5" t="s">
        <v>1821</v>
      </c>
      <c r="F5838" s="9" t="s">
        <v>1874</v>
      </c>
      <c r="G5838" s="9">
        <v>628</v>
      </c>
      <c r="H5838" s="5" t="s">
        <v>21</v>
      </c>
      <c r="I5838" s="5" t="s">
        <v>13934</v>
      </c>
      <c r="J5838" s="12" t="str">
        <f>HYPERLINK("https://www.boe.es/gazeta/dias/1808/06/22/pdfs/GMD-1808-64.pdf#page=6","Abrir facsímil")</f>
        <v>Abrir facsímil</v>
      </c>
      <c r="K5838" s="15" t="s">
        <v>23</v>
      </c>
    </row>
    <row r="5839" spans="1:11" ht="42" customHeight="1">
      <c r="A5839" s="4" t="s">
        <v>13935</v>
      </c>
      <c r="B5839" s="5" t="s">
        <v>13936</v>
      </c>
      <c r="C5839" s="5" t="s">
        <v>17</v>
      </c>
      <c r="D5839" s="5" t="s">
        <v>18</v>
      </c>
      <c r="E5839" s="5" t="s">
        <v>19</v>
      </c>
      <c r="F5839" s="9" t="s">
        <v>59</v>
      </c>
      <c r="G5839" s="9">
        <v>1229</v>
      </c>
      <c r="H5839" s="5" t="s">
        <v>21</v>
      </c>
      <c r="I5839" s="5" t="s">
        <v>13937</v>
      </c>
      <c r="J5839" s="12" t="str">
        <f>HYPERLINK("https://www.boe.es/gazeta/dias/1808/09/30/pdfs/GMD-1808-130.pdf#page=9","Abrir facsímil")</f>
        <v>Abrir facsímil</v>
      </c>
      <c r="K5839" s="15" t="s">
        <v>23</v>
      </c>
    </row>
    <row r="5840" spans="1:11" ht="42" customHeight="1">
      <c r="A5840" s="4" t="s">
        <v>13935</v>
      </c>
      <c r="B5840" s="5" t="s">
        <v>13936</v>
      </c>
      <c r="C5840" s="5" t="s">
        <v>17</v>
      </c>
      <c r="D5840" s="5" t="s">
        <v>18</v>
      </c>
      <c r="E5840" s="5" t="s">
        <v>19</v>
      </c>
      <c r="F5840" s="9" t="s">
        <v>59</v>
      </c>
      <c r="G5840" s="9">
        <v>1231</v>
      </c>
      <c r="H5840" s="5" t="s">
        <v>21</v>
      </c>
      <c r="I5840" s="5" t="s">
        <v>13938</v>
      </c>
      <c r="J5840" s="12" t="str">
        <f>HYPERLINK("https://www.boe.es/gazeta/dias/1808/09/30/pdfs/GMD-1808-130.pdf#page=11","Abrir facsímil")</f>
        <v>Abrir facsímil</v>
      </c>
      <c r="K5840" s="15" t="s">
        <v>23</v>
      </c>
    </row>
    <row r="5841" spans="1:11" ht="42" customHeight="1">
      <c r="A5841" s="4" t="s">
        <v>13939</v>
      </c>
      <c r="B5841" s="5" t="s">
        <v>13940</v>
      </c>
      <c r="C5841" s="5" t="s">
        <v>33</v>
      </c>
      <c r="D5841" s="5" t="s">
        <v>34</v>
      </c>
      <c r="E5841" s="5" t="s">
        <v>35</v>
      </c>
      <c r="F5841" s="9" t="s">
        <v>36</v>
      </c>
      <c r="G5841" s="9" t="s">
        <v>795</v>
      </c>
      <c r="H5841" s="5" t="s">
        <v>21</v>
      </c>
      <c r="I5841" s="5" t="s">
        <v>13941</v>
      </c>
      <c r="J5841" s="12" t="str">
        <f>HYPERLINK("https://www.boe.es/gazeta/dias/1808/04/22/pdfs/GMD-C-1808-38.pdf#page=21","Abrir facsímil")</f>
        <v>Abrir facsímil</v>
      </c>
      <c r="K5841" s="15" t="s">
        <v>23</v>
      </c>
    </row>
    <row r="5842" spans="1:11" ht="42" customHeight="1">
      <c r="A5842" s="4" t="s">
        <v>13942</v>
      </c>
      <c r="B5842" s="5" t="s">
        <v>13943</v>
      </c>
      <c r="C5842" s="5" t="s">
        <v>41</v>
      </c>
      <c r="D5842" s="5" t="s">
        <v>42</v>
      </c>
      <c r="E5842" s="5" t="s">
        <v>35</v>
      </c>
      <c r="F5842" s="9" t="s">
        <v>36</v>
      </c>
      <c r="G5842" s="9" t="s">
        <v>837</v>
      </c>
      <c r="H5842" s="5" t="s">
        <v>21</v>
      </c>
      <c r="I5842" s="5" t="s">
        <v>13944</v>
      </c>
      <c r="J5842" s="12" t="str">
        <f>HYPERLINK("https://www.boe.es/gazeta/dias/1808/04/22/pdfs/GMD-C-1808-38.pdf#page=10","Abrir facsímil")</f>
        <v>Abrir facsímil</v>
      </c>
      <c r="K5842" s="15" t="s">
        <v>23</v>
      </c>
    </row>
    <row r="5843" spans="1:11" ht="42" customHeight="1">
      <c r="A5843" s="4" t="s">
        <v>13945</v>
      </c>
      <c r="B5843" s="5" t="s">
        <v>13946</v>
      </c>
      <c r="C5843" s="5" t="s">
        <v>33</v>
      </c>
      <c r="D5843" s="5" t="s">
        <v>34</v>
      </c>
      <c r="E5843" s="5" t="s">
        <v>68</v>
      </c>
      <c r="F5843" s="9" t="s">
        <v>849</v>
      </c>
      <c r="G5843" s="9">
        <v>1344</v>
      </c>
      <c r="H5843" s="5" t="s">
        <v>21</v>
      </c>
      <c r="I5843" s="5" t="s">
        <v>13947</v>
      </c>
      <c r="J5843" s="12" t="str">
        <f>HYPERLINK("https://www.boe.es/gazeta/dias/1808/10/21/pdfs/GMD-C-1808-136.pdf#page=4","Abrir facsímil")</f>
        <v>Abrir facsímil</v>
      </c>
      <c r="K5843" s="15" t="s">
        <v>23</v>
      </c>
    </row>
    <row r="5844" spans="1:11" ht="42" customHeight="1">
      <c r="A5844" s="4" t="s">
        <v>13948</v>
      </c>
      <c r="B5844" s="5" t="s">
        <v>13949</v>
      </c>
      <c r="C5844" s="5" t="s">
        <v>41</v>
      </c>
      <c r="D5844" s="5" t="s">
        <v>42</v>
      </c>
      <c r="E5844" s="5" t="s">
        <v>35</v>
      </c>
      <c r="F5844" s="9" t="s">
        <v>36</v>
      </c>
      <c r="G5844" s="9" t="s">
        <v>284</v>
      </c>
      <c r="H5844" s="5" t="s">
        <v>21</v>
      </c>
      <c r="I5844" s="5" t="s">
        <v>13950</v>
      </c>
      <c r="J5844" s="12" t="str">
        <f>HYPERLINK("https://www.boe.es/gazeta/dias/1808/04/22/pdfs/GMD-C-1808-38.pdf#page=35","Abrir facsímil")</f>
        <v>Abrir facsímil</v>
      </c>
      <c r="K5844" s="15" t="s">
        <v>23</v>
      </c>
    </row>
    <row r="5845" spans="1:11" ht="42" customHeight="1">
      <c r="A5845" s="4" t="s">
        <v>13951</v>
      </c>
      <c r="B5845" s="5" t="s">
        <v>13952</v>
      </c>
      <c r="C5845" s="5" t="s">
        <v>33</v>
      </c>
      <c r="D5845" s="5" t="s">
        <v>34</v>
      </c>
      <c r="E5845" s="5" t="s">
        <v>35</v>
      </c>
      <c r="F5845" s="9" t="s">
        <v>36</v>
      </c>
      <c r="G5845" s="9" t="s">
        <v>501</v>
      </c>
      <c r="H5845" s="5" t="s">
        <v>21</v>
      </c>
      <c r="I5845" s="5" t="s">
        <v>13953</v>
      </c>
      <c r="J5845" s="12" t="str">
        <f>HYPERLINK("https://www.boe.es/gazeta/dias/1808/04/22/pdfs/GMD-C-1808-38.pdf#page=5","Abrir facsímil")</f>
        <v>Abrir facsímil</v>
      </c>
      <c r="K5845" s="15" t="s">
        <v>23</v>
      </c>
    </row>
    <row r="5846" spans="1:11" ht="42" customHeight="1">
      <c r="A5846" s="4" t="s">
        <v>13954</v>
      </c>
      <c r="B5846" s="5" t="s">
        <v>13955</v>
      </c>
      <c r="C5846" s="5" t="s">
        <v>33</v>
      </c>
      <c r="D5846" s="5" t="s">
        <v>34</v>
      </c>
      <c r="E5846" s="5" t="s">
        <v>35</v>
      </c>
      <c r="F5846" s="9" t="s">
        <v>36</v>
      </c>
      <c r="G5846" s="9" t="s">
        <v>80</v>
      </c>
      <c r="H5846" s="5" t="s">
        <v>21</v>
      </c>
      <c r="I5846" s="5" t="s">
        <v>13956</v>
      </c>
      <c r="J5846" s="12" t="str">
        <f>HYPERLINK("https://www.boe.es/gazeta/dias/1808/04/22/pdfs/GMD-C-1808-38.pdf#page=18","Abrir facsímil")</f>
        <v>Abrir facsímil</v>
      </c>
      <c r="K5846" s="15" t="s">
        <v>23</v>
      </c>
    </row>
    <row r="5847" spans="1:11" ht="42" customHeight="1">
      <c r="A5847" s="4" t="s">
        <v>13954</v>
      </c>
      <c r="B5847" s="5" t="s">
        <v>13955</v>
      </c>
      <c r="C5847" s="5" t="s">
        <v>33</v>
      </c>
      <c r="D5847" s="5" t="s">
        <v>34</v>
      </c>
      <c r="E5847" s="5" t="s">
        <v>35</v>
      </c>
      <c r="F5847" s="9" t="s">
        <v>36</v>
      </c>
      <c r="G5847" s="9" t="s">
        <v>4783</v>
      </c>
      <c r="H5847" s="5" t="s">
        <v>21</v>
      </c>
      <c r="I5847" s="5" t="s">
        <v>13957</v>
      </c>
      <c r="J5847" s="12" t="str">
        <f>HYPERLINK("https://www.boe.es/gazeta/dias/1808/04/22/pdfs/GMD-C-1808-38.pdf#page=36","Abrir facsímil")</f>
        <v>Abrir facsímil</v>
      </c>
      <c r="K5847" s="15" t="s">
        <v>23</v>
      </c>
    </row>
    <row r="5848" spans="1:11" ht="42" customHeight="1">
      <c r="A5848" s="4" t="s">
        <v>13958</v>
      </c>
      <c r="B5848" s="5" t="s">
        <v>13959</v>
      </c>
      <c r="C5848" s="5" t="s">
        <v>41</v>
      </c>
      <c r="D5848" s="5" t="s">
        <v>42</v>
      </c>
      <c r="E5848" s="5" t="s">
        <v>363</v>
      </c>
      <c r="F5848" s="9" t="s">
        <v>3718</v>
      </c>
      <c r="G5848" s="9">
        <v>264</v>
      </c>
      <c r="H5848" s="5" t="s">
        <v>21</v>
      </c>
      <c r="I5848" s="5" t="s">
        <v>13960</v>
      </c>
      <c r="J5848" s="12" t="str">
        <f>HYPERLINK("https://www.boe.es/gazeta/dias/1808/09/20/pdfs/GMS-1808-33.pdf#page=8","Abrir facsímil")</f>
        <v>Abrir facsímil</v>
      </c>
      <c r="K5848" s="15" t="s">
        <v>23</v>
      </c>
    </row>
    <row r="5849" spans="1:11" ht="42" customHeight="1">
      <c r="A5849" s="4" t="s">
        <v>13961</v>
      </c>
      <c r="B5849" s="5" t="s">
        <v>13962</v>
      </c>
      <c r="C5849" s="5" t="s">
        <v>33</v>
      </c>
      <c r="D5849" s="5" t="s">
        <v>34</v>
      </c>
      <c r="E5849" s="5" t="s">
        <v>35</v>
      </c>
      <c r="F5849" s="9" t="s">
        <v>36</v>
      </c>
      <c r="G5849" s="9" t="s">
        <v>414</v>
      </c>
      <c r="H5849" s="5" t="s">
        <v>21</v>
      </c>
      <c r="I5849" s="5" t="s">
        <v>13963</v>
      </c>
      <c r="J5849" s="12" t="str">
        <f>HYPERLINK("https://www.boe.es/gazeta/dias/1808/04/22/pdfs/GMD-C-1808-38.pdf#page=20","Abrir facsímil")</f>
        <v>Abrir facsímil</v>
      </c>
      <c r="K5849" s="15" t="s">
        <v>23</v>
      </c>
    </row>
    <row r="5850" spans="1:11" ht="42" customHeight="1">
      <c r="A5850" s="4" t="s">
        <v>13964</v>
      </c>
      <c r="B5850" s="5" t="s">
        <v>13965</v>
      </c>
      <c r="C5850" s="5" t="s">
        <v>33</v>
      </c>
      <c r="D5850" s="5" t="s">
        <v>34</v>
      </c>
      <c r="E5850" s="5" t="s">
        <v>35</v>
      </c>
      <c r="F5850" s="9" t="s">
        <v>36</v>
      </c>
      <c r="G5850" s="9" t="s">
        <v>956</v>
      </c>
      <c r="H5850" s="5" t="s">
        <v>21</v>
      </c>
      <c r="I5850" s="5" t="s">
        <v>13966</v>
      </c>
      <c r="J5850" s="12" t="str">
        <f>HYPERLINK("https://www.boe.es/gazeta/dias/1808/04/22/pdfs/GMD-C-1808-38.pdf#page=41","Abrir facsímil")</f>
        <v>Abrir facsímil</v>
      </c>
      <c r="K5850" s="15" t="s">
        <v>23</v>
      </c>
    </row>
    <row r="5851" spans="1:11" ht="42" customHeight="1">
      <c r="A5851" s="4" t="s">
        <v>13967</v>
      </c>
      <c r="B5851" s="5" t="s">
        <v>13968</v>
      </c>
      <c r="C5851" s="5" t="s">
        <v>33</v>
      </c>
      <c r="D5851" s="5" t="s">
        <v>34</v>
      </c>
      <c r="E5851" s="5" t="s">
        <v>427</v>
      </c>
      <c r="F5851" s="9" t="s">
        <v>428</v>
      </c>
      <c r="G5851" s="9" t="s">
        <v>117</v>
      </c>
      <c r="H5851" s="5" t="s">
        <v>21</v>
      </c>
      <c r="I5851" s="5" t="s">
        <v>13969</v>
      </c>
      <c r="J5851" s="12" t="str">
        <f>HYPERLINK("https://www.boe.es/gazeta/dias/1808/11/22/pdfs/GMD-D-1808-146.pdf#page=1","Abrir facsímil")</f>
        <v>Abrir facsímil</v>
      </c>
      <c r="K5851" s="15" t="s">
        <v>23</v>
      </c>
    </row>
    <row r="5852" spans="1:11" ht="42" customHeight="1">
      <c r="A5852" s="4" t="s">
        <v>13970</v>
      </c>
      <c r="B5852" s="5" t="s">
        <v>13971</v>
      </c>
      <c r="C5852" s="5" t="s">
        <v>94</v>
      </c>
      <c r="D5852" s="5" t="s">
        <v>95</v>
      </c>
      <c r="E5852" s="5" t="s">
        <v>203</v>
      </c>
      <c r="F5852" s="9" t="s">
        <v>204</v>
      </c>
      <c r="G5852" s="9">
        <v>140</v>
      </c>
      <c r="H5852" s="5" t="s">
        <v>21</v>
      </c>
      <c r="I5852" s="5" t="s">
        <v>13972</v>
      </c>
      <c r="J5852" s="12" t="str">
        <f>HYPERLINK("https://www.boe.es/gazeta/dias/1808/02/09/pdfs/GMD-1808-12.pdf#page=8","Abrir facsímil")</f>
        <v>Abrir facsímil</v>
      </c>
      <c r="K5852" s="15" t="s">
        <v>23</v>
      </c>
    </row>
    <row r="5853" spans="1:11" ht="42" customHeight="1">
      <c r="A5853" s="4" t="s">
        <v>13970</v>
      </c>
      <c r="B5853" s="5" t="s">
        <v>13971</v>
      </c>
      <c r="C5853" s="5" t="s">
        <v>94</v>
      </c>
      <c r="D5853" s="5" t="s">
        <v>95</v>
      </c>
      <c r="E5853" s="5" t="s">
        <v>35</v>
      </c>
      <c r="F5853" s="9" t="s">
        <v>36</v>
      </c>
      <c r="G5853" s="9" t="s">
        <v>814</v>
      </c>
      <c r="H5853" s="5" t="s">
        <v>21</v>
      </c>
      <c r="I5853" s="5" t="s">
        <v>13973</v>
      </c>
      <c r="J5853" s="12" t="str">
        <f>HYPERLINK("https://www.boe.es/gazeta/dias/1808/04/22/pdfs/GMD-C-1808-38.pdf#page=25","Abrir facsímil")</f>
        <v>Abrir facsímil</v>
      </c>
      <c r="K5853" s="15" t="s">
        <v>23</v>
      </c>
    </row>
    <row r="5854" spans="1:11" ht="42" customHeight="1">
      <c r="A5854" s="4" t="s">
        <v>13970</v>
      </c>
      <c r="B5854" s="5" t="s">
        <v>13971</v>
      </c>
      <c r="C5854" s="5" t="s">
        <v>41</v>
      </c>
      <c r="D5854" s="5" t="s">
        <v>42</v>
      </c>
      <c r="E5854" s="5" t="s">
        <v>153</v>
      </c>
      <c r="F5854" s="9" t="s">
        <v>154</v>
      </c>
      <c r="G5854" s="9" t="s">
        <v>117</v>
      </c>
      <c r="H5854" s="5" t="s">
        <v>21</v>
      </c>
      <c r="I5854" s="5" t="s">
        <v>13974</v>
      </c>
      <c r="J5854" s="12" t="str">
        <f>HYPERLINK("https://www.boe.es/gazeta/dias/1808/09/09/pdfs/GMD-C-1808-121.pdf#page=1","Abrir facsímil")</f>
        <v>Abrir facsímil</v>
      </c>
      <c r="K5854" s="15" t="s">
        <v>23</v>
      </c>
    </row>
    <row r="5855" spans="1:11" ht="42" customHeight="1">
      <c r="A5855" s="4" t="s">
        <v>13970</v>
      </c>
      <c r="B5855" s="5" t="s">
        <v>13971</v>
      </c>
      <c r="C5855" s="5" t="s">
        <v>17</v>
      </c>
      <c r="D5855" s="5" t="s">
        <v>18</v>
      </c>
      <c r="E5855" s="5" t="s">
        <v>19</v>
      </c>
      <c r="F5855" s="9" t="s">
        <v>59</v>
      </c>
      <c r="G5855" s="9">
        <v>1230</v>
      </c>
      <c r="H5855" s="5" t="s">
        <v>21</v>
      </c>
      <c r="I5855" s="5" t="s">
        <v>13975</v>
      </c>
      <c r="J5855" s="12" t="str">
        <f>HYPERLINK("https://www.boe.es/gazeta/dias/1808/09/30/pdfs/GMD-1808-130.pdf#page=10","Abrir facsímil")</f>
        <v>Abrir facsímil</v>
      </c>
      <c r="K5855" s="15" t="s">
        <v>23</v>
      </c>
    </row>
    <row r="5856" spans="1:11" ht="42" customHeight="1">
      <c r="A5856" s="4" t="s">
        <v>13970</v>
      </c>
      <c r="B5856" s="5" t="s">
        <v>13971</v>
      </c>
      <c r="C5856" s="5" t="s">
        <v>41</v>
      </c>
      <c r="D5856" s="5" t="s">
        <v>42</v>
      </c>
      <c r="E5856" s="5" t="s">
        <v>61</v>
      </c>
      <c r="F5856" s="9" t="s">
        <v>62</v>
      </c>
      <c r="G5856" s="9">
        <v>1284</v>
      </c>
      <c r="H5856" s="5" t="s">
        <v>21</v>
      </c>
      <c r="I5856" s="5" t="s">
        <v>13976</v>
      </c>
      <c r="J5856" s="12" t="str">
        <f>HYPERLINK("https://www.boe.es/gazeta/dias/1808/10/11/pdfs/GMD-1808-133.pdf#page=12","Abrir facsímil")</f>
        <v>Abrir facsímil</v>
      </c>
      <c r="K5856" s="15" t="s">
        <v>23</v>
      </c>
    </row>
    <row r="5857" spans="1:11" ht="42" customHeight="1">
      <c r="A5857" s="4" t="s">
        <v>13970</v>
      </c>
      <c r="B5857" s="5" t="s">
        <v>13971</v>
      </c>
      <c r="C5857" s="5" t="s">
        <v>17</v>
      </c>
      <c r="D5857" s="5" t="s">
        <v>18</v>
      </c>
      <c r="E5857" s="5" t="s">
        <v>68</v>
      </c>
      <c r="F5857" s="9" t="s">
        <v>69</v>
      </c>
      <c r="G5857" s="9">
        <v>1337</v>
      </c>
      <c r="H5857" s="5" t="s">
        <v>21</v>
      </c>
      <c r="I5857" s="5" t="s">
        <v>13977</v>
      </c>
      <c r="J5857" s="12" t="str">
        <f>HYPERLINK("https://www.boe.es/gazeta/dias/1808/10/21/pdfs/GMD-1808-136.pdf#page=9","Abrir facsímil")</f>
        <v>Abrir facsímil</v>
      </c>
      <c r="K5857" s="15" t="s">
        <v>23</v>
      </c>
    </row>
    <row r="5858" spans="1:11" ht="42" customHeight="1">
      <c r="A5858" s="4" t="s">
        <v>13978</v>
      </c>
      <c r="B5858" s="5" t="s">
        <v>13979</v>
      </c>
      <c r="C5858" s="5" t="s">
        <v>94</v>
      </c>
      <c r="D5858" s="5" t="s">
        <v>95</v>
      </c>
      <c r="E5858" s="5" t="s">
        <v>203</v>
      </c>
      <c r="F5858" s="9" t="s">
        <v>204</v>
      </c>
      <c r="G5858" s="9">
        <v>140</v>
      </c>
      <c r="H5858" s="5" t="s">
        <v>21</v>
      </c>
      <c r="I5858" s="5" t="s">
        <v>13980</v>
      </c>
      <c r="J5858" s="12" t="str">
        <f>HYPERLINK("https://www.boe.es/gazeta/dias/1808/02/09/pdfs/GMD-1808-12.pdf#page=8","Abrir facsímil")</f>
        <v>Abrir facsímil</v>
      </c>
      <c r="K5858" s="15" t="s">
        <v>23</v>
      </c>
    </row>
    <row r="5859" spans="1:11" ht="42" customHeight="1">
      <c r="A5859" s="4" t="s">
        <v>13981</v>
      </c>
      <c r="B5859" s="5" t="s">
        <v>13982</v>
      </c>
      <c r="C5859" s="5" t="s">
        <v>94</v>
      </c>
      <c r="D5859" s="5" t="s">
        <v>95</v>
      </c>
      <c r="E5859" s="5" t="s">
        <v>572</v>
      </c>
      <c r="F5859" s="9" t="s">
        <v>573</v>
      </c>
      <c r="G5859" s="9">
        <v>19</v>
      </c>
      <c r="H5859" s="5" t="s">
        <v>21</v>
      </c>
      <c r="I5859" s="5" t="s">
        <v>13983</v>
      </c>
      <c r="J5859" s="12" t="str">
        <f>HYPERLINK("https://www.boe.es/gazeta/dias/1808/01/05/pdfs/GMD-1808-2.pdf#page=7","Abrir facsímil")</f>
        <v>Abrir facsímil</v>
      </c>
      <c r="K5859" s="15" t="s">
        <v>23</v>
      </c>
    </row>
    <row r="5860" spans="1:11" ht="42" customHeight="1">
      <c r="A5860" s="4" t="s">
        <v>13981</v>
      </c>
      <c r="B5860" s="5" t="s">
        <v>13982</v>
      </c>
      <c r="C5860" s="5" t="s">
        <v>94</v>
      </c>
      <c r="D5860" s="5" t="s">
        <v>95</v>
      </c>
      <c r="E5860" s="5" t="s">
        <v>207</v>
      </c>
      <c r="F5860" s="9" t="s">
        <v>208</v>
      </c>
      <c r="G5860" s="9">
        <v>195</v>
      </c>
      <c r="H5860" s="5" t="s">
        <v>21</v>
      </c>
      <c r="I5860" s="5" t="s">
        <v>13984</v>
      </c>
      <c r="J5860" s="12" t="str">
        <f>HYPERLINK("https://www.boe.es/gazeta/dias/1808/02/23/pdfs/GMD-1808-16.pdf#page=9","Abrir facsímil")</f>
        <v>Abrir facsímil</v>
      </c>
      <c r="K5860" s="15" t="s">
        <v>23</v>
      </c>
    </row>
    <row r="5861" spans="1:11" ht="42" customHeight="1">
      <c r="A5861" s="4" t="s">
        <v>13985</v>
      </c>
      <c r="B5861" s="5" t="s">
        <v>13986</v>
      </c>
      <c r="C5861" s="5" t="s">
        <v>33</v>
      </c>
      <c r="D5861" s="5" t="s">
        <v>34</v>
      </c>
      <c r="E5861" s="5" t="s">
        <v>35</v>
      </c>
      <c r="F5861" s="9" t="s">
        <v>36</v>
      </c>
      <c r="G5861" s="9" t="s">
        <v>1178</v>
      </c>
      <c r="H5861" s="5" t="s">
        <v>21</v>
      </c>
      <c r="I5861" s="5" t="s">
        <v>13987</v>
      </c>
      <c r="J5861" s="12" t="str">
        <f>HYPERLINK("https://www.boe.es/gazeta/dias/1808/04/22/pdfs/GMD-C-1808-38.pdf#page=9","Abrir facsímil")</f>
        <v>Abrir facsímil</v>
      </c>
      <c r="K5861" s="15" t="s">
        <v>23</v>
      </c>
    </row>
    <row r="5862" spans="1:11" ht="42" customHeight="1">
      <c r="A5862" s="4" t="s">
        <v>13988</v>
      </c>
      <c r="B5862" s="5" t="s">
        <v>13989</v>
      </c>
      <c r="C5862" s="5" t="s">
        <v>33</v>
      </c>
      <c r="D5862" s="5" t="s">
        <v>34</v>
      </c>
      <c r="E5862" s="5" t="s">
        <v>197</v>
      </c>
      <c r="F5862" s="9" t="s">
        <v>198</v>
      </c>
      <c r="G5862" s="9" t="s">
        <v>199</v>
      </c>
      <c r="H5862" s="5" t="s">
        <v>21</v>
      </c>
      <c r="I5862" s="5" t="s">
        <v>13990</v>
      </c>
      <c r="J5862" s="12" t="str">
        <f>HYPERLINK("https://www.boe.es/gazeta/dias/1808/11/01/pdfs/GMD-D-1808-140.pdf#page=2","Abrir facsímil")</f>
        <v>Abrir facsímil</v>
      </c>
      <c r="K5862" s="15" t="s">
        <v>23</v>
      </c>
    </row>
    <row r="5863" spans="1:11" ht="42" customHeight="1">
      <c r="A5863" s="4" t="s">
        <v>13991</v>
      </c>
      <c r="B5863" s="5" t="s">
        <v>13992</v>
      </c>
      <c r="C5863" s="5" t="s">
        <v>17</v>
      </c>
      <c r="D5863" s="5" t="s">
        <v>18</v>
      </c>
      <c r="E5863" s="5" t="s">
        <v>130</v>
      </c>
      <c r="F5863" s="9" t="s">
        <v>131</v>
      </c>
      <c r="G5863" s="9">
        <v>1604</v>
      </c>
      <c r="H5863" s="5" t="s">
        <v>21</v>
      </c>
      <c r="I5863" s="5" t="s">
        <v>13993</v>
      </c>
      <c r="J5863" s="12" t="str">
        <f>HYPERLINK("https://www.boe.es/gazeta/dias/1808/12/15/pdfs/GMD-1808-155.pdf#page=8","Abrir facsímil")</f>
        <v>Abrir facsímil</v>
      </c>
      <c r="K5863" s="15" t="s">
        <v>23</v>
      </c>
    </row>
    <row r="5864" spans="1:11" ht="42" customHeight="1">
      <c r="A5864" s="4" t="s">
        <v>13994</v>
      </c>
      <c r="B5864" s="5" t="s">
        <v>13995</v>
      </c>
      <c r="C5864" s="5" t="s">
        <v>33</v>
      </c>
      <c r="D5864" s="5" t="s">
        <v>34</v>
      </c>
      <c r="E5864" s="5" t="s">
        <v>153</v>
      </c>
      <c r="F5864" s="9" t="s">
        <v>154</v>
      </c>
      <c r="G5864" s="9" t="s">
        <v>75</v>
      </c>
      <c r="H5864" s="5" t="s">
        <v>21</v>
      </c>
      <c r="I5864" s="5" t="s">
        <v>13996</v>
      </c>
      <c r="J5864" s="12" t="str">
        <f>HYPERLINK("https://www.boe.es/gazeta/dias/1808/09/09/pdfs/GMD-C-1808-121.pdf#page=4","Abrir facsímil")</f>
        <v>Abrir facsímil</v>
      </c>
      <c r="K5864" s="15" t="s">
        <v>23</v>
      </c>
    </row>
    <row r="5865" spans="1:11" ht="42" customHeight="1">
      <c r="A5865" s="4" t="s">
        <v>13997</v>
      </c>
      <c r="B5865" s="5" t="s">
        <v>13998</v>
      </c>
      <c r="C5865" s="5" t="s">
        <v>41</v>
      </c>
      <c r="D5865" s="5" t="s">
        <v>42</v>
      </c>
      <c r="E5865" s="5" t="s">
        <v>1466</v>
      </c>
      <c r="F5865" s="9" t="s">
        <v>1467</v>
      </c>
      <c r="G5865" s="9">
        <v>59</v>
      </c>
      <c r="H5865" s="5" t="s">
        <v>21</v>
      </c>
      <c r="I5865" s="5" t="s">
        <v>13999</v>
      </c>
      <c r="J5865" s="12" t="str">
        <f>HYPERLINK("https://www.boe.es/gazeta/dias/1808/01/15/pdfs/GMD-1808-5.pdf#page=11","Abrir facsímil")</f>
        <v>Abrir facsímil</v>
      </c>
      <c r="K5865" s="15" t="s">
        <v>23</v>
      </c>
    </row>
    <row r="5866" spans="1:11" ht="42" customHeight="1">
      <c r="A5866" s="4" t="s">
        <v>14000</v>
      </c>
      <c r="B5866" s="5" t="s">
        <v>14001</v>
      </c>
      <c r="C5866" s="5" t="s">
        <v>17</v>
      </c>
      <c r="D5866" s="5" t="s">
        <v>18</v>
      </c>
      <c r="E5866" s="5" t="s">
        <v>2171</v>
      </c>
      <c r="F5866" s="9" t="s">
        <v>2172</v>
      </c>
      <c r="G5866" s="9">
        <v>773</v>
      </c>
      <c r="H5866" s="5" t="s">
        <v>21</v>
      </c>
      <c r="I5866" s="5" t="s">
        <v>14002</v>
      </c>
      <c r="J5866" s="12" t="str">
        <f>HYPERLINK("https://www.boe.es/gazeta/dias/1808/07/10/pdfs/GMD-1808-82.pdf#page=7","Abrir facsímil")</f>
        <v>Abrir facsímil</v>
      </c>
      <c r="K5866" s="15" t="s">
        <v>23</v>
      </c>
    </row>
    <row r="5867" spans="1:11" ht="42" customHeight="1">
      <c r="A5867" s="4" t="s">
        <v>14000</v>
      </c>
      <c r="B5867" s="5" t="s">
        <v>14001</v>
      </c>
      <c r="C5867" s="5" t="s">
        <v>389</v>
      </c>
      <c r="D5867" s="5" t="s">
        <v>390</v>
      </c>
      <c r="E5867" s="5" t="s">
        <v>1258</v>
      </c>
      <c r="F5867" s="9" t="s">
        <v>1259</v>
      </c>
      <c r="G5867" s="9">
        <v>892</v>
      </c>
      <c r="H5867" s="5" t="s">
        <v>21</v>
      </c>
      <c r="I5867" s="5" t="s">
        <v>14003</v>
      </c>
      <c r="J5867" s="12" t="str">
        <f>HYPERLINK("https://www.boe.es/gazeta/dias/1808/07/25/pdfs/GMD-1808-97.pdf#page=6","Abrir facsímil")</f>
        <v>Abrir facsímil</v>
      </c>
      <c r="K5867" s="15" t="s">
        <v>23</v>
      </c>
    </row>
    <row r="5868" spans="1:11" ht="42" customHeight="1">
      <c r="A5868" s="4" t="s">
        <v>14000</v>
      </c>
      <c r="B5868" s="5" t="s">
        <v>14001</v>
      </c>
      <c r="C5868" s="5" t="s">
        <v>41</v>
      </c>
      <c r="D5868" s="5" t="s">
        <v>42</v>
      </c>
      <c r="E5868" s="5" t="s">
        <v>65</v>
      </c>
      <c r="F5868" s="9" t="s">
        <v>66</v>
      </c>
      <c r="G5868" s="9">
        <v>1312</v>
      </c>
      <c r="H5868" s="5" t="s">
        <v>21</v>
      </c>
      <c r="I5868" s="5" t="s">
        <v>14004</v>
      </c>
      <c r="J5868" s="12" t="str">
        <f>HYPERLINK("https://www.boe.es/gazeta/dias/1808/10/18/pdfs/GMD-1808-135.pdf#page=12","Abrir facsímil")</f>
        <v>Abrir facsímil</v>
      </c>
      <c r="K5868" s="15" t="s">
        <v>23</v>
      </c>
    </row>
    <row r="5869" spans="1:11" ht="42" customHeight="1">
      <c r="A5869" s="4" t="s">
        <v>14000</v>
      </c>
      <c r="B5869" s="5" t="s">
        <v>14001</v>
      </c>
      <c r="C5869" s="5" t="s">
        <v>17</v>
      </c>
      <c r="D5869" s="5" t="s">
        <v>18</v>
      </c>
      <c r="E5869" s="5" t="s">
        <v>65</v>
      </c>
      <c r="F5869" s="9" t="s">
        <v>66</v>
      </c>
      <c r="G5869" s="9">
        <v>1313</v>
      </c>
      <c r="H5869" s="5" t="s">
        <v>21</v>
      </c>
      <c r="I5869" s="5" t="s">
        <v>14005</v>
      </c>
      <c r="J5869" s="12" t="str">
        <f>HYPERLINK("https://www.boe.es/gazeta/dias/1808/10/18/pdfs/GMD-1808-135.pdf#page=13","Abrir facsímil")</f>
        <v>Abrir facsímil</v>
      </c>
      <c r="K5869" s="15" t="s">
        <v>23</v>
      </c>
    </row>
    <row r="5870" spans="1:11" ht="42" customHeight="1">
      <c r="A5870" s="4" t="s">
        <v>14006</v>
      </c>
      <c r="B5870" s="5" t="s">
        <v>14007</v>
      </c>
      <c r="C5870" s="5" t="s">
        <v>33</v>
      </c>
      <c r="D5870" s="5" t="s">
        <v>34</v>
      </c>
      <c r="E5870" s="5" t="s">
        <v>456</v>
      </c>
      <c r="F5870" s="9" t="s">
        <v>748</v>
      </c>
      <c r="G5870" s="9" t="s">
        <v>75</v>
      </c>
      <c r="H5870" s="5" t="s">
        <v>21</v>
      </c>
      <c r="I5870" s="5" t="s">
        <v>14008</v>
      </c>
      <c r="J5870" s="12" t="str">
        <f>HYPERLINK("https://www.boe.es/gazeta/dias/1808/10/14/pdfs/GMD-C-1808-134.pdf#page=4","Abrir facsímil")</f>
        <v>Abrir facsímil</v>
      </c>
      <c r="K5870" s="15" t="s">
        <v>23</v>
      </c>
    </row>
    <row r="5871" spans="1:11" ht="42" customHeight="1">
      <c r="A5871" s="4" t="s">
        <v>14009</v>
      </c>
      <c r="B5871" s="5" t="s">
        <v>14010</v>
      </c>
      <c r="C5871" s="5" t="s">
        <v>33</v>
      </c>
      <c r="D5871" s="5" t="s">
        <v>34</v>
      </c>
      <c r="E5871" s="5" t="s">
        <v>363</v>
      </c>
      <c r="F5871" s="9" t="s">
        <v>364</v>
      </c>
      <c r="G5871" s="9" t="s">
        <v>106</v>
      </c>
      <c r="H5871" s="5" t="s">
        <v>21</v>
      </c>
      <c r="I5871" s="5" t="s">
        <v>14011</v>
      </c>
      <c r="J5871" s="12" t="str">
        <f>HYPERLINK("https://www.boe.es/gazeta/dias/1808/09/20/pdfs/GMD-C-1808-126.pdf#page=3","Abrir facsímil")</f>
        <v>Abrir facsímil</v>
      </c>
      <c r="K5871" s="15" t="s">
        <v>23</v>
      </c>
    </row>
    <row r="5872" spans="1:11" ht="42" customHeight="1">
      <c r="A5872" s="4" t="s">
        <v>14009</v>
      </c>
      <c r="B5872" s="5" t="s">
        <v>14010</v>
      </c>
      <c r="C5872" s="5" t="s">
        <v>33</v>
      </c>
      <c r="D5872" s="5" t="s">
        <v>34</v>
      </c>
      <c r="E5872" s="5" t="s">
        <v>89</v>
      </c>
      <c r="F5872" s="9" t="s">
        <v>563</v>
      </c>
      <c r="G5872" s="9" t="s">
        <v>75</v>
      </c>
      <c r="H5872" s="5" t="s">
        <v>21</v>
      </c>
      <c r="I5872" s="5" t="s">
        <v>14012</v>
      </c>
      <c r="J5872" s="12" t="str">
        <f>HYPERLINK("https://www.boe.es/gazeta/dias/1808/10/25/pdfs/GMD-D-1808-137.pdf#page=4","Abrir facsímil")</f>
        <v>Abrir facsímil</v>
      </c>
      <c r="K5872" s="15" t="s">
        <v>23</v>
      </c>
    </row>
    <row r="5873" spans="1:11" ht="42" customHeight="1">
      <c r="A5873" s="4" t="s">
        <v>14013</v>
      </c>
      <c r="B5873" s="5" t="s">
        <v>14014</v>
      </c>
      <c r="C5873" s="5" t="s">
        <v>389</v>
      </c>
      <c r="D5873" s="5" t="s">
        <v>390</v>
      </c>
      <c r="E5873" s="5" t="s">
        <v>35</v>
      </c>
      <c r="F5873" s="9" t="s">
        <v>36</v>
      </c>
      <c r="G5873" s="9" t="s">
        <v>281</v>
      </c>
      <c r="H5873" s="5" t="s">
        <v>21</v>
      </c>
      <c r="I5873" s="5" t="s">
        <v>14015</v>
      </c>
      <c r="J5873" s="12" t="str">
        <f>HYPERLINK("https://www.boe.es/gazeta/dias/1808/04/22/pdfs/GMD-C-1808-38.pdf#page=47","Abrir facsímil")</f>
        <v>Abrir facsímil</v>
      </c>
      <c r="K5873" s="15" t="s">
        <v>23</v>
      </c>
    </row>
    <row r="5874" spans="1:11" ht="42" customHeight="1">
      <c r="A5874" s="4" t="s">
        <v>14016</v>
      </c>
      <c r="B5874" s="5" t="s">
        <v>14017</v>
      </c>
      <c r="C5874" s="5" t="s">
        <v>41</v>
      </c>
      <c r="D5874" s="5" t="s">
        <v>42</v>
      </c>
      <c r="E5874" s="5" t="s">
        <v>363</v>
      </c>
      <c r="F5874" s="9" t="s">
        <v>364</v>
      </c>
      <c r="G5874" s="9" t="s">
        <v>75</v>
      </c>
      <c r="H5874" s="5" t="s">
        <v>21</v>
      </c>
      <c r="I5874" s="5" t="s">
        <v>14018</v>
      </c>
      <c r="J5874" s="12" t="str">
        <f>HYPERLINK("https://www.boe.es/gazeta/dias/1808/09/20/pdfs/GMD-C-1808-126.pdf#page=4","Abrir facsímil")</f>
        <v>Abrir facsímil</v>
      </c>
      <c r="K5874" s="15" t="s">
        <v>23</v>
      </c>
    </row>
    <row r="5875" spans="1:11" ht="42" customHeight="1">
      <c r="A5875" s="4" t="s">
        <v>14016</v>
      </c>
      <c r="B5875" s="5" t="s">
        <v>14017</v>
      </c>
      <c r="C5875" s="5" t="s">
        <v>33</v>
      </c>
      <c r="D5875" s="5" t="s">
        <v>34</v>
      </c>
      <c r="E5875" s="5" t="s">
        <v>456</v>
      </c>
      <c r="F5875" s="9" t="s">
        <v>748</v>
      </c>
      <c r="G5875" s="9" t="s">
        <v>106</v>
      </c>
      <c r="H5875" s="5" t="s">
        <v>21</v>
      </c>
      <c r="I5875" s="5" t="s">
        <v>14019</v>
      </c>
      <c r="J5875" s="12" t="str">
        <f>HYPERLINK("https://www.boe.es/gazeta/dias/1808/10/14/pdfs/GMD-C-1808-134.pdf#page=3","Abrir facsímil")</f>
        <v>Abrir facsímil</v>
      </c>
      <c r="K5875" s="15" t="s">
        <v>23</v>
      </c>
    </row>
    <row r="5876" spans="1:11" ht="42" customHeight="1">
      <c r="A5876" s="4" t="s">
        <v>14016</v>
      </c>
      <c r="B5876" s="5" t="s">
        <v>14017</v>
      </c>
      <c r="C5876" s="5" t="s">
        <v>33</v>
      </c>
      <c r="D5876" s="5" t="s">
        <v>34</v>
      </c>
      <c r="E5876" s="5" t="s">
        <v>28</v>
      </c>
      <c r="F5876" s="9" t="s">
        <v>446</v>
      </c>
      <c r="G5876" s="9" t="s">
        <v>117</v>
      </c>
      <c r="H5876" s="5" t="s">
        <v>21</v>
      </c>
      <c r="I5876" s="5" t="s">
        <v>14020</v>
      </c>
      <c r="J5876" s="12" t="str">
        <f>HYPERLINK("https://www.boe.es/gazeta/dias/1808/11/04/pdfs/GMD-D-1808-141.pdf#page=1","Abrir facsímil")</f>
        <v>Abrir facsímil</v>
      </c>
      <c r="K5876" s="15" t="s">
        <v>23</v>
      </c>
    </row>
    <row r="5877" spans="1:11" ht="42" customHeight="1">
      <c r="A5877" s="4" t="s">
        <v>14016</v>
      </c>
      <c r="B5877" s="5" t="s">
        <v>14017</v>
      </c>
      <c r="C5877" s="5" t="s">
        <v>33</v>
      </c>
      <c r="D5877" s="5" t="s">
        <v>34</v>
      </c>
      <c r="E5877" s="5" t="s">
        <v>558</v>
      </c>
      <c r="F5877" s="9" t="s">
        <v>758</v>
      </c>
      <c r="G5877" s="9" t="s">
        <v>106</v>
      </c>
      <c r="H5877" s="5" t="s">
        <v>21</v>
      </c>
      <c r="I5877" s="5" t="s">
        <v>14021</v>
      </c>
      <c r="J5877" s="12" t="str">
        <f>HYPERLINK("https://www.boe.es/gazeta/dias/1808/11/25/pdfs/GMD-E-1808-147.pdf#page=3","Abrir facsímil")</f>
        <v>Abrir facsímil</v>
      </c>
      <c r="K5877" s="15" t="s">
        <v>23</v>
      </c>
    </row>
    <row r="5878" spans="1:11" ht="42" customHeight="1">
      <c r="A5878" s="4" t="s">
        <v>14022</v>
      </c>
      <c r="B5878" s="5" t="s">
        <v>14023</v>
      </c>
      <c r="C5878" s="5" t="s">
        <v>94</v>
      </c>
      <c r="D5878" s="5" t="s">
        <v>95</v>
      </c>
      <c r="E5878" s="5" t="s">
        <v>51</v>
      </c>
      <c r="F5878" s="9" t="s">
        <v>52</v>
      </c>
      <c r="G5878" s="9">
        <v>990</v>
      </c>
      <c r="H5878" s="5" t="s">
        <v>21</v>
      </c>
      <c r="I5878" s="5" t="s">
        <v>14024</v>
      </c>
      <c r="J5878" s="12" t="str">
        <f>HYPERLINK("https://www.boe.es/gazeta/dias/1808/08/09/pdfs/GMD-1808-111.pdf#page=6","Abrir facsímil")</f>
        <v>Abrir facsímil</v>
      </c>
      <c r="K5878" s="15" t="s">
        <v>23</v>
      </c>
    </row>
    <row r="5879" spans="1:11" ht="42" customHeight="1">
      <c r="A5879" s="4" t="s">
        <v>14025</v>
      </c>
      <c r="B5879" s="5" t="s">
        <v>14026</v>
      </c>
      <c r="C5879" s="5" t="s">
        <v>33</v>
      </c>
      <c r="D5879" s="5" t="s">
        <v>34</v>
      </c>
      <c r="E5879" s="5" t="s">
        <v>35</v>
      </c>
      <c r="F5879" s="9" t="s">
        <v>36</v>
      </c>
      <c r="G5879" s="9" t="s">
        <v>1006</v>
      </c>
      <c r="H5879" s="5" t="s">
        <v>21</v>
      </c>
      <c r="I5879" s="5" t="s">
        <v>14027</v>
      </c>
      <c r="J5879" s="12" t="str">
        <f>HYPERLINK("https://www.boe.es/gazeta/dias/1808/04/22/pdfs/GMD-C-1808-38.pdf#page=46","Abrir facsímil")</f>
        <v>Abrir facsímil</v>
      </c>
      <c r="K5879" s="15" t="s">
        <v>23</v>
      </c>
    </row>
    <row r="5880" spans="1:11" ht="42" customHeight="1">
      <c r="A5880" s="4" t="s">
        <v>14025</v>
      </c>
      <c r="B5880" s="5" t="s">
        <v>14026</v>
      </c>
      <c r="C5880" s="5" t="s">
        <v>41</v>
      </c>
      <c r="D5880" s="5" t="s">
        <v>42</v>
      </c>
      <c r="E5880" s="5" t="s">
        <v>290</v>
      </c>
      <c r="F5880" s="9" t="s">
        <v>291</v>
      </c>
      <c r="G5880" s="9">
        <v>1065</v>
      </c>
      <c r="H5880" s="5" t="s">
        <v>21</v>
      </c>
      <c r="I5880" s="5" t="s">
        <v>14028</v>
      </c>
      <c r="J5880" s="12" t="str">
        <f>HYPERLINK("https://www.boe.es/gazeta/dias/1808/08/23/pdfs/GMD-1808-116.pdf#page=11","Abrir facsímil")</f>
        <v>Abrir facsímil</v>
      </c>
      <c r="K5880" s="15" t="s">
        <v>23</v>
      </c>
    </row>
    <row r="5881" spans="1:11" ht="42" customHeight="1">
      <c r="A5881" s="4" t="s">
        <v>14025</v>
      </c>
      <c r="B5881" s="5" t="s">
        <v>14026</v>
      </c>
      <c r="C5881" s="5" t="s">
        <v>33</v>
      </c>
      <c r="D5881" s="5" t="s">
        <v>34</v>
      </c>
      <c r="E5881" s="5" t="s">
        <v>89</v>
      </c>
      <c r="F5881" s="9" t="s">
        <v>563</v>
      </c>
      <c r="G5881" s="9" t="s">
        <v>117</v>
      </c>
      <c r="H5881" s="5" t="s">
        <v>21</v>
      </c>
      <c r="I5881" s="5" t="s">
        <v>14029</v>
      </c>
      <c r="J5881" s="12" t="str">
        <f>HYPERLINK("https://www.boe.es/gazeta/dias/1808/10/25/pdfs/GMD-D-1808-137.pdf#page=1","Abrir facsímil")</f>
        <v>Abrir facsímil</v>
      </c>
      <c r="K5881" s="15" t="s">
        <v>23</v>
      </c>
    </row>
    <row r="5882" spans="1:11" ht="42" customHeight="1">
      <c r="A5882" s="4" t="s">
        <v>14030</v>
      </c>
      <c r="B5882" s="5" t="s">
        <v>14031</v>
      </c>
      <c r="C5882" s="5" t="s">
        <v>33</v>
      </c>
      <c r="D5882" s="5" t="s">
        <v>34</v>
      </c>
      <c r="E5882" s="5" t="s">
        <v>35</v>
      </c>
      <c r="F5882" s="9" t="s">
        <v>36</v>
      </c>
      <c r="G5882" s="9" t="s">
        <v>818</v>
      </c>
      <c r="H5882" s="5" t="s">
        <v>21</v>
      </c>
      <c r="I5882" s="5" t="s">
        <v>14032</v>
      </c>
      <c r="J5882" s="12" t="str">
        <f>HYPERLINK("https://www.boe.es/gazeta/dias/1808/04/22/pdfs/GMD-C-1808-38.pdf#page=7","Abrir facsímil")</f>
        <v>Abrir facsímil</v>
      </c>
      <c r="K5882" s="15" t="s">
        <v>23</v>
      </c>
    </row>
    <row r="5883" spans="1:11" ht="42" customHeight="1">
      <c r="A5883" s="4" t="s">
        <v>14033</v>
      </c>
      <c r="B5883" s="5" t="s">
        <v>14034</v>
      </c>
      <c r="C5883" s="5" t="s">
        <v>26</v>
      </c>
      <c r="D5883" s="5" t="s">
        <v>27</v>
      </c>
      <c r="E5883" s="5" t="s">
        <v>68</v>
      </c>
      <c r="F5883" s="9" t="s">
        <v>309</v>
      </c>
      <c r="G5883" s="9" t="s">
        <v>75</v>
      </c>
      <c r="H5883" s="5" t="s">
        <v>21</v>
      </c>
      <c r="I5883" s="5" t="s">
        <v>14035</v>
      </c>
      <c r="J5883" s="12" t="str">
        <f>HYPERLINK("https://www.boe.es/gazeta/dias/1808/10/21/pdfs/GMD-D-1808-136.pdf#page=4","Abrir facsímil")</f>
        <v>Abrir facsímil</v>
      </c>
      <c r="K5883" s="15" t="s">
        <v>23</v>
      </c>
    </row>
    <row r="5884" spans="1:11" ht="42" customHeight="1">
      <c r="A5884" s="4" t="s">
        <v>14030</v>
      </c>
      <c r="B5884" s="5" t="s">
        <v>14031</v>
      </c>
      <c r="C5884" s="5" t="s">
        <v>17</v>
      </c>
      <c r="D5884" s="5" t="s">
        <v>18</v>
      </c>
      <c r="E5884" s="5" t="s">
        <v>719</v>
      </c>
      <c r="F5884" s="9" t="s">
        <v>720</v>
      </c>
      <c r="G5884" s="9">
        <v>1609</v>
      </c>
      <c r="H5884" s="5" t="s">
        <v>21</v>
      </c>
      <c r="I5884" s="5" t="s">
        <v>14036</v>
      </c>
      <c r="J5884" s="12" t="str">
        <f>HYPERLINK("https://www.boe.es/gazeta/dias/1808/12/16/pdfs/GMD-1808-156.pdf#page=1","Abrir facsímil")</f>
        <v>Abrir facsímil</v>
      </c>
      <c r="K5884" s="15" t="s">
        <v>23</v>
      </c>
    </row>
    <row r="5885" spans="1:11" ht="42" customHeight="1">
      <c r="A5885" s="4" t="s">
        <v>14030</v>
      </c>
      <c r="B5885" s="5" t="s">
        <v>14031</v>
      </c>
      <c r="C5885" s="5" t="s">
        <v>41</v>
      </c>
      <c r="D5885" s="5" t="s">
        <v>42</v>
      </c>
      <c r="E5885" s="5" t="s">
        <v>719</v>
      </c>
      <c r="F5885" s="9" t="s">
        <v>720</v>
      </c>
      <c r="G5885" s="9">
        <v>1611</v>
      </c>
      <c r="H5885" s="5" t="s">
        <v>21</v>
      </c>
      <c r="I5885" s="5" t="s">
        <v>14037</v>
      </c>
      <c r="J5885" s="12" t="str">
        <f>HYPERLINK("https://www.boe.es/gazeta/dias/1808/12/16/pdfs/GMD-1808-156.pdf#page=3","Abrir facsímil")</f>
        <v>Abrir facsímil</v>
      </c>
      <c r="K5885" s="15" t="s">
        <v>23</v>
      </c>
    </row>
    <row r="5886" spans="1:11" ht="42" customHeight="1">
      <c r="A5886" s="4" t="s">
        <v>14038</v>
      </c>
      <c r="B5886" s="5" t="s">
        <v>14039</v>
      </c>
      <c r="C5886" s="5" t="s">
        <v>94</v>
      </c>
      <c r="D5886" s="5" t="s">
        <v>95</v>
      </c>
      <c r="E5886" s="5" t="s">
        <v>210</v>
      </c>
      <c r="F5886" s="9" t="s">
        <v>211</v>
      </c>
      <c r="G5886" s="9">
        <v>254</v>
      </c>
      <c r="H5886" s="5" t="s">
        <v>21</v>
      </c>
      <c r="I5886" s="5" t="s">
        <v>14040</v>
      </c>
      <c r="J5886" s="12" t="str">
        <f>HYPERLINK("https://www.boe.es/gazeta/dias/1808/03/11/pdfs/GMD-1808-21.pdf#page=8","Abrir facsímil")</f>
        <v>Abrir facsímil</v>
      </c>
      <c r="K5886" s="15" t="s">
        <v>23</v>
      </c>
    </row>
    <row r="5887" spans="1:11" ht="42" customHeight="1">
      <c r="A5887" s="4" t="s">
        <v>14038</v>
      </c>
      <c r="B5887" s="5" t="s">
        <v>14039</v>
      </c>
      <c r="C5887" s="5" t="s">
        <v>33</v>
      </c>
      <c r="D5887" s="5" t="s">
        <v>34</v>
      </c>
      <c r="E5887" s="5" t="s">
        <v>264</v>
      </c>
      <c r="F5887" s="9" t="s">
        <v>318</v>
      </c>
      <c r="G5887" s="9" t="s">
        <v>106</v>
      </c>
      <c r="H5887" s="5" t="s">
        <v>21</v>
      </c>
      <c r="I5887" s="5" t="s">
        <v>14041</v>
      </c>
      <c r="J5887" s="12" t="str">
        <f>HYPERLINK("https://www.boe.es/gazeta/dias/1808/11/29/pdfs/GMD-C-1808-148.pdf#page=3","Abrir facsímil")</f>
        <v>Abrir facsímil</v>
      </c>
      <c r="K5887" s="15" t="s">
        <v>23</v>
      </c>
    </row>
    <row r="5888" spans="1:11" ht="42" customHeight="1">
      <c r="A5888" s="4" t="s">
        <v>14042</v>
      </c>
      <c r="B5888" s="5" t="s">
        <v>14043</v>
      </c>
      <c r="C5888" s="5" t="s">
        <v>26</v>
      </c>
      <c r="D5888" s="5" t="s">
        <v>27</v>
      </c>
      <c r="E5888" s="5" t="s">
        <v>115</v>
      </c>
      <c r="F5888" s="9" t="s">
        <v>1650</v>
      </c>
      <c r="G5888" s="9">
        <v>1177</v>
      </c>
      <c r="H5888" s="5" t="s">
        <v>21</v>
      </c>
      <c r="I5888" s="5" t="s">
        <v>14044</v>
      </c>
      <c r="J5888" s="12" t="str">
        <f>HYPERLINK("https://www.boe.es/gazeta/dias/1808/09/16/pdfs/GMD-1808-125.pdf#page=9","Abrir facsímil")</f>
        <v>Abrir facsímil</v>
      </c>
      <c r="K5888" s="15" t="s">
        <v>23</v>
      </c>
    </row>
    <row r="5889" spans="1:11" ht="42" customHeight="1">
      <c r="A5889" s="4" t="s">
        <v>14045</v>
      </c>
      <c r="B5889" s="5" t="s">
        <v>14046</v>
      </c>
      <c r="C5889" s="5" t="s">
        <v>33</v>
      </c>
      <c r="D5889" s="5" t="s">
        <v>34</v>
      </c>
      <c r="E5889" s="5" t="s">
        <v>125</v>
      </c>
      <c r="F5889" s="9" t="s">
        <v>126</v>
      </c>
      <c r="G5889" s="9" t="s">
        <v>117</v>
      </c>
      <c r="H5889" s="5" t="s">
        <v>21</v>
      </c>
      <c r="I5889" s="5" t="s">
        <v>14047</v>
      </c>
      <c r="J5889" s="12" t="str">
        <f>HYPERLINK("https://www.boe.es/gazeta/dias/1808/10/07/pdfs/GMD-C-1808-132.pdf#page=1","Abrir facsímil")</f>
        <v>Abrir facsímil</v>
      </c>
      <c r="K5889" s="15" t="s">
        <v>23</v>
      </c>
    </row>
    <row r="5890" spans="1:11" ht="42" customHeight="1">
      <c r="A5890" s="4" t="s">
        <v>14048</v>
      </c>
      <c r="B5890" s="5" t="s">
        <v>14049</v>
      </c>
      <c r="C5890" s="5" t="s">
        <v>94</v>
      </c>
      <c r="D5890" s="5" t="s">
        <v>95</v>
      </c>
      <c r="E5890" s="5" t="s">
        <v>493</v>
      </c>
      <c r="F5890" s="9" t="s">
        <v>494</v>
      </c>
      <c r="G5890" s="9">
        <v>45</v>
      </c>
      <c r="H5890" s="5" t="s">
        <v>21</v>
      </c>
      <c r="I5890" s="5" t="s">
        <v>14050</v>
      </c>
      <c r="J5890" s="12" t="str">
        <f>HYPERLINK("https://www.boe.es/gazeta/dias/1808/01/12/pdfs/GMD-1808-4.pdf#page=9","Abrir facsímil")</f>
        <v>Abrir facsímil</v>
      </c>
      <c r="K5890" s="15" t="s">
        <v>23</v>
      </c>
    </row>
    <row r="5891" spans="1:11" ht="42" customHeight="1">
      <c r="A5891" s="4" t="s">
        <v>14048</v>
      </c>
      <c r="B5891" s="5" t="s">
        <v>14049</v>
      </c>
      <c r="C5891" s="5" t="s">
        <v>33</v>
      </c>
      <c r="D5891" s="5" t="s">
        <v>34</v>
      </c>
      <c r="E5891" s="5" t="s">
        <v>35</v>
      </c>
      <c r="F5891" s="9" t="s">
        <v>36</v>
      </c>
      <c r="G5891" s="9" t="s">
        <v>162</v>
      </c>
      <c r="H5891" s="5" t="s">
        <v>21</v>
      </c>
      <c r="I5891" s="5" t="s">
        <v>14051</v>
      </c>
      <c r="J5891" s="12" t="str">
        <f>HYPERLINK("https://www.boe.es/gazeta/dias/1808/04/22/pdfs/GMD-C-1808-38.pdf#page=31","Abrir facsímil")</f>
        <v>Abrir facsímil</v>
      </c>
      <c r="K5891" s="15" t="s">
        <v>23</v>
      </c>
    </row>
    <row r="5892" spans="1:11" ht="42" customHeight="1">
      <c r="A5892" s="4" t="s">
        <v>14052</v>
      </c>
      <c r="B5892" s="5" t="s">
        <v>14053</v>
      </c>
      <c r="C5892" s="5" t="s">
        <v>94</v>
      </c>
      <c r="D5892" s="5" t="s">
        <v>95</v>
      </c>
      <c r="E5892" s="5" t="s">
        <v>269</v>
      </c>
      <c r="F5892" s="9" t="s">
        <v>270</v>
      </c>
      <c r="G5892" s="9">
        <v>69</v>
      </c>
      <c r="H5892" s="5" t="s">
        <v>21</v>
      </c>
      <c r="I5892" s="5" t="s">
        <v>14054</v>
      </c>
      <c r="J5892" s="12" t="str">
        <f>HYPERLINK("https://www.boe.es/gazeta/dias/1808/01/19/pdfs/GMD-1808-6.pdf#page=9","Abrir facsímil")</f>
        <v>Abrir facsímil</v>
      </c>
      <c r="K5892" s="15" t="s">
        <v>23</v>
      </c>
    </row>
    <row r="5893" spans="1:11" ht="42" customHeight="1">
      <c r="A5893" s="4" t="s">
        <v>14052</v>
      </c>
      <c r="B5893" s="5" t="s">
        <v>14053</v>
      </c>
      <c r="C5893" s="5" t="s">
        <v>33</v>
      </c>
      <c r="D5893" s="5" t="s">
        <v>34</v>
      </c>
      <c r="E5893" s="5" t="s">
        <v>35</v>
      </c>
      <c r="F5893" s="9" t="s">
        <v>36</v>
      </c>
      <c r="G5893" s="9" t="s">
        <v>443</v>
      </c>
      <c r="H5893" s="5" t="s">
        <v>21</v>
      </c>
      <c r="I5893" s="5" t="s">
        <v>14055</v>
      </c>
      <c r="J5893" s="12" t="str">
        <f>HYPERLINK("https://www.boe.es/gazeta/dias/1808/04/22/pdfs/GMD-C-1808-38.pdf#page=16","Abrir facsímil")</f>
        <v>Abrir facsímil</v>
      </c>
      <c r="K5893" s="15" t="s">
        <v>23</v>
      </c>
    </row>
    <row r="5894" spans="1:11" ht="42" customHeight="1">
      <c r="A5894" s="4" t="s">
        <v>14052</v>
      </c>
      <c r="B5894" s="5" t="s">
        <v>14053</v>
      </c>
      <c r="C5894" s="5" t="s">
        <v>33</v>
      </c>
      <c r="D5894" s="5" t="s">
        <v>34</v>
      </c>
      <c r="E5894" s="5" t="s">
        <v>35</v>
      </c>
      <c r="F5894" s="9" t="s">
        <v>36</v>
      </c>
      <c r="G5894" s="9" t="s">
        <v>75</v>
      </c>
      <c r="H5894" s="5" t="s">
        <v>21</v>
      </c>
      <c r="I5894" s="5" t="s">
        <v>14056</v>
      </c>
      <c r="J5894" s="12" t="str">
        <f>HYPERLINK("https://www.boe.es/gazeta/dias/1808/04/22/pdfs/GMD-C-1808-38.pdf#page=4","Abrir facsímil")</f>
        <v>Abrir facsímil</v>
      </c>
      <c r="K5894" s="15" t="s">
        <v>23</v>
      </c>
    </row>
    <row r="5895" spans="1:11" ht="42" customHeight="1">
      <c r="A5895" s="4" t="s">
        <v>14057</v>
      </c>
      <c r="B5895" s="5" t="s">
        <v>14057</v>
      </c>
      <c r="C5895" s="5" t="s">
        <v>389</v>
      </c>
      <c r="D5895" s="5" t="s">
        <v>390</v>
      </c>
      <c r="E5895" s="5" t="s">
        <v>1821</v>
      </c>
      <c r="F5895" s="9" t="s">
        <v>1874</v>
      </c>
      <c r="G5895" s="9">
        <v>630</v>
      </c>
      <c r="H5895" s="5" t="s">
        <v>21</v>
      </c>
      <c r="I5895" s="5" t="s">
        <v>14058</v>
      </c>
      <c r="J5895" s="12" t="str">
        <f>HYPERLINK("https://www.boe.es/gazeta/dias/1808/06/22/pdfs/GMD-1808-64.pdf#page=8","Abrir facsímil")</f>
        <v>Abrir facsímil</v>
      </c>
      <c r="K5895" s="15" t="s">
        <v>23</v>
      </c>
    </row>
    <row r="5896" spans="1:11" ht="42" customHeight="1">
      <c r="A5896" s="4" t="s">
        <v>14059</v>
      </c>
      <c r="B5896" s="5" t="s">
        <v>14060</v>
      </c>
      <c r="C5896" s="5" t="s">
        <v>260</v>
      </c>
      <c r="D5896" s="5" t="s">
        <v>42</v>
      </c>
      <c r="E5896" s="5" t="s">
        <v>1702</v>
      </c>
      <c r="F5896" s="9" t="s">
        <v>3079</v>
      </c>
      <c r="G5896" s="9">
        <v>798</v>
      </c>
      <c r="H5896" s="5" t="s">
        <v>21</v>
      </c>
      <c r="I5896" s="5" t="s">
        <v>14061</v>
      </c>
      <c r="J5896" s="12" t="str">
        <f>HYPERLINK("https://www.boe.es/gazeta/dias/1808/07/13/pdfs/GMD-1808-85.pdf#page=8","Abrir facsímil")</f>
        <v>Abrir facsímil</v>
      </c>
      <c r="K5896" s="15" t="s">
        <v>23</v>
      </c>
    </row>
    <row r="5897" spans="1:11" ht="42" customHeight="1">
      <c r="A5897" s="4" t="s">
        <v>14062</v>
      </c>
      <c r="B5897" s="5" t="s">
        <v>14063</v>
      </c>
      <c r="C5897" s="5" t="s">
        <v>41</v>
      </c>
      <c r="D5897" s="5" t="s">
        <v>42</v>
      </c>
      <c r="E5897" s="5" t="s">
        <v>207</v>
      </c>
      <c r="F5897" s="9" t="s">
        <v>208</v>
      </c>
      <c r="G5897" s="9">
        <v>197</v>
      </c>
      <c r="H5897" s="5" t="s">
        <v>21</v>
      </c>
      <c r="I5897" s="5" t="s">
        <v>14064</v>
      </c>
      <c r="J5897" s="12" t="str">
        <f>HYPERLINK("https://www.boe.es/gazeta/dias/1808/02/23/pdfs/GMD-1808-16.pdf#page=11","Abrir facsímil")</f>
        <v>Abrir facsímil</v>
      </c>
      <c r="K5897" s="15" t="s">
        <v>23</v>
      </c>
    </row>
    <row r="5898" spans="1:11" ht="42" customHeight="1">
      <c r="A5898" s="4" t="s">
        <v>14065</v>
      </c>
      <c r="B5898" s="5" t="s">
        <v>14066</v>
      </c>
      <c r="C5898" s="5" t="s">
        <v>17</v>
      </c>
      <c r="D5898" s="5" t="s">
        <v>18</v>
      </c>
      <c r="E5898" s="5" t="s">
        <v>1896</v>
      </c>
      <c r="F5898" s="9" t="s">
        <v>1897</v>
      </c>
      <c r="G5898" s="9">
        <v>781</v>
      </c>
      <c r="H5898" s="5" t="s">
        <v>21</v>
      </c>
      <c r="I5898" s="5" t="s">
        <v>14067</v>
      </c>
      <c r="J5898" s="12" t="str">
        <f>HYPERLINK("https://www.boe.es/gazeta/dias/1808/07/11/pdfs/GMD-1808-83.pdf#page=7","Abrir facsímil")</f>
        <v>Abrir facsímil</v>
      </c>
      <c r="K5898" s="15" t="s">
        <v>23</v>
      </c>
    </row>
    <row r="5899" spans="1:11" ht="42" customHeight="1">
      <c r="A5899" s="4" t="s">
        <v>14068</v>
      </c>
      <c r="B5899" s="5" t="s">
        <v>14069</v>
      </c>
      <c r="C5899" s="5" t="s">
        <v>33</v>
      </c>
      <c r="D5899" s="5" t="s">
        <v>34</v>
      </c>
      <c r="E5899" s="5" t="s">
        <v>35</v>
      </c>
      <c r="F5899" s="9" t="s">
        <v>36</v>
      </c>
      <c r="G5899" s="9" t="s">
        <v>75</v>
      </c>
      <c r="H5899" s="5" t="s">
        <v>21</v>
      </c>
      <c r="I5899" s="5" t="s">
        <v>14070</v>
      </c>
      <c r="J5899" s="12" t="str">
        <f>HYPERLINK("https://www.boe.es/gazeta/dias/1808/04/22/pdfs/GMD-C-1808-38.pdf#page=4","Abrir facsímil")</f>
        <v>Abrir facsímil</v>
      </c>
      <c r="K5899" s="15" t="s">
        <v>23</v>
      </c>
    </row>
    <row r="5900" spans="1:11" ht="42" customHeight="1">
      <c r="A5900" s="4" t="s">
        <v>14071</v>
      </c>
      <c r="B5900" s="5" t="s">
        <v>14072</v>
      </c>
      <c r="C5900" s="5" t="s">
        <v>41</v>
      </c>
      <c r="D5900" s="5" t="s">
        <v>42</v>
      </c>
      <c r="E5900" s="5" t="s">
        <v>242</v>
      </c>
      <c r="F5900" s="9" t="s">
        <v>243</v>
      </c>
      <c r="G5900" s="9">
        <v>10</v>
      </c>
      <c r="H5900" s="5" t="s">
        <v>21</v>
      </c>
      <c r="I5900" s="5" t="s">
        <v>14073</v>
      </c>
      <c r="J5900" s="12" t="str">
        <f>HYPERLINK("https://www.boe.es/gazeta/dias/1808/01/01/pdfs/GMD-1808-1.pdf#page=10","Abrir facsímil")</f>
        <v>Abrir facsímil</v>
      </c>
      <c r="K5900" s="15" t="s">
        <v>23</v>
      </c>
    </row>
    <row r="5901" spans="1:11" ht="42" customHeight="1">
      <c r="A5901" s="4" t="s">
        <v>14071</v>
      </c>
      <c r="B5901" s="5" t="s">
        <v>14072</v>
      </c>
      <c r="C5901" s="5" t="s">
        <v>17</v>
      </c>
      <c r="D5901" s="5" t="s">
        <v>18</v>
      </c>
      <c r="E5901" s="5" t="s">
        <v>215</v>
      </c>
      <c r="F5901" s="9" t="s">
        <v>216</v>
      </c>
      <c r="G5901" s="9">
        <v>295</v>
      </c>
      <c r="H5901" s="5" t="s">
        <v>21</v>
      </c>
      <c r="I5901" s="5" t="s">
        <v>14074</v>
      </c>
      <c r="J5901" s="12" t="str">
        <f>HYPERLINK("https://www.boe.es/gazeta/dias/1808/03/25/pdfs/GMD-1808-25.pdf#page=5","Abrir facsímil")</f>
        <v>Abrir facsímil</v>
      </c>
      <c r="K5901" s="15" t="s">
        <v>23</v>
      </c>
    </row>
    <row r="5902" spans="1:11" ht="42" customHeight="1">
      <c r="A5902" s="4" t="s">
        <v>14071</v>
      </c>
      <c r="B5902" s="5" t="s">
        <v>14072</v>
      </c>
      <c r="C5902" s="5" t="s">
        <v>94</v>
      </c>
      <c r="D5902" s="5" t="s">
        <v>95</v>
      </c>
      <c r="E5902" s="5" t="s">
        <v>287</v>
      </c>
      <c r="F5902" s="9" t="s">
        <v>489</v>
      </c>
      <c r="G5902" s="9">
        <v>1004</v>
      </c>
      <c r="H5902" s="5" t="s">
        <v>21</v>
      </c>
      <c r="I5902" s="5" t="s">
        <v>14075</v>
      </c>
      <c r="J5902" s="12" t="str">
        <f>HYPERLINK("https://www.boe.es/gazeta/dias/1808/08/12/pdfs/GMD-1808-112.pdf#page=8","Abrir facsímil")</f>
        <v>Abrir facsímil</v>
      </c>
      <c r="K5902" s="15" t="s">
        <v>23</v>
      </c>
    </row>
    <row r="5903" spans="1:11" ht="42" customHeight="1">
      <c r="A5903" s="4" t="s">
        <v>14076</v>
      </c>
      <c r="B5903" s="5" t="s">
        <v>14077</v>
      </c>
      <c r="C5903" s="5" t="s">
        <v>94</v>
      </c>
      <c r="D5903" s="5" t="s">
        <v>95</v>
      </c>
      <c r="E5903" s="5" t="s">
        <v>877</v>
      </c>
      <c r="F5903" s="9" t="s">
        <v>878</v>
      </c>
      <c r="G5903" s="9">
        <v>118</v>
      </c>
      <c r="H5903" s="5" t="s">
        <v>21</v>
      </c>
      <c r="I5903" s="5" t="s">
        <v>14078</v>
      </c>
      <c r="J5903" s="12" t="str">
        <f>HYPERLINK("https://www.boe.es/gazeta/dias/1808/02/02/pdfs/GMD-1808-10.pdf#page=10","Abrir facsímil")</f>
        <v>Abrir facsímil</v>
      </c>
      <c r="K5903" s="15" t="s">
        <v>23</v>
      </c>
    </row>
    <row r="5904" spans="1:11" ht="42" customHeight="1">
      <c r="A5904" s="4" t="s">
        <v>14079</v>
      </c>
      <c r="B5904" s="5" t="s">
        <v>14079</v>
      </c>
      <c r="C5904" s="5" t="s">
        <v>17</v>
      </c>
      <c r="D5904" s="5" t="s">
        <v>18</v>
      </c>
      <c r="E5904" s="5" t="s">
        <v>1466</v>
      </c>
      <c r="F5904" s="9" t="s">
        <v>1467</v>
      </c>
      <c r="G5904" s="9">
        <v>60</v>
      </c>
      <c r="H5904" s="5" t="s">
        <v>21</v>
      </c>
      <c r="I5904" s="5" t="s">
        <v>14080</v>
      </c>
      <c r="J5904" s="12" t="str">
        <f>HYPERLINK("https://www.boe.es/gazeta/dias/1808/01/15/pdfs/GMD-1808-5.pdf#page=12","Abrir facsímil")</f>
        <v>Abrir facsímil</v>
      </c>
      <c r="K5904" s="15" t="s">
        <v>23</v>
      </c>
    </row>
    <row r="5905" spans="1:11" ht="42" customHeight="1">
      <c r="A5905" s="4" t="s">
        <v>14081</v>
      </c>
      <c r="B5905" s="5" t="s">
        <v>14081</v>
      </c>
      <c r="C5905" s="5" t="s">
        <v>33</v>
      </c>
      <c r="D5905" s="5" t="s">
        <v>34</v>
      </c>
      <c r="E5905" s="5" t="s">
        <v>197</v>
      </c>
      <c r="F5905" s="9" t="s">
        <v>198</v>
      </c>
      <c r="G5905" s="9" t="s">
        <v>199</v>
      </c>
      <c r="H5905" s="5" t="s">
        <v>21</v>
      </c>
      <c r="I5905" s="5" t="s">
        <v>14082</v>
      </c>
      <c r="J5905" s="12" t="str">
        <f>HYPERLINK("https://www.boe.es/gazeta/dias/1808/11/01/pdfs/GMD-D-1808-140.pdf#page=2","Abrir facsímil")</f>
        <v>Abrir facsímil</v>
      </c>
      <c r="K5905" s="15" t="s">
        <v>23</v>
      </c>
    </row>
    <row r="5906" spans="1:11" ht="42" customHeight="1">
      <c r="A5906" s="4" t="s">
        <v>14083</v>
      </c>
      <c r="B5906" s="5" t="s">
        <v>14084</v>
      </c>
      <c r="C5906" s="5" t="s">
        <v>17</v>
      </c>
      <c r="D5906" s="5" t="s">
        <v>18</v>
      </c>
      <c r="E5906" s="5" t="s">
        <v>110</v>
      </c>
      <c r="F5906" s="9" t="s">
        <v>111</v>
      </c>
      <c r="G5906" s="9">
        <v>1383</v>
      </c>
      <c r="H5906" s="5" t="s">
        <v>21</v>
      </c>
      <c r="I5906" s="5" t="s">
        <v>14085</v>
      </c>
      <c r="J5906" s="12" t="str">
        <f>HYPERLINK("https://www.boe.es/gazeta/dias/1808/10/28/pdfs/GMD-1808-138.pdf#page=9","Abrir facsímil")</f>
        <v>Abrir facsímil</v>
      </c>
      <c r="K5906" s="15" t="s">
        <v>23</v>
      </c>
    </row>
    <row r="5907" spans="1:11" ht="42" customHeight="1">
      <c r="A5907" s="4" t="s">
        <v>14086</v>
      </c>
      <c r="B5907" s="5" t="s">
        <v>14087</v>
      </c>
      <c r="C5907" s="5" t="s">
        <v>17</v>
      </c>
      <c r="D5907" s="5" t="s">
        <v>18</v>
      </c>
      <c r="E5907" s="5" t="s">
        <v>960</v>
      </c>
      <c r="F5907" s="9" t="s">
        <v>961</v>
      </c>
      <c r="G5907" s="9">
        <v>862</v>
      </c>
      <c r="H5907" s="5" t="s">
        <v>21</v>
      </c>
      <c r="I5907" s="5" t="s">
        <v>14088</v>
      </c>
      <c r="J5907" s="12" t="str">
        <f>HYPERLINK("https://www.boe.es/gazeta/dias/1808/07/21/pdfs/GMD-1808-93.pdf#page=8","Abrir facsímil")</f>
        <v>Abrir facsímil</v>
      </c>
      <c r="K5907" s="15" t="s">
        <v>23</v>
      </c>
    </row>
    <row r="5908" spans="1:11" ht="42" customHeight="1">
      <c r="A5908" s="4" t="s">
        <v>14089</v>
      </c>
      <c r="B5908" s="5" t="s">
        <v>14090</v>
      </c>
      <c r="C5908" s="5" t="s">
        <v>260</v>
      </c>
      <c r="D5908" s="5" t="s">
        <v>42</v>
      </c>
      <c r="E5908" s="5" t="s">
        <v>96</v>
      </c>
      <c r="F5908" s="9" t="s">
        <v>97</v>
      </c>
      <c r="G5908" s="9">
        <v>265</v>
      </c>
      <c r="H5908" s="5" t="s">
        <v>21</v>
      </c>
      <c r="I5908" s="5" t="s">
        <v>14091</v>
      </c>
      <c r="J5908" s="12" t="str">
        <f>HYPERLINK("https://www.boe.es/gazeta/dias/1808/03/15/pdfs/GMD-1808-22.pdf#page=7","Abrir facsímil")</f>
        <v>Abrir facsímil</v>
      </c>
      <c r="K5908" s="15" t="s">
        <v>23</v>
      </c>
    </row>
    <row r="5909" spans="1:11" ht="42" customHeight="1">
      <c r="A5909" s="4" t="s">
        <v>14092</v>
      </c>
      <c r="B5909" s="5" t="s">
        <v>14093</v>
      </c>
      <c r="C5909" s="5" t="s">
        <v>33</v>
      </c>
      <c r="D5909" s="5" t="s">
        <v>34</v>
      </c>
      <c r="E5909" s="5" t="s">
        <v>35</v>
      </c>
      <c r="F5909" s="9" t="s">
        <v>36</v>
      </c>
      <c r="G5909" s="9" t="s">
        <v>299</v>
      </c>
      <c r="H5909" s="5" t="s">
        <v>21</v>
      </c>
      <c r="I5909" s="5" t="s">
        <v>14094</v>
      </c>
      <c r="J5909" s="12" t="str">
        <f>HYPERLINK("https://www.boe.es/gazeta/dias/1808/04/22/pdfs/GMD-C-1808-38.pdf#page=14","Abrir facsímil")</f>
        <v>Abrir facsímil</v>
      </c>
      <c r="K5909" s="15" t="s">
        <v>23</v>
      </c>
    </row>
    <row r="5910" spans="1:11" ht="42" customHeight="1">
      <c r="A5910" s="4" t="s">
        <v>14092</v>
      </c>
      <c r="B5910" s="5" t="s">
        <v>14093</v>
      </c>
      <c r="C5910" s="5" t="s">
        <v>33</v>
      </c>
      <c r="D5910" s="5" t="s">
        <v>34</v>
      </c>
      <c r="E5910" s="5" t="s">
        <v>35</v>
      </c>
      <c r="F5910" s="9" t="s">
        <v>36</v>
      </c>
      <c r="G5910" s="9" t="s">
        <v>814</v>
      </c>
      <c r="H5910" s="5" t="s">
        <v>21</v>
      </c>
      <c r="I5910" s="5" t="s">
        <v>14095</v>
      </c>
      <c r="J5910" s="12" t="str">
        <f>HYPERLINK("https://www.boe.es/gazeta/dias/1808/04/22/pdfs/GMD-C-1808-38.pdf#page=25","Abrir facsímil")</f>
        <v>Abrir facsímil</v>
      </c>
      <c r="K5910" s="15" t="s">
        <v>23</v>
      </c>
    </row>
    <row r="5911" spans="1:11" ht="42" customHeight="1">
      <c r="A5911" s="4" t="s">
        <v>14092</v>
      </c>
      <c r="B5911" s="5" t="s">
        <v>14093</v>
      </c>
      <c r="C5911" s="5" t="s">
        <v>33</v>
      </c>
      <c r="D5911" s="5" t="s">
        <v>34</v>
      </c>
      <c r="E5911" s="5" t="s">
        <v>35</v>
      </c>
      <c r="F5911" s="9" t="s">
        <v>36</v>
      </c>
      <c r="G5911" s="9" t="s">
        <v>924</v>
      </c>
      <c r="H5911" s="5" t="s">
        <v>21</v>
      </c>
      <c r="I5911" s="5" t="s">
        <v>14096</v>
      </c>
      <c r="J5911" s="12" t="str">
        <f>HYPERLINK("https://www.boe.es/gazeta/dias/1808/04/22/pdfs/GMD-C-1808-38.pdf#page=27","Abrir facsímil")</f>
        <v>Abrir facsímil</v>
      </c>
      <c r="K5911" s="15" t="s">
        <v>23</v>
      </c>
    </row>
    <row r="5912" spans="1:11" ht="42" customHeight="1">
      <c r="A5912" s="4" t="s">
        <v>14097</v>
      </c>
      <c r="B5912" s="5" t="s">
        <v>14097</v>
      </c>
      <c r="C5912" s="5" t="s">
        <v>33</v>
      </c>
      <c r="D5912" s="5" t="s">
        <v>34</v>
      </c>
      <c r="E5912" s="5" t="s">
        <v>68</v>
      </c>
      <c r="F5912" s="9" t="s">
        <v>309</v>
      </c>
      <c r="G5912" s="9" t="s">
        <v>117</v>
      </c>
      <c r="H5912" s="5" t="s">
        <v>21</v>
      </c>
      <c r="I5912" s="5" t="s">
        <v>14098</v>
      </c>
      <c r="J5912" s="12" t="str">
        <f>HYPERLINK("https://www.boe.es/gazeta/dias/1808/10/21/pdfs/GMD-D-1808-136.pdf#page=1","Abrir facsímil")</f>
        <v>Abrir facsímil</v>
      </c>
      <c r="K5912" s="15" t="s">
        <v>23</v>
      </c>
    </row>
    <row r="5913" spans="1:11" ht="42" customHeight="1">
      <c r="A5913" s="4" t="s">
        <v>14099</v>
      </c>
      <c r="B5913" s="5" t="s">
        <v>14100</v>
      </c>
      <c r="C5913" s="5" t="s">
        <v>33</v>
      </c>
      <c r="D5913" s="5" t="s">
        <v>34</v>
      </c>
      <c r="E5913" s="5" t="s">
        <v>89</v>
      </c>
      <c r="F5913" s="9" t="s">
        <v>563</v>
      </c>
      <c r="G5913" s="9" t="s">
        <v>117</v>
      </c>
      <c r="H5913" s="5" t="s">
        <v>21</v>
      </c>
      <c r="I5913" s="5" t="s">
        <v>14101</v>
      </c>
      <c r="J5913" s="12" t="str">
        <f>HYPERLINK("https://www.boe.es/gazeta/dias/1808/10/25/pdfs/GMD-D-1808-137.pdf#page=1","Abrir facsímil")</f>
        <v>Abrir facsímil</v>
      </c>
      <c r="K5913" s="15" t="s">
        <v>23</v>
      </c>
    </row>
    <row r="5914" spans="1:11" ht="42" customHeight="1">
      <c r="A5914" s="4" t="s">
        <v>14102</v>
      </c>
      <c r="B5914" s="5" t="s">
        <v>14103</v>
      </c>
      <c r="C5914" s="5" t="s">
        <v>17</v>
      </c>
      <c r="D5914" s="5" t="s">
        <v>18</v>
      </c>
      <c r="E5914" s="5" t="s">
        <v>61</v>
      </c>
      <c r="F5914" s="9" t="s">
        <v>62</v>
      </c>
      <c r="G5914" s="9">
        <v>1286</v>
      </c>
      <c r="H5914" s="5" t="s">
        <v>21</v>
      </c>
      <c r="I5914" s="5" t="s">
        <v>14104</v>
      </c>
      <c r="J5914" s="12" t="str">
        <f>HYPERLINK("https://www.boe.es/gazeta/dias/1808/10/11/pdfs/GMD-1808-133.pdf#page=14","Abrir facsímil")</f>
        <v>Abrir facsímil</v>
      </c>
      <c r="K5914" s="15" t="s">
        <v>23</v>
      </c>
    </row>
    <row r="5915" spans="1:11" ht="42" customHeight="1">
      <c r="A5915" s="4" t="s">
        <v>14105</v>
      </c>
      <c r="B5915" s="5" t="s">
        <v>14106</v>
      </c>
      <c r="C5915" s="5" t="s">
        <v>260</v>
      </c>
      <c r="D5915" s="5" t="s">
        <v>42</v>
      </c>
      <c r="E5915" s="5" t="s">
        <v>572</v>
      </c>
      <c r="F5915" s="9" t="s">
        <v>573</v>
      </c>
      <c r="G5915" s="9">
        <v>19</v>
      </c>
      <c r="H5915" s="5" t="s">
        <v>21</v>
      </c>
      <c r="I5915" s="5" t="s">
        <v>14107</v>
      </c>
      <c r="J5915" s="12" t="str">
        <f>HYPERLINK("https://www.boe.es/gazeta/dias/1808/01/05/pdfs/GMD-1808-2.pdf#page=7","Abrir facsímil")</f>
        <v>Abrir facsímil</v>
      </c>
      <c r="K5915" s="15" t="s">
        <v>23</v>
      </c>
    </row>
    <row r="5916" spans="1:11" ht="42" customHeight="1">
      <c r="A5916" s="4" t="s">
        <v>14108</v>
      </c>
      <c r="B5916" s="5" t="s">
        <v>14108</v>
      </c>
      <c r="C5916" s="5" t="s">
        <v>17</v>
      </c>
      <c r="D5916" s="5" t="s">
        <v>18</v>
      </c>
      <c r="E5916" s="5" t="s">
        <v>84</v>
      </c>
      <c r="F5916" s="9" t="s">
        <v>85</v>
      </c>
      <c r="G5916" s="9">
        <v>1163</v>
      </c>
      <c r="H5916" s="5" t="s">
        <v>21</v>
      </c>
      <c r="I5916" s="5" t="s">
        <v>14109</v>
      </c>
      <c r="J5916" s="12" t="str">
        <f>HYPERLINK("https://www.boe.es/gazeta/dias/1808/09/13/pdfs/GMD-1808-123.pdf#page=11","Abrir facsímil")</f>
        <v>Abrir facsímil</v>
      </c>
      <c r="K5916" s="15" t="s">
        <v>23</v>
      </c>
    </row>
    <row r="5917" spans="1:11" ht="42" customHeight="1">
      <c r="A5917" s="4" t="s">
        <v>14110</v>
      </c>
      <c r="B5917" s="5" t="s">
        <v>14111</v>
      </c>
      <c r="C5917" s="5" t="s">
        <v>94</v>
      </c>
      <c r="D5917" s="5" t="s">
        <v>95</v>
      </c>
      <c r="E5917" s="5" t="s">
        <v>516</v>
      </c>
      <c r="F5917" s="9" t="s">
        <v>2732</v>
      </c>
      <c r="G5917" s="9" t="s">
        <v>14112</v>
      </c>
      <c r="H5917" s="5" t="s">
        <v>21</v>
      </c>
      <c r="I5917" s="5" t="s">
        <v>14113</v>
      </c>
      <c r="J5917" s="12" t="str">
        <f>HYPERLINK("https://www.boe.es/gazeta/dias/1808/06/19/pdfs/GMS-1808-6E.pdf#page=4","Abrir facsímil")</f>
        <v>Abrir facsímil</v>
      </c>
      <c r="K5917" s="15" t="s">
        <v>23</v>
      </c>
    </row>
    <row r="5918" spans="1:11" ht="42" customHeight="1">
      <c r="A5918" s="4" t="s">
        <v>14110</v>
      </c>
      <c r="B5918" s="5" t="s">
        <v>14111</v>
      </c>
      <c r="C5918" s="5" t="s">
        <v>17</v>
      </c>
      <c r="D5918" s="5" t="s">
        <v>18</v>
      </c>
      <c r="E5918" s="5" t="s">
        <v>84</v>
      </c>
      <c r="F5918" s="9" t="s">
        <v>1381</v>
      </c>
      <c r="G5918" s="9">
        <v>248</v>
      </c>
      <c r="H5918" s="5" t="s">
        <v>21</v>
      </c>
      <c r="I5918" s="5" t="s">
        <v>14114</v>
      </c>
      <c r="J5918" s="12" t="str">
        <f>HYPERLINK("https://www.boe.es/gazeta/dias/1808/09/13/pdfs/GMS-1808-31.pdf#page=8","Abrir facsímil")</f>
        <v>Abrir facsímil</v>
      </c>
      <c r="K5918" s="15" t="s">
        <v>23</v>
      </c>
    </row>
    <row r="5919" spans="1:11" ht="42" customHeight="1">
      <c r="A5919" s="4" t="s">
        <v>14110</v>
      </c>
      <c r="B5919" s="5" t="s">
        <v>14111</v>
      </c>
      <c r="C5919" s="5" t="s">
        <v>94</v>
      </c>
      <c r="D5919" s="5" t="s">
        <v>95</v>
      </c>
      <c r="E5919" s="5" t="s">
        <v>180</v>
      </c>
      <c r="F5919" s="9" t="s">
        <v>2568</v>
      </c>
      <c r="G5919" s="9">
        <v>1497</v>
      </c>
      <c r="H5919" s="5" t="s">
        <v>21</v>
      </c>
      <c r="I5919" s="5" t="s">
        <v>14115</v>
      </c>
      <c r="J5919" s="12" t="str">
        <f>HYPERLINK("https://www.boe.es/gazeta/dias/1808/11/15/pdfs/GMD-1808-144.pdf#page=11","Abrir facsímil")</f>
        <v>Abrir facsímil</v>
      </c>
      <c r="K5919" s="15" t="s">
        <v>23</v>
      </c>
    </row>
    <row r="5920" spans="1:11" ht="42" customHeight="1">
      <c r="A5920" s="4" t="s">
        <v>14110</v>
      </c>
      <c r="B5920" s="5" t="s">
        <v>14111</v>
      </c>
      <c r="C5920" s="5" t="s">
        <v>94</v>
      </c>
      <c r="D5920" s="5" t="s">
        <v>95</v>
      </c>
      <c r="E5920" s="5" t="s">
        <v>264</v>
      </c>
      <c r="F5920" s="9" t="s">
        <v>265</v>
      </c>
      <c r="G5920" s="9">
        <v>422</v>
      </c>
      <c r="H5920" s="5" t="s">
        <v>21</v>
      </c>
      <c r="I5920" s="5" t="s">
        <v>14116</v>
      </c>
      <c r="J5920" s="12" t="str">
        <f>HYPERLINK("https://www.boe.es/gazeta/dias/1808/11/29/pdfs/GMS-1808-53.pdf#page=6","Abrir facsímil")</f>
        <v>Abrir facsímil</v>
      </c>
      <c r="K5920" s="15" t="s">
        <v>23</v>
      </c>
    </row>
    <row r="5921" spans="1:11" ht="42" customHeight="1">
      <c r="A5921" s="4" t="s">
        <v>14117</v>
      </c>
      <c r="B5921" s="5" t="s">
        <v>14118</v>
      </c>
      <c r="C5921" s="5" t="s">
        <v>33</v>
      </c>
      <c r="D5921" s="5" t="s">
        <v>34</v>
      </c>
      <c r="E5921" s="5" t="s">
        <v>115</v>
      </c>
      <c r="F5921" s="9" t="s">
        <v>116</v>
      </c>
      <c r="G5921" s="9" t="s">
        <v>199</v>
      </c>
      <c r="H5921" s="5" t="s">
        <v>21</v>
      </c>
      <c r="I5921" s="5" t="s">
        <v>14119</v>
      </c>
      <c r="J5921" s="12" t="str">
        <f>HYPERLINK("https://www.boe.es/gazeta/dias/1808/09/16/pdfs/GMD-C-1808-125.pdf#page=2","Abrir facsímil")</f>
        <v>Abrir facsímil</v>
      </c>
      <c r="K5921" s="15" t="s">
        <v>23</v>
      </c>
    </row>
    <row r="5922" spans="1:11" ht="42" customHeight="1">
      <c r="A5922" s="4" t="s">
        <v>14120</v>
      </c>
      <c r="B5922" s="5" t="s">
        <v>14120</v>
      </c>
      <c r="C5922" s="5" t="s">
        <v>17</v>
      </c>
      <c r="D5922" s="5" t="s">
        <v>18</v>
      </c>
      <c r="E5922" s="5" t="s">
        <v>3485</v>
      </c>
      <c r="F5922" s="9" t="s">
        <v>3486</v>
      </c>
      <c r="G5922" s="9">
        <v>695</v>
      </c>
      <c r="H5922" s="5" t="s">
        <v>21</v>
      </c>
      <c r="I5922" s="5" t="s">
        <v>14121</v>
      </c>
      <c r="J5922" s="12" t="str">
        <f>HYPERLINK("https://www.boe.es/gazeta/dias/1808/07/01/pdfs/GMD-1808-73.pdf#page=1","Abrir facsímil")</f>
        <v>Abrir facsímil</v>
      </c>
      <c r="K5922" s="15" t="s">
        <v>23</v>
      </c>
    </row>
    <row r="5923" spans="1:11" ht="42" customHeight="1">
      <c r="A5923" s="4" t="s">
        <v>14122</v>
      </c>
      <c r="B5923" s="5" t="s">
        <v>14122</v>
      </c>
      <c r="C5923" s="5" t="s">
        <v>33</v>
      </c>
      <c r="D5923" s="5" t="s">
        <v>34</v>
      </c>
      <c r="E5923" s="5" t="s">
        <v>35</v>
      </c>
      <c r="F5923" s="9" t="s">
        <v>36</v>
      </c>
      <c r="G5923" s="9" t="s">
        <v>443</v>
      </c>
      <c r="H5923" s="5" t="s">
        <v>21</v>
      </c>
      <c r="I5923" s="5" t="s">
        <v>14123</v>
      </c>
      <c r="J5923" s="12" t="str">
        <f>HYPERLINK("https://www.boe.es/gazeta/dias/1808/04/22/pdfs/GMD-C-1808-38.pdf#page=16","Abrir facsímil")</f>
        <v>Abrir facsímil</v>
      </c>
      <c r="K5923" s="15" t="s">
        <v>23</v>
      </c>
    </row>
    <row r="5924" spans="1:11" ht="42" customHeight="1">
      <c r="A5924" s="4" t="s">
        <v>14122</v>
      </c>
      <c r="B5924" s="5" t="s">
        <v>14122</v>
      </c>
      <c r="C5924" s="5" t="s">
        <v>94</v>
      </c>
      <c r="D5924" s="5" t="s">
        <v>95</v>
      </c>
      <c r="E5924" s="5" t="s">
        <v>84</v>
      </c>
      <c r="F5924" s="9" t="s">
        <v>85</v>
      </c>
      <c r="G5924" s="9">
        <v>1162</v>
      </c>
      <c r="H5924" s="5" t="s">
        <v>21</v>
      </c>
      <c r="I5924" s="5" t="s">
        <v>14124</v>
      </c>
      <c r="J5924" s="12" t="str">
        <f>HYPERLINK("https://www.boe.es/gazeta/dias/1808/09/13/pdfs/GMD-1808-123.pdf#page=10","Abrir facsímil")</f>
        <v>Abrir facsímil</v>
      </c>
      <c r="K5924" s="15" t="s">
        <v>23</v>
      </c>
    </row>
    <row r="5925" spans="1:11" ht="42" customHeight="1">
      <c r="A5925" s="4" t="s">
        <v>14125</v>
      </c>
      <c r="B5925" s="5" t="s">
        <v>14125</v>
      </c>
      <c r="C5925" s="5" t="s">
        <v>33</v>
      </c>
      <c r="D5925" s="5" t="s">
        <v>34</v>
      </c>
      <c r="E5925" s="5" t="s">
        <v>363</v>
      </c>
      <c r="F5925" s="9" t="s">
        <v>364</v>
      </c>
      <c r="G5925" s="9" t="s">
        <v>75</v>
      </c>
      <c r="H5925" s="5" t="s">
        <v>21</v>
      </c>
      <c r="I5925" s="5" t="s">
        <v>14126</v>
      </c>
      <c r="J5925" s="12" t="str">
        <f>HYPERLINK("https://www.boe.es/gazeta/dias/1808/09/20/pdfs/GMD-C-1808-126.pdf#page=4","Abrir facsímil")</f>
        <v>Abrir facsímil</v>
      </c>
      <c r="K5925" s="15" t="s">
        <v>23</v>
      </c>
    </row>
    <row r="5926" spans="1:11" ht="42" customHeight="1">
      <c r="A5926" s="4" t="s">
        <v>14127</v>
      </c>
      <c r="B5926" s="5" t="s">
        <v>14127</v>
      </c>
      <c r="C5926" s="5" t="s">
        <v>94</v>
      </c>
      <c r="D5926" s="5" t="s">
        <v>95</v>
      </c>
      <c r="E5926" s="5" t="s">
        <v>73</v>
      </c>
      <c r="F5926" s="9" t="s">
        <v>1570</v>
      </c>
      <c r="G5926" s="9">
        <v>1484</v>
      </c>
      <c r="H5926" s="5" t="s">
        <v>21</v>
      </c>
      <c r="I5926" s="5" t="s">
        <v>14128</v>
      </c>
      <c r="J5926" s="12" t="str">
        <f>HYPERLINK("https://www.boe.es/gazeta/dias/1808/11/11/pdfs/GMD-C-1808-143.pdf#page=14","Abrir facsímil")</f>
        <v>Abrir facsímil</v>
      </c>
      <c r="K5926" s="15" t="s">
        <v>23</v>
      </c>
    </row>
    <row r="5927" spans="1:11" ht="42" customHeight="1">
      <c r="A5927" s="4" t="s">
        <v>14129</v>
      </c>
      <c r="B5927" s="5" t="s">
        <v>14129</v>
      </c>
      <c r="C5927" s="5" t="s">
        <v>41</v>
      </c>
      <c r="D5927" s="5" t="s">
        <v>42</v>
      </c>
      <c r="E5927" s="5" t="s">
        <v>89</v>
      </c>
      <c r="F5927" s="9" t="s">
        <v>90</v>
      </c>
      <c r="G5927" s="9">
        <v>1363</v>
      </c>
      <c r="H5927" s="5" t="s">
        <v>21</v>
      </c>
      <c r="I5927" s="5" t="s">
        <v>14130</v>
      </c>
      <c r="J5927" s="12" t="str">
        <f>HYPERLINK("https://www.boe.es/gazeta/dias/1808/10/25/pdfs/GMD-1808-137.pdf#page=11","Abrir facsímil")</f>
        <v>Abrir facsímil</v>
      </c>
      <c r="K5927" s="15" t="s">
        <v>23</v>
      </c>
    </row>
    <row r="5928" spans="1:11" ht="42" customHeight="1">
      <c r="A5928" s="4" t="s">
        <v>14131</v>
      </c>
      <c r="B5928" s="5" t="s">
        <v>14131</v>
      </c>
      <c r="C5928" s="5" t="s">
        <v>94</v>
      </c>
      <c r="D5928" s="5" t="s">
        <v>95</v>
      </c>
      <c r="E5928" s="5" t="s">
        <v>1671</v>
      </c>
      <c r="F5928" s="9" t="s">
        <v>1672</v>
      </c>
      <c r="G5928" s="9">
        <v>477</v>
      </c>
      <c r="H5928" s="5" t="s">
        <v>21</v>
      </c>
      <c r="I5928" s="5" t="s">
        <v>14132</v>
      </c>
      <c r="J5928" s="12" t="str">
        <f>HYPERLINK("https://www.boe.es/gazeta/dias/1808/05/20/pdfs/GMD-1808-48.pdf#page=5","Abrir facsímil")</f>
        <v>Abrir facsímil</v>
      </c>
      <c r="K5928" s="15" t="s">
        <v>23</v>
      </c>
    </row>
    <row r="5929" spans="1:11" ht="42" customHeight="1">
      <c r="A5929" s="4" t="s">
        <v>14133</v>
      </c>
      <c r="B5929" s="5" t="s">
        <v>14133</v>
      </c>
      <c r="C5929" s="5" t="s">
        <v>41</v>
      </c>
      <c r="D5929" s="5" t="s">
        <v>42</v>
      </c>
      <c r="E5929" s="5" t="s">
        <v>28</v>
      </c>
      <c r="F5929" s="9" t="s">
        <v>446</v>
      </c>
      <c r="G5929" s="9" t="s">
        <v>75</v>
      </c>
      <c r="H5929" s="5" t="s">
        <v>21</v>
      </c>
      <c r="I5929" s="5" t="s">
        <v>14134</v>
      </c>
      <c r="J5929" s="12" t="str">
        <f>HYPERLINK("https://www.boe.es/gazeta/dias/1808/11/04/pdfs/GMD-D-1808-141.pdf#page=4","Abrir facsímil")</f>
        <v>Abrir facsímil</v>
      </c>
      <c r="K5929" s="15" t="s">
        <v>23</v>
      </c>
    </row>
    <row r="5930" spans="1:11" ht="42" customHeight="1">
      <c r="A5930" s="4" t="s">
        <v>14135</v>
      </c>
      <c r="B5930" s="5" t="s">
        <v>14135</v>
      </c>
      <c r="C5930" s="5" t="s">
        <v>94</v>
      </c>
      <c r="D5930" s="5" t="s">
        <v>95</v>
      </c>
      <c r="E5930" s="5" t="s">
        <v>877</v>
      </c>
      <c r="F5930" s="9" t="s">
        <v>878</v>
      </c>
      <c r="G5930" s="9">
        <v>118</v>
      </c>
      <c r="H5930" s="5" t="s">
        <v>21</v>
      </c>
      <c r="I5930" s="5" t="s">
        <v>14136</v>
      </c>
      <c r="J5930" s="12" t="str">
        <f>HYPERLINK("https://www.boe.es/gazeta/dias/1808/02/02/pdfs/GMD-1808-10.pdf#page=10","Abrir facsímil")</f>
        <v>Abrir facsímil</v>
      </c>
      <c r="K5930" s="15" t="s">
        <v>23</v>
      </c>
    </row>
    <row r="5931" spans="1:11" ht="42" customHeight="1">
      <c r="A5931" s="4" t="s">
        <v>14137</v>
      </c>
      <c r="B5931" s="5" t="s">
        <v>14137</v>
      </c>
      <c r="C5931" s="5" t="s">
        <v>17</v>
      </c>
      <c r="D5931" s="5" t="s">
        <v>18</v>
      </c>
      <c r="E5931" s="5" t="s">
        <v>203</v>
      </c>
      <c r="F5931" s="9" t="s">
        <v>204</v>
      </c>
      <c r="G5931" s="9">
        <v>141</v>
      </c>
      <c r="H5931" s="5" t="s">
        <v>21</v>
      </c>
      <c r="I5931" s="5" t="s">
        <v>14138</v>
      </c>
      <c r="J5931" s="12" t="str">
        <f>HYPERLINK("https://www.boe.es/gazeta/dias/1808/02/09/pdfs/GMD-1808-12.pdf#page=9","Abrir facsímil")</f>
        <v>Abrir facsímil</v>
      </c>
      <c r="K5931" s="15" t="s">
        <v>23</v>
      </c>
    </row>
    <row r="5932" spans="1:11" ht="42" customHeight="1">
      <c r="A5932" s="4" t="s">
        <v>14139</v>
      </c>
      <c r="B5932" s="5" t="s">
        <v>14139</v>
      </c>
      <c r="C5932" s="5" t="s">
        <v>17</v>
      </c>
      <c r="D5932" s="5" t="s">
        <v>18</v>
      </c>
      <c r="E5932" s="5" t="s">
        <v>130</v>
      </c>
      <c r="F5932" s="9" t="s">
        <v>131</v>
      </c>
      <c r="G5932" s="9">
        <v>1604</v>
      </c>
      <c r="H5932" s="5" t="s">
        <v>21</v>
      </c>
      <c r="I5932" s="5" t="s">
        <v>14140</v>
      </c>
      <c r="J5932" s="12" t="str">
        <f>HYPERLINK("https://www.boe.es/gazeta/dias/1808/12/15/pdfs/GMD-1808-155.pdf#page=8","Abrir facsímil")</f>
        <v>Abrir facsímil</v>
      </c>
      <c r="K5932" s="15" t="s">
        <v>23</v>
      </c>
    </row>
    <row r="5933" spans="1:11" ht="42" customHeight="1">
      <c r="A5933" s="4" t="s">
        <v>14141</v>
      </c>
      <c r="B5933" s="5" t="s">
        <v>14141</v>
      </c>
      <c r="C5933" s="5" t="s">
        <v>33</v>
      </c>
      <c r="D5933" s="5" t="s">
        <v>34</v>
      </c>
      <c r="E5933" s="5" t="s">
        <v>35</v>
      </c>
      <c r="F5933" s="9" t="s">
        <v>36</v>
      </c>
      <c r="G5933" s="9" t="s">
        <v>1128</v>
      </c>
      <c r="H5933" s="5" t="s">
        <v>21</v>
      </c>
      <c r="I5933" s="5" t="s">
        <v>14142</v>
      </c>
      <c r="J5933" s="12" t="str">
        <f>HYPERLINK("https://www.boe.es/gazeta/dias/1808/04/22/pdfs/GMD-C-1808-38.pdf#page=11","Abrir facsímil")</f>
        <v>Abrir facsímil</v>
      </c>
      <c r="K5933" s="15" t="s">
        <v>23</v>
      </c>
    </row>
    <row r="5934" spans="1:11" ht="42" customHeight="1">
      <c r="A5934" s="4" t="s">
        <v>14143</v>
      </c>
      <c r="B5934" s="5" t="s">
        <v>14143</v>
      </c>
      <c r="C5934" s="5" t="s">
        <v>33</v>
      </c>
      <c r="D5934" s="5" t="s">
        <v>34</v>
      </c>
      <c r="E5934" s="5" t="s">
        <v>68</v>
      </c>
      <c r="F5934" s="9" t="s">
        <v>309</v>
      </c>
      <c r="G5934" s="9" t="s">
        <v>117</v>
      </c>
      <c r="H5934" s="5" t="s">
        <v>21</v>
      </c>
      <c r="I5934" s="5" t="s">
        <v>14144</v>
      </c>
      <c r="J5934" s="12" t="str">
        <f>HYPERLINK("https://www.boe.es/gazeta/dias/1808/10/21/pdfs/GMD-D-1808-136.pdf#page=1","Abrir facsímil")</f>
        <v>Abrir facsímil</v>
      </c>
      <c r="K5934" s="15" t="s">
        <v>23</v>
      </c>
    </row>
    <row r="5935" spans="1:11" ht="42" customHeight="1">
      <c r="A5935" s="4" t="s">
        <v>14145</v>
      </c>
      <c r="B5935" s="5" t="s">
        <v>14146</v>
      </c>
      <c r="C5935" s="5" t="s">
        <v>94</v>
      </c>
      <c r="D5935" s="5" t="s">
        <v>95</v>
      </c>
      <c r="E5935" s="5" t="s">
        <v>96</v>
      </c>
      <c r="F5935" s="9" t="s">
        <v>97</v>
      </c>
      <c r="G5935" s="9">
        <v>266</v>
      </c>
      <c r="H5935" s="5" t="s">
        <v>21</v>
      </c>
      <c r="I5935" s="5" t="s">
        <v>14147</v>
      </c>
      <c r="J5935" s="12" t="str">
        <f>HYPERLINK("https://www.boe.es/gazeta/dias/1808/03/15/pdfs/GMD-1808-22.pdf#page=8","Abrir facsímil")</f>
        <v>Abrir facsímil</v>
      </c>
      <c r="K5935" s="15" t="s">
        <v>23</v>
      </c>
    </row>
    <row r="5936" spans="1:11" ht="42" customHeight="1">
      <c r="A5936" s="4" t="s">
        <v>14148</v>
      </c>
      <c r="B5936" s="5" t="s">
        <v>14149</v>
      </c>
      <c r="C5936" s="5" t="s">
        <v>33</v>
      </c>
      <c r="D5936" s="5" t="s">
        <v>34</v>
      </c>
      <c r="E5936" s="5" t="s">
        <v>35</v>
      </c>
      <c r="F5936" s="9" t="s">
        <v>36</v>
      </c>
      <c r="G5936" s="9" t="s">
        <v>443</v>
      </c>
      <c r="H5936" s="5" t="s">
        <v>21</v>
      </c>
      <c r="I5936" s="5" t="s">
        <v>14150</v>
      </c>
      <c r="J5936" s="12" t="str">
        <f>HYPERLINK("https://www.boe.es/gazeta/dias/1808/04/22/pdfs/GMD-C-1808-38.pdf#page=16","Abrir facsímil")</f>
        <v>Abrir facsímil</v>
      </c>
      <c r="K5936" s="15" t="s">
        <v>23</v>
      </c>
    </row>
    <row r="5937" spans="1:11" ht="42" customHeight="1">
      <c r="A5937" s="4" t="s">
        <v>14151</v>
      </c>
      <c r="B5937" s="5" t="s">
        <v>14152</v>
      </c>
      <c r="C5937" s="5" t="s">
        <v>33</v>
      </c>
      <c r="D5937" s="5" t="s">
        <v>34</v>
      </c>
      <c r="E5937" s="5" t="s">
        <v>68</v>
      </c>
      <c r="F5937" s="9" t="s">
        <v>309</v>
      </c>
      <c r="G5937" s="9" t="s">
        <v>117</v>
      </c>
      <c r="H5937" s="5" t="s">
        <v>21</v>
      </c>
      <c r="I5937" s="5" t="s">
        <v>14153</v>
      </c>
      <c r="J5937" s="12" t="str">
        <f>HYPERLINK("https://www.boe.es/gazeta/dias/1808/10/21/pdfs/GMD-D-1808-136.pdf#page=1","Abrir facsímil")</f>
        <v>Abrir facsímil</v>
      </c>
      <c r="K5937" s="15" t="s">
        <v>23</v>
      </c>
    </row>
    <row r="5938" spans="1:11" ht="42" customHeight="1">
      <c r="A5938" s="4" t="s">
        <v>14154</v>
      </c>
      <c r="B5938" s="5" t="s">
        <v>14155</v>
      </c>
      <c r="C5938" s="5" t="s">
        <v>33</v>
      </c>
      <c r="D5938" s="5" t="s">
        <v>34</v>
      </c>
      <c r="E5938" s="5" t="s">
        <v>28</v>
      </c>
      <c r="F5938" s="9" t="s">
        <v>446</v>
      </c>
      <c r="G5938" s="9" t="s">
        <v>117</v>
      </c>
      <c r="H5938" s="5" t="s">
        <v>21</v>
      </c>
      <c r="I5938" s="5" t="s">
        <v>14156</v>
      </c>
      <c r="J5938" s="12" t="str">
        <f>HYPERLINK("https://www.boe.es/gazeta/dias/1808/11/04/pdfs/GMD-D-1808-141.pdf#page=1","Abrir facsímil")</f>
        <v>Abrir facsímil</v>
      </c>
      <c r="K5938" s="15" t="s">
        <v>23</v>
      </c>
    </row>
    <row r="5939" spans="1:11" ht="42" customHeight="1">
      <c r="A5939" s="4" t="s">
        <v>14157</v>
      </c>
      <c r="B5939" s="5" t="s">
        <v>14158</v>
      </c>
      <c r="C5939" s="5" t="s">
        <v>33</v>
      </c>
      <c r="D5939" s="5" t="s">
        <v>34</v>
      </c>
      <c r="E5939" s="5" t="s">
        <v>28</v>
      </c>
      <c r="F5939" s="9" t="s">
        <v>446</v>
      </c>
      <c r="G5939" s="9" t="s">
        <v>117</v>
      </c>
      <c r="H5939" s="5" t="s">
        <v>21</v>
      </c>
      <c r="I5939" s="5" t="s">
        <v>14159</v>
      </c>
      <c r="J5939" s="12" t="str">
        <f>HYPERLINK("https://www.boe.es/gazeta/dias/1808/11/04/pdfs/GMD-D-1808-141.pdf#page=1","Abrir facsímil")</f>
        <v>Abrir facsímil</v>
      </c>
      <c r="K5939" s="15" t="s">
        <v>23</v>
      </c>
    </row>
    <row r="5940" spans="1:11" ht="42" customHeight="1">
      <c r="A5940" s="4" t="s">
        <v>14160</v>
      </c>
      <c r="B5940" s="5" t="s">
        <v>14161</v>
      </c>
      <c r="C5940" s="5" t="s">
        <v>17</v>
      </c>
      <c r="D5940" s="5" t="s">
        <v>18</v>
      </c>
      <c r="E5940" s="5" t="s">
        <v>218</v>
      </c>
      <c r="F5940" s="9" t="s">
        <v>219</v>
      </c>
      <c r="G5940" s="9">
        <v>331</v>
      </c>
      <c r="H5940" s="5" t="s">
        <v>21</v>
      </c>
      <c r="I5940" s="5" t="s">
        <v>14162</v>
      </c>
      <c r="J5940" s="12" t="str">
        <f>HYPERLINK("https://www.boe.es/gazeta/dias/1808/04/01/pdfs/GMD-1808-29.pdf#page=7","Abrir facsímil")</f>
        <v>Abrir facsímil</v>
      </c>
      <c r="K5940" s="15" t="s">
        <v>23</v>
      </c>
    </row>
    <row r="5941" spans="1:11" ht="42" customHeight="1">
      <c r="A5941" s="4" t="s">
        <v>14160</v>
      </c>
      <c r="B5941" s="5" t="s">
        <v>14161</v>
      </c>
      <c r="C5941" s="5" t="s">
        <v>17</v>
      </c>
      <c r="D5941" s="5" t="s">
        <v>18</v>
      </c>
      <c r="E5941" s="5" t="s">
        <v>1791</v>
      </c>
      <c r="F5941" s="9" t="s">
        <v>2814</v>
      </c>
      <c r="G5941" s="9">
        <v>930</v>
      </c>
      <c r="H5941" s="5" t="s">
        <v>21</v>
      </c>
      <c r="I5941" s="5" t="s">
        <v>14163</v>
      </c>
      <c r="J5941" s="12" t="str">
        <f>HYPERLINK("https://www.boe.es/gazeta/dias/1808/07/30/pdfs/GMD-1808-102.pdf#page=4","Abrir facsímil")</f>
        <v>Abrir facsímil</v>
      </c>
      <c r="K5941" s="15" t="s">
        <v>23</v>
      </c>
    </row>
    <row r="5942" spans="1:11" ht="42" customHeight="1">
      <c r="A5942" s="4" t="s">
        <v>14164</v>
      </c>
      <c r="B5942" s="5" t="s">
        <v>14165</v>
      </c>
      <c r="C5942" s="5" t="s">
        <v>17</v>
      </c>
      <c r="D5942" s="5" t="s">
        <v>18</v>
      </c>
      <c r="E5942" s="5" t="s">
        <v>493</v>
      </c>
      <c r="F5942" s="9" t="s">
        <v>494</v>
      </c>
      <c r="G5942" s="9">
        <v>46</v>
      </c>
      <c r="H5942" s="5" t="s">
        <v>21</v>
      </c>
      <c r="I5942" s="5" t="s">
        <v>14166</v>
      </c>
      <c r="J5942" s="12" t="str">
        <f>HYPERLINK("https://www.boe.es/gazeta/dias/1808/01/12/pdfs/GMD-1808-4.pdf#page=10","Abrir facsímil")</f>
        <v>Abrir facsímil</v>
      </c>
      <c r="K5942" s="15" t="s">
        <v>23</v>
      </c>
    </row>
    <row r="5943" spans="1:11" ht="42" customHeight="1">
      <c r="A5943" s="4" t="s">
        <v>14167</v>
      </c>
      <c r="B5943" s="5" t="s">
        <v>14168</v>
      </c>
      <c r="C5943" s="5" t="s">
        <v>33</v>
      </c>
      <c r="D5943" s="5" t="s">
        <v>34</v>
      </c>
      <c r="E5943" s="5" t="s">
        <v>558</v>
      </c>
      <c r="F5943" s="9" t="s">
        <v>758</v>
      </c>
      <c r="G5943" s="9" t="s">
        <v>117</v>
      </c>
      <c r="H5943" s="5" t="s">
        <v>21</v>
      </c>
      <c r="I5943" s="5" t="s">
        <v>14169</v>
      </c>
      <c r="J5943" s="12" t="str">
        <f>HYPERLINK("https://www.boe.es/gazeta/dias/1808/11/25/pdfs/GMD-E-1808-147.pdf#page=1","Abrir facsímil")</f>
        <v>Abrir facsímil</v>
      </c>
      <c r="K5943" s="15" t="s">
        <v>23</v>
      </c>
    </row>
    <row r="5944" spans="1:11" ht="42" customHeight="1">
      <c r="A5944" s="4" t="s">
        <v>14170</v>
      </c>
      <c r="B5944" s="5" t="s">
        <v>14171</v>
      </c>
      <c r="C5944" s="5" t="s">
        <v>17</v>
      </c>
      <c r="D5944" s="5" t="s">
        <v>18</v>
      </c>
      <c r="E5944" s="5" t="s">
        <v>61</v>
      </c>
      <c r="F5944" s="9" t="s">
        <v>62</v>
      </c>
      <c r="G5944" s="9">
        <v>1285</v>
      </c>
      <c r="H5944" s="5" t="s">
        <v>21</v>
      </c>
      <c r="I5944" s="5" t="s">
        <v>14172</v>
      </c>
      <c r="J5944" s="12" t="str">
        <f>HYPERLINK("https://www.boe.es/gazeta/dias/1808/10/11/pdfs/GMD-1808-133.pdf#page=13","Abrir facsímil")</f>
        <v>Abrir facsímil</v>
      </c>
      <c r="K5944" s="15" t="s">
        <v>23</v>
      </c>
    </row>
    <row r="5945" spans="1:11" ht="42" customHeight="1">
      <c r="A5945" s="4" t="s">
        <v>14173</v>
      </c>
      <c r="B5945" s="5" t="s">
        <v>14174</v>
      </c>
      <c r="C5945" s="5" t="s">
        <v>17</v>
      </c>
      <c r="D5945" s="5" t="s">
        <v>18</v>
      </c>
      <c r="E5945" s="5" t="s">
        <v>28</v>
      </c>
      <c r="F5945" s="9" t="s">
        <v>29</v>
      </c>
      <c r="G5945" s="9">
        <v>1428</v>
      </c>
      <c r="H5945" s="5" t="s">
        <v>21</v>
      </c>
      <c r="I5945" s="5" t="s">
        <v>14175</v>
      </c>
      <c r="J5945" s="12" t="str">
        <f>HYPERLINK("https://www.boe.es/gazeta/dias/1808/11/04/pdfs/GMD-1808-141.pdf#page=10","Abrir facsímil")</f>
        <v>Abrir facsímil</v>
      </c>
      <c r="K5945" s="15" t="s">
        <v>23</v>
      </c>
    </row>
    <row r="5946" spans="1:11" ht="42" customHeight="1">
      <c r="A5946" s="4" t="s">
        <v>14176</v>
      </c>
      <c r="B5946" s="5" t="s">
        <v>14177</v>
      </c>
      <c r="C5946" s="5" t="s">
        <v>33</v>
      </c>
      <c r="D5946" s="5" t="s">
        <v>34</v>
      </c>
      <c r="E5946" s="5" t="s">
        <v>89</v>
      </c>
      <c r="F5946" s="9" t="s">
        <v>563</v>
      </c>
      <c r="G5946" s="9" t="s">
        <v>75</v>
      </c>
      <c r="H5946" s="5" t="s">
        <v>21</v>
      </c>
      <c r="I5946" s="5" t="s">
        <v>14178</v>
      </c>
      <c r="J5946" s="12" t="str">
        <f>HYPERLINK("https://www.boe.es/gazeta/dias/1808/10/25/pdfs/GMD-D-1808-137.pdf#page=4","Abrir facsímil")</f>
        <v>Abrir facsímil</v>
      </c>
      <c r="K5946" s="15" t="s">
        <v>23</v>
      </c>
    </row>
    <row r="5947" spans="1:11" ht="42" customHeight="1">
      <c r="A5947" s="4" t="s">
        <v>14179</v>
      </c>
      <c r="B5947" s="5" t="s">
        <v>14180</v>
      </c>
      <c r="C5947" s="5" t="s">
        <v>94</v>
      </c>
      <c r="D5947" s="5" t="s">
        <v>95</v>
      </c>
      <c r="E5947" s="5" t="s">
        <v>418</v>
      </c>
      <c r="F5947" s="9" t="s">
        <v>3832</v>
      </c>
      <c r="G5947" s="9">
        <v>231</v>
      </c>
      <c r="H5947" s="5" t="s">
        <v>21</v>
      </c>
      <c r="I5947" s="5" t="s">
        <v>14181</v>
      </c>
      <c r="J5947" s="12" t="str">
        <f>HYPERLINK("https://www.boe.es/gazeta/dias/1808/09/06/pdfs/GMS-1808-29.pdf#page=7","Abrir facsímil")</f>
        <v>Abrir facsímil</v>
      </c>
      <c r="K5947" s="15" t="s">
        <v>23</v>
      </c>
    </row>
    <row r="5948" spans="1:11" ht="42" customHeight="1">
      <c r="A5948" s="4" t="s">
        <v>14182</v>
      </c>
      <c r="B5948" s="5" t="s">
        <v>14183</v>
      </c>
      <c r="C5948" s="5" t="s">
        <v>94</v>
      </c>
      <c r="D5948" s="5" t="s">
        <v>95</v>
      </c>
      <c r="E5948" s="5" t="s">
        <v>130</v>
      </c>
      <c r="F5948" s="9" t="s">
        <v>131</v>
      </c>
      <c r="G5948" s="9">
        <v>1603</v>
      </c>
      <c r="H5948" s="5" t="s">
        <v>21</v>
      </c>
      <c r="I5948" s="5" t="s">
        <v>14184</v>
      </c>
      <c r="J5948" s="12" t="str">
        <f>HYPERLINK("https://www.boe.es/gazeta/dias/1808/12/15/pdfs/GMD-1808-155.pdf#page=7","Abrir facsímil")</f>
        <v>Abrir facsímil</v>
      </c>
      <c r="K5948" s="15" t="s">
        <v>23</v>
      </c>
    </row>
    <row r="5949" spans="1:11" ht="42" customHeight="1">
      <c r="A5949" s="4" t="s">
        <v>14185</v>
      </c>
      <c r="B5949" s="5" t="s">
        <v>14186</v>
      </c>
      <c r="C5949" s="5" t="s">
        <v>17</v>
      </c>
      <c r="D5949" s="5" t="s">
        <v>18</v>
      </c>
      <c r="E5949" s="5" t="s">
        <v>130</v>
      </c>
      <c r="F5949" s="9" t="s">
        <v>131</v>
      </c>
      <c r="G5949" s="9">
        <v>1603</v>
      </c>
      <c r="H5949" s="5" t="s">
        <v>21</v>
      </c>
      <c r="I5949" s="5" t="s">
        <v>14187</v>
      </c>
      <c r="J5949" s="12" t="str">
        <f>HYPERLINK("https://www.boe.es/gazeta/dias/1808/12/15/pdfs/GMD-1808-155.pdf#page=7","Abrir facsímil")</f>
        <v>Abrir facsímil</v>
      </c>
      <c r="K5949" s="15" t="s">
        <v>23</v>
      </c>
    </row>
    <row r="5950" spans="1:11" ht="42" customHeight="1">
      <c r="A5950" s="4" t="s">
        <v>14188</v>
      </c>
      <c r="B5950" s="5" t="s">
        <v>14189</v>
      </c>
      <c r="C5950" s="5" t="s">
        <v>17</v>
      </c>
      <c r="D5950" s="5" t="s">
        <v>18</v>
      </c>
      <c r="E5950" s="5" t="s">
        <v>65</v>
      </c>
      <c r="F5950" s="9" t="s">
        <v>66</v>
      </c>
      <c r="G5950" s="9">
        <v>1311</v>
      </c>
      <c r="H5950" s="5" t="s">
        <v>21</v>
      </c>
      <c r="I5950" s="5" t="s">
        <v>14190</v>
      </c>
      <c r="J5950" s="12" t="str">
        <f>HYPERLINK("https://www.boe.es/gazeta/dias/1808/10/18/pdfs/GMD-1808-135.pdf#page=11","Abrir facsímil")</f>
        <v>Abrir facsímil</v>
      </c>
      <c r="K5950" s="15" t="s">
        <v>23</v>
      </c>
    </row>
    <row r="5951" spans="1:11" ht="42" customHeight="1">
      <c r="A5951" s="4" t="s">
        <v>14191</v>
      </c>
      <c r="B5951" s="5" t="s">
        <v>14192</v>
      </c>
      <c r="C5951" s="5" t="s">
        <v>94</v>
      </c>
      <c r="D5951" s="5" t="s">
        <v>95</v>
      </c>
      <c r="E5951" s="5" t="s">
        <v>493</v>
      </c>
      <c r="F5951" s="9" t="s">
        <v>494</v>
      </c>
      <c r="G5951" s="9">
        <v>41</v>
      </c>
      <c r="H5951" s="5" t="s">
        <v>21</v>
      </c>
      <c r="I5951" s="5" t="s">
        <v>14193</v>
      </c>
      <c r="J5951" s="12" t="str">
        <f>HYPERLINK("https://www.boe.es/gazeta/dias/1808/01/12/pdfs/GMD-1808-4.pdf#page=5","Abrir facsímil")</f>
        <v>Abrir facsímil</v>
      </c>
      <c r="K5951" s="15" t="s">
        <v>23</v>
      </c>
    </row>
    <row r="5952" spans="1:11" ht="42" customHeight="1">
      <c r="A5952" s="4" t="s">
        <v>14194</v>
      </c>
      <c r="B5952" s="5" t="s">
        <v>14194</v>
      </c>
      <c r="C5952" s="5" t="s">
        <v>94</v>
      </c>
      <c r="D5952" s="5" t="s">
        <v>95</v>
      </c>
      <c r="E5952" s="5" t="s">
        <v>207</v>
      </c>
      <c r="F5952" s="9" t="s">
        <v>208</v>
      </c>
      <c r="G5952" s="9">
        <v>196</v>
      </c>
      <c r="H5952" s="5" t="s">
        <v>21</v>
      </c>
      <c r="I5952" s="5" t="s">
        <v>14195</v>
      </c>
      <c r="J5952" s="12" t="str">
        <f>HYPERLINK("https://www.boe.es/gazeta/dias/1808/02/23/pdfs/GMD-1808-16.pdf#page=10","Abrir facsímil")</f>
        <v>Abrir facsímil</v>
      </c>
      <c r="K5952" s="15" t="s">
        <v>23</v>
      </c>
    </row>
    <row r="5953" spans="1:11" ht="42" customHeight="1">
      <c r="A5953" s="4" t="s">
        <v>14196</v>
      </c>
      <c r="B5953" s="5" t="s">
        <v>14197</v>
      </c>
      <c r="C5953" s="5" t="s">
        <v>33</v>
      </c>
      <c r="D5953" s="5" t="s">
        <v>34</v>
      </c>
      <c r="E5953" s="5" t="s">
        <v>391</v>
      </c>
      <c r="F5953" s="9" t="s">
        <v>588</v>
      </c>
      <c r="G5953" s="9" t="s">
        <v>75</v>
      </c>
      <c r="H5953" s="5" t="s">
        <v>21</v>
      </c>
      <c r="I5953" s="5" t="s">
        <v>14198</v>
      </c>
      <c r="J5953" s="12" t="str">
        <f>HYPERLINK("https://www.boe.es/gazeta/dias/1808/09/27/pdfs/GMD-C-1808-128.pdf#page=4","Abrir facsímil")</f>
        <v>Abrir facsímil</v>
      </c>
      <c r="K5953" s="15" t="s">
        <v>23</v>
      </c>
    </row>
    <row r="5954" spans="1:11" ht="42" customHeight="1">
      <c r="A5954" s="4" t="s">
        <v>14199</v>
      </c>
      <c r="B5954" s="5" t="s">
        <v>14200</v>
      </c>
      <c r="C5954" s="5" t="s">
        <v>17</v>
      </c>
      <c r="D5954" s="5" t="s">
        <v>18</v>
      </c>
      <c r="E5954" s="5" t="s">
        <v>493</v>
      </c>
      <c r="F5954" s="9" t="s">
        <v>494</v>
      </c>
      <c r="G5954" s="9">
        <v>45</v>
      </c>
      <c r="H5954" s="5" t="s">
        <v>21</v>
      </c>
      <c r="I5954" s="5" t="s">
        <v>14201</v>
      </c>
      <c r="J5954" s="12" t="str">
        <f>HYPERLINK("https://www.boe.es/gazeta/dias/1808/01/12/pdfs/GMD-1808-4.pdf#page=9","Abrir facsímil")</f>
        <v>Abrir facsímil</v>
      </c>
      <c r="K5954" s="15" t="s">
        <v>23</v>
      </c>
    </row>
    <row r="5955" spans="1:11" ht="42" customHeight="1">
      <c r="A5955" s="4" t="s">
        <v>14202</v>
      </c>
      <c r="B5955" s="5" t="s">
        <v>14202</v>
      </c>
      <c r="C5955" s="5" t="s">
        <v>41</v>
      </c>
      <c r="D5955" s="5" t="s">
        <v>42</v>
      </c>
      <c r="E5955" s="5" t="s">
        <v>2555</v>
      </c>
      <c r="F5955" s="9" t="s">
        <v>2556</v>
      </c>
      <c r="G5955" s="9">
        <v>127</v>
      </c>
      <c r="H5955" s="5" t="s">
        <v>21</v>
      </c>
      <c r="I5955" s="5" t="s">
        <v>14203</v>
      </c>
      <c r="J5955" s="12" t="str">
        <f>HYPERLINK("https://www.boe.es/gazeta/dias/1808/02/05/pdfs/GMD-1808-11.pdf#page=7","Abrir facsímil")</f>
        <v>Abrir facsímil</v>
      </c>
      <c r="K5955" s="15" t="s">
        <v>23</v>
      </c>
    </row>
    <row r="5956" spans="1:11" ht="42" customHeight="1">
      <c r="A5956" s="4" t="s">
        <v>14204</v>
      </c>
      <c r="B5956" s="5" t="s">
        <v>14205</v>
      </c>
      <c r="C5956" s="5" t="s">
        <v>17</v>
      </c>
      <c r="D5956" s="5" t="s">
        <v>18</v>
      </c>
      <c r="E5956" s="5" t="s">
        <v>65</v>
      </c>
      <c r="F5956" s="9" t="s">
        <v>66</v>
      </c>
      <c r="G5956" s="9">
        <v>1314</v>
      </c>
      <c r="H5956" s="5" t="s">
        <v>21</v>
      </c>
      <c r="I5956" s="5" t="s">
        <v>14206</v>
      </c>
      <c r="J5956" s="12" t="str">
        <f>HYPERLINK("https://www.boe.es/gazeta/dias/1808/10/18/pdfs/GMD-1808-135.pdf#page=14","Abrir facsímil")</f>
        <v>Abrir facsímil</v>
      </c>
      <c r="K5956" s="15" t="s">
        <v>23</v>
      </c>
    </row>
    <row r="5957" spans="1:11" ht="42" customHeight="1">
      <c r="A5957" s="4" t="s">
        <v>14207</v>
      </c>
      <c r="B5957" s="5" t="s">
        <v>14207</v>
      </c>
      <c r="C5957" s="5" t="s">
        <v>260</v>
      </c>
      <c r="D5957" s="5" t="s">
        <v>42</v>
      </c>
      <c r="E5957" s="5" t="s">
        <v>35</v>
      </c>
      <c r="F5957" s="9" t="s">
        <v>3452</v>
      </c>
      <c r="G5957" s="9">
        <v>402</v>
      </c>
      <c r="H5957" s="5" t="s">
        <v>21</v>
      </c>
      <c r="I5957" s="5" t="s">
        <v>14208</v>
      </c>
      <c r="J5957" s="12" t="str">
        <f>HYPERLINK("https://www.boe.es/gazeta/dias/1808/04/22/pdfs/GMD-1808-38.pdf#page=10","Abrir facsímil")</f>
        <v>Abrir facsímil</v>
      </c>
      <c r="K5957" s="15" t="s">
        <v>23</v>
      </c>
    </row>
    <row r="5958" spans="1:11" ht="42" customHeight="1">
      <c r="A5958" s="4" t="s">
        <v>14209</v>
      </c>
      <c r="B5958" s="5" t="s">
        <v>14210</v>
      </c>
      <c r="C5958" s="5" t="s">
        <v>41</v>
      </c>
      <c r="D5958" s="5" t="s">
        <v>42</v>
      </c>
      <c r="E5958" s="5" t="s">
        <v>427</v>
      </c>
      <c r="F5958" s="9" t="s">
        <v>428</v>
      </c>
      <c r="G5958" s="9" t="s">
        <v>106</v>
      </c>
      <c r="H5958" s="5" t="s">
        <v>21</v>
      </c>
      <c r="I5958" s="5" t="s">
        <v>14211</v>
      </c>
      <c r="J5958" s="12" t="str">
        <f>HYPERLINK("https://www.boe.es/gazeta/dias/1808/11/22/pdfs/GMD-D-1808-146.pdf#page=3","Abrir facsímil")</f>
        <v>Abrir facsímil</v>
      </c>
      <c r="K5958" s="15" t="s">
        <v>23</v>
      </c>
    </row>
    <row r="5959" spans="1:11" ht="42" customHeight="1">
      <c r="A5959" s="4" t="s">
        <v>14212</v>
      </c>
      <c r="B5959" s="5" t="s">
        <v>14213</v>
      </c>
      <c r="C5959" s="5" t="s">
        <v>33</v>
      </c>
      <c r="D5959" s="5" t="s">
        <v>34</v>
      </c>
      <c r="E5959" s="5" t="s">
        <v>334</v>
      </c>
      <c r="F5959" s="9" t="s">
        <v>335</v>
      </c>
      <c r="G5959" s="9">
        <v>1257</v>
      </c>
      <c r="H5959" s="5" t="s">
        <v>21</v>
      </c>
      <c r="I5959" s="5" t="s">
        <v>14214</v>
      </c>
      <c r="J5959" s="12" t="str">
        <f>HYPERLINK("https://www.boe.es/gazeta/dias/1808/10/04/pdfs/GMD-C-1808-131.pdf#page=9","Abrir facsímil")</f>
        <v>Abrir facsímil</v>
      </c>
      <c r="K5959" s="15" t="s">
        <v>23</v>
      </c>
    </row>
    <row r="5960" spans="1:11" ht="42" customHeight="1">
      <c r="A5960" s="4" t="s">
        <v>14215</v>
      </c>
      <c r="B5960" s="5" t="s">
        <v>14216</v>
      </c>
      <c r="C5960" s="5" t="s">
        <v>94</v>
      </c>
      <c r="D5960" s="5" t="s">
        <v>95</v>
      </c>
      <c r="E5960" s="5" t="s">
        <v>65</v>
      </c>
      <c r="F5960" s="9" t="s">
        <v>66</v>
      </c>
      <c r="G5960" s="9">
        <v>1312</v>
      </c>
      <c r="H5960" s="5" t="s">
        <v>21</v>
      </c>
      <c r="I5960" s="5" t="s">
        <v>14217</v>
      </c>
      <c r="J5960" s="12" t="str">
        <f>HYPERLINK("https://www.boe.es/gazeta/dias/1808/10/18/pdfs/GMD-1808-135.pdf#page=12","Abrir facsímil")</f>
        <v>Abrir facsímil</v>
      </c>
      <c r="K5960" s="15" t="s">
        <v>23</v>
      </c>
    </row>
    <row r="5961" spans="1:11" ht="42" customHeight="1">
      <c r="A5961" s="4" t="s">
        <v>14218</v>
      </c>
      <c r="B5961" s="5" t="s">
        <v>14219</v>
      </c>
      <c r="C5961" s="5" t="s">
        <v>389</v>
      </c>
      <c r="D5961" s="5" t="s">
        <v>390</v>
      </c>
      <c r="E5961" s="5" t="s">
        <v>334</v>
      </c>
      <c r="F5961" s="9" t="s">
        <v>1814</v>
      </c>
      <c r="G5961" s="9">
        <v>1248</v>
      </c>
      <c r="H5961" s="5" t="s">
        <v>21</v>
      </c>
      <c r="I5961" s="5" t="s">
        <v>14220</v>
      </c>
      <c r="J5961" s="12" t="str">
        <f>HYPERLINK("https://www.boe.es/gazeta/dias/1808/10/04/pdfs/GMD-1808-131.pdf#page=16","Abrir facsímil")</f>
        <v>Abrir facsímil</v>
      </c>
      <c r="K5961" s="15" t="s">
        <v>23</v>
      </c>
    </row>
    <row r="5962" spans="1:11" ht="42" customHeight="1">
      <c r="A5962" s="4" t="s">
        <v>14218</v>
      </c>
      <c r="B5962" s="5" t="s">
        <v>14219</v>
      </c>
      <c r="C5962" s="5" t="s">
        <v>17</v>
      </c>
      <c r="D5962" s="5" t="s">
        <v>18</v>
      </c>
      <c r="E5962" s="5" t="s">
        <v>65</v>
      </c>
      <c r="F5962" s="9" t="s">
        <v>66</v>
      </c>
      <c r="G5962" s="9">
        <v>1312</v>
      </c>
      <c r="H5962" s="5" t="s">
        <v>21</v>
      </c>
      <c r="I5962" s="5" t="s">
        <v>14221</v>
      </c>
      <c r="J5962" s="12" t="str">
        <f>HYPERLINK("https://www.boe.es/gazeta/dias/1808/10/18/pdfs/GMD-1808-135.pdf#page=12","Abrir facsímil")</f>
        <v>Abrir facsímil</v>
      </c>
      <c r="K5962" s="15" t="s">
        <v>23</v>
      </c>
    </row>
    <row r="5963" spans="1:11" ht="42" customHeight="1">
      <c r="A5963" s="4" t="s">
        <v>14222</v>
      </c>
      <c r="B5963" s="5" t="s">
        <v>14223</v>
      </c>
      <c r="C5963" s="5" t="s">
        <v>389</v>
      </c>
      <c r="D5963" s="5" t="s">
        <v>390</v>
      </c>
      <c r="E5963" s="5" t="s">
        <v>139</v>
      </c>
      <c r="F5963" s="9" t="s">
        <v>140</v>
      </c>
      <c r="G5963" s="9">
        <v>1204</v>
      </c>
      <c r="H5963" s="5" t="s">
        <v>21</v>
      </c>
      <c r="I5963" s="5" t="s">
        <v>14224</v>
      </c>
      <c r="J5963" s="12" t="str">
        <f>HYPERLINK("https://www.boe.es/gazeta/dias/1808/09/23/pdfs/GMD-1808-127.pdf#page=12","Abrir facsímil")</f>
        <v>Abrir facsímil</v>
      </c>
      <c r="K5963" s="15" t="s">
        <v>23</v>
      </c>
    </row>
    <row r="5964" spans="1:11" ht="42" customHeight="1">
      <c r="A5964" s="4" t="s">
        <v>14225</v>
      </c>
      <c r="B5964" s="5" t="s">
        <v>14226</v>
      </c>
      <c r="C5964" s="5" t="s">
        <v>33</v>
      </c>
      <c r="D5964" s="5" t="s">
        <v>34</v>
      </c>
      <c r="E5964" s="5" t="s">
        <v>35</v>
      </c>
      <c r="F5964" s="9" t="s">
        <v>36</v>
      </c>
      <c r="G5964" s="9" t="s">
        <v>277</v>
      </c>
      <c r="H5964" s="5" t="s">
        <v>21</v>
      </c>
      <c r="I5964" s="5" t="s">
        <v>14227</v>
      </c>
      <c r="J5964" s="12" t="str">
        <f>HYPERLINK("https://www.boe.es/gazeta/dias/1808/04/22/pdfs/GMD-C-1808-38.pdf#page=34","Abrir facsímil")</f>
        <v>Abrir facsímil</v>
      </c>
      <c r="K5964" s="15" t="s">
        <v>23</v>
      </c>
    </row>
    <row r="5965" spans="1:11" ht="42" customHeight="1">
      <c r="A5965" s="4" t="s">
        <v>14228</v>
      </c>
      <c r="B5965" s="5" t="s">
        <v>14229</v>
      </c>
      <c r="C5965" s="5" t="s">
        <v>41</v>
      </c>
      <c r="D5965" s="5" t="s">
        <v>42</v>
      </c>
      <c r="E5965" s="5" t="s">
        <v>264</v>
      </c>
      <c r="F5965" s="9" t="s">
        <v>318</v>
      </c>
      <c r="G5965" s="9" t="s">
        <v>199</v>
      </c>
      <c r="H5965" s="5" t="s">
        <v>21</v>
      </c>
      <c r="I5965" s="5" t="s">
        <v>14230</v>
      </c>
      <c r="J5965" s="12" t="str">
        <f>HYPERLINK("https://www.boe.es/gazeta/dias/1808/11/29/pdfs/GMD-C-1808-148.pdf#page=2","Abrir facsímil")</f>
        <v>Abrir facsímil</v>
      </c>
      <c r="K5965" s="15" t="s">
        <v>23</v>
      </c>
    </row>
    <row r="5966" spans="1:11" ht="42" customHeight="1">
      <c r="A5966" s="4" t="s">
        <v>14231</v>
      </c>
      <c r="B5966" s="5" t="s">
        <v>14231</v>
      </c>
      <c r="C5966" s="5" t="s">
        <v>41</v>
      </c>
      <c r="D5966" s="5" t="s">
        <v>42</v>
      </c>
      <c r="E5966" s="5" t="s">
        <v>35</v>
      </c>
      <c r="F5966" s="9" t="s">
        <v>36</v>
      </c>
      <c r="G5966" s="9" t="s">
        <v>443</v>
      </c>
      <c r="H5966" s="5" t="s">
        <v>21</v>
      </c>
      <c r="I5966" s="5" t="s">
        <v>14232</v>
      </c>
      <c r="J5966" s="12" t="str">
        <f>HYPERLINK("https://www.boe.es/gazeta/dias/1808/04/22/pdfs/GMD-C-1808-38.pdf#page=16","Abrir facsímil")</f>
        <v>Abrir facsímil</v>
      </c>
      <c r="K5966" s="15" t="s">
        <v>23</v>
      </c>
    </row>
    <row r="5967" spans="1:11" ht="42" customHeight="1">
      <c r="A5967" s="4" t="s">
        <v>14233</v>
      </c>
      <c r="B5967" s="5" t="s">
        <v>14234</v>
      </c>
      <c r="C5967" s="5" t="s">
        <v>17</v>
      </c>
      <c r="D5967" s="5" t="s">
        <v>18</v>
      </c>
      <c r="E5967" s="5" t="s">
        <v>54</v>
      </c>
      <c r="F5967" s="9" t="s">
        <v>55</v>
      </c>
      <c r="G5967" s="9">
        <v>1083</v>
      </c>
      <c r="H5967" s="5" t="s">
        <v>21</v>
      </c>
      <c r="I5967" s="5" t="s">
        <v>14235</v>
      </c>
      <c r="J5967" s="12" t="str">
        <f>HYPERLINK("https://www.boe.es/gazeta/dias/1808/08/26/pdfs/GMD-1808-117.pdf#page=5","Abrir facsímil")</f>
        <v>Abrir facsímil</v>
      </c>
      <c r="K5967" s="15" t="s">
        <v>23</v>
      </c>
    </row>
    <row r="5968" spans="1:11" ht="42" customHeight="1">
      <c r="A5968" s="4" t="s">
        <v>14236</v>
      </c>
      <c r="B5968" s="5" t="s">
        <v>14237</v>
      </c>
      <c r="C5968" s="5" t="s">
        <v>33</v>
      </c>
      <c r="D5968" s="5" t="s">
        <v>34</v>
      </c>
      <c r="E5968" s="5" t="s">
        <v>616</v>
      </c>
      <c r="F5968" s="9" t="s">
        <v>4334</v>
      </c>
      <c r="G5968" s="9">
        <v>1053</v>
      </c>
      <c r="H5968" s="5" t="s">
        <v>21</v>
      </c>
      <c r="I5968" s="5" t="s">
        <v>14238</v>
      </c>
      <c r="J5968" s="12" t="str">
        <f>HYPERLINK("https://www.boe.es/gazeta/dias/1808/08/19/pdfs/GMD-C-1808-115.pdf#page=7","Abrir facsímil")</f>
        <v>Abrir facsímil</v>
      </c>
      <c r="K5968" s="15" t="s">
        <v>23</v>
      </c>
    </row>
    <row r="5969" spans="1:11" ht="42" customHeight="1">
      <c r="A5969" s="4" t="s">
        <v>14239</v>
      </c>
      <c r="B5969" s="5" t="s">
        <v>14240</v>
      </c>
      <c r="C5969" s="5" t="s">
        <v>94</v>
      </c>
      <c r="D5969" s="5" t="s">
        <v>95</v>
      </c>
      <c r="E5969" s="5" t="s">
        <v>478</v>
      </c>
      <c r="F5969" s="9" t="s">
        <v>479</v>
      </c>
      <c r="G5969" s="9">
        <v>241</v>
      </c>
      <c r="H5969" s="5" t="s">
        <v>21</v>
      </c>
      <c r="I5969" s="5" t="s">
        <v>14241</v>
      </c>
      <c r="J5969" s="12" t="str">
        <f>HYPERLINK("https://www.boe.es/gazeta/dias/1808/03/08/pdfs/GMD-1808-20.pdf#page=7","Abrir facsímil")</f>
        <v>Abrir facsímil</v>
      </c>
      <c r="K5969" s="15" t="s">
        <v>23</v>
      </c>
    </row>
    <row r="5970" spans="1:11" ht="42" customHeight="1">
      <c r="A5970" s="4" t="s">
        <v>14242</v>
      </c>
      <c r="B5970" s="5" t="s">
        <v>14243</v>
      </c>
      <c r="C5970" s="5" t="s">
        <v>33</v>
      </c>
      <c r="D5970" s="5" t="s">
        <v>34</v>
      </c>
      <c r="E5970" s="5" t="s">
        <v>73</v>
      </c>
      <c r="F5970" s="9" t="s">
        <v>74</v>
      </c>
      <c r="G5970" s="9" t="s">
        <v>117</v>
      </c>
      <c r="H5970" s="5" t="s">
        <v>21</v>
      </c>
      <c r="I5970" s="5" t="s">
        <v>14244</v>
      </c>
      <c r="J5970" s="12" t="str">
        <f>HYPERLINK("https://www.boe.es/gazeta/dias/1808/11/11/pdfs/GMD-D-1808-143.pdf#page=1","Abrir facsímil")</f>
        <v>Abrir facsímil</v>
      </c>
      <c r="K5970" s="15" t="s">
        <v>23</v>
      </c>
    </row>
    <row r="5971" spans="1:11" ht="42" customHeight="1">
      <c r="A5971" s="4" t="s">
        <v>14245</v>
      </c>
      <c r="B5971" s="5" t="s">
        <v>14246</v>
      </c>
      <c r="C5971" s="5" t="s">
        <v>33</v>
      </c>
      <c r="D5971" s="5" t="s">
        <v>34</v>
      </c>
      <c r="E5971" s="5" t="s">
        <v>89</v>
      </c>
      <c r="F5971" s="9" t="s">
        <v>563</v>
      </c>
      <c r="G5971" s="9" t="s">
        <v>75</v>
      </c>
      <c r="H5971" s="5" t="s">
        <v>21</v>
      </c>
      <c r="I5971" s="5" t="s">
        <v>14247</v>
      </c>
      <c r="J5971" s="12" t="str">
        <f>HYPERLINK("https://www.boe.es/gazeta/dias/1808/10/25/pdfs/GMD-D-1808-137.pdf#page=4","Abrir facsímil")</f>
        <v>Abrir facsímil</v>
      </c>
      <c r="K5971" s="15" t="s">
        <v>23</v>
      </c>
    </row>
    <row r="5972" spans="1:11" ht="42" customHeight="1">
      <c r="A5972" s="4" t="s">
        <v>14248</v>
      </c>
      <c r="B5972" s="5" t="s">
        <v>14249</v>
      </c>
      <c r="C5972" s="5" t="s">
        <v>17</v>
      </c>
      <c r="D5972" s="5" t="s">
        <v>18</v>
      </c>
      <c r="E5972" s="5" t="s">
        <v>290</v>
      </c>
      <c r="F5972" s="9" t="s">
        <v>291</v>
      </c>
      <c r="G5972" s="9">
        <v>1065</v>
      </c>
      <c r="H5972" s="5" t="s">
        <v>21</v>
      </c>
      <c r="I5972" s="5" t="s">
        <v>14250</v>
      </c>
      <c r="J5972" s="12" t="str">
        <f>HYPERLINK("https://www.boe.es/gazeta/dias/1808/08/23/pdfs/GMD-1808-116.pdf#page=11","Abrir facsímil")</f>
        <v>Abrir facsímil</v>
      </c>
      <c r="K5972" s="15" t="s">
        <v>23</v>
      </c>
    </row>
    <row r="5973" spans="1:11" ht="42" customHeight="1">
      <c r="A5973" s="4" t="s">
        <v>14248</v>
      </c>
      <c r="B5973" s="5" t="s">
        <v>14249</v>
      </c>
      <c r="C5973" s="5" t="s">
        <v>33</v>
      </c>
      <c r="D5973" s="5" t="s">
        <v>34</v>
      </c>
      <c r="E5973" s="5" t="s">
        <v>65</v>
      </c>
      <c r="F5973" s="9" t="s">
        <v>691</v>
      </c>
      <c r="G5973" s="9">
        <v>1327</v>
      </c>
      <c r="H5973" s="5" t="s">
        <v>21</v>
      </c>
      <c r="I5973" s="5" t="s">
        <v>14251</v>
      </c>
      <c r="J5973" s="12" t="str">
        <f>HYPERLINK("https://www.boe.es/gazeta/dias/1808/10/18/pdfs/GMD-C-1808-135.pdf#page=11","Abrir facsímil")</f>
        <v>Abrir facsímil</v>
      </c>
      <c r="K5973" s="15" t="s">
        <v>23</v>
      </c>
    </row>
    <row r="5974" spans="1:11" ht="42" customHeight="1">
      <c r="A5974" s="4" t="s">
        <v>14248</v>
      </c>
      <c r="B5974" s="5" t="s">
        <v>14249</v>
      </c>
      <c r="C5974" s="5" t="s">
        <v>33</v>
      </c>
      <c r="D5974" s="5" t="s">
        <v>34</v>
      </c>
      <c r="E5974" s="5" t="s">
        <v>427</v>
      </c>
      <c r="F5974" s="9" t="s">
        <v>428</v>
      </c>
      <c r="G5974" s="9" t="s">
        <v>106</v>
      </c>
      <c r="H5974" s="5" t="s">
        <v>21</v>
      </c>
      <c r="I5974" s="5" t="s">
        <v>14252</v>
      </c>
      <c r="J5974" s="12" t="str">
        <f>HYPERLINK("https://www.boe.es/gazeta/dias/1808/11/22/pdfs/GMD-D-1808-146.pdf#page=3","Abrir facsímil")</f>
        <v>Abrir facsímil</v>
      </c>
      <c r="K5974" s="15" t="s">
        <v>23</v>
      </c>
    </row>
    <row r="5975" spans="1:11" ht="42" customHeight="1">
      <c r="A5975" s="4" t="s">
        <v>14253</v>
      </c>
      <c r="B5975" s="5" t="s">
        <v>14254</v>
      </c>
      <c r="C5975" s="5" t="s">
        <v>17</v>
      </c>
      <c r="D5975" s="5" t="s">
        <v>18</v>
      </c>
      <c r="E5975" s="5" t="s">
        <v>663</v>
      </c>
      <c r="F5975" s="9" t="s">
        <v>664</v>
      </c>
      <c r="G5975" s="9">
        <v>206</v>
      </c>
      <c r="H5975" s="5" t="s">
        <v>21</v>
      </c>
      <c r="I5975" s="5" t="s">
        <v>14255</v>
      </c>
      <c r="J5975" s="12" t="str">
        <f>HYPERLINK("https://www.boe.es/gazeta/dias/1808/02/26/pdfs/GMD-1808-17.pdf#page=8","Abrir facsímil")</f>
        <v>Abrir facsímil</v>
      </c>
      <c r="K5975" s="15" t="s">
        <v>23</v>
      </c>
    </row>
    <row r="5976" spans="1:11" ht="42" customHeight="1">
      <c r="A5976" s="4" t="s">
        <v>14256</v>
      </c>
      <c r="B5976" s="5" t="s">
        <v>14257</v>
      </c>
      <c r="C5976" s="5" t="s">
        <v>41</v>
      </c>
      <c r="D5976" s="5" t="s">
        <v>42</v>
      </c>
      <c r="E5976" s="5" t="s">
        <v>456</v>
      </c>
      <c r="F5976" s="9" t="s">
        <v>748</v>
      </c>
      <c r="G5976" s="9" t="s">
        <v>117</v>
      </c>
      <c r="H5976" s="5" t="s">
        <v>21</v>
      </c>
      <c r="I5976" s="5" t="s">
        <v>14258</v>
      </c>
      <c r="J5976" s="12" t="str">
        <f>HYPERLINK("https://www.boe.es/gazeta/dias/1808/10/14/pdfs/GMD-C-1808-134.pdf#page=1","Abrir facsímil")</f>
        <v>Abrir facsímil</v>
      </c>
      <c r="K5976" s="15" t="s">
        <v>23</v>
      </c>
    </row>
    <row r="5977" spans="1:11" ht="42" customHeight="1">
      <c r="A5977" s="4" t="s">
        <v>14259</v>
      </c>
      <c r="B5977" s="5" t="s">
        <v>14260</v>
      </c>
      <c r="C5977" s="5" t="s">
        <v>94</v>
      </c>
      <c r="D5977" s="5" t="s">
        <v>95</v>
      </c>
      <c r="E5977" s="5" t="s">
        <v>269</v>
      </c>
      <c r="F5977" s="9" t="s">
        <v>270</v>
      </c>
      <c r="G5977" s="9">
        <v>69</v>
      </c>
      <c r="H5977" s="5" t="s">
        <v>21</v>
      </c>
      <c r="I5977" s="5" t="s">
        <v>14261</v>
      </c>
      <c r="J5977" s="12" t="str">
        <f>HYPERLINK("https://www.boe.es/gazeta/dias/1808/01/19/pdfs/GMD-1808-6.pdf#page=9","Abrir facsímil")</f>
        <v>Abrir facsímil</v>
      </c>
      <c r="K5977" s="15" t="s">
        <v>23</v>
      </c>
    </row>
    <row r="5978" spans="1:11" ht="42" customHeight="1">
      <c r="A5978" s="4" t="s">
        <v>14262</v>
      </c>
      <c r="B5978" s="5" t="s">
        <v>14263</v>
      </c>
      <c r="C5978" s="5" t="s">
        <v>94</v>
      </c>
      <c r="D5978" s="5" t="s">
        <v>95</v>
      </c>
      <c r="E5978" s="5" t="s">
        <v>245</v>
      </c>
      <c r="F5978" s="9" t="s">
        <v>246</v>
      </c>
      <c r="G5978" s="9">
        <v>541</v>
      </c>
      <c r="H5978" s="5" t="s">
        <v>21</v>
      </c>
      <c r="I5978" s="5" t="s">
        <v>14264</v>
      </c>
      <c r="J5978" s="12" t="str">
        <f>HYPERLINK("https://www.boe.es/gazeta/dias/1808/06/07/pdfs/GMD-1808-54.pdf#page=7","Abrir facsímil")</f>
        <v>Abrir facsímil</v>
      </c>
      <c r="K5978" s="15" t="s">
        <v>23</v>
      </c>
    </row>
    <row r="5979" spans="1:11" ht="42" customHeight="1">
      <c r="A5979" s="4" t="s">
        <v>14265</v>
      </c>
      <c r="B5979" s="5" t="s">
        <v>14266</v>
      </c>
      <c r="C5979" s="5" t="s">
        <v>33</v>
      </c>
      <c r="D5979" s="5" t="s">
        <v>34</v>
      </c>
      <c r="E5979" s="5" t="s">
        <v>334</v>
      </c>
      <c r="F5979" s="9" t="s">
        <v>335</v>
      </c>
      <c r="G5979" s="9">
        <v>1251</v>
      </c>
      <c r="H5979" s="5" t="s">
        <v>21</v>
      </c>
      <c r="I5979" s="5" t="s">
        <v>14267</v>
      </c>
      <c r="J5979" s="12" t="str">
        <f>HYPERLINK("https://www.boe.es/gazeta/dias/1808/10/04/pdfs/GMD-C-1808-131.pdf#page=3","Abrir facsímil")</f>
        <v>Abrir facsímil</v>
      </c>
      <c r="K5979" s="15" t="s">
        <v>23</v>
      </c>
    </row>
    <row r="5980" spans="1:11" ht="42" customHeight="1">
      <c r="A5980" s="4" t="s">
        <v>14265</v>
      </c>
      <c r="B5980" s="5" t="s">
        <v>14266</v>
      </c>
      <c r="C5980" s="5" t="s">
        <v>26</v>
      </c>
      <c r="D5980" s="5" t="s">
        <v>27</v>
      </c>
      <c r="E5980" s="5" t="s">
        <v>461</v>
      </c>
      <c r="F5980" s="9" t="s">
        <v>733</v>
      </c>
      <c r="G5980" s="9">
        <v>1447</v>
      </c>
      <c r="H5980" s="5" t="s">
        <v>21</v>
      </c>
      <c r="I5980" s="5" t="s">
        <v>14268</v>
      </c>
      <c r="J5980" s="12" t="str">
        <f>HYPERLINK("https://www.boe.es/gazeta/dias/1808/11/08/pdfs/GMD-1808-142.pdf#page=9","Abrir facsímil")</f>
        <v>Abrir facsímil</v>
      </c>
      <c r="K5980" s="15" t="s">
        <v>23</v>
      </c>
    </row>
    <row r="5981" spans="1:11" ht="42" customHeight="1">
      <c r="A5981" s="4" t="s">
        <v>14269</v>
      </c>
      <c r="B5981" s="5" t="s">
        <v>14270</v>
      </c>
      <c r="C5981" s="5" t="s">
        <v>33</v>
      </c>
      <c r="D5981" s="5" t="s">
        <v>34</v>
      </c>
      <c r="E5981" s="5" t="s">
        <v>65</v>
      </c>
      <c r="F5981" s="9" t="s">
        <v>691</v>
      </c>
      <c r="G5981" s="9">
        <v>1327</v>
      </c>
      <c r="H5981" s="5" t="s">
        <v>21</v>
      </c>
      <c r="I5981" s="5" t="s">
        <v>14271</v>
      </c>
      <c r="J5981" s="12" t="str">
        <f>HYPERLINK("https://www.boe.es/gazeta/dias/1808/10/18/pdfs/GMD-C-1808-135.pdf#page=11","Abrir facsímil")</f>
        <v>Abrir facsímil</v>
      </c>
      <c r="K5981" s="15" t="s">
        <v>23</v>
      </c>
    </row>
    <row r="5982" spans="1:11" ht="42" customHeight="1">
      <c r="A5982" s="4" t="s">
        <v>14272</v>
      </c>
      <c r="B5982" s="5" t="s">
        <v>14273</v>
      </c>
      <c r="C5982" s="5" t="s">
        <v>94</v>
      </c>
      <c r="D5982" s="5" t="s">
        <v>95</v>
      </c>
      <c r="E5982" s="5" t="s">
        <v>663</v>
      </c>
      <c r="F5982" s="9" t="s">
        <v>664</v>
      </c>
      <c r="G5982" s="9">
        <v>207</v>
      </c>
      <c r="H5982" s="5" t="s">
        <v>21</v>
      </c>
      <c r="I5982" s="5" t="s">
        <v>14274</v>
      </c>
      <c r="J5982" s="12" t="str">
        <f>HYPERLINK("https://www.boe.es/gazeta/dias/1808/02/26/pdfs/GMD-1808-17.pdf#page=9","Abrir facsímil")</f>
        <v>Abrir facsímil</v>
      </c>
      <c r="K5982" s="15" t="s">
        <v>23</v>
      </c>
    </row>
    <row r="5983" spans="1:11" ht="42" customHeight="1">
      <c r="A5983" s="4" t="s">
        <v>14275</v>
      </c>
      <c r="B5983" s="5" t="s">
        <v>14276</v>
      </c>
      <c r="C5983" s="5" t="s">
        <v>26</v>
      </c>
      <c r="D5983" s="5" t="s">
        <v>27</v>
      </c>
      <c r="E5983" s="5" t="s">
        <v>19</v>
      </c>
      <c r="F5983" s="9" t="s">
        <v>59</v>
      </c>
      <c r="G5983" s="9">
        <v>1228</v>
      </c>
      <c r="H5983" s="5" t="s">
        <v>21</v>
      </c>
      <c r="I5983" s="5" t="s">
        <v>14277</v>
      </c>
      <c r="J5983" s="12" t="str">
        <f>HYPERLINK("https://www.boe.es/gazeta/dias/1808/09/30/pdfs/GMD-1808-130.pdf#page=8","Abrir facsímil")</f>
        <v>Abrir facsímil</v>
      </c>
      <c r="K5983" s="15" t="s">
        <v>23</v>
      </c>
    </row>
    <row r="5984" spans="1:11" ht="42" customHeight="1">
      <c r="A5984" s="4" t="s">
        <v>14278</v>
      </c>
      <c r="B5984" s="5" t="s">
        <v>14279</v>
      </c>
      <c r="C5984" s="5" t="s">
        <v>41</v>
      </c>
      <c r="D5984" s="5" t="s">
        <v>42</v>
      </c>
      <c r="E5984" s="5" t="s">
        <v>558</v>
      </c>
      <c r="F5984" s="9" t="s">
        <v>758</v>
      </c>
      <c r="G5984" s="9" t="s">
        <v>106</v>
      </c>
      <c r="H5984" s="5" t="s">
        <v>21</v>
      </c>
      <c r="I5984" s="5" t="s">
        <v>14280</v>
      </c>
      <c r="J5984" s="12" t="str">
        <f>HYPERLINK("https://www.boe.es/gazeta/dias/1808/11/25/pdfs/GMD-E-1808-147.pdf#page=3","Abrir facsímil")</f>
        <v>Abrir facsímil</v>
      </c>
      <c r="K5984" s="15" t="s">
        <v>23</v>
      </c>
    </row>
    <row r="5985" spans="1:11" ht="42" customHeight="1">
      <c r="A5985" s="4" t="s">
        <v>14281</v>
      </c>
      <c r="B5985" s="5" t="s">
        <v>14282</v>
      </c>
      <c r="C5985" s="5" t="s">
        <v>33</v>
      </c>
      <c r="D5985" s="5" t="s">
        <v>34</v>
      </c>
      <c r="E5985" s="5" t="s">
        <v>125</v>
      </c>
      <c r="F5985" s="9" t="s">
        <v>126</v>
      </c>
      <c r="G5985" s="9" t="s">
        <v>199</v>
      </c>
      <c r="H5985" s="5" t="s">
        <v>21</v>
      </c>
      <c r="I5985" s="5" t="s">
        <v>14283</v>
      </c>
      <c r="J5985" s="12" t="str">
        <f>HYPERLINK("https://www.boe.es/gazeta/dias/1808/10/07/pdfs/GMD-C-1808-132.pdf#page=2","Abrir facsímil")</f>
        <v>Abrir facsímil</v>
      </c>
      <c r="K5985" s="15" t="s">
        <v>23</v>
      </c>
    </row>
    <row r="5986" spans="1:11" ht="42" customHeight="1">
      <c r="A5986" s="4" t="s">
        <v>14284</v>
      </c>
      <c r="B5986" s="5" t="s">
        <v>14285</v>
      </c>
      <c r="C5986" s="5" t="s">
        <v>33</v>
      </c>
      <c r="D5986" s="5" t="s">
        <v>34</v>
      </c>
      <c r="E5986" s="5" t="s">
        <v>89</v>
      </c>
      <c r="F5986" s="9" t="s">
        <v>1247</v>
      </c>
      <c r="G5986" s="9">
        <v>1365</v>
      </c>
      <c r="H5986" s="5" t="s">
        <v>21</v>
      </c>
      <c r="I5986" s="5" t="s">
        <v>14286</v>
      </c>
      <c r="J5986" s="12" t="str">
        <f>HYPERLINK("https://www.boe.es/gazeta/dias/1808/10/25/pdfs/GMD-C-1808-137.pdf#page=1","Abrir facsímil")</f>
        <v>Abrir facsímil</v>
      </c>
      <c r="K5986" s="15" t="s">
        <v>23</v>
      </c>
    </row>
    <row r="5987" spans="1:11" ht="42" customHeight="1">
      <c r="A5987" s="4" t="s">
        <v>14287</v>
      </c>
      <c r="B5987" s="5" t="s">
        <v>14288</v>
      </c>
      <c r="C5987" s="5" t="s">
        <v>389</v>
      </c>
      <c r="D5987" s="5" t="s">
        <v>390</v>
      </c>
      <c r="E5987" s="5" t="s">
        <v>804</v>
      </c>
      <c r="F5987" s="9" t="s">
        <v>805</v>
      </c>
      <c r="G5987" s="9">
        <v>974</v>
      </c>
      <c r="H5987" s="5" t="s">
        <v>21</v>
      </c>
      <c r="I5987" s="5" t="s">
        <v>14289</v>
      </c>
      <c r="J5987" s="12" t="str">
        <f>HYPERLINK("https://www.boe.es/gazeta/dias/1808/08/05/pdfs/GMD-1808-108.pdf#page=4","Abrir facsímil")</f>
        <v>Abrir facsímil</v>
      </c>
      <c r="K5987" s="15" t="s">
        <v>23</v>
      </c>
    </row>
    <row r="5988" spans="1:11" ht="42" customHeight="1">
      <c r="A5988" s="4" t="s">
        <v>14290</v>
      </c>
      <c r="B5988" s="5" t="s">
        <v>14291</v>
      </c>
      <c r="C5988" s="5" t="s">
        <v>33</v>
      </c>
      <c r="D5988" s="5" t="s">
        <v>34</v>
      </c>
      <c r="E5988" s="5" t="s">
        <v>35</v>
      </c>
      <c r="F5988" s="9" t="s">
        <v>36</v>
      </c>
      <c r="G5988" s="9" t="s">
        <v>655</v>
      </c>
      <c r="H5988" s="5" t="s">
        <v>21</v>
      </c>
      <c r="I5988" s="5" t="s">
        <v>14292</v>
      </c>
      <c r="J5988" s="12" t="str">
        <f>HYPERLINK("https://www.boe.es/gazeta/dias/1808/04/22/pdfs/GMD-C-1808-38.pdf#page=43","Abrir facsímil")</f>
        <v>Abrir facsímil</v>
      </c>
      <c r="K5988" s="15" t="s">
        <v>23</v>
      </c>
    </row>
    <row r="5989" spans="1:11" ht="42" customHeight="1">
      <c r="A5989" s="4" t="s">
        <v>14293</v>
      </c>
      <c r="B5989" s="5" t="s">
        <v>14294</v>
      </c>
      <c r="C5989" s="5" t="s">
        <v>389</v>
      </c>
      <c r="D5989" s="5" t="s">
        <v>390</v>
      </c>
      <c r="E5989" s="5" t="s">
        <v>139</v>
      </c>
      <c r="F5989" s="9" t="s">
        <v>1089</v>
      </c>
      <c r="G5989" s="9" t="s">
        <v>75</v>
      </c>
      <c r="H5989" s="5" t="s">
        <v>21</v>
      </c>
      <c r="I5989" s="5" t="s">
        <v>14295</v>
      </c>
      <c r="J5989" s="12" t="str">
        <f>HYPERLINK("https://www.boe.es/gazeta/dias/1808/09/23/pdfs/GMD-C-1808-127.pdf#page=4","Abrir facsímil")</f>
        <v>Abrir facsímil</v>
      </c>
      <c r="K5989" s="15" t="s">
        <v>23</v>
      </c>
    </row>
    <row r="5990" spans="1:11" ht="42" customHeight="1">
      <c r="A5990" s="4" t="s">
        <v>14296</v>
      </c>
      <c r="B5990" s="5" t="s">
        <v>14297</v>
      </c>
      <c r="C5990" s="5" t="s">
        <v>17</v>
      </c>
      <c r="D5990" s="5" t="s">
        <v>18</v>
      </c>
      <c r="E5990" s="5" t="s">
        <v>334</v>
      </c>
      <c r="F5990" s="9" t="s">
        <v>1814</v>
      </c>
      <c r="G5990" s="9">
        <v>1245</v>
      </c>
      <c r="H5990" s="5" t="s">
        <v>21</v>
      </c>
      <c r="I5990" s="5" t="s">
        <v>14298</v>
      </c>
      <c r="J5990" s="12" t="str">
        <f>HYPERLINK("https://www.boe.es/gazeta/dias/1808/10/04/pdfs/GMD-1808-131.pdf#page=13","Abrir facsímil")</f>
        <v>Abrir facsímil</v>
      </c>
      <c r="K5990" s="15" t="s">
        <v>23</v>
      </c>
    </row>
    <row r="5991" spans="1:11" ht="42" customHeight="1">
      <c r="A5991" s="4" t="s">
        <v>14299</v>
      </c>
      <c r="B5991" s="5" t="s">
        <v>14300</v>
      </c>
      <c r="C5991" s="5" t="s">
        <v>33</v>
      </c>
      <c r="D5991" s="5" t="s">
        <v>34</v>
      </c>
      <c r="E5991" s="5" t="s">
        <v>28</v>
      </c>
      <c r="F5991" s="9" t="s">
        <v>446</v>
      </c>
      <c r="G5991" s="9" t="s">
        <v>199</v>
      </c>
      <c r="H5991" s="5" t="s">
        <v>21</v>
      </c>
      <c r="I5991" s="5" t="s">
        <v>14301</v>
      </c>
      <c r="J5991" s="12" t="str">
        <f>HYPERLINK("https://www.boe.es/gazeta/dias/1808/11/04/pdfs/GMD-D-1808-141.pdf#page=2","Abrir facsímil")</f>
        <v>Abrir facsímil</v>
      </c>
      <c r="K5991" s="15" t="s">
        <v>23</v>
      </c>
    </row>
    <row r="5992" spans="1:11" ht="42" customHeight="1">
      <c r="A5992" s="4" t="s">
        <v>14302</v>
      </c>
      <c r="B5992" s="5" t="s">
        <v>14303</v>
      </c>
      <c r="C5992" s="5" t="s">
        <v>33</v>
      </c>
      <c r="D5992" s="5" t="s">
        <v>34</v>
      </c>
      <c r="E5992" s="5" t="s">
        <v>35</v>
      </c>
      <c r="F5992" s="9" t="s">
        <v>36</v>
      </c>
      <c r="G5992" s="9" t="s">
        <v>956</v>
      </c>
      <c r="H5992" s="5" t="s">
        <v>21</v>
      </c>
      <c r="I5992" s="5" t="s">
        <v>14304</v>
      </c>
      <c r="J5992" s="12" t="str">
        <f>HYPERLINK("https://www.boe.es/gazeta/dias/1808/04/22/pdfs/GMD-C-1808-38.pdf#page=41","Abrir facsímil")</f>
        <v>Abrir facsímil</v>
      </c>
      <c r="K5992" s="15" t="s">
        <v>23</v>
      </c>
    </row>
    <row r="5993" spans="1:11" ht="42" customHeight="1">
      <c r="A5993" s="4" t="s">
        <v>14305</v>
      </c>
      <c r="B5993" s="5" t="s">
        <v>14306</v>
      </c>
      <c r="C5993" s="5" t="s">
        <v>17</v>
      </c>
      <c r="D5993" s="5" t="s">
        <v>18</v>
      </c>
      <c r="E5993" s="5" t="s">
        <v>51</v>
      </c>
      <c r="F5993" s="9" t="s">
        <v>52</v>
      </c>
      <c r="G5993" s="9">
        <v>990</v>
      </c>
      <c r="H5993" s="5" t="s">
        <v>21</v>
      </c>
      <c r="I5993" s="5" t="s">
        <v>14307</v>
      </c>
      <c r="J5993" s="12" t="str">
        <f>HYPERLINK("https://www.boe.es/gazeta/dias/1808/08/09/pdfs/GMD-1808-111.pdf#page=6","Abrir facsímil")</f>
        <v>Abrir facsímil</v>
      </c>
      <c r="K5993" s="15" t="s">
        <v>23</v>
      </c>
    </row>
    <row r="5994" spans="1:11" ht="42" customHeight="1">
      <c r="A5994" s="4" t="s">
        <v>14308</v>
      </c>
      <c r="B5994" s="5" t="s">
        <v>14309</v>
      </c>
      <c r="C5994" s="5" t="s">
        <v>41</v>
      </c>
      <c r="D5994" s="5" t="s">
        <v>42</v>
      </c>
      <c r="E5994" s="5" t="s">
        <v>28</v>
      </c>
      <c r="F5994" s="9" t="s">
        <v>446</v>
      </c>
      <c r="G5994" s="9" t="s">
        <v>117</v>
      </c>
      <c r="H5994" s="5" t="s">
        <v>21</v>
      </c>
      <c r="I5994" s="5" t="s">
        <v>14310</v>
      </c>
      <c r="J5994" s="12" t="str">
        <f>HYPERLINK("https://www.boe.es/gazeta/dias/1808/11/04/pdfs/GMD-D-1808-141.pdf#page=1","Abrir facsímil")</f>
        <v>Abrir facsímil</v>
      </c>
      <c r="K5994" s="15" t="s">
        <v>23</v>
      </c>
    </row>
    <row r="5995" spans="1:11" ht="42" customHeight="1">
      <c r="A5995" s="4" t="s">
        <v>14311</v>
      </c>
      <c r="B5995" s="5" t="s">
        <v>14312</v>
      </c>
      <c r="C5995" s="5" t="s">
        <v>94</v>
      </c>
      <c r="D5995" s="5" t="s">
        <v>95</v>
      </c>
      <c r="E5995" s="5" t="s">
        <v>493</v>
      </c>
      <c r="F5995" s="9" t="s">
        <v>494</v>
      </c>
      <c r="G5995" s="9">
        <v>45</v>
      </c>
      <c r="H5995" s="5" t="s">
        <v>21</v>
      </c>
      <c r="I5995" s="5" t="s">
        <v>14313</v>
      </c>
      <c r="J5995" s="12" t="str">
        <f>HYPERLINK("https://www.boe.es/gazeta/dias/1808/01/12/pdfs/GMD-1808-4.pdf#page=9","Abrir facsímil")</f>
        <v>Abrir facsímil</v>
      </c>
      <c r="K5995" s="15" t="s">
        <v>23</v>
      </c>
    </row>
    <row r="5996" spans="1:11" ht="42" customHeight="1">
      <c r="A5996" s="4" t="s">
        <v>14314</v>
      </c>
      <c r="B5996" s="5" t="s">
        <v>14314</v>
      </c>
      <c r="C5996" s="5" t="s">
        <v>101</v>
      </c>
      <c r="D5996" s="5" t="s">
        <v>102</v>
      </c>
      <c r="E5996" s="5" t="s">
        <v>663</v>
      </c>
      <c r="F5996" s="9" t="s">
        <v>664</v>
      </c>
      <c r="G5996" s="9">
        <v>199</v>
      </c>
      <c r="H5996" s="5" t="s">
        <v>21</v>
      </c>
      <c r="I5996" s="5" t="s">
        <v>14315</v>
      </c>
      <c r="J5996" s="12" t="str">
        <f>HYPERLINK("https://www.boe.es/gazeta/dias/1808/02/26/pdfs/GMD-1808-17.pdf#page=1","Abrir facsímil")</f>
        <v>Abrir facsímil</v>
      </c>
      <c r="K5996" s="15" t="s">
        <v>23</v>
      </c>
    </row>
    <row r="5997" spans="1:11" ht="42" customHeight="1">
      <c r="A5997" s="4" t="s">
        <v>14314</v>
      </c>
      <c r="B5997" s="5" t="s">
        <v>14314</v>
      </c>
      <c r="C5997" s="5" t="s">
        <v>101</v>
      </c>
      <c r="D5997" s="5" t="s">
        <v>102</v>
      </c>
      <c r="E5997" s="5" t="s">
        <v>663</v>
      </c>
      <c r="F5997" s="9" t="s">
        <v>664</v>
      </c>
      <c r="G5997" s="9">
        <v>200</v>
      </c>
      <c r="H5997" s="5" t="s">
        <v>21</v>
      </c>
      <c r="I5997" s="5" t="s">
        <v>14316</v>
      </c>
      <c r="J5997" s="12" t="str">
        <f>HYPERLINK("https://www.boe.es/gazeta/dias/1808/02/26/pdfs/GMD-1808-17.pdf#page=2","Abrir facsímil")</f>
        <v>Abrir facsímil</v>
      </c>
      <c r="K5997" s="15" t="s">
        <v>23</v>
      </c>
    </row>
    <row r="5998" spans="1:11" ht="42" customHeight="1">
      <c r="A5998" s="4" t="s">
        <v>14317</v>
      </c>
      <c r="B5998" s="5" t="s">
        <v>14318</v>
      </c>
      <c r="C5998" s="5" t="s">
        <v>17</v>
      </c>
      <c r="D5998" s="5" t="s">
        <v>18</v>
      </c>
      <c r="E5998" s="5" t="s">
        <v>130</v>
      </c>
      <c r="F5998" s="9" t="s">
        <v>131</v>
      </c>
      <c r="G5998" s="9">
        <v>1602</v>
      </c>
      <c r="H5998" s="5" t="s">
        <v>21</v>
      </c>
      <c r="I5998" s="5" t="s">
        <v>14319</v>
      </c>
      <c r="J5998" s="12" t="str">
        <f>HYPERLINK("https://www.boe.es/gazeta/dias/1808/12/15/pdfs/GMD-1808-155.pdf#page=6","Abrir facsímil")</f>
        <v>Abrir facsímil</v>
      </c>
      <c r="K5998" s="15" t="s">
        <v>23</v>
      </c>
    </row>
    <row r="5999" spans="1:11" ht="42" customHeight="1">
      <c r="A5999" s="4" t="s">
        <v>14320</v>
      </c>
      <c r="B5999" s="5" t="s">
        <v>14321</v>
      </c>
      <c r="C5999" s="5" t="s">
        <v>17</v>
      </c>
      <c r="D5999" s="5" t="s">
        <v>18</v>
      </c>
      <c r="E5999" s="5" t="s">
        <v>339</v>
      </c>
      <c r="F5999" s="9" t="s">
        <v>340</v>
      </c>
      <c r="G5999" s="9">
        <v>79</v>
      </c>
      <c r="H5999" s="5" t="s">
        <v>21</v>
      </c>
      <c r="I5999" s="5" t="s">
        <v>14322</v>
      </c>
      <c r="J5999" s="12" t="str">
        <f>HYPERLINK("https://www.boe.es/gazeta/dias/1808/01/22/pdfs/GMD-1808-7.pdf#page=7","Abrir facsímil")</f>
        <v>Abrir facsímil</v>
      </c>
      <c r="K5999" s="15" t="s">
        <v>23</v>
      </c>
    </row>
    <row r="6000" spans="1:11" ht="42" customHeight="1">
      <c r="A6000" s="4" t="s">
        <v>14323</v>
      </c>
      <c r="B6000" s="5" t="s">
        <v>14324</v>
      </c>
      <c r="C6000" s="5" t="s">
        <v>33</v>
      </c>
      <c r="D6000" s="5" t="s">
        <v>34</v>
      </c>
      <c r="E6000" s="5" t="s">
        <v>35</v>
      </c>
      <c r="F6000" s="9" t="s">
        <v>36</v>
      </c>
      <c r="G6000" s="9" t="s">
        <v>37</v>
      </c>
      <c r="H6000" s="5" t="s">
        <v>21</v>
      </c>
      <c r="I6000" s="5" t="s">
        <v>14325</v>
      </c>
      <c r="J6000" s="12" t="str">
        <f>HYPERLINK("https://www.boe.es/gazeta/dias/1808/04/22/pdfs/GMD-C-1808-38.pdf#page=33","Abrir facsímil")</f>
        <v>Abrir facsímil</v>
      </c>
      <c r="K6000" s="15" t="s">
        <v>23</v>
      </c>
    </row>
    <row r="6001" spans="1:11" ht="42" customHeight="1">
      <c r="A6001" s="4" t="s">
        <v>14326</v>
      </c>
      <c r="B6001" s="5" t="s">
        <v>14327</v>
      </c>
      <c r="C6001" s="5" t="s">
        <v>33</v>
      </c>
      <c r="D6001" s="5" t="s">
        <v>34</v>
      </c>
      <c r="E6001" s="5" t="s">
        <v>153</v>
      </c>
      <c r="F6001" s="9" t="s">
        <v>154</v>
      </c>
      <c r="G6001" s="9" t="s">
        <v>117</v>
      </c>
      <c r="H6001" s="5" t="s">
        <v>21</v>
      </c>
      <c r="I6001" s="5" t="s">
        <v>14328</v>
      </c>
      <c r="J6001" s="12" t="str">
        <f>HYPERLINK("https://www.boe.es/gazeta/dias/1808/09/09/pdfs/GMD-C-1808-121.pdf#page=1","Abrir facsímil")</f>
        <v>Abrir facsímil</v>
      </c>
      <c r="K6001" s="15" t="s">
        <v>23</v>
      </c>
    </row>
    <row r="6002" spans="1:11" ht="42" customHeight="1">
      <c r="A6002" s="4" t="s">
        <v>14329</v>
      </c>
      <c r="B6002" s="5" t="s">
        <v>14329</v>
      </c>
      <c r="C6002" s="5" t="s">
        <v>41</v>
      </c>
      <c r="D6002" s="5" t="s">
        <v>42</v>
      </c>
      <c r="E6002" s="5" t="s">
        <v>110</v>
      </c>
      <c r="F6002" s="9" t="s">
        <v>111</v>
      </c>
      <c r="G6002" s="9">
        <v>1385</v>
      </c>
      <c r="H6002" s="5" t="s">
        <v>21</v>
      </c>
      <c r="I6002" s="5" t="s">
        <v>14330</v>
      </c>
      <c r="J6002" s="12" t="str">
        <f>HYPERLINK("https://www.boe.es/gazeta/dias/1808/10/28/pdfs/GMD-1808-138.pdf#page=11","Abrir facsímil")</f>
        <v>Abrir facsímil</v>
      </c>
      <c r="K6002" s="15" t="s">
        <v>23</v>
      </c>
    </row>
    <row r="6003" spans="1:11" ht="42" customHeight="1">
      <c r="A6003" s="4" t="s">
        <v>14331</v>
      </c>
      <c r="B6003" s="5" t="s">
        <v>14331</v>
      </c>
      <c r="C6003" s="5" t="s">
        <v>94</v>
      </c>
      <c r="D6003" s="5" t="s">
        <v>95</v>
      </c>
      <c r="E6003" s="5" t="s">
        <v>3951</v>
      </c>
      <c r="F6003" s="9" t="s">
        <v>3952</v>
      </c>
      <c r="G6003" s="9">
        <v>1647</v>
      </c>
      <c r="H6003" s="5" t="s">
        <v>21</v>
      </c>
      <c r="I6003" s="5" t="s">
        <v>14332</v>
      </c>
      <c r="J6003" s="12" t="str">
        <f>HYPERLINK("https://www.boe.es/gazeta/dias/1808/12/20/pdfs/GMD-1808-160.pdf#page=5","Abrir facsímil")</f>
        <v>Abrir facsímil</v>
      </c>
      <c r="K6003" s="15" t="s">
        <v>23</v>
      </c>
    </row>
    <row r="6004" spans="1:11" ht="42" customHeight="1">
      <c r="A6004" s="4" t="s">
        <v>14333</v>
      </c>
      <c r="B6004" s="5" t="s">
        <v>14334</v>
      </c>
      <c r="C6004" s="5" t="s">
        <v>41</v>
      </c>
      <c r="D6004" s="5" t="s">
        <v>42</v>
      </c>
      <c r="E6004" s="5" t="s">
        <v>65</v>
      </c>
      <c r="F6004" s="9" t="s">
        <v>105</v>
      </c>
      <c r="G6004" s="9" t="s">
        <v>117</v>
      </c>
      <c r="H6004" s="5" t="s">
        <v>21</v>
      </c>
      <c r="I6004" s="5" t="s">
        <v>14335</v>
      </c>
      <c r="J6004" s="12" t="str">
        <f>HYPERLINK("https://www.boe.es/gazeta/dias/1808/10/18/pdfs/GMD-D-1808-135.pdf#page=1","Abrir facsímil")</f>
        <v>Abrir facsímil</v>
      </c>
      <c r="K6004" s="15" t="s">
        <v>23</v>
      </c>
    </row>
    <row r="6005" spans="1:11" ht="42" customHeight="1">
      <c r="A6005" s="4" t="s">
        <v>14336</v>
      </c>
      <c r="B6005" s="5" t="s">
        <v>14337</v>
      </c>
      <c r="C6005" s="5" t="s">
        <v>17</v>
      </c>
      <c r="D6005" s="5" t="s">
        <v>18</v>
      </c>
      <c r="E6005" s="5" t="s">
        <v>84</v>
      </c>
      <c r="F6005" s="9" t="s">
        <v>85</v>
      </c>
      <c r="G6005" s="9">
        <v>1161</v>
      </c>
      <c r="H6005" s="5" t="s">
        <v>21</v>
      </c>
      <c r="I6005" s="5" t="s">
        <v>14338</v>
      </c>
      <c r="J6005" s="12" t="str">
        <f>HYPERLINK("https://www.boe.es/gazeta/dias/1808/09/13/pdfs/GMD-1808-123.pdf#page=9","Abrir facsímil")</f>
        <v>Abrir facsímil</v>
      </c>
      <c r="K6005" s="15" t="s">
        <v>23</v>
      </c>
    </row>
    <row r="6006" spans="1:11" ht="42" customHeight="1">
      <c r="A6006" s="4" t="s">
        <v>14339</v>
      </c>
      <c r="B6006" s="5" t="s">
        <v>14339</v>
      </c>
      <c r="C6006" s="5" t="s">
        <v>17</v>
      </c>
      <c r="D6006" s="5" t="s">
        <v>18</v>
      </c>
      <c r="E6006" s="5" t="s">
        <v>558</v>
      </c>
      <c r="F6006" s="9" t="s">
        <v>559</v>
      </c>
      <c r="G6006" s="9">
        <v>1545</v>
      </c>
      <c r="H6006" s="5" t="s">
        <v>21</v>
      </c>
      <c r="I6006" s="5" t="s">
        <v>14340</v>
      </c>
      <c r="J6006" s="12" t="str">
        <f>HYPERLINK("https://www.boe.es/gazeta/dias/1808/11/25/pdfs/GMD-1808-147.pdf#page=11","Abrir facsímil")</f>
        <v>Abrir facsímil</v>
      </c>
      <c r="K6006" s="15" t="s">
        <v>23</v>
      </c>
    </row>
    <row r="6007" spans="1:11" ht="42" customHeight="1">
      <c r="A6007" s="4" t="s">
        <v>14341</v>
      </c>
      <c r="B6007" s="5" t="s">
        <v>14341</v>
      </c>
      <c r="C6007" s="5" t="s">
        <v>17</v>
      </c>
      <c r="D6007" s="5" t="s">
        <v>18</v>
      </c>
      <c r="E6007" s="5" t="s">
        <v>334</v>
      </c>
      <c r="F6007" s="9" t="s">
        <v>1814</v>
      </c>
      <c r="G6007" s="9">
        <v>1247</v>
      </c>
      <c r="H6007" s="5" t="s">
        <v>21</v>
      </c>
      <c r="I6007" s="5" t="s">
        <v>14342</v>
      </c>
      <c r="J6007" s="12" t="str">
        <f>HYPERLINK("https://www.boe.es/gazeta/dias/1808/10/04/pdfs/GMD-1808-131.pdf#page=15","Abrir facsímil")</f>
        <v>Abrir facsímil</v>
      </c>
      <c r="K6007" s="15" t="s">
        <v>23</v>
      </c>
    </row>
    <row r="6008" spans="1:11" ht="42" customHeight="1">
      <c r="A6008" s="4" t="s">
        <v>14343</v>
      </c>
      <c r="B6008" s="5" t="s">
        <v>14343</v>
      </c>
      <c r="C6008" s="5" t="s">
        <v>17</v>
      </c>
      <c r="D6008" s="5" t="s">
        <v>18</v>
      </c>
      <c r="E6008" s="5" t="s">
        <v>125</v>
      </c>
      <c r="F6008" s="9" t="s">
        <v>397</v>
      </c>
      <c r="G6008" s="9">
        <v>1269</v>
      </c>
      <c r="H6008" s="5" t="s">
        <v>21</v>
      </c>
      <c r="I6008" s="5" t="s">
        <v>14344</v>
      </c>
      <c r="J6008" s="12" t="str">
        <f>HYPERLINK("https://www.boe.es/gazeta/dias/1808/10/07/pdfs/GMD-1808-132.pdf#page=9","Abrir facsímil")</f>
        <v>Abrir facsímil</v>
      </c>
      <c r="K6008" s="15" t="s">
        <v>23</v>
      </c>
    </row>
    <row r="6009" spans="1:11" ht="42" customHeight="1">
      <c r="A6009" s="4" t="s">
        <v>14345</v>
      </c>
      <c r="B6009" s="5" t="s">
        <v>14345</v>
      </c>
      <c r="C6009" s="5" t="s">
        <v>94</v>
      </c>
      <c r="D6009" s="5" t="s">
        <v>95</v>
      </c>
      <c r="E6009" s="5" t="s">
        <v>19</v>
      </c>
      <c r="F6009" s="9" t="s">
        <v>59</v>
      </c>
      <c r="G6009" s="9">
        <v>1228</v>
      </c>
      <c r="H6009" s="5" t="s">
        <v>21</v>
      </c>
      <c r="I6009" s="5" t="s">
        <v>14346</v>
      </c>
      <c r="J6009" s="12" t="str">
        <f>HYPERLINK("https://www.boe.es/gazeta/dias/1808/09/30/pdfs/GMD-1808-130.pdf#page=8","Abrir facsímil")</f>
        <v>Abrir facsímil</v>
      </c>
      <c r="K6009" s="15" t="s">
        <v>23</v>
      </c>
    </row>
    <row r="6010" spans="1:11" ht="42" customHeight="1">
      <c r="A6010" s="4" t="s">
        <v>14347</v>
      </c>
      <c r="B6010" s="5" t="s">
        <v>14347</v>
      </c>
      <c r="C6010" s="5" t="s">
        <v>41</v>
      </c>
      <c r="D6010" s="5" t="s">
        <v>42</v>
      </c>
      <c r="E6010" s="5" t="s">
        <v>180</v>
      </c>
      <c r="F6010" s="9" t="s">
        <v>768</v>
      </c>
      <c r="G6010" s="9" t="s">
        <v>117</v>
      </c>
      <c r="H6010" s="5" t="s">
        <v>21</v>
      </c>
      <c r="I6010" s="5" t="s">
        <v>14348</v>
      </c>
      <c r="J6010" s="12" t="str">
        <f>HYPERLINK("https://www.boe.es/gazeta/dias/1808/11/15/pdfs/GMD-D-1808-144.pdf#page=1","Abrir facsímil")</f>
        <v>Abrir facsímil</v>
      </c>
      <c r="K6010" s="15" t="s">
        <v>23</v>
      </c>
    </row>
    <row r="6011" spans="1:11" ht="42" customHeight="1">
      <c r="A6011" s="4" t="s">
        <v>14349</v>
      </c>
      <c r="B6011" s="5" t="s">
        <v>14349</v>
      </c>
      <c r="C6011" s="5" t="s">
        <v>33</v>
      </c>
      <c r="D6011" s="5" t="s">
        <v>34</v>
      </c>
      <c r="E6011" s="5" t="s">
        <v>264</v>
      </c>
      <c r="F6011" s="9" t="s">
        <v>318</v>
      </c>
      <c r="G6011" s="9" t="s">
        <v>117</v>
      </c>
      <c r="H6011" s="5" t="s">
        <v>21</v>
      </c>
      <c r="I6011" s="5" t="s">
        <v>14350</v>
      </c>
      <c r="J6011" s="12" t="str">
        <f>HYPERLINK("https://www.boe.es/gazeta/dias/1808/11/29/pdfs/GMD-C-1808-148.pdf#page=1","Abrir facsímil")</f>
        <v>Abrir facsímil</v>
      </c>
      <c r="K6011" s="15" t="s">
        <v>23</v>
      </c>
    </row>
    <row r="6012" spans="1:11" ht="42" customHeight="1">
      <c r="A6012" s="4" t="s">
        <v>14351</v>
      </c>
      <c r="B6012" s="5" t="s">
        <v>14351</v>
      </c>
      <c r="C6012" s="5" t="s">
        <v>33</v>
      </c>
      <c r="D6012" s="5" t="s">
        <v>34</v>
      </c>
      <c r="E6012" s="5" t="s">
        <v>427</v>
      </c>
      <c r="F6012" s="9" t="s">
        <v>428</v>
      </c>
      <c r="G6012" s="9" t="s">
        <v>199</v>
      </c>
      <c r="H6012" s="5" t="s">
        <v>21</v>
      </c>
      <c r="I6012" s="5" t="s">
        <v>14352</v>
      </c>
      <c r="J6012" s="12" t="str">
        <f>HYPERLINK("https://www.boe.es/gazeta/dias/1808/11/22/pdfs/GMD-D-1808-146.pdf#page=2","Abrir facsímil")</f>
        <v>Abrir facsímil</v>
      </c>
      <c r="K6012" s="15" t="s">
        <v>23</v>
      </c>
    </row>
    <row r="6013" spans="1:11" ht="42" customHeight="1">
      <c r="A6013" s="4" t="s">
        <v>14353</v>
      </c>
      <c r="B6013" s="5" t="s">
        <v>14354</v>
      </c>
      <c r="C6013" s="5" t="s">
        <v>17</v>
      </c>
      <c r="D6013" s="5" t="s">
        <v>18</v>
      </c>
      <c r="E6013" s="5" t="s">
        <v>130</v>
      </c>
      <c r="F6013" s="9" t="s">
        <v>131</v>
      </c>
      <c r="G6013" s="9">
        <v>1602</v>
      </c>
      <c r="H6013" s="5" t="s">
        <v>21</v>
      </c>
      <c r="I6013" s="5" t="s">
        <v>14355</v>
      </c>
      <c r="J6013" s="12" t="str">
        <f>HYPERLINK("https://www.boe.es/gazeta/dias/1808/12/15/pdfs/GMD-1808-155.pdf#page=6","Abrir facsímil")</f>
        <v>Abrir facsímil</v>
      </c>
      <c r="K6013" s="15" t="s">
        <v>23</v>
      </c>
    </row>
    <row r="6014" spans="1:11" ht="42" customHeight="1">
      <c r="A6014" s="4" t="s">
        <v>14356</v>
      </c>
      <c r="B6014" s="5" t="s">
        <v>14357</v>
      </c>
      <c r="C6014" s="5" t="s">
        <v>33</v>
      </c>
      <c r="D6014" s="5" t="s">
        <v>34</v>
      </c>
      <c r="E6014" s="5" t="s">
        <v>125</v>
      </c>
      <c r="F6014" s="9" t="s">
        <v>126</v>
      </c>
      <c r="G6014" s="9" t="s">
        <v>75</v>
      </c>
      <c r="H6014" s="5" t="s">
        <v>21</v>
      </c>
      <c r="I6014" s="5" t="s">
        <v>14358</v>
      </c>
      <c r="J6014" s="12" t="str">
        <f>HYPERLINK("https://www.boe.es/gazeta/dias/1808/10/07/pdfs/GMD-C-1808-132.pdf#page=4","Abrir facsímil")</f>
        <v>Abrir facsímil</v>
      </c>
      <c r="K6014" s="15" t="s">
        <v>23</v>
      </c>
    </row>
    <row r="6015" spans="1:11" ht="42" customHeight="1">
      <c r="A6015" s="4" t="s">
        <v>14359</v>
      </c>
      <c r="B6015" s="5" t="s">
        <v>14360</v>
      </c>
      <c r="C6015" s="5" t="s">
        <v>41</v>
      </c>
      <c r="D6015" s="5" t="s">
        <v>42</v>
      </c>
      <c r="E6015" s="5" t="s">
        <v>391</v>
      </c>
      <c r="F6015" s="9" t="s">
        <v>588</v>
      </c>
      <c r="G6015" s="9" t="s">
        <v>199</v>
      </c>
      <c r="H6015" s="5" t="s">
        <v>21</v>
      </c>
      <c r="I6015" s="5" t="s">
        <v>14361</v>
      </c>
      <c r="J6015" s="12" t="str">
        <f>HYPERLINK("https://www.boe.es/gazeta/dias/1808/09/27/pdfs/GMD-C-1808-128.pdf#page=2","Abrir facsímil")</f>
        <v>Abrir facsímil</v>
      </c>
      <c r="K6015" s="15" t="s">
        <v>23</v>
      </c>
    </row>
    <row r="6016" spans="1:11" ht="42" customHeight="1">
      <c r="A6016" s="4" t="s">
        <v>14362</v>
      </c>
      <c r="B6016" s="5" t="s">
        <v>14362</v>
      </c>
      <c r="C6016" s="5" t="s">
        <v>389</v>
      </c>
      <c r="D6016" s="5" t="s">
        <v>390</v>
      </c>
      <c r="E6016" s="5" t="s">
        <v>2598</v>
      </c>
      <c r="F6016" s="9" t="s">
        <v>2599</v>
      </c>
      <c r="G6016" s="9">
        <v>947</v>
      </c>
      <c r="H6016" s="5" t="s">
        <v>21</v>
      </c>
      <c r="I6016" s="5" t="s">
        <v>14363</v>
      </c>
      <c r="J6016" s="12" t="str">
        <f>HYPERLINK("https://www.boe.es/gazeta/dias/1808/08/01/pdfs/GMD-1808-104.pdf#page=5","Abrir facsímil")</f>
        <v>Abrir facsímil</v>
      </c>
      <c r="K6016" s="15" t="s">
        <v>23</v>
      </c>
    </row>
    <row r="6017" spans="1:11" ht="42" customHeight="1">
      <c r="A6017" s="4" t="s">
        <v>14364</v>
      </c>
      <c r="B6017" s="5" t="s">
        <v>14365</v>
      </c>
      <c r="C6017" s="5" t="s">
        <v>17</v>
      </c>
      <c r="D6017" s="5" t="s">
        <v>18</v>
      </c>
      <c r="E6017" s="5" t="s">
        <v>180</v>
      </c>
      <c r="F6017" s="9" t="s">
        <v>2568</v>
      </c>
      <c r="G6017" s="9">
        <v>1498</v>
      </c>
      <c r="H6017" s="5" t="s">
        <v>21</v>
      </c>
      <c r="I6017" s="5" t="s">
        <v>14366</v>
      </c>
      <c r="J6017" s="12" t="str">
        <f>HYPERLINK("https://www.boe.es/gazeta/dias/1808/11/15/pdfs/GMD-1808-144.pdf#page=12","Abrir facsímil")</f>
        <v>Abrir facsímil</v>
      </c>
      <c r="K6017" s="15" t="s">
        <v>23</v>
      </c>
    </row>
    <row r="6018" spans="1:11" ht="42" customHeight="1">
      <c r="A6018" s="4" t="s">
        <v>14367</v>
      </c>
      <c r="B6018" s="5" t="s">
        <v>14367</v>
      </c>
      <c r="C6018" s="5" t="s">
        <v>33</v>
      </c>
      <c r="D6018" s="5" t="s">
        <v>34</v>
      </c>
      <c r="E6018" s="5" t="s">
        <v>427</v>
      </c>
      <c r="F6018" s="9" t="s">
        <v>428</v>
      </c>
      <c r="G6018" s="9" t="s">
        <v>75</v>
      </c>
      <c r="H6018" s="5" t="s">
        <v>21</v>
      </c>
      <c r="I6018" s="5" t="s">
        <v>14368</v>
      </c>
      <c r="J6018" s="12" t="str">
        <f>HYPERLINK("https://www.boe.es/gazeta/dias/1808/11/22/pdfs/GMD-D-1808-146.pdf#page=4","Abrir facsímil")</f>
        <v>Abrir facsímil</v>
      </c>
      <c r="K6018" s="15" t="s">
        <v>23</v>
      </c>
    </row>
    <row r="6019" spans="1:11" ht="42" customHeight="1">
      <c r="A6019" s="4" t="s">
        <v>14369</v>
      </c>
      <c r="B6019" s="5" t="s">
        <v>14369</v>
      </c>
      <c r="C6019" s="5" t="s">
        <v>17</v>
      </c>
      <c r="D6019" s="5" t="s">
        <v>18</v>
      </c>
      <c r="E6019" s="5" t="s">
        <v>6282</v>
      </c>
      <c r="F6019" s="9" t="s">
        <v>6283</v>
      </c>
      <c r="G6019" s="9">
        <v>652</v>
      </c>
      <c r="H6019" s="5" t="s">
        <v>21</v>
      </c>
      <c r="I6019" s="5" t="s">
        <v>14370</v>
      </c>
      <c r="J6019" s="12" t="str">
        <f>HYPERLINK("https://www.boe.es/gazeta/dias/1808/06/25/pdfs/GMD-1808-67.pdf#page=6","Abrir facsímil")</f>
        <v>Abrir facsímil</v>
      </c>
      <c r="K6019" s="15" t="s">
        <v>23</v>
      </c>
    </row>
    <row r="6020" spans="1:11" ht="42" customHeight="1">
      <c r="A6020" s="4" t="s">
        <v>14369</v>
      </c>
      <c r="B6020" s="5" t="s">
        <v>14369</v>
      </c>
      <c r="C6020" s="5" t="s">
        <v>41</v>
      </c>
      <c r="D6020" s="5" t="s">
        <v>42</v>
      </c>
      <c r="E6020" s="5" t="s">
        <v>73</v>
      </c>
      <c r="F6020" s="9" t="s">
        <v>581</v>
      </c>
      <c r="G6020" s="9">
        <v>1469</v>
      </c>
      <c r="H6020" s="5" t="s">
        <v>21</v>
      </c>
      <c r="I6020" s="5" t="s">
        <v>14371</v>
      </c>
      <c r="J6020" s="12" t="str">
        <f>HYPERLINK("https://www.boe.es/gazeta/dias/1808/11/11/pdfs/GMD-1808-143.pdf#page=11","Abrir facsímil")</f>
        <v>Abrir facsímil</v>
      </c>
      <c r="K6020" s="15" t="s">
        <v>23</v>
      </c>
    </row>
    <row r="6021" spans="1:11" ht="42" customHeight="1">
      <c r="A6021" s="4" t="s">
        <v>14372</v>
      </c>
      <c r="B6021" s="5" t="s">
        <v>14372</v>
      </c>
      <c r="C6021" s="5" t="s">
        <v>94</v>
      </c>
      <c r="D6021" s="5" t="s">
        <v>95</v>
      </c>
      <c r="E6021" s="5" t="s">
        <v>2281</v>
      </c>
      <c r="F6021" s="9" t="s">
        <v>2282</v>
      </c>
      <c r="G6021" s="9">
        <v>423</v>
      </c>
      <c r="H6021" s="5" t="s">
        <v>21</v>
      </c>
      <c r="I6021" s="5" t="s">
        <v>14373</v>
      </c>
      <c r="J6021" s="12" t="str">
        <f>HYPERLINK("https://www.boe.es/gazeta/dias/1808/04/29/pdfs/GMD-1808-42.pdf#page=7","Abrir facsímil")</f>
        <v>Abrir facsímil</v>
      </c>
      <c r="K6021" s="15" t="s">
        <v>23</v>
      </c>
    </row>
    <row r="6022" spans="1:11" ht="42" customHeight="1">
      <c r="A6022" s="4" t="s">
        <v>14374</v>
      </c>
      <c r="B6022" s="5" t="s">
        <v>14375</v>
      </c>
      <c r="C6022" s="5" t="s">
        <v>260</v>
      </c>
      <c r="D6022" s="5" t="s">
        <v>42</v>
      </c>
      <c r="E6022" s="5" t="s">
        <v>991</v>
      </c>
      <c r="F6022" s="9" t="s">
        <v>992</v>
      </c>
      <c r="G6022" s="9">
        <v>218</v>
      </c>
      <c r="H6022" s="5" t="s">
        <v>21</v>
      </c>
      <c r="I6022" s="5" t="s">
        <v>14376</v>
      </c>
      <c r="J6022" s="12" t="str">
        <f>HYPERLINK("https://www.boe.es/gazeta/dias/1808/03/01/pdfs/GMD-1808-18.pdf#page=8","Abrir facsímil")</f>
        <v>Abrir facsímil</v>
      </c>
      <c r="K6022" s="15" t="s">
        <v>23</v>
      </c>
    </row>
    <row r="6023" spans="1:11" ht="42" customHeight="1">
      <c r="A6023" s="4" t="s">
        <v>14377</v>
      </c>
      <c r="B6023" s="5" t="s">
        <v>14378</v>
      </c>
      <c r="C6023" s="5" t="s">
        <v>41</v>
      </c>
      <c r="D6023" s="5" t="s">
        <v>42</v>
      </c>
      <c r="E6023" s="5" t="s">
        <v>456</v>
      </c>
      <c r="F6023" s="9" t="s">
        <v>457</v>
      </c>
      <c r="G6023" s="9">
        <v>1297</v>
      </c>
      <c r="H6023" s="5" t="s">
        <v>21</v>
      </c>
      <c r="I6023" s="5" t="s">
        <v>14379</v>
      </c>
      <c r="J6023" s="12" t="str">
        <f>HYPERLINK("https://www.boe.es/gazeta/dias/1808/10/14/pdfs/GMD-1808-134.pdf#page=9","Abrir facsímil")</f>
        <v>Abrir facsímil</v>
      </c>
      <c r="K6023" s="15" t="s">
        <v>23</v>
      </c>
    </row>
    <row r="6024" spans="1:11" ht="42" customHeight="1">
      <c r="A6024" s="4" t="s">
        <v>14380</v>
      </c>
      <c r="B6024" s="5" t="s">
        <v>14381</v>
      </c>
      <c r="C6024" s="5" t="s">
        <v>17</v>
      </c>
      <c r="D6024" s="5" t="s">
        <v>18</v>
      </c>
      <c r="E6024" s="5" t="s">
        <v>197</v>
      </c>
      <c r="F6024" s="9" t="s">
        <v>857</v>
      </c>
      <c r="G6024" s="9">
        <v>357</v>
      </c>
      <c r="H6024" s="5" t="s">
        <v>21</v>
      </c>
      <c r="I6024" s="5" t="s">
        <v>14382</v>
      </c>
      <c r="J6024" s="12" t="str">
        <f>HYPERLINK("https://www.boe.es/gazeta/dias/1808/11/01/pdfs/GMS-1808-45.pdf#page=5","Abrir facsímil")</f>
        <v>Abrir facsímil</v>
      </c>
      <c r="K6024" s="15" t="s">
        <v>23</v>
      </c>
    </row>
    <row r="6025" spans="1:11" ht="42" customHeight="1">
      <c r="A6025" s="4" t="s">
        <v>14383</v>
      </c>
      <c r="B6025" s="5" t="s">
        <v>14384</v>
      </c>
      <c r="C6025" s="5" t="s">
        <v>17</v>
      </c>
      <c r="D6025" s="5" t="s">
        <v>18</v>
      </c>
      <c r="E6025" s="5" t="s">
        <v>616</v>
      </c>
      <c r="F6025" s="9" t="s">
        <v>617</v>
      </c>
      <c r="G6025" s="9">
        <v>1041</v>
      </c>
      <c r="H6025" s="5" t="s">
        <v>21</v>
      </c>
      <c r="I6025" s="5" t="s">
        <v>14385</v>
      </c>
      <c r="J6025" s="12" t="str">
        <f>HYPERLINK("https://www.boe.es/gazeta/dias/1808/08/19/pdfs/GMD-1808-115.pdf#page=7","Abrir facsímil")</f>
        <v>Abrir facsímil</v>
      </c>
      <c r="K6025" s="15" t="s">
        <v>23</v>
      </c>
    </row>
    <row r="6026" spans="1:11" ht="42" customHeight="1">
      <c r="A6026" s="4" t="s">
        <v>14386</v>
      </c>
      <c r="B6026" s="5" t="s">
        <v>14387</v>
      </c>
      <c r="C6026" s="5" t="s">
        <v>94</v>
      </c>
      <c r="D6026" s="5" t="s">
        <v>95</v>
      </c>
      <c r="E6026" s="5" t="s">
        <v>539</v>
      </c>
      <c r="F6026" s="9" t="s">
        <v>540</v>
      </c>
      <c r="G6026" s="9">
        <v>1113</v>
      </c>
      <c r="H6026" s="5" t="s">
        <v>21</v>
      </c>
      <c r="I6026" s="5" t="s">
        <v>14388</v>
      </c>
      <c r="J6026" s="12" t="str">
        <f>HYPERLINK("https://www.boe.es/gazeta/dias/1808/09/02/pdfs/GMD-1808-119.pdf#page=7","Abrir facsímil")</f>
        <v>Abrir facsímil</v>
      </c>
      <c r="K6026" s="15" t="s">
        <v>23</v>
      </c>
    </row>
    <row r="6027" spans="1:11" ht="42" customHeight="1">
      <c r="A6027" s="4" t="s">
        <v>14386</v>
      </c>
      <c r="B6027" s="5" t="s">
        <v>14387</v>
      </c>
      <c r="C6027" s="5" t="s">
        <v>17</v>
      </c>
      <c r="D6027" s="5" t="s">
        <v>18</v>
      </c>
      <c r="E6027" s="5" t="s">
        <v>65</v>
      </c>
      <c r="F6027" s="9" t="s">
        <v>7955</v>
      </c>
      <c r="G6027" s="9">
        <v>325</v>
      </c>
      <c r="H6027" s="5" t="s">
        <v>21</v>
      </c>
      <c r="I6027" s="5" t="s">
        <v>14389</v>
      </c>
      <c r="J6027" s="12" t="str">
        <f>HYPERLINK("https://www.boe.es/gazeta/dias/1808/10/18/pdfs/GMS-1808-41.pdf#page=5","Abrir facsímil")</f>
        <v>Abrir facsímil</v>
      </c>
      <c r="K6027" s="15" t="s">
        <v>23</v>
      </c>
    </row>
    <row r="6028" spans="1:11" ht="42" customHeight="1">
      <c r="A6028" s="4" t="s">
        <v>14390</v>
      </c>
      <c r="B6028" s="5" t="s">
        <v>14391</v>
      </c>
      <c r="C6028" s="5" t="s">
        <v>94</v>
      </c>
      <c r="D6028" s="5" t="s">
        <v>95</v>
      </c>
      <c r="E6028" s="5" t="s">
        <v>539</v>
      </c>
      <c r="F6028" s="9" t="s">
        <v>540</v>
      </c>
      <c r="G6028" s="9">
        <v>1112</v>
      </c>
      <c r="H6028" s="5" t="s">
        <v>21</v>
      </c>
      <c r="I6028" s="5" t="s">
        <v>14392</v>
      </c>
      <c r="J6028" s="12" t="str">
        <f>HYPERLINK("https://www.boe.es/gazeta/dias/1808/09/02/pdfs/GMD-1808-119.pdf#page=6","Abrir facsímil")</f>
        <v>Abrir facsímil</v>
      </c>
      <c r="K6028" s="15" t="s">
        <v>23</v>
      </c>
    </row>
    <row r="6029" spans="1:11" ht="42" customHeight="1">
      <c r="A6029" s="4" t="s">
        <v>14390</v>
      </c>
      <c r="B6029" s="5" t="s">
        <v>14391</v>
      </c>
      <c r="C6029" s="5" t="s">
        <v>33</v>
      </c>
      <c r="D6029" s="5" t="s">
        <v>34</v>
      </c>
      <c r="E6029" s="5" t="s">
        <v>418</v>
      </c>
      <c r="F6029" s="9" t="s">
        <v>419</v>
      </c>
      <c r="G6029" s="9">
        <v>1131</v>
      </c>
      <c r="H6029" s="5" t="s">
        <v>21</v>
      </c>
      <c r="I6029" s="5" t="s">
        <v>14393</v>
      </c>
      <c r="J6029" s="12" t="str">
        <f>HYPERLINK("https://www.boe.es/gazeta/dias/1808/09/06/pdfs/GMD-C-1808-120.pdf#page=5","Abrir facsímil")</f>
        <v>Abrir facsímil</v>
      </c>
      <c r="K6029" s="15" t="s">
        <v>23</v>
      </c>
    </row>
    <row r="6030" spans="1:11" ht="42" customHeight="1">
      <c r="A6030" s="4" t="s">
        <v>14390</v>
      </c>
      <c r="B6030" s="5" t="s">
        <v>14391</v>
      </c>
      <c r="C6030" s="5" t="s">
        <v>17</v>
      </c>
      <c r="D6030" s="5" t="s">
        <v>18</v>
      </c>
      <c r="E6030" s="5" t="s">
        <v>197</v>
      </c>
      <c r="F6030" s="9" t="s">
        <v>857</v>
      </c>
      <c r="G6030" s="9">
        <v>357</v>
      </c>
      <c r="H6030" s="5" t="s">
        <v>21</v>
      </c>
      <c r="I6030" s="5" t="s">
        <v>14394</v>
      </c>
      <c r="J6030" s="12" t="str">
        <f>HYPERLINK("https://www.boe.es/gazeta/dias/1808/11/01/pdfs/GMS-1808-45.pdf#page=5","Abrir facsímil")</f>
        <v>Abrir facsímil</v>
      </c>
      <c r="K6030" s="15" t="s">
        <v>23</v>
      </c>
    </row>
    <row r="6031" spans="1:11" ht="42" customHeight="1">
      <c r="A6031" s="4" t="s">
        <v>14395</v>
      </c>
      <c r="B6031" s="5" t="s">
        <v>14396</v>
      </c>
      <c r="C6031" s="5" t="s">
        <v>33</v>
      </c>
      <c r="D6031" s="5" t="s">
        <v>34</v>
      </c>
      <c r="E6031" s="5" t="s">
        <v>19</v>
      </c>
      <c r="F6031" s="9" t="s">
        <v>949</v>
      </c>
      <c r="G6031" s="9" t="s">
        <v>75</v>
      </c>
      <c r="H6031" s="5" t="s">
        <v>21</v>
      </c>
      <c r="I6031" s="5" t="s">
        <v>14397</v>
      </c>
      <c r="J6031" s="12" t="str">
        <f>HYPERLINK("https://www.boe.es/gazeta/dias/1808/09/30/pdfs/GMD-C-1808-130.pdf#page=4","Abrir facsímil")</f>
        <v>Abrir facsímil</v>
      </c>
      <c r="K6031" s="15" t="s">
        <v>23</v>
      </c>
    </row>
    <row r="6032" spans="1:11" ht="42" customHeight="1">
      <c r="A6032" s="4" t="s">
        <v>14398</v>
      </c>
      <c r="B6032" s="5" t="s">
        <v>14399</v>
      </c>
      <c r="C6032" s="5" t="s">
        <v>17</v>
      </c>
      <c r="D6032" s="5" t="s">
        <v>18</v>
      </c>
      <c r="E6032" s="5" t="s">
        <v>65</v>
      </c>
      <c r="F6032" s="9" t="s">
        <v>66</v>
      </c>
      <c r="G6032" s="9">
        <v>1310</v>
      </c>
      <c r="H6032" s="5" t="s">
        <v>21</v>
      </c>
      <c r="I6032" s="5" t="s">
        <v>14400</v>
      </c>
      <c r="J6032" s="12" t="str">
        <f>HYPERLINK("https://www.boe.es/gazeta/dias/1808/10/18/pdfs/GMD-1808-135.pdf#page=10","Abrir facsímil")</f>
        <v>Abrir facsímil</v>
      </c>
      <c r="K6032" s="15" t="s">
        <v>23</v>
      </c>
    </row>
    <row r="6033" spans="1:11" ht="42" customHeight="1">
      <c r="A6033" s="4" t="s">
        <v>14401</v>
      </c>
      <c r="B6033" s="5" t="s">
        <v>14401</v>
      </c>
      <c r="C6033" s="5" t="s">
        <v>101</v>
      </c>
      <c r="D6033" s="5" t="s">
        <v>102</v>
      </c>
      <c r="E6033" s="5" t="s">
        <v>2555</v>
      </c>
      <c r="F6033" s="9" t="s">
        <v>2556</v>
      </c>
      <c r="G6033" s="9">
        <v>123</v>
      </c>
      <c r="H6033" s="5" t="s">
        <v>21</v>
      </c>
      <c r="I6033" s="5" t="s">
        <v>14402</v>
      </c>
      <c r="J6033" s="12" t="str">
        <f>HYPERLINK("https://www.boe.es/gazeta/dias/1808/02/05/pdfs/GMD-1808-11.pdf#page=3","Abrir facsímil")</f>
        <v>Abrir facsímil</v>
      </c>
      <c r="K6033" s="15" t="s">
        <v>23</v>
      </c>
    </row>
    <row r="6034" spans="1:11" ht="42" customHeight="1">
      <c r="A6034" s="4" t="s">
        <v>14403</v>
      </c>
      <c r="B6034" s="5" t="s">
        <v>14404</v>
      </c>
      <c r="C6034" s="5" t="s">
        <v>17</v>
      </c>
      <c r="D6034" s="5" t="s">
        <v>18</v>
      </c>
      <c r="E6034" s="5" t="s">
        <v>185</v>
      </c>
      <c r="F6034" s="9" t="s">
        <v>6822</v>
      </c>
      <c r="G6034" s="9">
        <v>215</v>
      </c>
      <c r="H6034" s="5" t="s">
        <v>21</v>
      </c>
      <c r="I6034" s="5" t="s">
        <v>14405</v>
      </c>
      <c r="J6034" s="12" t="str">
        <f>HYPERLINK("https://www.boe.es/gazeta/dias/1808/08/30/pdfs/GMS-1808-27.pdf#page=7","Abrir facsímil")</f>
        <v>Abrir facsímil</v>
      </c>
      <c r="K6034" s="15" t="s">
        <v>23</v>
      </c>
    </row>
    <row r="6035" spans="1:11" ht="42" customHeight="1">
      <c r="A6035" s="4" t="s">
        <v>14406</v>
      </c>
      <c r="B6035" s="5" t="s">
        <v>14407</v>
      </c>
      <c r="C6035" s="5" t="s">
        <v>17</v>
      </c>
      <c r="D6035" s="5" t="s">
        <v>18</v>
      </c>
      <c r="E6035" s="5" t="s">
        <v>508</v>
      </c>
      <c r="F6035" s="9" t="s">
        <v>5993</v>
      </c>
      <c r="G6035" s="9">
        <v>184</v>
      </c>
      <c r="H6035" s="5" t="s">
        <v>21</v>
      </c>
      <c r="I6035" s="5" t="s">
        <v>14408</v>
      </c>
      <c r="J6035" s="12" t="str">
        <f>HYPERLINK("https://www.boe.es/gazeta/dias/1808/08/16/pdfs/GMS-1808-23.pdf#page=8","Abrir facsímil")</f>
        <v>Abrir facsímil</v>
      </c>
      <c r="K6035" s="15" t="s">
        <v>23</v>
      </c>
    </row>
    <row r="6036" spans="1:11" ht="42" customHeight="1">
      <c r="A6036" s="4" t="s">
        <v>14409</v>
      </c>
      <c r="B6036" s="5" t="s">
        <v>14410</v>
      </c>
      <c r="C6036" s="5" t="s">
        <v>17</v>
      </c>
      <c r="D6036" s="5" t="s">
        <v>18</v>
      </c>
      <c r="E6036" s="5" t="s">
        <v>110</v>
      </c>
      <c r="F6036" s="9" t="s">
        <v>111</v>
      </c>
      <c r="G6036" s="9">
        <v>1384</v>
      </c>
      <c r="H6036" s="5" t="s">
        <v>21</v>
      </c>
      <c r="I6036" s="5" t="s">
        <v>14411</v>
      </c>
      <c r="J6036" s="12" t="str">
        <f>HYPERLINK("https://www.boe.es/gazeta/dias/1808/10/28/pdfs/GMD-1808-138.pdf#page=10","Abrir facsímil")</f>
        <v>Abrir facsímil</v>
      </c>
      <c r="K6036" s="15" t="s">
        <v>23</v>
      </c>
    </row>
    <row r="6037" spans="1:11" ht="42" customHeight="1">
      <c r="A6037" s="4" t="s">
        <v>14412</v>
      </c>
      <c r="B6037" s="5" t="s">
        <v>14412</v>
      </c>
      <c r="C6037" s="5" t="s">
        <v>17</v>
      </c>
      <c r="D6037" s="5" t="s">
        <v>18</v>
      </c>
      <c r="E6037" s="5" t="s">
        <v>2639</v>
      </c>
      <c r="F6037" s="9" t="s">
        <v>2640</v>
      </c>
      <c r="G6037" s="9">
        <v>117</v>
      </c>
      <c r="H6037" s="5" t="s">
        <v>21</v>
      </c>
      <c r="I6037" s="5" t="s">
        <v>14413</v>
      </c>
      <c r="J6037" s="12" t="str">
        <f>HYPERLINK("https://www.boe.es/gazeta/dias/1808/07/20/pdfs/GMS-1808-15.pdf#page=5","Abrir facsímil")</f>
        <v>Abrir facsímil</v>
      </c>
      <c r="K6037" s="15" t="s">
        <v>23</v>
      </c>
    </row>
    <row r="6038" spans="1:11" ht="42" customHeight="1">
      <c r="A6038" s="4" t="s">
        <v>14414</v>
      </c>
      <c r="B6038" s="5" t="s">
        <v>14414</v>
      </c>
      <c r="C6038" s="5" t="s">
        <v>94</v>
      </c>
      <c r="D6038" s="5" t="s">
        <v>95</v>
      </c>
      <c r="E6038" s="5" t="s">
        <v>391</v>
      </c>
      <c r="F6038" s="9" t="s">
        <v>454</v>
      </c>
      <c r="G6038" s="9">
        <v>274</v>
      </c>
      <c r="H6038" s="5" t="s">
        <v>21</v>
      </c>
      <c r="I6038" s="5" t="s">
        <v>14415</v>
      </c>
      <c r="J6038" s="12" t="str">
        <f>HYPERLINK("https://www.boe.es/gazeta/dias/1808/09/27/pdfs/GMS-1808-35.pdf#page=2","Abrir facsímil")</f>
        <v>Abrir facsímil</v>
      </c>
      <c r="K6038" s="15" t="s">
        <v>23</v>
      </c>
    </row>
    <row r="6039" spans="1:11" ht="42" customHeight="1">
      <c r="A6039" s="4" t="s">
        <v>14416</v>
      </c>
      <c r="B6039" s="5" t="s">
        <v>14416</v>
      </c>
      <c r="C6039" s="5" t="s">
        <v>17</v>
      </c>
      <c r="D6039" s="5" t="s">
        <v>18</v>
      </c>
      <c r="E6039" s="5" t="s">
        <v>1791</v>
      </c>
      <c r="F6039" s="9" t="s">
        <v>1792</v>
      </c>
      <c r="G6039" s="9">
        <v>140</v>
      </c>
      <c r="H6039" s="5" t="s">
        <v>21</v>
      </c>
      <c r="I6039" s="5" t="s">
        <v>14417</v>
      </c>
      <c r="J6039" s="12" t="str">
        <f>HYPERLINK("https://www.boe.es/gazeta/dias/1808/07/30/pdfs/GMS-1808-18.pdf#page=4","Abrir facsímil")</f>
        <v>Abrir facsímil</v>
      </c>
      <c r="K6039" s="15" t="s">
        <v>23</v>
      </c>
    </row>
    <row r="6040" spans="1:11" ht="42" customHeight="1">
      <c r="A6040" s="4" t="s">
        <v>14418</v>
      </c>
      <c r="B6040" s="5" t="s">
        <v>14418</v>
      </c>
      <c r="C6040" s="5" t="s">
        <v>17</v>
      </c>
      <c r="D6040" s="5" t="s">
        <v>18</v>
      </c>
      <c r="E6040" s="5" t="s">
        <v>351</v>
      </c>
      <c r="F6040" s="9" t="s">
        <v>352</v>
      </c>
      <c r="G6040" s="9">
        <v>26</v>
      </c>
      <c r="H6040" s="5" t="s">
        <v>21</v>
      </c>
      <c r="I6040" s="5" t="s">
        <v>14419</v>
      </c>
      <c r="J6040" s="12" t="str">
        <f>HYPERLINK("https://www.boe.es/gazeta/dias/1808/06/11/pdfs/GMS-1808-4.pdf#page=2","Abrir facsímil")</f>
        <v>Abrir facsímil</v>
      </c>
      <c r="K6040" s="15" t="s">
        <v>23</v>
      </c>
    </row>
    <row r="6041" spans="1:11" ht="42" customHeight="1">
      <c r="A6041" s="4" t="s">
        <v>14420</v>
      </c>
      <c r="B6041" s="5" t="s">
        <v>14420</v>
      </c>
      <c r="C6041" s="5" t="s">
        <v>17</v>
      </c>
      <c r="D6041" s="5" t="s">
        <v>18</v>
      </c>
      <c r="E6041" s="5" t="s">
        <v>7340</v>
      </c>
      <c r="F6041" s="9" t="s">
        <v>7341</v>
      </c>
      <c r="G6041" s="9">
        <v>434</v>
      </c>
      <c r="H6041" s="5" t="s">
        <v>21</v>
      </c>
      <c r="I6041" s="5" t="s">
        <v>14421</v>
      </c>
      <c r="J6041" s="12" t="str">
        <f>HYPERLINK("https://www.boe.es/gazeta/dias/1808/12/06/pdfs/GMS-1808-55.pdf#page=2","Abrir facsímil")</f>
        <v>Abrir facsímil</v>
      </c>
      <c r="K6041" s="15" t="s">
        <v>23</v>
      </c>
    </row>
    <row r="6042" spans="1:11" ht="42" customHeight="1">
      <c r="A6042" s="4" t="s">
        <v>14422</v>
      </c>
      <c r="B6042" s="5" t="s">
        <v>14422</v>
      </c>
      <c r="C6042" s="5" t="s">
        <v>101</v>
      </c>
      <c r="D6042" s="5" t="s">
        <v>102</v>
      </c>
      <c r="E6042" s="5" t="s">
        <v>558</v>
      </c>
      <c r="F6042" s="9" t="s">
        <v>559</v>
      </c>
      <c r="G6042" s="9">
        <v>1536</v>
      </c>
      <c r="H6042" s="5" t="s">
        <v>21</v>
      </c>
      <c r="I6042" s="5" t="s">
        <v>14423</v>
      </c>
      <c r="J6042" s="12" t="str">
        <f>HYPERLINK("https://www.boe.es/gazeta/dias/1808/11/25/pdfs/GMD-1808-147.pdf#page=2","Abrir facsímil")</f>
        <v>Abrir facsímil</v>
      </c>
      <c r="K6042" s="15" t="s">
        <v>23</v>
      </c>
    </row>
    <row r="6043" spans="1:11" ht="42" customHeight="1">
      <c r="A6043" s="4" t="s">
        <v>14424</v>
      </c>
      <c r="B6043" s="5" t="s">
        <v>14424</v>
      </c>
      <c r="C6043" s="5" t="s">
        <v>17</v>
      </c>
      <c r="D6043" s="5" t="s">
        <v>18</v>
      </c>
      <c r="E6043" s="5" t="s">
        <v>351</v>
      </c>
      <c r="F6043" s="9" t="s">
        <v>352</v>
      </c>
      <c r="G6043" s="9">
        <v>27</v>
      </c>
      <c r="H6043" s="5" t="s">
        <v>21</v>
      </c>
      <c r="I6043" s="5" t="s">
        <v>14425</v>
      </c>
      <c r="J6043" s="12" t="str">
        <f>HYPERLINK("https://www.boe.es/gazeta/dias/1808/06/11/pdfs/GMS-1808-4.pdf#page=3","Abrir facsímil")</f>
        <v>Abrir facsímil</v>
      </c>
      <c r="K6043" s="15" t="s">
        <v>23</v>
      </c>
    </row>
    <row r="6044" spans="1:11" ht="42" customHeight="1">
      <c r="A6044" s="4" t="s">
        <v>14426</v>
      </c>
      <c r="B6044" s="5" t="s">
        <v>14426</v>
      </c>
      <c r="C6044" s="5" t="s">
        <v>17</v>
      </c>
      <c r="D6044" s="5" t="s">
        <v>18</v>
      </c>
      <c r="E6044" s="5" t="s">
        <v>877</v>
      </c>
      <c r="F6044" s="9" t="s">
        <v>878</v>
      </c>
      <c r="G6044" s="9">
        <v>115</v>
      </c>
      <c r="H6044" s="5" t="s">
        <v>21</v>
      </c>
      <c r="I6044" s="5" t="s">
        <v>14427</v>
      </c>
      <c r="J6044" s="12" t="str">
        <f>HYPERLINK("https://www.boe.es/gazeta/dias/1808/02/02/pdfs/GMD-1808-10.pdf#page=7","Abrir facsímil")</f>
        <v>Abrir facsímil</v>
      </c>
      <c r="K6044" s="15" t="s">
        <v>23</v>
      </c>
    </row>
    <row r="6045" spans="1:11" ht="42" customHeight="1">
      <c r="A6045" s="4" t="s">
        <v>14428</v>
      </c>
      <c r="B6045" s="5" t="s">
        <v>14428</v>
      </c>
      <c r="C6045" s="5" t="s">
        <v>101</v>
      </c>
      <c r="D6045" s="5" t="s">
        <v>102</v>
      </c>
      <c r="E6045" s="5" t="s">
        <v>203</v>
      </c>
      <c r="F6045" s="9" t="s">
        <v>204</v>
      </c>
      <c r="G6045" s="9">
        <v>133</v>
      </c>
      <c r="H6045" s="5" t="s">
        <v>21</v>
      </c>
      <c r="I6045" s="5" t="s">
        <v>14429</v>
      </c>
      <c r="J6045" s="12" t="str">
        <f>HYPERLINK("https://www.boe.es/gazeta/dias/1808/02/09/pdfs/GMD-1808-12.pdf#page=1","Abrir facsímil")</f>
        <v>Abrir facsímil</v>
      </c>
      <c r="K6045" s="15" t="s">
        <v>23</v>
      </c>
    </row>
    <row r="6046" spans="1:11" ht="42" customHeight="1">
      <c r="A6046" s="4" t="s">
        <v>14428</v>
      </c>
      <c r="B6046" s="5" t="s">
        <v>14428</v>
      </c>
      <c r="C6046" s="5" t="s">
        <v>101</v>
      </c>
      <c r="D6046" s="5" t="s">
        <v>102</v>
      </c>
      <c r="E6046" s="5" t="s">
        <v>1671</v>
      </c>
      <c r="F6046" s="9" t="s">
        <v>1672</v>
      </c>
      <c r="G6046" s="9">
        <v>476</v>
      </c>
      <c r="H6046" s="5" t="s">
        <v>21</v>
      </c>
      <c r="I6046" s="5" t="s">
        <v>14430</v>
      </c>
      <c r="J6046" s="12" t="str">
        <f>HYPERLINK("https://www.boe.es/gazeta/dias/1808/05/20/pdfs/GMD-1808-48.pdf#page=4","Abrir facsímil")</f>
        <v>Abrir facsímil</v>
      </c>
      <c r="K6046" s="15" t="s">
        <v>23</v>
      </c>
    </row>
    <row r="6047" spans="1:11" ht="42" customHeight="1">
      <c r="A6047" s="4" t="s">
        <v>14428</v>
      </c>
      <c r="B6047" s="5" t="s">
        <v>14428</v>
      </c>
      <c r="C6047" s="5" t="s">
        <v>101</v>
      </c>
      <c r="D6047" s="5" t="s">
        <v>102</v>
      </c>
      <c r="E6047" s="5" t="s">
        <v>228</v>
      </c>
      <c r="F6047" s="9" t="s">
        <v>229</v>
      </c>
      <c r="G6047" s="9">
        <v>831</v>
      </c>
      <c r="H6047" s="5" t="s">
        <v>21</v>
      </c>
      <c r="I6047" s="5" t="s">
        <v>14431</v>
      </c>
      <c r="J6047" s="12" t="str">
        <f>HYPERLINK("https://www.boe.es/gazeta/dias/1808/07/18/pdfs/GMD-1808-90.pdf#page=1","Abrir facsímil")</f>
        <v>Abrir facsímil</v>
      </c>
      <c r="K6047" s="15" t="s">
        <v>23</v>
      </c>
    </row>
    <row r="6048" spans="1:11" ht="42" customHeight="1">
      <c r="A6048" s="4" t="s">
        <v>14428</v>
      </c>
      <c r="B6048" s="5" t="s">
        <v>14428</v>
      </c>
      <c r="C6048" s="5" t="s">
        <v>17</v>
      </c>
      <c r="D6048" s="5" t="s">
        <v>18</v>
      </c>
      <c r="E6048" s="5" t="s">
        <v>431</v>
      </c>
      <c r="F6048" s="9" t="s">
        <v>432</v>
      </c>
      <c r="G6048" s="9">
        <v>487</v>
      </c>
      <c r="H6048" s="5" t="s">
        <v>21</v>
      </c>
      <c r="I6048" s="5" t="s">
        <v>14432</v>
      </c>
      <c r="J6048" s="12" t="str">
        <f>HYPERLINK("https://www.boe.es/gazeta/dias/1808/12/27/pdfs/GMS-1808-61.pdf#page=3","Abrir facsímil")</f>
        <v>Abrir facsímil</v>
      </c>
      <c r="K6048" s="15" t="s">
        <v>23</v>
      </c>
    </row>
    <row r="6049" spans="1:11" ht="42" customHeight="1">
      <c r="A6049" s="4" t="s">
        <v>14433</v>
      </c>
      <c r="B6049" s="5" t="s">
        <v>14433</v>
      </c>
      <c r="C6049" s="5" t="s">
        <v>260</v>
      </c>
      <c r="D6049" s="5" t="s">
        <v>42</v>
      </c>
      <c r="E6049" s="5" t="s">
        <v>968</v>
      </c>
      <c r="F6049" s="9" t="s">
        <v>969</v>
      </c>
      <c r="G6049" s="9">
        <v>898</v>
      </c>
      <c r="H6049" s="5" t="s">
        <v>21</v>
      </c>
      <c r="I6049" s="5" t="s">
        <v>14434</v>
      </c>
      <c r="J6049" s="12" t="str">
        <f>HYPERLINK("https://www.boe.es/gazeta/dias/1808/07/26/pdfs/GMD-1808-98.pdf#page=4","Abrir facsímil")</f>
        <v>Abrir facsímil</v>
      </c>
      <c r="K6049" s="15" t="s">
        <v>23</v>
      </c>
    </row>
    <row r="6050" spans="1:11" ht="42" customHeight="1">
      <c r="A6050" s="4" t="s">
        <v>14435</v>
      </c>
      <c r="B6050" s="5" t="s">
        <v>14435</v>
      </c>
      <c r="C6050" s="5" t="s">
        <v>101</v>
      </c>
      <c r="D6050" s="5" t="s">
        <v>102</v>
      </c>
      <c r="E6050" s="5" t="s">
        <v>919</v>
      </c>
      <c r="F6050" s="9" t="s">
        <v>920</v>
      </c>
      <c r="G6050" s="9">
        <v>489</v>
      </c>
      <c r="H6050" s="5" t="s">
        <v>21</v>
      </c>
      <c r="I6050" s="5" t="s">
        <v>14436</v>
      </c>
      <c r="J6050" s="12" t="str">
        <f>HYPERLINK("https://www.boe.es/gazeta/dias/1808/05/24/pdfs/GMD-1808-49.pdf#page=5","Abrir facsímil")</f>
        <v>Abrir facsímil</v>
      </c>
      <c r="K6050" s="15" t="s">
        <v>23</v>
      </c>
    </row>
    <row r="6051" spans="1:11" ht="42" customHeight="1">
      <c r="A6051" s="4" t="s">
        <v>14437</v>
      </c>
      <c r="B6051" s="5" t="s">
        <v>14437</v>
      </c>
      <c r="C6051" s="5" t="s">
        <v>642</v>
      </c>
      <c r="D6051" s="5" t="s">
        <v>643</v>
      </c>
      <c r="E6051" s="5" t="s">
        <v>2887</v>
      </c>
      <c r="F6051" s="9" t="s">
        <v>2888</v>
      </c>
      <c r="G6051" s="9">
        <v>1566</v>
      </c>
      <c r="H6051" s="5" t="s">
        <v>21</v>
      </c>
      <c r="I6051" s="5" t="s">
        <v>14438</v>
      </c>
      <c r="J6051" s="12" t="str">
        <f>HYPERLINK("https://www.boe.es/gazeta/dias/1808/12/11/pdfs/GMD-1808-151E.pdf#page=2","Abrir facsímil")</f>
        <v>Abrir facsímil</v>
      </c>
      <c r="K6051" s="15" t="s">
        <v>23</v>
      </c>
    </row>
    <row r="6052" spans="1:11" ht="42" customHeight="1">
      <c r="A6052" s="4" t="s">
        <v>14437</v>
      </c>
      <c r="B6052" s="5" t="s">
        <v>14437</v>
      </c>
      <c r="C6052" s="5" t="s">
        <v>642</v>
      </c>
      <c r="D6052" s="5" t="s">
        <v>643</v>
      </c>
      <c r="E6052" s="5" t="s">
        <v>2887</v>
      </c>
      <c r="F6052" s="9" t="s">
        <v>2888</v>
      </c>
      <c r="G6052" s="9">
        <v>1567</v>
      </c>
      <c r="H6052" s="5" t="s">
        <v>21</v>
      </c>
      <c r="I6052" s="5" t="s">
        <v>14439</v>
      </c>
      <c r="J6052" s="12" t="str">
        <f>HYPERLINK("https://www.boe.es/gazeta/dias/1808/12/11/pdfs/GMD-1808-151E.pdf#page=3","Abrir facsímil")</f>
        <v>Abrir facsímil</v>
      </c>
      <c r="K6052" s="15" t="s">
        <v>23</v>
      </c>
    </row>
    <row r="6053" spans="1:11" ht="42" customHeight="1">
      <c r="A6053" s="4" t="s">
        <v>14437</v>
      </c>
      <c r="B6053" s="5" t="s">
        <v>14437</v>
      </c>
      <c r="C6053" s="5" t="s">
        <v>642</v>
      </c>
      <c r="D6053" s="5" t="s">
        <v>643</v>
      </c>
      <c r="E6053" s="5" t="s">
        <v>2887</v>
      </c>
      <c r="F6053" s="9" t="s">
        <v>2888</v>
      </c>
      <c r="G6053" s="9">
        <v>1569</v>
      </c>
      <c r="H6053" s="5" t="s">
        <v>21</v>
      </c>
      <c r="I6053" s="5" t="s">
        <v>14440</v>
      </c>
      <c r="J6053" s="12" t="str">
        <f>HYPERLINK("https://www.boe.es/gazeta/dias/1808/12/11/pdfs/GMD-1808-151E.pdf#page=5","Abrir facsímil")</f>
        <v>Abrir facsímil</v>
      </c>
      <c r="K6053" s="15" t="s">
        <v>23</v>
      </c>
    </row>
    <row r="6054" spans="1:11" ht="42" customHeight="1">
      <c r="A6054" s="4" t="s">
        <v>14437</v>
      </c>
      <c r="B6054" s="5" t="s">
        <v>14437</v>
      </c>
      <c r="C6054" s="5" t="s">
        <v>642</v>
      </c>
      <c r="D6054" s="5" t="s">
        <v>643</v>
      </c>
      <c r="E6054" s="5" t="s">
        <v>2887</v>
      </c>
      <c r="F6054" s="9" t="s">
        <v>2888</v>
      </c>
      <c r="G6054" s="9">
        <v>1570</v>
      </c>
      <c r="H6054" s="5" t="s">
        <v>21</v>
      </c>
      <c r="I6054" s="5" t="s">
        <v>14441</v>
      </c>
      <c r="J6054" s="12" t="str">
        <f>HYPERLINK("https://www.boe.es/gazeta/dias/1808/12/11/pdfs/GMD-1808-151E.pdf#page=6","Abrir facsímil")</f>
        <v>Abrir facsímil</v>
      </c>
      <c r="K6054" s="15" t="s">
        <v>23</v>
      </c>
    </row>
    <row r="6055" spans="1:11" ht="42" customHeight="1">
      <c r="A6055" s="4" t="s">
        <v>14442</v>
      </c>
      <c r="B6055" s="5" t="s">
        <v>14442</v>
      </c>
      <c r="C6055" s="5" t="s">
        <v>17</v>
      </c>
      <c r="D6055" s="5" t="s">
        <v>18</v>
      </c>
      <c r="E6055" s="5" t="s">
        <v>84</v>
      </c>
      <c r="F6055" s="9" t="s">
        <v>1381</v>
      </c>
      <c r="G6055" s="9">
        <v>247</v>
      </c>
      <c r="H6055" s="5" t="s">
        <v>21</v>
      </c>
      <c r="I6055" s="5" t="s">
        <v>14443</v>
      </c>
      <c r="J6055" s="12" t="str">
        <f>HYPERLINK("https://www.boe.es/gazeta/dias/1808/09/13/pdfs/GMS-1808-31.pdf#page=7","Abrir facsímil")</f>
        <v>Abrir facsímil</v>
      </c>
      <c r="K6055" s="15" t="s">
        <v>23</v>
      </c>
    </row>
    <row r="6056" spans="1:11" ht="42" customHeight="1">
      <c r="A6056" s="4" t="s">
        <v>14444</v>
      </c>
      <c r="B6056" s="5" t="s">
        <v>14444</v>
      </c>
      <c r="C6056" s="5" t="s">
        <v>101</v>
      </c>
      <c r="D6056" s="5" t="s">
        <v>102</v>
      </c>
      <c r="E6056" s="5" t="s">
        <v>2177</v>
      </c>
      <c r="F6056" s="9" t="s">
        <v>2178</v>
      </c>
      <c r="G6056" s="9">
        <v>724</v>
      </c>
      <c r="H6056" s="5" t="s">
        <v>21</v>
      </c>
      <c r="I6056" s="5" t="s">
        <v>14445</v>
      </c>
      <c r="J6056" s="12" t="str">
        <f>HYPERLINK("https://www.boe.es/gazeta/dias/1808/07/04/pdfs/GMD-1808-76.pdf#page=6","Abrir facsímil")</f>
        <v>Abrir facsímil</v>
      </c>
      <c r="K6056" s="15" t="s">
        <v>23</v>
      </c>
    </row>
    <row r="6057" spans="1:11" ht="42" customHeight="1">
      <c r="A6057" s="4" t="s">
        <v>14446</v>
      </c>
      <c r="B6057" s="5" t="s">
        <v>14447</v>
      </c>
      <c r="C6057" s="5" t="s">
        <v>94</v>
      </c>
      <c r="D6057" s="5" t="s">
        <v>95</v>
      </c>
      <c r="E6057" s="5" t="s">
        <v>19</v>
      </c>
      <c r="F6057" s="9" t="s">
        <v>949</v>
      </c>
      <c r="G6057" s="9" t="s">
        <v>106</v>
      </c>
      <c r="H6057" s="5" t="s">
        <v>21</v>
      </c>
      <c r="I6057" s="5" t="s">
        <v>14448</v>
      </c>
      <c r="J6057" s="12" t="str">
        <f>HYPERLINK("https://www.boe.es/gazeta/dias/1808/09/30/pdfs/GMD-C-1808-130.pdf#page=3","Abrir facsímil")</f>
        <v>Abrir facsímil</v>
      </c>
      <c r="K6057" s="15" t="s">
        <v>23</v>
      </c>
    </row>
    <row r="6058" spans="1:11" ht="42" customHeight="1">
      <c r="A6058" s="4" t="s">
        <v>14449</v>
      </c>
      <c r="B6058" s="5" t="s">
        <v>14450</v>
      </c>
      <c r="C6058" s="5" t="s">
        <v>389</v>
      </c>
      <c r="D6058" s="5" t="s">
        <v>390</v>
      </c>
      <c r="E6058" s="5" t="s">
        <v>363</v>
      </c>
      <c r="F6058" s="9" t="s">
        <v>364</v>
      </c>
      <c r="G6058" s="9" t="s">
        <v>199</v>
      </c>
      <c r="H6058" s="5" t="s">
        <v>21</v>
      </c>
      <c r="I6058" s="5" t="s">
        <v>14451</v>
      </c>
      <c r="J6058" s="12" t="str">
        <f>HYPERLINK("https://www.boe.es/gazeta/dias/1808/09/20/pdfs/GMD-C-1808-126.pdf#page=2","Abrir facsímil")</f>
        <v>Abrir facsímil</v>
      </c>
      <c r="K6058" s="15" t="s">
        <v>23</v>
      </c>
    </row>
    <row r="6059" spans="1:11" ht="42" customHeight="1">
      <c r="A6059" s="4" t="s">
        <v>14452</v>
      </c>
      <c r="B6059" s="5" t="s">
        <v>14453</v>
      </c>
      <c r="C6059" s="5" t="s">
        <v>94</v>
      </c>
      <c r="D6059" s="5" t="s">
        <v>95</v>
      </c>
      <c r="E6059" s="5" t="s">
        <v>368</v>
      </c>
      <c r="F6059" s="9" t="s">
        <v>369</v>
      </c>
      <c r="G6059" s="9">
        <v>167</v>
      </c>
      <c r="H6059" s="5" t="s">
        <v>21</v>
      </c>
      <c r="I6059" s="5" t="s">
        <v>14454</v>
      </c>
      <c r="J6059" s="12" t="str">
        <f>HYPERLINK("https://www.boe.es/gazeta/dias/1808/02/16/pdfs/GMD-1808-14.pdf#page=9","Abrir facsímil")</f>
        <v>Abrir facsímil</v>
      </c>
      <c r="K6059" s="15" t="s">
        <v>23</v>
      </c>
    </row>
    <row r="6060" spans="1:11" ht="42" customHeight="1">
      <c r="A6060" s="4" t="s">
        <v>14455</v>
      </c>
      <c r="B6060" s="5" t="s">
        <v>14456</v>
      </c>
      <c r="C6060" s="5" t="s">
        <v>94</v>
      </c>
      <c r="D6060" s="5" t="s">
        <v>95</v>
      </c>
      <c r="E6060" s="5" t="s">
        <v>89</v>
      </c>
      <c r="F6060" s="9" t="s">
        <v>90</v>
      </c>
      <c r="G6060" s="9">
        <v>1359</v>
      </c>
      <c r="H6060" s="5" t="s">
        <v>21</v>
      </c>
      <c r="I6060" s="5" t="s">
        <v>14457</v>
      </c>
      <c r="J6060" s="12" t="str">
        <f>HYPERLINK("https://www.boe.es/gazeta/dias/1808/10/25/pdfs/GMD-1808-137.pdf#page=7","Abrir facsímil")</f>
        <v>Abrir facsímil</v>
      </c>
      <c r="K6060" s="15" t="s">
        <v>23</v>
      </c>
    </row>
    <row r="6061" spans="1:11" ht="42" customHeight="1">
      <c r="A6061" s="4" t="s">
        <v>14455</v>
      </c>
      <c r="B6061" s="5" t="s">
        <v>14456</v>
      </c>
      <c r="C6061" s="5" t="s">
        <v>94</v>
      </c>
      <c r="D6061" s="5" t="s">
        <v>95</v>
      </c>
      <c r="E6061" s="5" t="s">
        <v>89</v>
      </c>
      <c r="F6061" s="9" t="s">
        <v>90</v>
      </c>
      <c r="G6061" s="9">
        <v>1360</v>
      </c>
      <c r="H6061" s="5" t="s">
        <v>21</v>
      </c>
      <c r="I6061" s="5" t="s">
        <v>14458</v>
      </c>
      <c r="J6061" s="12" t="str">
        <f>HYPERLINK("https://www.boe.es/gazeta/dias/1808/10/25/pdfs/GMD-1808-137.pdf#page=8","Abrir facsímil")</f>
        <v>Abrir facsímil</v>
      </c>
      <c r="K6061" s="15" t="s">
        <v>23</v>
      </c>
    </row>
    <row r="6062" spans="1:11" ht="42" customHeight="1">
      <c r="A6062" s="4" t="s">
        <v>14455</v>
      </c>
      <c r="B6062" s="5" t="s">
        <v>14456</v>
      </c>
      <c r="C6062" s="5" t="s">
        <v>94</v>
      </c>
      <c r="D6062" s="5" t="s">
        <v>95</v>
      </c>
      <c r="E6062" s="5" t="s">
        <v>28</v>
      </c>
      <c r="F6062" s="9" t="s">
        <v>9084</v>
      </c>
      <c r="G6062" s="9">
        <v>365</v>
      </c>
      <c r="H6062" s="5" t="s">
        <v>21</v>
      </c>
      <c r="I6062" s="5" t="s">
        <v>14459</v>
      </c>
      <c r="J6062" s="12" t="str">
        <f>HYPERLINK("https://www.boe.es/gazeta/dias/1808/11/04/pdfs/GMS-1808-46.pdf#page=5","Abrir facsímil")</f>
        <v>Abrir facsímil</v>
      </c>
      <c r="K6062" s="15" t="s">
        <v>23</v>
      </c>
    </row>
    <row r="6063" spans="1:11" ht="42" customHeight="1">
      <c r="A6063" s="4" t="s">
        <v>14460</v>
      </c>
      <c r="B6063" s="5" t="s">
        <v>14461</v>
      </c>
      <c r="C6063" s="5" t="s">
        <v>94</v>
      </c>
      <c r="D6063" s="5" t="s">
        <v>95</v>
      </c>
      <c r="E6063" s="5" t="s">
        <v>68</v>
      </c>
      <c r="F6063" s="9" t="s">
        <v>849</v>
      </c>
      <c r="G6063" s="9">
        <v>1349</v>
      </c>
      <c r="H6063" s="5" t="s">
        <v>21</v>
      </c>
      <c r="I6063" s="5" t="s">
        <v>14462</v>
      </c>
      <c r="J6063" s="12" t="str">
        <f>HYPERLINK("https://www.boe.es/gazeta/dias/1808/10/21/pdfs/GMD-C-1808-136.pdf#page=9","Abrir facsímil")</f>
        <v>Abrir facsímil</v>
      </c>
      <c r="K6063" s="15" t="s">
        <v>23</v>
      </c>
    </row>
    <row r="6064" spans="1:11" ht="42" customHeight="1">
      <c r="A6064" s="4" t="s">
        <v>14463</v>
      </c>
      <c r="B6064" s="5" t="s">
        <v>14463</v>
      </c>
      <c r="C6064" s="5" t="s">
        <v>17</v>
      </c>
      <c r="D6064" s="5" t="s">
        <v>18</v>
      </c>
      <c r="E6064" s="5" t="s">
        <v>1148</v>
      </c>
      <c r="F6064" s="9" t="s">
        <v>1149</v>
      </c>
      <c r="G6064" s="9">
        <v>503</v>
      </c>
      <c r="H6064" s="5" t="s">
        <v>21</v>
      </c>
      <c r="I6064" s="5" t="s">
        <v>14464</v>
      </c>
      <c r="J6064" s="12" t="str">
        <f>HYPERLINK("https://www.boe.es/gazeta/dias/1808/05/27/pdfs/GMD-1808-50.pdf#page=7","Abrir facsímil")</f>
        <v>Abrir facsímil</v>
      </c>
      <c r="K6064" s="15" t="s">
        <v>23</v>
      </c>
    </row>
    <row r="6065" spans="1:11" ht="42" customHeight="1">
      <c r="A6065" s="4" t="s">
        <v>14465</v>
      </c>
      <c r="B6065" s="5" t="s">
        <v>14465</v>
      </c>
      <c r="C6065" s="5" t="s">
        <v>33</v>
      </c>
      <c r="D6065" s="5" t="s">
        <v>34</v>
      </c>
      <c r="E6065" s="5" t="s">
        <v>35</v>
      </c>
      <c r="F6065" s="9" t="s">
        <v>36</v>
      </c>
      <c r="G6065" s="9" t="s">
        <v>924</v>
      </c>
      <c r="H6065" s="5" t="s">
        <v>21</v>
      </c>
      <c r="I6065" s="5" t="s">
        <v>14466</v>
      </c>
      <c r="J6065" s="12" t="str">
        <f>HYPERLINK("https://www.boe.es/gazeta/dias/1808/04/22/pdfs/GMD-C-1808-38.pdf#page=27","Abrir facsímil")</f>
        <v>Abrir facsímil</v>
      </c>
      <c r="K6065" s="15" t="s">
        <v>23</v>
      </c>
    </row>
    <row r="6066" spans="1:11" ht="42" customHeight="1">
      <c r="A6066" s="4" t="s">
        <v>14467</v>
      </c>
      <c r="B6066" s="5" t="s">
        <v>14468</v>
      </c>
      <c r="C6066" s="5" t="s">
        <v>94</v>
      </c>
      <c r="D6066" s="5" t="s">
        <v>95</v>
      </c>
      <c r="E6066" s="5" t="s">
        <v>493</v>
      </c>
      <c r="F6066" s="9" t="s">
        <v>494</v>
      </c>
      <c r="G6066" s="9">
        <v>44</v>
      </c>
      <c r="H6066" s="5" t="s">
        <v>21</v>
      </c>
      <c r="I6066" s="5" t="s">
        <v>14469</v>
      </c>
      <c r="J6066" s="12" t="str">
        <f>HYPERLINK("https://www.boe.es/gazeta/dias/1808/01/12/pdfs/GMD-1808-4.pdf#page=8","Abrir facsímil")</f>
        <v>Abrir facsímil</v>
      </c>
      <c r="K6066" s="15" t="s">
        <v>23</v>
      </c>
    </row>
    <row r="6067" spans="1:11" ht="42" customHeight="1">
      <c r="A6067" s="4" t="s">
        <v>14470</v>
      </c>
      <c r="B6067" s="5" t="s">
        <v>14471</v>
      </c>
      <c r="C6067" s="5" t="s">
        <v>17</v>
      </c>
      <c r="D6067" s="5" t="s">
        <v>18</v>
      </c>
      <c r="E6067" s="5" t="s">
        <v>572</v>
      </c>
      <c r="F6067" s="9" t="s">
        <v>573</v>
      </c>
      <c r="G6067" s="9">
        <v>20</v>
      </c>
      <c r="H6067" s="5" t="s">
        <v>21</v>
      </c>
      <c r="I6067" s="5" t="s">
        <v>14472</v>
      </c>
      <c r="J6067" s="12" t="str">
        <f>HYPERLINK("https://www.boe.es/gazeta/dias/1808/01/05/pdfs/GMD-1808-2.pdf#page=8","Abrir facsímil")</f>
        <v>Abrir facsímil</v>
      </c>
      <c r="K6067" s="15" t="s">
        <v>23</v>
      </c>
    </row>
    <row r="6068" spans="1:11" ht="42" customHeight="1">
      <c r="A6068" s="4" t="s">
        <v>14473</v>
      </c>
      <c r="B6068" s="5" t="s">
        <v>14474</v>
      </c>
      <c r="C6068" s="5" t="s">
        <v>389</v>
      </c>
      <c r="D6068" s="5" t="s">
        <v>390</v>
      </c>
      <c r="E6068" s="5" t="s">
        <v>73</v>
      </c>
      <c r="F6068" s="9" t="s">
        <v>74</v>
      </c>
      <c r="G6068" s="9" t="s">
        <v>106</v>
      </c>
      <c r="H6068" s="5" t="s">
        <v>21</v>
      </c>
      <c r="I6068" s="5" t="s">
        <v>14475</v>
      </c>
      <c r="J6068" s="12" t="str">
        <f>HYPERLINK("https://www.boe.es/gazeta/dias/1808/11/11/pdfs/GMD-D-1808-143.pdf#page=3","Abrir facsímil")</f>
        <v>Abrir facsímil</v>
      </c>
      <c r="K6068" s="15" t="s">
        <v>23</v>
      </c>
    </row>
    <row r="6069" spans="1:11" ht="42" customHeight="1">
      <c r="A6069" s="4" t="s">
        <v>14476</v>
      </c>
      <c r="B6069" s="5" t="s">
        <v>14477</v>
      </c>
      <c r="C6069" s="5" t="s">
        <v>17</v>
      </c>
      <c r="D6069" s="5" t="s">
        <v>18</v>
      </c>
      <c r="E6069" s="5" t="s">
        <v>513</v>
      </c>
      <c r="F6069" s="9" t="s">
        <v>514</v>
      </c>
      <c r="G6069" s="9">
        <v>284</v>
      </c>
      <c r="H6069" s="5" t="s">
        <v>21</v>
      </c>
      <c r="I6069" s="5" t="s">
        <v>14478</v>
      </c>
      <c r="J6069" s="12" t="str">
        <f>HYPERLINK("https://www.boe.es/gazeta/dias/1808/03/22/pdfs/GMD-1808-24.pdf#page=6","Abrir facsímil")</f>
        <v>Abrir facsímil</v>
      </c>
      <c r="K6069" s="15" t="s">
        <v>23</v>
      </c>
    </row>
    <row r="6070" spans="1:11" ht="42" customHeight="1">
      <c r="A6070" s="4" t="s">
        <v>14476</v>
      </c>
      <c r="B6070" s="5" t="s">
        <v>14477</v>
      </c>
      <c r="C6070" s="5" t="s">
        <v>41</v>
      </c>
      <c r="D6070" s="5" t="s">
        <v>42</v>
      </c>
      <c r="E6070" s="5" t="s">
        <v>3160</v>
      </c>
      <c r="F6070" s="9" t="s">
        <v>3161</v>
      </c>
      <c r="G6070" s="9">
        <v>564</v>
      </c>
      <c r="H6070" s="5" t="s">
        <v>21</v>
      </c>
      <c r="I6070" s="5" t="s">
        <v>14479</v>
      </c>
      <c r="J6070" s="12" t="str">
        <f>HYPERLINK("https://www.boe.es/gazeta/dias/1808/06/14/pdfs/GMD-1808-57.pdf#page=2","Abrir facsímil")</f>
        <v>Abrir facsímil</v>
      </c>
      <c r="K6070" s="15" t="s">
        <v>23</v>
      </c>
    </row>
    <row r="6071" spans="1:11" ht="42" customHeight="1">
      <c r="A6071" s="4" t="s">
        <v>14476</v>
      </c>
      <c r="B6071" s="5" t="s">
        <v>14477</v>
      </c>
      <c r="C6071" s="5" t="s">
        <v>41</v>
      </c>
      <c r="D6071" s="5" t="s">
        <v>42</v>
      </c>
      <c r="E6071" s="5" t="s">
        <v>1182</v>
      </c>
      <c r="F6071" s="9" t="s">
        <v>1183</v>
      </c>
      <c r="G6071" s="9">
        <v>58</v>
      </c>
      <c r="H6071" s="5" t="s">
        <v>21</v>
      </c>
      <c r="I6071" s="5" t="s">
        <v>14480</v>
      </c>
      <c r="J6071" s="12" t="str">
        <f>HYPERLINK("https://www.boe.es/gazeta/dias/1808/06/26/pdfs/GMS-1808-8.pdf#page=2","Abrir facsímil")</f>
        <v>Abrir facsímil</v>
      </c>
      <c r="K6071" s="15" t="s">
        <v>23</v>
      </c>
    </row>
    <row r="6072" spans="1:11" ht="42" customHeight="1">
      <c r="A6072" s="4" t="s">
        <v>14476</v>
      </c>
      <c r="B6072" s="5" t="s">
        <v>14477</v>
      </c>
      <c r="C6072" s="5" t="s">
        <v>94</v>
      </c>
      <c r="D6072" s="5" t="s">
        <v>95</v>
      </c>
      <c r="E6072" s="5" t="s">
        <v>2171</v>
      </c>
      <c r="F6072" s="9" t="s">
        <v>2172</v>
      </c>
      <c r="G6072" s="9">
        <v>771</v>
      </c>
      <c r="H6072" s="5" t="s">
        <v>21</v>
      </c>
      <c r="I6072" s="5" t="s">
        <v>14481</v>
      </c>
      <c r="J6072" s="12" t="str">
        <f>HYPERLINK("https://www.boe.es/gazeta/dias/1808/07/10/pdfs/GMD-1808-82.pdf#page=5","Abrir facsímil")</f>
        <v>Abrir facsímil</v>
      </c>
      <c r="K6072" s="15" t="s">
        <v>23</v>
      </c>
    </row>
    <row r="6073" spans="1:11" ht="42" customHeight="1">
      <c r="A6073" s="4" t="s">
        <v>14482</v>
      </c>
      <c r="B6073" s="5" t="s">
        <v>14483</v>
      </c>
      <c r="C6073" s="5" t="s">
        <v>94</v>
      </c>
      <c r="D6073" s="5" t="s">
        <v>95</v>
      </c>
      <c r="E6073" s="5" t="s">
        <v>4337</v>
      </c>
      <c r="F6073" s="9" t="s">
        <v>4338</v>
      </c>
      <c r="G6073" s="9">
        <v>1570</v>
      </c>
      <c r="H6073" s="5" t="s">
        <v>21</v>
      </c>
      <c r="I6073" s="5" t="s">
        <v>14484</v>
      </c>
      <c r="J6073" s="12" t="str">
        <f>HYPERLINK("https://www.boe.es/gazeta/dias/1808/11/30/pdfs/GMD-1808-149E.pdf#page=4","Abrir facsímil")</f>
        <v>Abrir facsímil</v>
      </c>
      <c r="K6073" s="15" t="s">
        <v>23</v>
      </c>
    </row>
    <row r="6074" spans="1:11" ht="42" customHeight="1">
      <c r="A6074" s="4" t="s">
        <v>14485</v>
      </c>
      <c r="B6074" s="5" t="s">
        <v>14486</v>
      </c>
      <c r="C6074" s="5" t="s">
        <v>17</v>
      </c>
      <c r="D6074" s="5" t="s">
        <v>18</v>
      </c>
      <c r="E6074" s="5" t="s">
        <v>1345</v>
      </c>
      <c r="F6074" s="9" t="s">
        <v>1346</v>
      </c>
      <c r="G6074" s="9">
        <v>86</v>
      </c>
      <c r="H6074" s="5" t="s">
        <v>21</v>
      </c>
      <c r="I6074" s="5" t="s">
        <v>14487</v>
      </c>
      <c r="J6074" s="12" t="str">
        <f>HYPERLINK("https://www.boe.es/gazeta/dias/1808/07/06/pdfs/GMS-1808-11.pdf#page=6","Abrir facsímil")</f>
        <v>Abrir facsímil</v>
      </c>
      <c r="K6074" s="15" t="s">
        <v>23</v>
      </c>
    </row>
    <row r="6075" spans="1:11" ht="42" customHeight="1">
      <c r="A6075" s="4" t="s">
        <v>14488</v>
      </c>
      <c r="B6075" s="5" t="s">
        <v>14489</v>
      </c>
      <c r="C6075" s="5" t="s">
        <v>17</v>
      </c>
      <c r="D6075" s="5" t="s">
        <v>18</v>
      </c>
      <c r="E6075" s="5" t="s">
        <v>130</v>
      </c>
      <c r="F6075" s="9" t="s">
        <v>131</v>
      </c>
      <c r="G6075" s="9">
        <v>1603</v>
      </c>
      <c r="H6075" s="5" t="s">
        <v>21</v>
      </c>
      <c r="I6075" s="5" t="s">
        <v>14490</v>
      </c>
      <c r="J6075" s="12" t="str">
        <f>HYPERLINK("https://www.boe.es/gazeta/dias/1808/12/15/pdfs/GMD-1808-155.pdf#page=7","Abrir facsímil")</f>
        <v>Abrir facsímil</v>
      </c>
      <c r="K6075" s="15" t="s">
        <v>23</v>
      </c>
    </row>
    <row r="6076" spans="1:11" ht="42" customHeight="1">
      <c r="A6076" s="4" t="s">
        <v>14491</v>
      </c>
      <c r="B6076" s="5" t="s">
        <v>14492</v>
      </c>
      <c r="C6076" s="5" t="s">
        <v>26</v>
      </c>
      <c r="D6076" s="5" t="s">
        <v>27</v>
      </c>
      <c r="E6076" s="5" t="s">
        <v>110</v>
      </c>
      <c r="F6076" s="9" t="s">
        <v>828</v>
      </c>
      <c r="G6076" s="9" t="s">
        <v>117</v>
      </c>
      <c r="H6076" s="5" t="s">
        <v>21</v>
      </c>
      <c r="I6076" s="5" t="s">
        <v>14493</v>
      </c>
      <c r="J6076" s="12" t="str">
        <f>HYPERLINK("https://www.boe.es/gazeta/dias/1808/10/28/pdfs/GMD-D-1808-138.pdf#page=1","Abrir facsímil")</f>
        <v>Abrir facsímil</v>
      </c>
      <c r="K6076" s="15" t="s">
        <v>23</v>
      </c>
    </row>
    <row r="6077" spans="1:11" ht="42" customHeight="1">
      <c r="A6077" s="4" t="s">
        <v>14491</v>
      </c>
      <c r="B6077" s="5" t="s">
        <v>14492</v>
      </c>
      <c r="C6077" s="5" t="s">
        <v>41</v>
      </c>
      <c r="D6077" s="5" t="s">
        <v>42</v>
      </c>
      <c r="E6077" s="5" t="s">
        <v>28</v>
      </c>
      <c r="F6077" s="9" t="s">
        <v>446</v>
      </c>
      <c r="G6077" s="9" t="s">
        <v>75</v>
      </c>
      <c r="H6077" s="5" t="s">
        <v>21</v>
      </c>
      <c r="I6077" s="5" t="s">
        <v>14494</v>
      </c>
      <c r="J6077" s="12" t="str">
        <f>HYPERLINK("https://www.boe.es/gazeta/dias/1808/11/04/pdfs/GMD-D-1808-141.pdf#page=4","Abrir facsímil")</f>
        <v>Abrir facsímil</v>
      </c>
      <c r="K6077" s="15" t="s">
        <v>23</v>
      </c>
    </row>
    <row r="6078" spans="1:11" ht="42" customHeight="1">
      <c r="A6078" s="4" t="s">
        <v>14495</v>
      </c>
      <c r="B6078" s="5" t="s">
        <v>14495</v>
      </c>
      <c r="C6078" s="5" t="s">
        <v>101</v>
      </c>
      <c r="D6078" s="5" t="s">
        <v>102</v>
      </c>
      <c r="E6078" s="5" t="s">
        <v>96</v>
      </c>
      <c r="F6078" s="9" t="s">
        <v>97</v>
      </c>
      <c r="G6078" s="9">
        <v>261</v>
      </c>
      <c r="H6078" s="5" t="s">
        <v>21</v>
      </c>
      <c r="I6078" s="5" t="s">
        <v>14496</v>
      </c>
      <c r="J6078" s="12" t="str">
        <f>HYPERLINK("https://www.boe.es/gazeta/dias/1808/03/15/pdfs/GMD-1808-22.pdf#page=3","Abrir facsímil")</f>
        <v>Abrir facsímil</v>
      </c>
      <c r="K6078" s="15" t="s">
        <v>23</v>
      </c>
    </row>
    <row r="6079" spans="1:11" ht="42" customHeight="1">
      <c r="A6079" s="4" t="s">
        <v>14497</v>
      </c>
      <c r="B6079" s="5" t="s">
        <v>14498</v>
      </c>
      <c r="C6079" s="5" t="s">
        <v>33</v>
      </c>
      <c r="D6079" s="5" t="s">
        <v>34</v>
      </c>
      <c r="E6079" s="5" t="s">
        <v>391</v>
      </c>
      <c r="F6079" s="9" t="s">
        <v>588</v>
      </c>
      <c r="G6079" s="9" t="s">
        <v>75</v>
      </c>
      <c r="H6079" s="5" t="s">
        <v>21</v>
      </c>
      <c r="I6079" s="5" t="s">
        <v>14499</v>
      </c>
      <c r="J6079" s="12" t="str">
        <f>HYPERLINK("https://www.boe.es/gazeta/dias/1808/09/27/pdfs/GMD-C-1808-128.pdf#page=4","Abrir facsímil")</f>
        <v>Abrir facsímil</v>
      </c>
      <c r="K6079" s="15" t="s">
        <v>23</v>
      </c>
    </row>
    <row r="6080" spans="1:11" ht="42" customHeight="1">
      <c r="A6080" s="4" t="s">
        <v>14500</v>
      </c>
      <c r="B6080" s="5" t="s">
        <v>14501</v>
      </c>
      <c r="C6080" s="5" t="s">
        <v>94</v>
      </c>
      <c r="D6080" s="5" t="s">
        <v>95</v>
      </c>
      <c r="E6080" s="5" t="s">
        <v>478</v>
      </c>
      <c r="F6080" s="9" t="s">
        <v>479</v>
      </c>
      <c r="G6080" s="9">
        <v>241</v>
      </c>
      <c r="H6080" s="5" t="s">
        <v>21</v>
      </c>
      <c r="I6080" s="5" t="s">
        <v>14502</v>
      </c>
      <c r="J6080" s="12" t="str">
        <f>HYPERLINK("https://www.boe.es/gazeta/dias/1808/03/08/pdfs/GMD-1808-20.pdf#page=7","Abrir facsímil")</f>
        <v>Abrir facsímil</v>
      </c>
      <c r="K6080" s="15" t="s">
        <v>23</v>
      </c>
    </row>
    <row r="6081" spans="1:11" ht="42" customHeight="1">
      <c r="A6081" s="4" t="s">
        <v>14503</v>
      </c>
      <c r="B6081" s="5" t="s">
        <v>14504</v>
      </c>
      <c r="C6081" s="5" t="s">
        <v>94</v>
      </c>
      <c r="D6081" s="5" t="s">
        <v>95</v>
      </c>
      <c r="E6081" s="5" t="s">
        <v>54</v>
      </c>
      <c r="F6081" s="9" t="s">
        <v>55</v>
      </c>
      <c r="G6081" s="9">
        <v>1087</v>
      </c>
      <c r="H6081" s="5" t="s">
        <v>21</v>
      </c>
      <c r="I6081" s="5" t="s">
        <v>14505</v>
      </c>
      <c r="J6081" s="12" t="str">
        <f>HYPERLINK("https://www.boe.es/gazeta/dias/1808/08/26/pdfs/GMD-1808-117.pdf#page=9","Abrir facsímil")</f>
        <v>Abrir facsímil</v>
      </c>
      <c r="K6081" s="15" t="s">
        <v>23</v>
      </c>
    </row>
    <row r="6082" spans="1:11" ht="42" customHeight="1">
      <c r="A6082" s="4" t="s">
        <v>14506</v>
      </c>
      <c r="B6082" s="5" t="s">
        <v>14507</v>
      </c>
      <c r="C6082" s="5" t="s">
        <v>33</v>
      </c>
      <c r="D6082" s="5" t="s">
        <v>34</v>
      </c>
      <c r="E6082" s="5" t="s">
        <v>110</v>
      </c>
      <c r="F6082" s="9" t="s">
        <v>828</v>
      </c>
      <c r="G6082" s="9" t="s">
        <v>117</v>
      </c>
      <c r="H6082" s="5" t="s">
        <v>21</v>
      </c>
      <c r="I6082" s="5" t="s">
        <v>14508</v>
      </c>
      <c r="J6082" s="12" t="str">
        <f>HYPERLINK("https://www.boe.es/gazeta/dias/1808/10/28/pdfs/GMD-D-1808-138.pdf#page=1","Abrir facsímil")</f>
        <v>Abrir facsímil</v>
      </c>
      <c r="K6082" s="15" t="s">
        <v>23</v>
      </c>
    </row>
    <row r="6083" spans="1:11" ht="42" customHeight="1">
      <c r="A6083" s="4" t="s">
        <v>14509</v>
      </c>
      <c r="B6083" s="5" t="s">
        <v>14509</v>
      </c>
      <c r="C6083" s="5" t="s">
        <v>33</v>
      </c>
      <c r="D6083" s="5" t="s">
        <v>34</v>
      </c>
      <c r="E6083" s="5" t="s">
        <v>65</v>
      </c>
      <c r="F6083" s="9" t="s">
        <v>691</v>
      </c>
      <c r="G6083" s="9">
        <v>1318</v>
      </c>
      <c r="H6083" s="5" t="s">
        <v>21</v>
      </c>
      <c r="I6083" s="5" t="s">
        <v>14510</v>
      </c>
      <c r="J6083" s="12" t="str">
        <f>HYPERLINK("https://www.boe.es/gazeta/dias/1808/10/18/pdfs/GMD-C-1808-135.pdf#page=2","Abrir facsímil")</f>
        <v>Abrir facsímil</v>
      </c>
      <c r="K6083" s="15" t="s">
        <v>23</v>
      </c>
    </row>
    <row r="6084" spans="1:11" ht="42" customHeight="1">
      <c r="A6084" s="4" t="s">
        <v>14511</v>
      </c>
      <c r="B6084" s="5" t="s">
        <v>14511</v>
      </c>
      <c r="C6084" s="5" t="s">
        <v>101</v>
      </c>
      <c r="D6084" s="5" t="s">
        <v>102</v>
      </c>
      <c r="E6084" s="5" t="s">
        <v>1085</v>
      </c>
      <c r="F6084" s="9" t="s">
        <v>1086</v>
      </c>
      <c r="G6084" s="9">
        <v>99</v>
      </c>
      <c r="H6084" s="5" t="s">
        <v>21</v>
      </c>
      <c r="I6084" s="5" t="s">
        <v>14512</v>
      </c>
      <c r="J6084" s="12" t="str">
        <f>HYPERLINK("https://www.boe.es/gazeta/dias/1808/01/29/pdfs/GMD-1808-9.pdf#page=3","Abrir facsímil")</f>
        <v>Abrir facsímil</v>
      </c>
      <c r="K6084" s="15" t="s">
        <v>23</v>
      </c>
    </row>
    <row r="6085" spans="1:11" ht="42" customHeight="1">
      <c r="A6085" s="4" t="s">
        <v>14511</v>
      </c>
      <c r="B6085" s="5" t="s">
        <v>14511</v>
      </c>
      <c r="C6085" s="5" t="s">
        <v>101</v>
      </c>
      <c r="D6085" s="5" t="s">
        <v>102</v>
      </c>
      <c r="E6085" s="5" t="s">
        <v>203</v>
      </c>
      <c r="F6085" s="9" t="s">
        <v>204</v>
      </c>
      <c r="G6085" s="9">
        <v>133</v>
      </c>
      <c r="H6085" s="5" t="s">
        <v>21</v>
      </c>
      <c r="I6085" s="5" t="s">
        <v>14513</v>
      </c>
      <c r="J6085" s="12" t="str">
        <f>HYPERLINK("https://www.boe.es/gazeta/dias/1808/02/09/pdfs/GMD-1808-12.pdf#page=1","Abrir facsímil")</f>
        <v>Abrir facsímil</v>
      </c>
      <c r="K6085" s="15" t="s">
        <v>23</v>
      </c>
    </row>
    <row r="6086" spans="1:11" ht="42" customHeight="1">
      <c r="A6086" s="4" t="s">
        <v>14511</v>
      </c>
      <c r="B6086" s="5" t="s">
        <v>14511</v>
      </c>
      <c r="C6086" s="5" t="s">
        <v>101</v>
      </c>
      <c r="D6086" s="5" t="s">
        <v>102</v>
      </c>
      <c r="E6086" s="5" t="s">
        <v>684</v>
      </c>
      <c r="F6086" s="9" t="s">
        <v>685</v>
      </c>
      <c r="G6086" s="9">
        <v>375</v>
      </c>
      <c r="H6086" s="5" t="s">
        <v>21</v>
      </c>
      <c r="I6086" s="5" t="s">
        <v>14514</v>
      </c>
      <c r="J6086" s="12" t="str">
        <f>HYPERLINK("https://www.boe.es/gazeta/dias/1808/04/15/pdfs/GMD-1808-35.pdf#page=1","Abrir facsímil")</f>
        <v>Abrir facsímil</v>
      </c>
      <c r="K6086" s="15" t="s">
        <v>23</v>
      </c>
    </row>
    <row r="6087" spans="1:11" ht="42" customHeight="1">
      <c r="A6087" s="4" t="s">
        <v>14511</v>
      </c>
      <c r="B6087" s="5" t="s">
        <v>14511</v>
      </c>
      <c r="C6087" s="5" t="s">
        <v>101</v>
      </c>
      <c r="D6087" s="5" t="s">
        <v>102</v>
      </c>
      <c r="E6087" s="5" t="s">
        <v>1702</v>
      </c>
      <c r="F6087" s="9" t="s">
        <v>3079</v>
      </c>
      <c r="G6087" s="9">
        <v>792</v>
      </c>
      <c r="H6087" s="5" t="s">
        <v>21</v>
      </c>
      <c r="I6087" s="5" t="s">
        <v>14515</v>
      </c>
      <c r="J6087" s="12" t="str">
        <f>HYPERLINK("https://www.boe.es/gazeta/dias/1808/07/13/pdfs/GMD-1808-85.pdf#page=2","Abrir facsímil")</f>
        <v>Abrir facsímil</v>
      </c>
      <c r="K6087" s="15" t="s">
        <v>23</v>
      </c>
    </row>
    <row r="6088" spans="1:11" ht="42" customHeight="1">
      <c r="A6088" s="4" t="s">
        <v>14516</v>
      </c>
      <c r="B6088" s="5" t="s">
        <v>14517</v>
      </c>
      <c r="C6088" s="5" t="s">
        <v>33</v>
      </c>
      <c r="D6088" s="5" t="s">
        <v>34</v>
      </c>
      <c r="E6088" s="5" t="s">
        <v>153</v>
      </c>
      <c r="F6088" s="9" t="s">
        <v>154</v>
      </c>
      <c r="G6088" s="9" t="s">
        <v>199</v>
      </c>
      <c r="H6088" s="5" t="s">
        <v>21</v>
      </c>
      <c r="I6088" s="5" t="s">
        <v>14518</v>
      </c>
      <c r="J6088" s="12" t="str">
        <f>HYPERLINK("https://www.boe.es/gazeta/dias/1808/09/09/pdfs/GMD-C-1808-121.pdf#page=2","Abrir facsímil")</f>
        <v>Abrir facsímil</v>
      </c>
      <c r="K6088" s="15" t="s">
        <v>23</v>
      </c>
    </row>
    <row r="6089" spans="1:11" ht="42" customHeight="1">
      <c r="A6089" s="4" t="s">
        <v>14519</v>
      </c>
      <c r="B6089" s="5" t="s">
        <v>14520</v>
      </c>
      <c r="C6089" s="5" t="s">
        <v>33</v>
      </c>
      <c r="D6089" s="5" t="s">
        <v>34</v>
      </c>
      <c r="E6089" s="5" t="s">
        <v>418</v>
      </c>
      <c r="F6089" s="9" t="s">
        <v>419</v>
      </c>
      <c r="G6089" s="9">
        <v>1137</v>
      </c>
      <c r="H6089" s="5" t="s">
        <v>21</v>
      </c>
      <c r="I6089" s="5" t="s">
        <v>14521</v>
      </c>
      <c r="J6089" s="12" t="str">
        <f>HYPERLINK("https://www.boe.es/gazeta/dias/1808/09/06/pdfs/GMD-C-1808-120.pdf#page=11","Abrir facsímil")</f>
        <v>Abrir facsímil</v>
      </c>
      <c r="K6089" s="15" t="s">
        <v>23</v>
      </c>
    </row>
    <row r="6090" spans="1:11" ht="42" customHeight="1">
      <c r="A6090" s="4" t="s">
        <v>14522</v>
      </c>
      <c r="B6090" s="5" t="s">
        <v>14523</v>
      </c>
      <c r="C6090" s="5" t="s">
        <v>33</v>
      </c>
      <c r="D6090" s="5" t="s">
        <v>34</v>
      </c>
      <c r="E6090" s="5" t="s">
        <v>35</v>
      </c>
      <c r="F6090" s="9" t="s">
        <v>36</v>
      </c>
      <c r="G6090" s="9" t="s">
        <v>924</v>
      </c>
      <c r="H6090" s="5" t="s">
        <v>21</v>
      </c>
      <c r="I6090" s="5" t="s">
        <v>14524</v>
      </c>
      <c r="J6090" s="12" t="str">
        <f>HYPERLINK("https://www.boe.es/gazeta/dias/1808/04/22/pdfs/GMD-C-1808-38.pdf#page=27","Abrir facsímil")</f>
        <v>Abrir facsímil</v>
      </c>
      <c r="K6090" s="15" t="s">
        <v>23</v>
      </c>
    </row>
    <row r="6091" spans="1:11" ht="42" customHeight="1">
      <c r="A6091" s="4" t="s">
        <v>14525</v>
      </c>
      <c r="B6091" s="5" t="s">
        <v>14526</v>
      </c>
      <c r="C6091" s="5" t="s">
        <v>17</v>
      </c>
      <c r="D6091" s="5" t="s">
        <v>18</v>
      </c>
      <c r="E6091" s="5" t="s">
        <v>130</v>
      </c>
      <c r="F6091" s="9" t="s">
        <v>131</v>
      </c>
      <c r="G6091" s="9">
        <v>1601</v>
      </c>
      <c r="H6091" s="5" t="s">
        <v>21</v>
      </c>
      <c r="I6091" s="5" t="s">
        <v>14527</v>
      </c>
      <c r="J6091" s="12" t="str">
        <f>HYPERLINK("https://www.boe.es/gazeta/dias/1808/12/15/pdfs/GMD-1808-155.pdf#page=5","Abrir facsímil")</f>
        <v>Abrir facsímil</v>
      </c>
      <c r="K6091" s="15" t="s">
        <v>23</v>
      </c>
    </row>
    <row r="6092" spans="1:11" ht="42" customHeight="1">
      <c r="A6092" s="4" t="s">
        <v>14525</v>
      </c>
      <c r="B6092" s="5" t="s">
        <v>14526</v>
      </c>
      <c r="C6092" s="5" t="s">
        <v>17</v>
      </c>
      <c r="D6092" s="5" t="s">
        <v>18</v>
      </c>
      <c r="E6092" s="5" t="s">
        <v>719</v>
      </c>
      <c r="F6092" s="9" t="s">
        <v>720</v>
      </c>
      <c r="G6092" s="9">
        <v>1611</v>
      </c>
      <c r="H6092" s="5" t="s">
        <v>21</v>
      </c>
      <c r="I6092" s="5" t="s">
        <v>14528</v>
      </c>
      <c r="J6092" s="12" t="str">
        <f>HYPERLINK("https://www.boe.es/gazeta/dias/1808/12/16/pdfs/GMD-1808-156.pdf#page=3","Abrir facsímil")</f>
        <v>Abrir facsímil</v>
      </c>
      <c r="K6092" s="15" t="s">
        <v>23</v>
      </c>
    </row>
    <row r="6093" spans="1:11" ht="42" customHeight="1">
      <c r="A6093" s="4" t="s">
        <v>14529</v>
      </c>
      <c r="B6093" s="5" t="s">
        <v>14530</v>
      </c>
      <c r="C6093" s="5" t="s">
        <v>17</v>
      </c>
      <c r="D6093" s="5" t="s">
        <v>18</v>
      </c>
      <c r="E6093" s="5" t="s">
        <v>248</v>
      </c>
      <c r="F6093" s="9" t="s">
        <v>249</v>
      </c>
      <c r="G6093" s="9">
        <v>1706</v>
      </c>
      <c r="H6093" s="5" t="s">
        <v>21</v>
      </c>
      <c r="I6093" s="5" t="s">
        <v>14531</v>
      </c>
      <c r="J6093" s="12" t="str">
        <f>HYPERLINK("https://www.boe.es/gazeta/dias/1808/12/31/pdfs/GMD-1808-171.pdf#page=4","Abrir facsímil")</f>
        <v>Abrir facsímil</v>
      </c>
      <c r="K6093" s="15" t="s">
        <v>23</v>
      </c>
    </row>
    <row r="6094" spans="1:11" ht="42" customHeight="1">
      <c r="A6094" s="4" t="s">
        <v>14532</v>
      </c>
      <c r="B6094" s="5" t="s">
        <v>14533</v>
      </c>
      <c r="C6094" s="5" t="s">
        <v>17</v>
      </c>
      <c r="D6094" s="5" t="s">
        <v>18</v>
      </c>
      <c r="E6094" s="5" t="s">
        <v>461</v>
      </c>
      <c r="F6094" s="9" t="s">
        <v>733</v>
      </c>
      <c r="G6094" s="9">
        <v>1448</v>
      </c>
      <c r="H6094" s="5" t="s">
        <v>21</v>
      </c>
      <c r="I6094" s="5" t="s">
        <v>14534</v>
      </c>
      <c r="J6094" s="12" t="str">
        <f>HYPERLINK("https://www.boe.es/gazeta/dias/1808/11/08/pdfs/GMD-1808-142.pdf#page=10","Abrir facsímil")</f>
        <v>Abrir facsímil</v>
      </c>
      <c r="K6094" s="15" t="s">
        <v>23</v>
      </c>
    </row>
    <row r="6095" spans="1:11" ht="42" customHeight="1">
      <c r="A6095" s="4" t="s">
        <v>14535</v>
      </c>
      <c r="B6095" s="5" t="s">
        <v>14536</v>
      </c>
      <c r="C6095" s="5" t="s">
        <v>389</v>
      </c>
      <c r="D6095" s="5" t="s">
        <v>390</v>
      </c>
      <c r="E6095" s="5" t="s">
        <v>153</v>
      </c>
      <c r="F6095" s="9" t="s">
        <v>154</v>
      </c>
      <c r="G6095" s="9" t="s">
        <v>199</v>
      </c>
      <c r="H6095" s="5" t="s">
        <v>21</v>
      </c>
      <c r="I6095" s="5" t="s">
        <v>14537</v>
      </c>
      <c r="J6095" s="12" t="str">
        <f>HYPERLINK("https://www.boe.es/gazeta/dias/1808/09/09/pdfs/GMD-C-1808-121.pdf#page=2","Abrir facsímil")</f>
        <v>Abrir facsímil</v>
      </c>
      <c r="K6095" s="15" t="s">
        <v>23</v>
      </c>
    </row>
    <row r="6096" spans="1:11" ht="42" customHeight="1">
      <c r="A6096" s="4" t="s">
        <v>14538</v>
      </c>
      <c r="B6096" s="5" t="s">
        <v>14539</v>
      </c>
      <c r="C6096" s="5" t="s">
        <v>389</v>
      </c>
      <c r="D6096" s="5" t="s">
        <v>390</v>
      </c>
      <c r="E6096" s="5" t="s">
        <v>1085</v>
      </c>
      <c r="F6096" s="9" t="s">
        <v>1086</v>
      </c>
      <c r="G6096" s="9">
        <v>108</v>
      </c>
      <c r="H6096" s="5" t="s">
        <v>21</v>
      </c>
      <c r="I6096" s="5" t="s">
        <v>14540</v>
      </c>
      <c r="J6096" s="12" t="str">
        <f>HYPERLINK("https://www.boe.es/gazeta/dias/1808/01/29/pdfs/GMD-1808-9.pdf#page=12","Abrir facsímil")</f>
        <v>Abrir facsímil</v>
      </c>
      <c r="K6096" s="15" t="s">
        <v>23</v>
      </c>
    </row>
    <row r="6097" spans="1:11" ht="42" customHeight="1">
      <c r="A6097" s="4" t="s">
        <v>14538</v>
      </c>
      <c r="B6097" s="5" t="s">
        <v>14539</v>
      </c>
      <c r="C6097" s="5" t="s">
        <v>389</v>
      </c>
      <c r="D6097" s="5" t="s">
        <v>390</v>
      </c>
      <c r="E6097" s="5" t="s">
        <v>478</v>
      </c>
      <c r="F6097" s="9" t="s">
        <v>479</v>
      </c>
      <c r="G6097" s="9">
        <v>246</v>
      </c>
      <c r="H6097" s="5" t="s">
        <v>21</v>
      </c>
      <c r="I6097" s="5" t="s">
        <v>14541</v>
      </c>
      <c r="J6097" s="12" t="str">
        <f>HYPERLINK("https://www.boe.es/gazeta/dias/1808/03/08/pdfs/GMD-1808-20.pdf#page=12","Abrir facsímil")</f>
        <v>Abrir facsímil</v>
      </c>
      <c r="K6097" s="15" t="s">
        <v>23</v>
      </c>
    </row>
    <row r="6098" spans="1:11" ht="42" customHeight="1">
      <c r="A6098" s="4" t="s">
        <v>14542</v>
      </c>
      <c r="B6098" s="5" t="s">
        <v>14543</v>
      </c>
      <c r="C6098" s="5" t="s">
        <v>389</v>
      </c>
      <c r="D6098" s="5" t="s">
        <v>390</v>
      </c>
      <c r="E6098" s="5" t="s">
        <v>153</v>
      </c>
      <c r="F6098" s="9" t="s">
        <v>154</v>
      </c>
      <c r="G6098" s="9" t="s">
        <v>117</v>
      </c>
      <c r="H6098" s="5" t="s">
        <v>21</v>
      </c>
      <c r="I6098" s="5" t="s">
        <v>14544</v>
      </c>
      <c r="J6098" s="12" t="str">
        <f>HYPERLINK("https://www.boe.es/gazeta/dias/1808/09/09/pdfs/GMD-C-1808-121.pdf#page=1","Abrir facsímil")</f>
        <v>Abrir facsímil</v>
      </c>
      <c r="K6098" s="15" t="s">
        <v>23</v>
      </c>
    </row>
    <row r="6099" spans="1:11" ht="42" customHeight="1">
      <c r="A6099" s="4" t="s">
        <v>14545</v>
      </c>
      <c r="B6099" s="5" t="s">
        <v>14546</v>
      </c>
      <c r="C6099" s="5" t="s">
        <v>17</v>
      </c>
      <c r="D6099" s="5" t="s">
        <v>18</v>
      </c>
      <c r="E6099" s="5" t="s">
        <v>180</v>
      </c>
      <c r="F6099" s="9" t="s">
        <v>2568</v>
      </c>
      <c r="G6099" s="9">
        <v>1498</v>
      </c>
      <c r="H6099" s="5" t="s">
        <v>21</v>
      </c>
      <c r="I6099" s="5" t="s">
        <v>14547</v>
      </c>
      <c r="J6099" s="12" t="str">
        <f>HYPERLINK("https://www.boe.es/gazeta/dias/1808/11/15/pdfs/GMD-1808-144.pdf#page=12","Abrir facsímil")</f>
        <v>Abrir facsímil</v>
      </c>
      <c r="K6099" s="15" t="s">
        <v>23</v>
      </c>
    </row>
    <row r="6100" spans="1:11" ht="42" customHeight="1">
      <c r="A6100" s="4" t="s">
        <v>14548</v>
      </c>
      <c r="B6100" s="5" t="s">
        <v>14549</v>
      </c>
      <c r="C6100" s="5" t="s">
        <v>94</v>
      </c>
      <c r="D6100" s="5" t="s">
        <v>95</v>
      </c>
      <c r="E6100" s="5" t="s">
        <v>89</v>
      </c>
      <c r="F6100" s="9" t="s">
        <v>1247</v>
      </c>
      <c r="G6100" s="9">
        <v>1373</v>
      </c>
      <c r="H6100" s="5" t="s">
        <v>21</v>
      </c>
      <c r="I6100" s="5" t="s">
        <v>14550</v>
      </c>
      <c r="J6100" s="12" t="str">
        <f>HYPERLINK("https://www.boe.es/gazeta/dias/1808/10/25/pdfs/GMD-C-1808-137.pdf#page=9","Abrir facsímil")</f>
        <v>Abrir facsímil</v>
      </c>
      <c r="K6100" s="15" t="s">
        <v>23</v>
      </c>
    </row>
    <row r="6101" spans="1:11" ht="42" customHeight="1">
      <c r="A6101" s="4" t="s">
        <v>14548</v>
      </c>
      <c r="B6101" s="5" t="s">
        <v>14549</v>
      </c>
      <c r="C6101" s="5" t="s">
        <v>94</v>
      </c>
      <c r="D6101" s="5" t="s">
        <v>95</v>
      </c>
      <c r="E6101" s="5" t="s">
        <v>427</v>
      </c>
      <c r="F6101" s="9" t="s">
        <v>1802</v>
      </c>
      <c r="G6101" s="9">
        <v>1522</v>
      </c>
      <c r="H6101" s="5" t="s">
        <v>21</v>
      </c>
      <c r="I6101" s="5" t="s">
        <v>14551</v>
      </c>
      <c r="J6101" s="12" t="str">
        <f>HYPERLINK("https://www.boe.es/gazeta/dias/1808/11/22/pdfs/GMD-1808-146.pdf#page=8","Abrir facsímil")</f>
        <v>Abrir facsímil</v>
      </c>
      <c r="K6101" s="15" t="s">
        <v>23</v>
      </c>
    </row>
    <row r="6102" spans="1:11" ht="42" customHeight="1">
      <c r="A6102" s="4" t="s">
        <v>14552</v>
      </c>
      <c r="B6102" s="5" t="s">
        <v>14553</v>
      </c>
      <c r="C6102" s="5" t="s">
        <v>33</v>
      </c>
      <c r="D6102" s="5" t="s">
        <v>34</v>
      </c>
      <c r="E6102" s="5" t="s">
        <v>363</v>
      </c>
      <c r="F6102" s="9" t="s">
        <v>364</v>
      </c>
      <c r="G6102" s="9" t="s">
        <v>75</v>
      </c>
      <c r="H6102" s="5" t="s">
        <v>21</v>
      </c>
      <c r="I6102" s="5" t="s">
        <v>14554</v>
      </c>
      <c r="J6102" s="12" t="str">
        <f>HYPERLINK("https://www.boe.es/gazeta/dias/1808/09/20/pdfs/GMD-C-1808-126.pdf#page=4","Abrir facsímil")</f>
        <v>Abrir facsímil</v>
      </c>
      <c r="K6102" s="15" t="s">
        <v>23</v>
      </c>
    </row>
    <row r="6103" spans="1:11" ht="42" customHeight="1">
      <c r="A6103" s="4" t="s">
        <v>14555</v>
      </c>
      <c r="B6103" s="5" t="s">
        <v>14556</v>
      </c>
      <c r="C6103" s="5" t="s">
        <v>41</v>
      </c>
      <c r="D6103" s="5" t="s">
        <v>42</v>
      </c>
      <c r="E6103" s="5" t="s">
        <v>180</v>
      </c>
      <c r="F6103" s="9" t="s">
        <v>768</v>
      </c>
      <c r="G6103" s="9" t="s">
        <v>199</v>
      </c>
      <c r="H6103" s="5" t="s">
        <v>21</v>
      </c>
      <c r="I6103" s="5" t="s">
        <v>14557</v>
      </c>
      <c r="J6103" s="12" t="str">
        <f>HYPERLINK("https://www.boe.es/gazeta/dias/1808/11/15/pdfs/GMD-D-1808-144.pdf#page=2","Abrir facsímil")</f>
        <v>Abrir facsímil</v>
      </c>
      <c r="K6103" s="15" t="s">
        <v>23</v>
      </c>
    </row>
    <row r="6104" spans="1:11" ht="42" customHeight="1">
      <c r="A6104" s="4" t="s">
        <v>14558</v>
      </c>
      <c r="B6104" s="5" t="s">
        <v>14559</v>
      </c>
      <c r="C6104" s="5" t="s">
        <v>94</v>
      </c>
      <c r="D6104" s="5" t="s">
        <v>95</v>
      </c>
      <c r="E6104" s="5" t="s">
        <v>68</v>
      </c>
      <c r="F6104" s="9" t="s">
        <v>849</v>
      </c>
      <c r="G6104" s="9">
        <v>1350</v>
      </c>
      <c r="H6104" s="5" t="s">
        <v>21</v>
      </c>
      <c r="I6104" s="5" t="s">
        <v>14560</v>
      </c>
      <c r="J6104" s="12" t="str">
        <f>HYPERLINK("https://www.boe.es/gazeta/dias/1808/10/21/pdfs/GMD-C-1808-136.pdf#page=10","Abrir facsímil")</f>
        <v>Abrir facsímil</v>
      </c>
      <c r="K6104" s="15" t="s">
        <v>23</v>
      </c>
    </row>
    <row r="6105" spans="1:11" ht="42" customHeight="1">
      <c r="A6105" s="4" t="s">
        <v>14561</v>
      </c>
      <c r="B6105" s="5" t="s">
        <v>14562</v>
      </c>
      <c r="C6105" s="5" t="s">
        <v>41</v>
      </c>
      <c r="D6105" s="5" t="s">
        <v>42</v>
      </c>
      <c r="E6105" s="5" t="s">
        <v>89</v>
      </c>
      <c r="F6105" s="9" t="s">
        <v>563</v>
      </c>
      <c r="G6105" s="9" t="s">
        <v>75</v>
      </c>
      <c r="H6105" s="5" t="s">
        <v>21</v>
      </c>
      <c r="I6105" s="5" t="s">
        <v>14563</v>
      </c>
      <c r="J6105" s="12" t="str">
        <f>HYPERLINK("https://www.boe.es/gazeta/dias/1808/10/25/pdfs/GMD-D-1808-137.pdf#page=4","Abrir facsímil")</f>
        <v>Abrir facsímil</v>
      </c>
      <c r="K6105" s="15" t="s">
        <v>23</v>
      </c>
    </row>
    <row r="6106" spans="1:11" ht="42" customHeight="1">
      <c r="A6106" s="4" t="s">
        <v>14564</v>
      </c>
      <c r="B6106" s="5" t="s">
        <v>14565</v>
      </c>
      <c r="C6106" s="5" t="s">
        <v>33</v>
      </c>
      <c r="D6106" s="5" t="s">
        <v>34</v>
      </c>
      <c r="E6106" s="5" t="s">
        <v>35</v>
      </c>
      <c r="F6106" s="9" t="s">
        <v>36</v>
      </c>
      <c r="G6106" s="9" t="s">
        <v>279</v>
      </c>
      <c r="H6106" s="5" t="s">
        <v>21</v>
      </c>
      <c r="I6106" s="5" t="s">
        <v>14566</v>
      </c>
      <c r="J6106" s="12" t="str">
        <f>HYPERLINK("https://www.boe.es/gazeta/dias/1808/04/22/pdfs/GMD-C-1808-38.pdf#page=44","Abrir facsímil")</f>
        <v>Abrir facsímil</v>
      </c>
      <c r="K6106" s="15" t="s">
        <v>23</v>
      </c>
    </row>
    <row r="6107" spans="1:11" ht="42" customHeight="1">
      <c r="A6107" s="4" t="s">
        <v>14567</v>
      </c>
      <c r="B6107" s="5" t="s">
        <v>14568</v>
      </c>
      <c r="C6107" s="5" t="s">
        <v>33</v>
      </c>
      <c r="D6107" s="5" t="s">
        <v>34</v>
      </c>
      <c r="E6107" s="5" t="s">
        <v>35</v>
      </c>
      <c r="F6107" s="9" t="s">
        <v>36</v>
      </c>
      <c r="G6107" s="9" t="s">
        <v>1075</v>
      </c>
      <c r="H6107" s="5" t="s">
        <v>21</v>
      </c>
      <c r="I6107" s="5" t="s">
        <v>14569</v>
      </c>
      <c r="J6107" s="12" t="str">
        <f>HYPERLINK("https://www.boe.es/gazeta/dias/1808/04/22/pdfs/GMD-C-1808-38.pdf#page=32","Abrir facsímil")</f>
        <v>Abrir facsímil</v>
      </c>
      <c r="K6107" s="15" t="s">
        <v>23</v>
      </c>
    </row>
    <row r="6108" spans="1:11" ht="42" customHeight="1">
      <c r="A6108" s="4" t="s">
        <v>14570</v>
      </c>
      <c r="B6108" s="5" t="s">
        <v>14571</v>
      </c>
      <c r="C6108" s="5" t="s">
        <v>17</v>
      </c>
      <c r="D6108" s="5" t="s">
        <v>18</v>
      </c>
      <c r="E6108" s="5" t="s">
        <v>539</v>
      </c>
      <c r="F6108" s="9" t="s">
        <v>540</v>
      </c>
      <c r="G6108" s="9">
        <v>1113</v>
      </c>
      <c r="H6108" s="5" t="s">
        <v>21</v>
      </c>
      <c r="I6108" s="5" t="s">
        <v>14572</v>
      </c>
      <c r="J6108" s="12" t="str">
        <f>HYPERLINK("https://www.boe.es/gazeta/dias/1808/09/02/pdfs/GMD-1808-119.pdf#page=7","Abrir facsímil")</f>
        <v>Abrir facsímil</v>
      </c>
      <c r="K6108" s="15" t="s">
        <v>23</v>
      </c>
    </row>
    <row r="6109" spans="1:11" ht="42" customHeight="1">
      <c r="A6109" s="4" t="s">
        <v>14573</v>
      </c>
      <c r="B6109" s="5" t="s">
        <v>14574</v>
      </c>
      <c r="C6109" s="5" t="s">
        <v>17</v>
      </c>
      <c r="D6109" s="5" t="s">
        <v>18</v>
      </c>
      <c r="E6109" s="5" t="s">
        <v>218</v>
      </c>
      <c r="F6109" s="9" t="s">
        <v>219</v>
      </c>
      <c r="G6109" s="9">
        <v>331</v>
      </c>
      <c r="H6109" s="5" t="s">
        <v>21</v>
      </c>
      <c r="I6109" s="5" t="s">
        <v>14575</v>
      </c>
      <c r="J6109" s="12" t="str">
        <f>HYPERLINK("https://www.boe.es/gazeta/dias/1808/04/01/pdfs/GMD-1808-29.pdf#page=7","Abrir facsímil")</f>
        <v>Abrir facsímil</v>
      </c>
      <c r="K6109" s="15" t="s">
        <v>23</v>
      </c>
    </row>
    <row r="6110" spans="1:11" ht="42" customHeight="1">
      <c r="A6110" s="4" t="s">
        <v>14573</v>
      </c>
      <c r="B6110" s="5" t="s">
        <v>14574</v>
      </c>
      <c r="C6110" s="5" t="s">
        <v>17</v>
      </c>
      <c r="D6110" s="5" t="s">
        <v>18</v>
      </c>
      <c r="E6110" s="5" t="s">
        <v>1791</v>
      </c>
      <c r="F6110" s="9" t="s">
        <v>2814</v>
      </c>
      <c r="G6110" s="9">
        <v>930</v>
      </c>
      <c r="H6110" s="5" t="s">
        <v>21</v>
      </c>
      <c r="I6110" s="5" t="s">
        <v>14576</v>
      </c>
      <c r="J6110" s="12" t="str">
        <f>HYPERLINK("https://www.boe.es/gazeta/dias/1808/07/30/pdfs/GMD-1808-102.pdf#page=4","Abrir facsímil")</f>
        <v>Abrir facsímil</v>
      </c>
      <c r="K6110" s="15" t="s">
        <v>23</v>
      </c>
    </row>
    <row r="6111" spans="1:11" ht="42" customHeight="1">
      <c r="A6111" s="4" t="s">
        <v>14573</v>
      </c>
      <c r="B6111" s="5" t="s">
        <v>14574</v>
      </c>
      <c r="C6111" s="5" t="s">
        <v>17</v>
      </c>
      <c r="D6111" s="5" t="s">
        <v>18</v>
      </c>
      <c r="E6111" s="5" t="s">
        <v>427</v>
      </c>
      <c r="F6111" s="9" t="s">
        <v>1802</v>
      </c>
      <c r="G6111" s="9">
        <v>1526</v>
      </c>
      <c r="H6111" s="5" t="s">
        <v>21</v>
      </c>
      <c r="I6111" s="5" t="s">
        <v>14577</v>
      </c>
      <c r="J6111" s="12" t="str">
        <f>HYPERLINK("https://www.boe.es/gazeta/dias/1808/11/22/pdfs/GMD-1808-146.pdf#page=12","Abrir facsímil")</f>
        <v>Abrir facsímil</v>
      </c>
      <c r="K6111" s="15" t="s">
        <v>23</v>
      </c>
    </row>
    <row r="6112" spans="1:11" ht="42" customHeight="1">
      <c r="A6112" s="4" t="s">
        <v>14578</v>
      </c>
      <c r="B6112" s="5" t="s">
        <v>14579</v>
      </c>
      <c r="C6112" s="5" t="s">
        <v>94</v>
      </c>
      <c r="D6112" s="5" t="s">
        <v>95</v>
      </c>
      <c r="E6112" s="5" t="s">
        <v>974</v>
      </c>
      <c r="F6112" s="9" t="s">
        <v>975</v>
      </c>
      <c r="G6112" s="9">
        <v>391</v>
      </c>
      <c r="H6112" s="5" t="s">
        <v>21</v>
      </c>
      <c r="I6112" s="5" t="s">
        <v>14580</v>
      </c>
      <c r="J6112" s="12" t="str">
        <f>HYPERLINK("https://www.boe.es/gazeta/dias/1808/04/19/pdfs/GMD-1808-37.pdf#page=7","Abrir facsímil")</f>
        <v>Abrir facsímil</v>
      </c>
      <c r="K6112" s="15" t="s">
        <v>23</v>
      </c>
    </row>
    <row r="6113" spans="1:11" ht="42" customHeight="1">
      <c r="A6113" s="4" t="s">
        <v>14581</v>
      </c>
      <c r="B6113" s="5" t="s">
        <v>14582</v>
      </c>
      <c r="C6113" s="5" t="s">
        <v>33</v>
      </c>
      <c r="D6113" s="5" t="s">
        <v>34</v>
      </c>
      <c r="E6113" s="5" t="s">
        <v>427</v>
      </c>
      <c r="F6113" s="9" t="s">
        <v>9188</v>
      </c>
      <c r="G6113" s="9">
        <v>1528</v>
      </c>
      <c r="H6113" s="5" t="s">
        <v>21</v>
      </c>
      <c r="I6113" s="5" t="s">
        <v>14583</v>
      </c>
      <c r="J6113" s="12" t="str">
        <f>HYPERLINK("https://www.boe.es/gazeta/dias/1808/11/22/pdfs/GMD-C-1808-146.pdf#page=2","Abrir facsímil")</f>
        <v>Abrir facsímil</v>
      </c>
      <c r="K6113" s="15" t="s">
        <v>23</v>
      </c>
    </row>
    <row r="6114" spans="1:11" ht="42" customHeight="1">
      <c r="A6114" s="4" t="s">
        <v>14584</v>
      </c>
      <c r="B6114" s="5" t="s">
        <v>14584</v>
      </c>
      <c r="C6114" s="5" t="s">
        <v>101</v>
      </c>
      <c r="D6114" s="5" t="s">
        <v>102</v>
      </c>
      <c r="E6114" s="5" t="s">
        <v>968</v>
      </c>
      <c r="F6114" s="9" t="s">
        <v>969</v>
      </c>
      <c r="G6114" s="9">
        <v>896</v>
      </c>
      <c r="H6114" s="5" t="s">
        <v>21</v>
      </c>
      <c r="I6114" s="5" t="s">
        <v>14585</v>
      </c>
      <c r="J6114" s="12" t="str">
        <f>HYPERLINK("https://www.boe.es/gazeta/dias/1808/07/26/pdfs/GMD-1808-98.pdf#page=2","Abrir facsímil")</f>
        <v>Abrir facsímil</v>
      </c>
      <c r="K6114" s="15" t="s">
        <v>23</v>
      </c>
    </row>
    <row r="6115" spans="1:11" ht="42" customHeight="1">
      <c r="A6115" s="4" t="s">
        <v>14586</v>
      </c>
      <c r="B6115" s="5" t="s">
        <v>14587</v>
      </c>
      <c r="C6115" s="5" t="s">
        <v>260</v>
      </c>
      <c r="D6115" s="5" t="s">
        <v>42</v>
      </c>
      <c r="E6115" s="5" t="s">
        <v>334</v>
      </c>
      <c r="F6115" s="9" t="s">
        <v>1814</v>
      </c>
      <c r="G6115" s="9">
        <v>1246</v>
      </c>
      <c r="H6115" s="5" t="s">
        <v>21</v>
      </c>
      <c r="I6115" s="5" t="s">
        <v>14588</v>
      </c>
      <c r="J6115" s="12" t="str">
        <f>HYPERLINK("https://www.boe.es/gazeta/dias/1808/10/04/pdfs/GMD-1808-131.pdf#page=14","Abrir facsímil")</f>
        <v>Abrir facsímil</v>
      </c>
      <c r="K6115" s="15" t="s">
        <v>23</v>
      </c>
    </row>
    <row r="6116" spans="1:11" ht="42" customHeight="1">
      <c r="A6116" s="4" t="s">
        <v>14589</v>
      </c>
      <c r="B6116" s="5" t="s">
        <v>14590</v>
      </c>
      <c r="C6116" s="5" t="s">
        <v>41</v>
      </c>
      <c r="D6116" s="5" t="s">
        <v>42</v>
      </c>
      <c r="E6116" s="5" t="s">
        <v>2555</v>
      </c>
      <c r="F6116" s="9" t="s">
        <v>2556</v>
      </c>
      <c r="G6116" s="9">
        <v>130</v>
      </c>
      <c r="H6116" s="5" t="s">
        <v>21</v>
      </c>
      <c r="I6116" s="5" t="s">
        <v>14591</v>
      </c>
      <c r="J6116" s="12" t="str">
        <f>HYPERLINK("https://www.boe.es/gazeta/dias/1808/02/05/pdfs/GMD-1808-11.pdf#page=10","Abrir facsímil")</f>
        <v>Abrir facsímil</v>
      </c>
      <c r="K6116" s="15" t="s">
        <v>23</v>
      </c>
    </row>
    <row r="6117" spans="1:11" ht="42" customHeight="1">
      <c r="A6117" s="4" t="s">
        <v>14592</v>
      </c>
      <c r="B6117" s="5" t="s">
        <v>14593</v>
      </c>
      <c r="C6117" s="5" t="s">
        <v>94</v>
      </c>
      <c r="D6117" s="5" t="s">
        <v>95</v>
      </c>
      <c r="E6117" s="5" t="s">
        <v>418</v>
      </c>
      <c r="F6117" s="9" t="s">
        <v>3832</v>
      </c>
      <c r="G6117" s="9">
        <v>231</v>
      </c>
      <c r="H6117" s="5" t="s">
        <v>21</v>
      </c>
      <c r="I6117" s="5" t="s">
        <v>14594</v>
      </c>
      <c r="J6117" s="12" t="str">
        <f>HYPERLINK("https://www.boe.es/gazeta/dias/1808/09/06/pdfs/GMS-1808-29.pdf#page=7","Abrir facsímil")</f>
        <v>Abrir facsímil</v>
      </c>
      <c r="K6117" s="15" t="s">
        <v>23</v>
      </c>
    </row>
    <row r="6118" spans="1:11" ht="42" customHeight="1">
      <c r="A6118" s="4" t="s">
        <v>14595</v>
      </c>
      <c r="B6118" s="5" t="s">
        <v>14596</v>
      </c>
      <c r="C6118" s="5" t="s">
        <v>94</v>
      </c>
      <c r="D6118" s="5" t="s">
        <v>95</v>
      </c>
      <c r="E6118" s="5" t="s">
        <v>180</v>
      </c>
      <c r="F6118" s="9" t="s">
        <v>768</v>
      </c>
      <c r="G6118" s="9" t="s">
        <v>106</v>
      </c>
      <c r="H6118" s="5" t="s">
        <v>21</v>
      </c>
      <c r="I6118" s="5" t="s">
        <v>14597</v>
      </c>
      <c r="J6118" s="12" t="str">
        <f>HYPERLINK("https://www.boe.es/gazeta/dias/1808/11/15/pdfs/GMD-D-1808-144.pdf#page=3","Abrir facsímil")</f>
        <v>Abrir facsímil</v>
      </c>
      <c r="K6118" s="15" t="s">
        <v>23</v>
      </c>
    </row>
    <row r="6119" spans="1:11" ht="42" customHeight="1">
      <c r="A6119" s="4" t="s">
        <v>14598</v>
      </c>
      <c r="B6119" s="5" t="s">
        <v>14599</v>
      </c>
      <c r="C6119" s="5" t="s">
        <v>33</v>
      </c>
      <c r="D6119" s="5" t="s">
        <v>34</v>
      </c>
      <c r="E6119" s="5" t="s">
        <v>456</v>
      </c>
      <c r="F6119" s="9" t="s">
        <v>748</v>
      </c>
      <c r="G6119" s="9" t="s">
        <v>199</v>
      </c>
      <c r="H6119" s="5" t="s">
        <v>21</v>
      </c>
      <c r="I6119" s="5" t="s">
        <v>14600</v>
      </c>
      <c r="J6119" s="12" t="str">
        <f>HYPERLINK("https://www.boe.es/gazeta/dias/1808/10/14/pdfs/GMD-C-1808-134.pdf#page=2","Abrir facsímil")</f>
        <v>Abrir facsímil</v>
      </c>
      <c r="K6119" s="15" t="s">
        <v>23</v>
      </c>
    </row>
    <row r="6120" spans="1:11" ht="42" customHeight="1">
      <c r="A6120" s="4" t="s">
        <v>14601</v>
      </c>
      <c r="B6120" s="5" t="s">
        <v>14602</v>
      </c>
      <c r="C6120" s="5" t="s">
        <v>17</v>
      </c>
      <c r="D6120" s="5" t="s">
        <v>18</v>
      </c>
      <c r="E6120" s="5" t="s">
        <v>65</v>
      </c>
      <c r="F6120" s="9" t="s">
        <v>66</v>
      </c>
      <c r="G6120" s="9">
        <v>1307</v>
      </c>
      <c r="H6120" s="5" t="s">
        <v>21</v>
      </c>
      <c r="I6120" s="5" t="s">
        <v>14603</v>
      </c>
      <c r="J6120" s="12" t="str">
        <f>HYPERLINK("https://www.boe.es/gazeta/dias/1808/10/18/pdfs/GMD-1808-135.pdf#page=7","Abrir facsímil")</f>
        <v>Abrir facsímil</v>
      </c>
      <c r="K6120" s="15" t="s">
        <v>23</v>
      </c>
    </row>
    <row r="6121" spans="1:11" ht="42" customHeight="1">
      <c r="A6121" s="4" t="s">
        <v>14604</v>
      </c>
      <c r="B6121" s="5" t="s">
        <v>14605</v>
      </c>
      <c r="C6121" s="5" t="s">
        <v>33</v>
      </c>
      <c r="D6121" s="5" t="s">
        <v>34</v>
      </c>
      <c r="E6121" s="5" t="s">
        <v>139</v>
      </c>
      <c r="F6121" s="9" t="s">
        <v>1089</v>
      </c>
      <c r="G6121" s="9" t="s">
        <v>75</v>
      </c>
      <c r="H6121" s="5" t="s">
        <v>21</v>
      </c>
      <c r="I6121" s="5" t="s">
        <v>14606</v>
      </c>
      <c r="J6121" s="12" t="str">
        <f>HYPERLINK("https://www.boe.es/gazeta/dias/1808/09/23/pdfs/GMD-C-1808-127.pdf#page=4","Abrir facsímil")</f>
        <v>Abrir facsímil</v>
      </c>
      <c r="K6121" s="15" t="s">
        <v>23</v>
      </c>
    </row>
    <row r="6122" spans="1:11" ht="42" customHeight="1">
      <c r="A6122" s="4" t="s">
        <v>14607</v>
      </c>
      <c r="B6122" s="5" t="s">
        <v>14608</v>
      </c>
      <c r="C6122" s="5" t="s">
        <v>94</v>
      </c>
      <c r="D6122" s="5" t="s">
        <v>95</v>
      </c>
      <c r="E6122" s="5" t="s">
        <v>974</v>
      </c>
      <c r="F6122" s="9" t="s">
        <v>975</v>
      </c>
      <c r="G6122" s="9">
        <v>391</v>
      </c>
      <c r="H6122" s="5" t="s">
        <v>21</v>
      </c>
      <c r="I6122" s="5" t="s">
        <v>14609</v>
      </c>
      <c r="J6122" s="12" t="str">
        <f>HYPERLINK("https://www.boe.es/gazeta/dias/1808/04/19/pdfs/GMD-1808-37.pdf#page=7","Abrir facsímil")</f>
        <v>Abrir facsímil</v>
      </c>
      <c r="K6122" s="15" t="s">
        <v>23</v>
      </c>
    </row>
    <row r="6123" spans="1:11" ht="42" customHeight="1">
      <c r="A6123" s="4" t="s">
        <v>14610</v>
      </c>
      <c r="B6123" s="5" t="s">
        <v>14611</v>
      </c>
      <c r="C6123" s="5" t="s">
        <v>94</v>
      </c>
      <c r="D6123" s="5" t="s">
        <v>95</v>
      </c>
      <c r="E6123" s="5" t="s">
        <v>54</v>
      </c>
      <c r="F6123" s="9" t="s">
        <v>55</v>
      </c>
      <c r="G6123" s="9">
        <v>1089</v>
      </c>
      <c r="H6123" s="5" t="s">
        <v>21</v>
      </c>
      <c r="I6123" s="5" t="s">
        <v>14612</v>
      </c>
      <c r="J6123" s="12" t="str">
        <f>HYPERLINK("https://www.boe.es/gazeta/dias/1808/08/26/pdfs/GMD-1808-117.pdf#page=11","Abrir facsímil")</f>
        <v>Abrir facsímil</v>
      </c>
      <c r="K6123" s="15" t="s">
        <v>23</v>
      </c>
    </row>
    <row r="6124" spans="1:11" ht="42" customHeight="1">
      <c r="A6124" s="4" t="s">
        <v>14613</v>
      </c>
      <c r="B6124" s="5" t="s">
        <v>14614</v>
      </c>
      <c r="C6124" s="5" t="s">
        <v>41</v>
      </c>
      <c r="D6124" s="5" t="s">
        <v>42</v>
      </c>
      <c r="E6124" s="5" t="s">
        <v>180</v>
      </c>
      <c r="F6124" s="9" t="s">
        <v>768</v>
      </c>
      <c r="G6124" s="9" t="s">
        <v>117</v>
      </c>
      <c r="H6124" s="5" t="s">
        <v>21</v>
      </c>
      <c r="I6124" s="5" t="s">
        <v>14615</v>
      </c>
      <c r="J6124" s="12" t="str">
        <f>HYPERLINK("https://www.boe.es/gazeta/dias/1808/11/15/pdfs/GMD-D-1808-144.pdf#page=1","Abrir facsímil")</f>
        <v>Abrir facsímil</v>
      </c>
      <c r="K6124" s="15" t="s">
        <v>23</v>
      </c>
    </row>
    <row r="6125" spans="1:11" ht="42" customHeight="1">
      <c r="A6125" s="4" t="s">
        <v>14616</v>
      </c>
      <c r="B6125" s="5" t="s">
        <v>14617</v>
      </c>
      <c r="C6125" s="5" t="s">
        <v>33</v>
      </c>
      <c r="D6125" s="5" t="s">
        <v>34</v>
      </c>
      <c r="E6125" s="5" t="s">
        <v>73</v>
      </c>
      <c r="F6125" s="9" t="s">
        <v>1570</v>
      </c>
      <c r="G6125" s="9">
        <v>1473</v>
      </c>
      <c r="H6125" s="5" t="s">
        <v>21</v>
      </c>
      <c r="I6125" s="5" t="s">
        <v>14618</v>
      </c>
      <c r="J6125" s="12" t="str">
        <f>HYPERLINK("https://www.boe.es/gazeta/dias/1808/11/11/pdfs/GMD-C-1808-143.pdf#page=3","Abrir facsímil")</f>
        <v>Abrir facsímil</v>
      </c>
      <c r="K6125" s="15" t="s">
        <v>23</v>
      </c>
    </row>
    <row r="6126" spans="1:11" ht="42" customHeight="1">
      <c r="A6126" s="4" t="s">
        <v>14616</v>
      </c>
      <c r="B6126" s="5" t="s">
        <v>14617</v>
      </c>
      <c r="C6126" s="5" t="s">
        <v>33</v>
      </c>
      <c r="D6126" s="5" t="s">
        <v>34</v>
      </c>
      <c r="E6126" s="5" t="s">
        <v>73</v>
      </c>
      <c r="F6126" s="9" t="s">
        <v>1570</v>
      </c>
      <c r="G6126" s="9">
        <v>1480</v>
      </c>
      <c r="H6126" s="5" t="s">
        <v>21</v>
      </c>
      <c r="I6126" s="5" t="s">
        <v>14619</v>
      </c>
      <c r="J6126" s="12" t="str">
        <f>HYPERLINK("https://www.boe.es/gazeta/dias/1808/11/11/pdfs/GMD-C-1808-143.pdf#page=10","Abrir facsímil")</f>
        <v>Abrir facsímil</v>
      </c>
      <c r="K6126" s="15" t="s">
        <v>23</v>
      </c>
    </row>
    <row r="6127" spans="1:11" ht="42" customHeight="1">
      <c r="A6127" s="4" t="s">
        <v>14620</v>
      </c>
      <c r="B6127" s="5" t="s">
        <v>14621</v>
      </c>
      <c r="C6127" s="5" t="s">
        <v>41</v>
      </c>
      <c r="D6127" s="5" t="s">
        <v>42</v>
      </c>
      <c r="E6127" s="5" t="s">
        <v>180</v>
      </c>
      <c r="F6127" s="9" t="s">
        <v>768</v>
      </c>
      <c r="G6127" s="9" t="s">
        <v>106</v>
      </c>
      <c r="H6127" s="5" t="s">
        <v>21</v>
      </c>
      <c r="I6127" s="5" t="s">
        <v>14622</v>
      </c>
      <c r="J6127" s="12" t="str">
        <f>HYPERLINK("https://www.boe.es/gazeta/dias/1808/11/15/pdfs/GMD-D-1808-144.pdf#page=3","Abrir facsímil")</f>
        <v>Abrir facsímil</v>
      </c>
      <c r="K6127" s="15" t="s">
        <v>23</v>
      </c>
    </row>
    <row r="6128" spans="1:11" ht="42" customHeight="1">
      <c r="A6128" s="4" t="s">
        <v>14623</v>
      </c>
      <c r="B6128" s="5" t="s">
        <v>14624</v>
      </c>
      <c r="C6128" s="5" t="s">
        <v>389</v>
      </c>
      <c r="D6128" s="5" t="s">
        <v>390</v>
      </c>
      <c r="E6128" s="5" t="s">
        <v>418</v>
      </c>
      <c r="F6128" s="9" t="s">
        <v>419</v>
      </c>
      <c r="G6128" s="9">
        <v>1142</v>
      </c>
      <c r="H6128" s="5" t="s">
        <v>21</v>
      </c>
      <c r="I6128" s="5" t="s">
        <v>14625</v>
      </c>
      <c r="J6128" s="12" t="str">
        <f>HYPERLINK("https://www.boe.es/gazeta/dias/1808/09/06/pdfs/GMD-C-1808-120.pdf#page=16","Abrir facsímil")</f>
        <v>Abrir facsímil</v>
      </c>
      <c r="K6128" s="15" t="s">
        <v>23</v>
      </c>
    </row>
    <row r="6129" spans="1:11" ht="42" customHeight="1">
      <c r="A6129" s="4" t="s">
        <v>14626</v>
      </c>
      <c r="B6129" s="5" t="s">
        <v>14626</v>
      </c>
      <c r="C6129" s="5" t="s">
        <v>94</v>
      </c>
      <c r="D6129" s="5" t="s">
        <v>95</v>
      </c>
      <c r="E6129" s="5" t="s">
        <v>3001</v>
      </c>
      <c r="F6129" s="9" t="s">
        <v>3002</v>
      </c>
      <c r="G6129" s="9">
        <v>1653</v>
      </c>
      <c r="H6129" s="5" t="s">
        <v>21</v>
      </c>
      <c r="I6129" s="5" t="s">
        <v>14627</v>
      </c>
      <c r="J6129" s="12" t="str">
        <f>HYPERLINK("https://www.boe.es/gazeta/dias/1808/12/21/pdfs/GMD-1808-161.pdf#page=3","Abrir facsímil")</f>
        <v>Abrir facsímil</v>
      </c>
      <c r="K6129" s="15" t="s">
        <v>23</v>
      </c>
    </row>
    <row r="6130" spans="1:11" ht="42" customHeight="1">
      <c r="A6130" s="4" t="s">
        <v>14628</v>
      </c>
      <c r="B6130" s="5" t="s">
        <v>14629</v>
      </c>
      <c r="C6130" s="5" t="s">
        <v>389</v>
      </c>
      <c r="D6130" s="5" t="s">
        <v>390</v>
      </c>
      <c r="E6130" s="5" t="s">
        <v>3160</v>
      </c>
      <c r="F6130" s="9" t="s">
        <v>3161</v>
      </c>
      <c r="G6130" s="9">
        <v>574</v>
      </c>
      <c r="H6130" s="5" t="s">
        <v>21</v>
      </c>
      <c r="I6130" s="5" t="s">
        <v>14630</v>
      </c>
      <c r="J6130" s="12" t="str">
        <f>HYPERLINK("https://www.boe.es/gazeta/dias/1808/06/14/pdfs/GMD-1808-57.pdf#page=12","Abrir facsímil")</f>
        <v>Abrir facsímil</v>
      </c>
      <c r="K6130" s="15" t="s">
        <v>23</v>
      </c>
    </row>
    <row r="6131" spans="1:11" ht="42" customHeight="1">
      <c r="A6131" s="4" t="s">
        <v>14631</v>
      </c>
      <c r="B6131" s="5" t="s">
        <v>14632</v>
      </c>
      <c r="C6131" s="5" t="s">
        <v>41</v>
      </c>
      <c r="D6131" s="5" t="s">
        <v>42</v>
      </c>
      <c r="E6131" s="5" t="s">
        <v>242</v>
      </c>
      <c r="F6131" s="9" t="s">
        <v>243</v>
      </c>
      <c r="G6131" s="9">
        <v>11</v>
      </c>
      <c r="H6131" s="5" t="s">
        <v>21</v>
      </c>
      <c r="I6131" s="5" t="s">
        <v>14633</v>
      </c>
      <c r="J6131" s="12" t="str">
        <f>HYPERLINK("https://www.boe.es/gazeta/dias/1808/01/01/pdfs/GMD-1808-1.pdf#page=11","Abrir facsímil")</f>
        <v>Abrir facsímil</v>
      </c>
      <c r="K6131" s="15" t="s">
        <v>23</v>
      </c>
    </row>
    <row r="6132" spans="1:11" ht="42" customHeight="1">
      <c r="A6132" s="4" t="s">
        <v>14631</v>
      </c>
      <c r="B6132" s="5" t="s">
        <v>14632</v>
      </c>
      <c r="C6132" s="5" t="s">
        <v>41</v>
      </c>
      <c r="D6132" s="5" t="s">
        <v>42</v>
      </c>
      <c r="E6132" s="5" t="s">
        <v>572</v>
      </c>
      <c r="F6132" s="9" t="s">
        <v>573</v>
      </c>
      <c r="G6132" s="9">
        <v>21</v>
      </c>
      <c r="H6132" s="5" t="s">
        <v>21</v>
      </c>
      <c r="I6132" s="5" t="s">
        <v>14634</v>
      </c>
      <c r="J6132" s="12" t="str">
        <f>HYPERLINK("https://www.boe.es/gazeta/dias/1808/01/05/pdfs/GMD-1808-2.pdf#page=9","Abrir facsímil")</f>
        <v>Abrir facsímil</v>
      </c>
      <c r="K6132" s="15" t="s">
        <v>23</v>
      </c>
    </row>
    <row r="6133" spans="1:11" ht="42" customHeight="1">
      <c r="A6133" s="4" t="s">
        <v>14635</v>
      </c>
      <c r="B6133" s="5" t="s">
        <v>14636</v>
      </c>
      <c r="C6133" s="5" t="s">
        <v>41</v>
      </c>
      <c r="D6133" s="5" t="s">
        <v>42</v>
      </c>
      <c r="E6133" s="5" t="s">
        <v>1466</v>
      </c>
      <c r="F6133" s="9" t="s">
        <v>1467</v>
      </c>
      <c r="G6133" s="9">
        <v>58</v>
      </c>
      <c r="H6133" s="5" t="s">
        <v>21</v>
      </c>
      <c r="I6133" s="5" t="s">
        <v>14637</v>
      </c>
      <c r="J6133" s="12" t="str">
        <f>HYPERLINK("https://www.boe.es/gazeta/dias/1808/01/15/pdfs/GMD-1808-5.pdf#page=10","Abrir facsímil")</f>
        <v>Abrir facsímil</v>
      </c>
      <c r="K6133" s="15" t="s">
        <v>23</v>
      </c>
    </row>
    <row r="6134" spans="1:11" ht="42" customHeight="1">
      <c r="A6134" s="4" t="s">
        <v>14638</v>
      </c>
      <c r="B6134" s="5" t="s">
        <v>14639</v>
      </c>
      <c r="C6134" s="5" t="s">
        <v>41</v>
      </c>
      <c r="D6134" s="5" t="s">
        <v>42</v>
      </c>
      <c r="E6134" s="5" t="s">
        <v>991</v>
      </c>
      <c r="F6134" s="9" t="s">
        <v>992</v>
      </c>
      <c r="G6134" s="9">
        <v>220</v>
      </c>
      <c r="H6134" s="5" t="s">
        <v>21</v>
      </c>
      <c r="I6134" s="5" t="s">
        <v>14640</v>
      </c>
      <c r="J6134" s="12" t="str">
        <f>HYPERLINK("https://www.boe.es/gazeta/dias/1808/03/01/pdfs/GMD-1808-18.pdf#page=10","Abrir facsímil")</f>
        <v>Abrir facsímil</v>
      </c>
      <c r="K6134" s="15" t="s">
        <v>23</v>
      </c>
    </row>
    <row r="6135" spans="1:11" ht="42" customHeight="1">
      <c r="A6135" s="4" t="s">
        <v>14641</v>
      </c>
      <c r="B6135" s="5" t="s">
        <v>14642</v>
      </c>
      <c r="C6135" s="5" t="s">
        <v>33</v>
      </c>
      <c r="D6135" s="5" t="s">
        <v>34</v>
      </c>
      <c r="E6135" s="5" t="s">
        <v>35</v>
      </c>
      <c r="F6135" s="9" t="s">
        <v>36</v>
      </c>
      <c r="G6135" s="9" t="s">
        <v>199</v>
      </c>
      <c r="H6135" s="5" t="s">
        <v>21</v>
      </c>
      <c r="I6135" s="5" t="s">
        <v>14643</v>
      </c>
      <c r="J6135" s="12" t="str">
        <f>HYPERLINK("https://www.boe.es/gazeta/dias/1808/04/22/pdfs/GMD-C-1808-38.pdf#page=2","Abrir facsímil")</f>
        <v>Abrir facsímil</v>
      </c>
      <c r="K6135" s="15" t="s">
        <v>23</v>
      </c>
    </row>
    <row r="6136" spans="1:11" ht="42" customHeight="1">
      <c r="A6136" s="4" t="s">
        <v>14644</v>
      </c>
      <c r="B6136" s="5" t="s">
        <v>14645</v>
      </c>
      <c r="C6136" s="5" t="s">
        <v>260</v>
      </c>
      <c r="D6136" s="5" t="s">
        <v>42</v>
      </c>
      <c r="E6136" s="5" t="s">
        <v>469</v>
      </c>
      <c r="F6136" s="9" t="s">
        <v>470</v>
      </c>
      <c r="G6136" s="9">
        <v>152</v>
      </c>
      <c r="H6136" s="5" t="s">
        <v>21</v>
      </c>
      <c r="I6136" s="5" t="s">
        <v>14646</v>
      </c>
      <c r="J6136" s="12" t="str">
        <f>HYPERLINK("https://www.boe.es/gazeta/dias/1808/02/12/pdfs/GMD-1808-13.pdf#page=8","Abrir facsímil")</f>
        <v>Abrir facsímil</v>
      </c>
      <c r="K6136" s="15" t="s">
        <v>23</v>
      </c>
    </row>
    <row r="6137" spans="1:11" ht="42" customHeight="1">
      <c r="A6137" s="4" t="s">
        <v>14647</v>
      </c>
      <c r="B6137" s="5" t="s">
        <v>14648</v>
      </c>
      <c r="C6137" s="5" t="s">
        <v>33</v>
      </c>
      <c r="D6137" s="5" t="s">
        <v>34</v>
      </c>
      <c r="E6137" s="5" t="s">
        <v>65</v>
      </c>
      <c r="F6137" s="9" t="s">
        <v>105</v>
      </c>
      <c r="G6137" s="9" t="s">
        <v>106</v>
      </c>
      <c r="H6137" s="5" t="s">
        <v>21</v>
      </c>
      <c r="I6137" s="5" t="s">
        <v>14649</v>
      </c>
      <c r="J6137" s="12" t="str">
        <f>HYPERLINK("https://www.boe.es/gazeta/dias/1808/10/18/pdfs/GMD-D-1808-135.pdf#page=3","Abrir facsímil")</f>
        <v>Abrir facsímil</v>
      </c>
      <c r="K6137" s="15" t="s">
        <v>23</v>
      </c>
    </row>
    <row r="6138" spans="1:11" ht="42" customHeight="1">
      <c r="A6138" s="4" t="s">
        <v>14650</v>
      </c>
      <c r="B6138" s="5" t="s">
        <v>14651</v>
      </c>
      <c r="C6138" s="5" t="s">
        <v>17</v>
      </c>
      <c r="D6138" s="5" t="s">
        <v>18</v>
      </c>
      <c r="E6138" s="5" t="s">
        <v>222</v>
      </c>
      <c r="F6138" s="9" t="s">
        <v>223</v>
      </c>
      <c r="G6138" s="9">
        <v>355</v>
      </c>
      <c r="H6138" s="5" t="s">
        <v>21</v>
      </c>
      <c r="I6138" s="5" t="s">
        <v>14652</v>
      </c>
      <c r="J6138" s="12" t="str">
        <f>HYPERLINK("https://www.boe.es/gazeta/dias/1808/04/08/pdfs/GMD-1808-32.pdf#page=9","Abrir facsímil")</f>
        <v>Abrir facsímil</v>
      </c>
      <c r="K6138" s="15" t="s">
        <v>23</v>
      </c>
    </row>
    <row r="6139" spans="1:11" ht="42" customHeight="1">
      <c r="A6139" s="4" t="s">
        <v>14653</v>
      </c>
      <c r="B6139" s="5" t="s">
        <v>14654</v>
      </c>
      <c r="C6139" s="5" t="s">
        <v>17</v>
      </c>
      <c r="D6139" s="5" t="s">
        <v>18</v>
      </c>
      <c r="E6139" s="5" t="s">
        <v>19</v>
      </c>
      <c r="F6139" s="9" t="s">
        <v>59</v>
      </c>
      <c r="G6139" s="9">
        <v>1230</v>
      </c>
      <c r="H6139" s="5" t="s">
        <v>21</v>
      </c>
      <c r="I6139" s="5" t="s">
        <v>14655</v>
      </c>
      <c r="J6139" s="12" t="str">
        <f>HYPERLINK("https://www.boe.es/gazeta/dias/1808/09/30/pdfs/GMD-1808-130.pdf#page=10","Abrir facsímil")</f>
        <v>Abrir facsímil</v>
      </c>
      <c r="K6139" s="15" t="s">
        <v>23</v>
      </c>
    </row>
    <row r="6140" spans="1:11" ht="42" customHeight="1">
      <c r="A6140" s="4" t="s">
        <v>14656</v>
      </c>
      <c r="B6140" s="5" t="s">
        <v>14657</v>
      </c>
      <c r="C6140" s="5" t="s">
        <v>94</v>
      </c>
      <c r="D6140" s="5" t="s">
        <v>95</v>
      </c>
      <c r="E6140" s="5" t="s">
        <v>51</v>
      </c>
      <c r="F6140" s="9" t="s">
        <v>52</v>
      </c>
      <c r="G6140" s="9">
        <v>990</v>
      </c>
      <c r="H6140" s="5" t="s">
        <v>21</v>
      </c>
      <c r="I6140" s="5" t="s">
        <v>14658</v>
      </c>
      <c r="J6140" s="12" t="str">
        <f>HYPERLINK("https://www.boe.es/gazeta/dias/1808/08/09/pdfs/GMD-1808-111.pdf#page=6","Abrir facsímil")</f>
        <v>Abrir facsímil</v>
      </c>
      <c r="K6140" s="15" t="s">
        <v>23</v>
      </c>
    </row>
    <row r="6141" spans="1:11" ht="42" customHeight="1">
      <c r="A6141" s="4" t="s">
        <v>14659</v>
      </c>
      <c r="B6141" s="5" t="s">
        <v>14660</v>
      </c>
      <c r="C6141" s="5" t="s">
        <v>17</v>
      </c>
      <c r="D6141" s="5" t="s">
        <v>18</v>
      </c>
      <c r="E6141" s="5" t="s">
        <v>125</v>
      </c>
      <c r="F6141" s="9" t="s">
        <v>397</v>
      </c>
      <c r="G6141" s="9">
        <v>1270</v>
      </c>
      <c r="H6141" s="5" t="s">
        <v>21</v>
      </c>
      <c r="I6141" s="5" t="s">
        <v>14661</v>
      </c>
      <c r="J6141" s="12" t="str">
        <f>HYPERLINK("https://www.boe.es/gazeta/dias/1808/10/07/pdfs/GMD-1808-132.pdf#page=10","Abrir facsímil")</f>
        <v>Abrir facsímil</v>
      </c>
      <c r="K6141" s="15" t="s">
        <v>23</v>
      </c>
    </row>
    <row r="6142" spans="1:11" ht="42" customHeight="1">
      <c r="A6142" s="4" t="s">
        <v>14659</v>
      </c>
      <c r="B6142" s="5" t="s">
        <v>14660</v>
      </c>
      <c r="C6142" s="5" t="s">
        <v>17</v>
      </c>
      <c r="D6142" s="5" t="s">
        <v>18</v>
      </c>
      <c r="E6142" s="5" t="s">
        <v>89</v>
      </c>
      <c r="F6142" s="9" t="s">
        <v>90</v>
      </c>
      <c r="G6142" s="9">
        <v>1359</v>
      </c>
      <c r="H6142" s="5" t="s">
        <v>21</v>
      </c>
      <c r="I6142" s="5" t="s">
        <v>14662</v>
      </c>
      <c r="J6142" s="12" t="str">
        <f>HYPERLINK("https://www.boe.es/gazeta/dias/1808/10/25/pdfs/GMD-1808-137.pdf#page=7","Abrir facsímil")</f>
        <v>Abrir facsímil</v>
      </c>
      <c r="K6142" s="15" t="s">
        <v>23</v>
      </c>
    </row>
    <row r="6143" spans="1:11" ht="42" customHeight="1">
      <c r="A6143" s="4" t="s">
        <v>14659</v>
      </c>
      <c r="B6143" s="5" t="s">
        <v>14660</v>
      </c>
      <c r="C6143" s="5" t="s">
        <v>17</v>
      </c>
      <c r="D6143" s="5" t="s">
        <v>18</v>
      </c>
      <c r="E6143" s="5" t="s">
        <v>130</v>
      </c>
      <c r="F6143" s="9" t="s">
        <v>131</v>
      </c>
      <c r="G6143" s="9">
        <v>1602</v>
      </c>
      <c r="H6143" s="5" t="s">
        <v>21</v>
      </c>
      <c r="I6143" s="5" t="s">
        <v>14663</v>
      </c>
      <c r="J6143" s="12" t="str">
        <f>HYPERLINK("https://www.boe.es/gazeta/dias/1808/12/15/pdfs/GMD-1808-155.pdf#page=6","Abrir facsímil")</f>
        <v>Abrir facsímil</v>
      </c>
      <c r="K6143" s="15" t="s">
        <v>23</v>
      </c>
    </row>
    <row r="6144" spans="1:11" ht="42" customHeight="1">
      <c r="A6144" s="4" t="s">
        <v>14659</v>
      </c>
      <c r="B6144" s="5" t="s">
        <v>14660</v>
      </c>
      <c r="C6144" s="5" t="s">
        <v>17</v>
      </c>
      <c r="D6144" s="5" t="s">
        <v>18</v>
      </c>
      <c r="E6144" s="5" t="s">
        <v>719</v>
      </c>
      <c r="F6144" s="9" t="s">
        <v>720</v>
      </c>
      <c r="G6144" s="9">
        <v>1610</v>
      </c>
      <c r="H6144" s="5" t="s">
        <v>21</v>
      </c>
      <c r="I6144" s="5" t="s">
        <v>14664</v>
      </c>
      <c r="J6144" s="12" t="str">
        <f>HYPERLINK("https://www.boe.es/gazeta/dias/1808/12/16/pdfs/GMD-1808-156.pdf#page=2","Abrir facsímil")</f>
        <v>Abrir facsímil</v>
      </c>
      <c r="K6144" s="15" t="s">
        <v>23</v>
      </c>
    </row>
    <row r="6145" spans="1:11" ht="42" customHeight="1">
      <c r="A6145" s="4" t="s">
        <v>14665</v>
      </c>
      <c r="B6145" s="5" t="s">
        <v>14666</v>
      </c>
      <c r="C6145" s="5" t="s">
        <v>41</v>
      </c>
      <c r="D6145" s="5" t="s">
        <v>42</v>
      </c>
      <c r="E6145" s="5" t="s">
        <v>89</v>
      </c>
      <c r="F6145" s="9" t="s">
        <v>1247</v>
      </c>
      <c r="G6145" s="9">
        <v>1365</v>
      </c>
      <c r="H6145" s="5" t="s">
        <v>21</v>
      </c>
      <c r="I6145" s="5" t="s">
        <v>14667</v>
      </c>
      <c r="J6145" s="12" t="str">
        <f>HYPERLINK("https://www.boe.es/gazeta/dias/1808/10/25/pdfs/GMD-C-1808-137.pdf#page=1","Abrir facsímil")</f>
        <v>Abrir facsímil</v>
      </c>
      <c r="K6145" s="15" t="s">
        <v>23</v>
      </c>
    </row>
    <row r="6146" spans="1:11" ht="42" customHeight="1">
      <c r="A6146" s="4" t="s">
        <v>14668</v>
      </c>
      <c r="B6146" s="5" t="s">
        <v>14669</v>
      </c>
      <c r="C6146" s="5" t="s">
        <v>17</v>
      </c>
      <c r="D6146" s="5" t="s">
        <v>18</v>
      </c>
      <c r="E6146" s="5" t="s">
        <v>73</v>
      </c>
      <c r="F6146" s="9" t="s">
        <v>581</v>
      </c>
      <c r="G6146" s="9">
        <v>1468</v>
      </c>
      <c r="H6146" s="5" t="s">
        <v>21</v>
      </c>
      <c r="I6146" s="5" t="s">
        <v>14670</v>
      </c>
      <c r="J6146" s="12" t="str">
        <f>HYPERLINK("https://www.boe.es/gazeta/dias/1808/11/11/pdfs/GMD-1808-143.pdf#page=10","Abrir facsímil")</f>
        <v>Abrir facsímil</v>
      </c>
      <c r="K6146" s="15" t="s">
        <v>23</v>
      </c>
    </row>
    <row r="6147" spans="1:11" ht="42" customHeight="1">
      <c r="A6147" s="4" t="s">
        <v>14668</v>
      </c>
      <c r="B6147" s="5" t="s">
        <v>14669</v>
      </c>
      <c r="C6147" s="5" t="s">
        <v>33</v>
      </c>
      <c r="D6147" s="5" t="s">
        <v>34</v>
      </c>
      <c r="E6147" s="5" t="s">
        <v>558</v>
      </c>
      <c r="F6147" s="9" t="s">
        <v>758</v>
      </c>
      <c r="G6147" s="9" t="s">
        <v>199</v>
      </c>
      <c r="H6147" s="5" t="s">
        <v>21</v>
      </c>
      <c r="I6147" s="5" t="s">
        <v>14671</v>
      </c>
      <c r="J6147" s="12" t="str">
        <f>HYPERLINK("https://www.boe.es/gazeta/dias/1808/11/25/pdfs/GMD-E-1808-147.pdf#page=2","Abrir facsímil")</f>
        <v>Abrir facsímil</v>
      </c>
      <c r="K6147" s="15" t="s">
        <v>23</v>
      </c>
    </row>
    <row r="6148" spans="1:11" ht="42" customHeight="1">
      <c r="A6148" s="4" t="s">
        <v>14672</v>
      </c>
      <c r="B6148" s="5" t="s">
        <v>14673</v>
      </c>
      <c r="C6148" s="5" t="s">
        <v>33</v>
      </c>
      <c r="D6148" s="5" t="s">
        <v>34</v>
      </c>
      <c r="E6148" s="5" t="s">
        <v>153</v>
      </c>
      <c r="F6148" s="9" t="s">
        <v>154</v>
      </c>
      <c r="G6148" s="9" t="s">
        <v>106</v>
      </c>
      <c r="H6148" s="5" t="s">
        <v>21</v>
      </c>
      <c r="I6148" s="5" t="s">
        <v>14674</v>
      </c>
      <c r="J6148" s="12" t="str">
        <f>HYPERLINK("https://www.boe.es/gazeta/dias/1808/09/09/pdfs/GMD-C-1808-121.pdf#page=3","Abrir facsímil")</f>
        <v>Abrir facsímil</v>
      </c>
      <c r="K6148" s="15" t="s">
        <v>23</v>
      </c>
    </row>
    <row r="6149" spans="1:11" ht="42" customHeight="1">
      <c r="A6149" s="4" t="s">
        <v>14675</v>
      </c>
      <c r="B6149" s="5" t="s">
        <v>14676</v>
      </c>
      <c r="C6149" s="5" t="s">
        <v>33</v>
      </c>
      <c r="D6149" s="5" t="s">
        <v>34</v>
      </c>
      <c r="E6149" s="5" t="s">
        <v>35</v>
      </c>
      <c r="F6149" s="9" t="s">
        <v>36</v>
      </c>
      <c r="G6149" s="9" t="s">
        <v>273</v>
      </c>
      <c r="H6149" s="5" t="s">
        <v>21</v>
      </c>
      <c r="I6149" s="5" t="s">
        <v>14677</v>
      </c>
      <c r="J6149" s="12" t="str">
        <f>HYPERLINK("https://www.boe.es/gazeta/dias/1808/04/22/pdfs/GMD-C-1808-38.pdf#page=12","Abrir facsímil")</f>
        <v>Abrir facsímil</v>
      </c>
      <c r="K6149" s="15" t="s">
        <v>23</v>
      </c>
    </row>
    <row r="6150" spans="1:11" ht="42" customHeight="1">
      <c r="A6150" s="4" t="s">
        <v>14678</v>
      </c>
      <c r="B6150" s="5" t="s">
        <v>14679</v>
      </c>
      <c r="C6150" s="5" t="s">
        <v>389</v>
      </c>
      <c r="D6150" s="5" t="s">
        <v>390</v>
      </c>
      <c r="E6150" s="5" t="s">
        <v>473</v>
      </c>
      <c r="F6150" s="9" t="s">
        <v>4258</v>
      </c>
      <c r="G6150" s="9">
        <v>75</v>
      </c>
      <c r="H6150" s="5" t="s">
        <v>21</v>
      </c>
      <c r="I6150" s="5" t="s">
        <v>14680</v>
      </c>
      <c r="J6150" s="12" t="str">
        <f>HYPERLINK("https://www.boe.es/gazeta/dias/1808/07/02/pdfs/GMS-1808-10.pdf#page=3","Abrir facsímil")</f>
        <v>Abrir facsímil</v>
      </c>
      <c r="K6150" s="15" t="s">
        <v>23</v>
      </c>
    </row>
    <row r="6151" spans="1:11" ht="42" customHeight="1">
      <c r="A6151" s="4" t="s">
        <v>14678</v>
      </c>
      <c r="B6151" s="5" t="s">
        <v>14679</v>
      </c>
      <c r="C6151" s="5" t="s">
        <v>17</v>
      </c>
      <c r="D6151" s="5" t="s">
        <v>18</v>
      </c>
      <c r="E6151" s="5" t="s">
        <v>714</v>
      </c>
      <c r="F6151" s="9" t="s">
        <v>715</v>
      </c>
      <c r="G6151" s="9">
        <v>107</v>
      </c>
      <c r="H6151" s="5" t="s">
        <v>21</v>
      </c>
      <c r="I6151" s="5" t="s">
        <v>14681</v>
      </c>
      <c r="J6151" s="12" t="str">
        <f>HYPERLINK("https://www.boe.es/gazeta/dias/1808/07/16/pdfs/GMS-1808-14.pdf#page=3","Abrir facsímil")</f>
        <v>Abrir facsímil</v>
      </c>
      <c r="K6151" s="15" t="s">
        <v>23</v>
      </c>
    </row>
    <row r="6152" spans="1:11" ht="42" customHeight="1">
      <c r="A6152" s="4" t="s">
        <v>14682</v>
      </c>
      <c r="B6152" s="5" t="s">
        <v>14683</v>
      </c>
      <c r="C6152" s="5" t="s">
        <v>389</v>
      </c>
      <c r="D6152" s="5" t="s">
        <v>390</v>
      </c>
      <c r="E6152" s="5" t="s">
        <v>61</v>
      </c>
      <c r="F6152" s="9" t="s">
        <v>62</v>
      </c>
      <c r="G6152" s="9">
        <v>1287</v>
      </c>
      <c r="H6152" s="5" t="s">
        <v>21</v>
      </c>
      <c r="I6152" s="5" t="s">
        <v>14684</v>
      </c>
      <c r="J6152" s="12" t="str">
        <f>HYPERLINK("https://www.boe.es/gazeta/dias/1808/10/11/pdfs/GMD-1808-133.pdf#page=15","Abrir facsímil")</f>
        <v>Abrir facsímil</v>
      </c>
      <c r="K6152" s="15" t="s">
        <v>23</v>
      </c>
    </row>
    <row r="6153" spans="1:11" ht="42" customHeight="1">
      <c r="A6153" s="4" t="s">
        <v>14685</v>
      </c>
      <c r="B6153" s="5" t="s">
        <v>14686</v>
      </c>
      <c r="C6153" s="5" t="s">
        <v>41</v>
      </c>
      <c r="D6153" s="5" t="s">
        <v>42</v>
      </c>
      <c r="E6153" s="5" t="s">
        <v>35</v>
      </c>
      <c r="F6153" s="9" t="s">
        <v>36</v>
      </c>
      <c r="G6153" s="9" t="s">
        <v>148</v>
      </c>
      <c r="H6153" s="5" t="s">
        <v>21</v>
      </c>
      <c r="I6153" s="5" t="s">
        <v>14687</v>
      </c>
      <c r="J6153" s="12" t="str">
        <f>HYPERLINK("https://www.boe.es/gazeta/dias/1808/04/22/pdfs/GMD-C-1808-38.pdf#page=38","Abrir facsímil")</f>
        <v>Abrir facsímil</v>
      </c>
      <c r="K6153" s="15" t="s">
        <v>23</v>
      </c>
    </row>
    <row r="6154" spans="1:11" ht="42" customHeight="1">
      <c r="A6154" s="4" t="s">
        <v>14688</v>
      </c>
      <c r="B6154" s="5" t="s">
        <v>14689</v>
      </c>
      <c r="C6154" s="5" t="s">
        <v>33</v>
      </c>
      <c r="D6154" s="5" t="s">
        <v>34</v>
      </c>
      <c r="E6154" s="5" t="s">
        <v>139</v>
      </c>
      <c r="F6154" s="9" t="s">
        <v>1089</v>
      </c>
      <c r="G6154" s="9" t="s">
        <v>199</v>
      </c>
      <c r="H6154" s="5" t="s">
        <v>21</v>
      </c>
      <c r="I6154" s="5" t="s">
        <v>14690</v>
      </c>
      <c r="J6154" s="12" t="str">
        <f>HYPERLINK("https://www.boe.es/gazeta/dias/1808/09/23/pdfs/GMD-C-1808-127.pdf#page=2","Abrir facsímil")</f>
        <v>Abrir facsímil</v>
      </c>
      <c r="K6154" s="15" t="s">
        <v>23</v>
      </c>
    </row>
    <row r="6155" spans="1:11" ht="42" customHeight="1">
      <c r="A6155" s="4" t="s">
        <v>14691</v>
      </c>
      <c r="B6155" s="5" t="s">
        <v>14692</v>
      </c>
      <c r="C6155" s="5" t="s">
        <v>33</v>
      </c>
      <c r="D6155" s="5" t="s">
        <v>34</v>
      </c>
      <c r="E6155" s="5" t="s">
        <v>35</v>
      </c>
      <c r="F6155" s="9" t="s">
        <v>36</v>
      </c>
      <c r="G6155" s="9" t="s">
        <v>4783</v>
      </c>
      <c r="H6155" s="5" t="s">
        <v>21</v>
      </c>
      <c r="I6155" s="5" t="s">
        <v>14693</v>
      </c>
      <c r="J6155" s="12" t="str">
        <f>HYPERLINK("https://www.boe.es/gazeta/dias/1808/04/22/pdfs/GMD-C-1808-38.pdf#page=36","Abrir facsímil")</f>
        <v>Abrir facsímil</v>
      </c>
      <c r="K6155" s="15" t="s">
        <v>23</v>
      </c>
    </row>
    <row r="6156" spans="1:11" ht="42" customHeight="1">
      <c r="A6156" s="4" t="s">
        <v>14694</v>
      </c>
      <c r="B6156" s="5" t="s">
        <v>14695</v>
      </c>
      <c r="C6156" s="5" t="s">
        <v>33</v>
      </c>
      <c r="D6156" s="5" t="s">
        <v>34</v>
      </c>
      <c r="E6156" s="5" t="s">
        <v>35</v>
      </c>
      <c r="F6156" s="9" t="s">
        <v>36</v>
      </c>
      <c r="G6156" s="9" t="s">
        <v>135</v>
      </c>
      <c r="H6156" s="5" t="s">
        <v>21</v>
      </c>
      <c r="I6156" s="5" t="s">
        <v>14696</v>
      </c>
      <c r="J6156" s="12" t="str">
        <f>HYPERLINK("https://www.boe.es/gazeta/dias/1808/04/22/pdfs/GMD-C-1808-38.pdf#page=26","Abrir facsímil")</f>
        <v>Abrir facsímil</v>
      </c>
      <c r="K6156" s="15" t="s">
        <v>23</v>
      </c>
    </row>
    <row r="6157" spans="1:11" ht="42" customHeight="1">
      <c r="A6157" s="4" t="s">
        <v>14697</v>
      </c>
      <c r="B6157" s="5" t="s">
        <v>14698</v>
      </c>
      <c r="C6157" s="5" t="s">
        <v>94</v>
      </c>
      <c r="D6157" s="5" t="s">
        <v>95</v>
      </c>
      <c r="E6157" s="5" t="s">
        <v>513</v>
      </c>
      <c r="F6157" s="9" t="s">
        <v>514</v>
      </c>
      <c r="G6157" s="9">
        <v>288</v>
      </c>
      <c r="H6157" s="5" t="s">
        <v>21</v>
      </c>
      <c r="I6157" s="5" t="s">
        <v>14699</v>
      </c>
      <c r="J6157" s="12" t="str">
        <f>HYPERLINK("https://www.boe.es/gazeta/dias/1808/03/22/pdfs/GMD-1808-24.pdf#page=10","Abrir facsímil")</f>
        <v>Abrir facsímil</v>
      </c>
      <c r="K6157" s="15" t="s">
        <v>23</v>
      </c>
    </row>
    <row r="6158" spans="1:11" ht="42" customHeight="1">
      <c r="A6158" s="4" t="s">
        <v>14700</v>
      </c>
      <c r="B6158" s="5" t="s">
        <v>14701</v>
      </c>
      <c r="C6158" s="5" t="s">
        <v>17</v>
      </c>
      <c r="D6158" s="5" t="s">
        <v>18</v>
      </c>
      <c r="E6158" s="5" t="s">
        <v>130</v>
      </c>
      <c r="F6158" s="9" t="s">
        <v>131</v>
      </c>
      <c r="G6158" s="9">
        <v>1603</v>
      </c>
      <c r="H6158" s="5" t="s">
        <v>21</v>
      </c>
      <c r="I6158" s="5" t="s">
        <v>14702</v>
      </c>
      <c r="J6158" s="12" t="str">
        <f>HYPERLINK("https://www.boe.es/gazeta/dias/1808/12/15/pdfs/GMD-1808-155.pdf#page=7","Abrir facsímil")</f>
        <v>Abrir facsímil</v>
      </c>
      <c r="K6158" s="15" t="s">
        <v>23</v>
      </c>
    </row>
    <row r="6159" spans="1:11" ht="42" customHeight="1">
      <c r="A6159" s="4" t="s">
        <v>14703</v>
      </c>
      <c r="B6159" s="5" t="s">
        <v>14704</v>
      </c>
      <c r="C6159" s="5" t="s">
        <v>33</v>
      </c>
      <c r="D6159" s="5" t="s">
        <v>34</v>
      </c>
      <c r="E6159" s="5" t="s">
        <v>363</v>
      </c>
      <c r="F6159" s="9" t="s">
        <v>364</v>
      </c>
      <c r="G6159" s="9" t="s">
        <v>75</v>
      </c>
      <c r="H6159" s="5" t="s">
        <v>21</v>
      </c>
      <c r="I6159" s="5" t="s">
        <v>14705</v>
      </c>
      <c r="J6159" s="12" t="str">
        <f>HYPERLINK("https://www.boe.es/gazeta/dias/1808/09/20/pdfs/GMD-C-1808-126.pdf#page=4","Abrir facsímil")</f>
        <v>Abrir facsímil</v>
      </c>
      <c r="K6159" s="15" t="s">
        <v>23</v>
      </c>
    </row>
    <row r="6160" spans="1:11" ht="42" customHeight="1">
      <c r="A6160" s="4" t="s">
        <v>14706</v>
      </c>
      <c r="B6160" s="5" t="s">
        <v>14707</v>
      </c>
      <c r="C6160" s="5" t="s">
        <v>33</v>
      </c>
      <c r="D6160" s="5" t="s">
        <v>34</v>
      </c>
      <c r="E6160" s="5" t="s">
        <v>391</v>
      </c>
      <c r="F6160" s="9" t="s">
        <v>588</v>
      </c>
      <c r="G6160" s="9" t="s">
        <v>106</v>
      </c>
      <c r="H6160" s="5" t="s">
        <v>21</v>
      </c>
      <c r="I6160" s="5" t="s">
        <v>14708</v>
      </c>
      <c r="J6160" s="12" t="str">
        <f>HYPERLINK("https://www.boe.es/gazeta/dias/1808/09/27/pdfs/GMD-C-1808-128.pdf#page=3","Abrir facsímil")</f>
        <v>Abrir facsímil</v>
      </c>
      <c r="K6160" s="15" t="s">
        <v>23</v>
      </c>
    </row>
    <row r="6161" spans="1:11" ht="42" customHeight="1">
      <c r="A6161" s="4" t="s">
        <v>14709</v>
      </c>
      <c r="B6161" s="5" t="s">
        <v>14710</v>
      </c>
      <c r="C6161" s="5" t="s">
        <v>17</v>
      </c>
      <c r="D6161" s="5" t="s">
        <v>18</v>
      </c>
      <c r="E6161" s="5" t="s">
        <v>2639</v>
      </c>
      <c r="F6161" s="9" t="s">
        <v>5018</v>
      </c>
      <c r="G6161" s="9">
        <v>848</v>
      </c>
      <c r="H6161" s="5" t="s">
        <v>21</v>
      </c>
      <c r="I6161" s="5" t="s">
        <v>14711</v>
      </c>
      <c r="J6161" s="12" t="str">
        <f>HYPERLINK("https://www.boe.es/gazeta/dias/1808/07/20/pdfs/GMD-1808-92.pdf#page=2","Abrir facsímil")</f>
        <v>Abrir facsímil</v>
      </c>
      <c r="K6161" s="15" t="s">
        <v>23</v>
      </c>
    </row>
    <row r="6162" spans="1:11" ht="42" customHeight="1">
      <c r="A6162" s="4" t="s">
        <v>14712</v>
      </c>
      <c r="B6162" s="5" t="s">
        <v>14713</v>
      </c>
      <c r="C6162" s="5" t="s">
        <v>94</v>
      </c>
      <c r="D6162" s="5" t="s">
        <v>95</v>
      </c>
      <c r="E6162" s="5" t="s">
        <v>2204</v>
      </c>
      <c r="F6162" s="9" t="s">
        <v>2205</v>
      </c>
      <c r="G6162" s="9">
        <v>70</v>
      </c>
      <c r="H6162" s="5" t="s">
        <v>21</v>
      </c>
      <c r="I6162" s="5" t="s">
        <v>14714</v>
      </c>
      <c r="J6162" s="12" t="str">
        <f>HYPERLINK("https://www.boe.es/gazeta/dias/1808/06/29/pdfs/GMS-1808-9.pdf#page=6","Abrir facsímil")</f>
        <v>Abrir facsímil</v>
      </c>
      <c r="K6162" s="15" t="s">
        <v>23</v>
      </c>
    </row>
    <row r="6163" spans="1:11" ht="42" customHeight="1">
      <c r="A6163" s="4" t="s">
        <v>14715</v>
      </c>
      <c r="B6163" s="5" t="s">
        <v>14715</v>
      </c>
      <c r="C6163" s="5" t="s">
        <v>101</v>
      </c>
      <c r="D6163" s="5" t="s">
        <v>102</v>
      </c>
      <c r="E6163" s="5" t="s">
        <v>14716</v>
      </c>
      <c r="F6163" s="9" t="s">
        <v>14717</v>
      </c>
      <c r="G6163" s="9">
        <v>786</v>
      </c>
      <c r="H6163" s="5" t="s">
        <v>21</v>
      </c>
      <c r="I6163" s="5" t="s">
        <v>14718</v>
      </c>
      <c r="J6163" s="12" t="str">
        <f>HYPERLINK("https://www.boe.es/gazeta/dias/1808/07/12/pdfs/GMD-1808-84.pdf#page=4","Abrir facsímil")</f>
        <v>Abrir facsímil</v>
      </c>
      <c r="K6163" s="15" t="s">
        <v>23</v>
      </c>
    </row>
    <row r="6164" spans="1:11" ht="42" customHeight="1">
      <c r="A6164" s="4" t="s">
        <v>14719</v>
      </c>
      <c r="B6164" s="5" t="s">
        <v>14720</v>
      </c>
      <c r="C6164" s="5" t="s">
        <v>94</v>
      </c>
      <c r="D6164" s="5" t="s">
        <v>95</v>
      </c>
      <c r="E6164" s="5" t="s">
        <v>54</v>
      </c>
      <c r="F6164" s="9" t="s">
        <v>55</v>
      </c>
      <c r="G6164" s="9">
        <v>1087</v>
      </c>
      <c r="H6164" s="5" t="s">
        <v>21</v>
      </c>
      <c r="I6164" s="5" t="s">
        <v>14721</v>
      </c>
      <c r="J6164" s="12" t="str">
        <f>HYPERLINK("https://www.boe.es/gazeta/dias/1808/08/26/pdfs/GMD-1808-117.pdf#page=9","Abrir facsímil")</f>
        <v>Abrir facsímil</v>
      </c>
      <c r="K6164" s="15" t="s">
        <v>23</v>
      </c>
    </row>
    <row r="6165" spans="1:11" ht="42" customHeight="1">
      <c r="A6165" s="4" t="s">
        <v>14722</v>
      </c>
      <c r="B6165" s="5" t="s">
        <v>14722</v>
      </c>
      <c r="C6165" s="5" t="s">
        <v>33</v>
      </c>
      <c r="D6165" s="5" t="s">
        <v>34</v>
      </c>
      <c r="E6165" s="5" t="s">
        <v>197</v>
      </c>
      <c r="F6165" s="9" t="s">
        <v>2269</v>
      </c>
      <c r="G6165" s="9">
        <v>1411</v>
      </c>
      <c r="H6165" s="5" t="s">
        <v>21</v>
      </c>
      <c r="I6165" s="5" t="s">
        <v>14723</v>
      </c>
      <c r="J6165" s="12" t="str">
        <f>HYPERLINK("https://www.boe.es/gazeta/dias/1808/11/01/pdfs/GMD-C-1808-140.pdf#page=1","Abrir facsímil")</f>
        <v>Abrir facsímil</v>
      </c>
      <c r="K6165" s="15" t="s">
        <v>23</v>
      </c>
    </row>
    <row r="6166" spans="1:11" ht="42" customHeight="1">
      <c r="A6166" s="4" t="s">
        <v>14724</v>
      </c>
      <c r="B6166" s="5" t="s">
        <v>14724</v>
      </c>
      <c r="C6166" s="5" t="s">
        <v>17</v>
      </c>
      <c r="D6166" s="5" t="s">
        <v>18</v>
      </c>
      <c r="E6166" s="5" t="s">
        <v>493</v>
      </c>
      <c r="F6166" s="9" t="s">
        <v>494</v>
      </c>
      <c r="G6166" s="9">
        <v>45</v>
      </c>
      <c r="H6166" s="5" t="s">
        <v>21</v>
      </c>
      <c r="I6166" s="5" t="s">
        <v>14725</v>
      </c>
      <c r="J6166" s="12" t="str">
        <f>HYPERLINK("https://www.boe.es/gazeta/dias/1808/01/12/pdfs/GMD-1808-4.pdf#page=9","Abrir facsímil")</f>
        <v>Abrir facsímil</v>
      </c>
      <c r="K6166" s="15" t="s">
        <v>23</v>
      </c>
    </row>
    <row r="6167" spans="1:11" ht="42" customHeight="1">
      <c r="A6167" s="4" t="s">
        <v>14726</v>
      </c>
      <c r="B6167" s="5" t="s">
        <v>14726</v>
      </c>
      <c r="C6167" s="5" t="s">
        <v>33</v>
      </c>
      <c r="D6167" s="5" t="s">
        <v>34</v>
      </c>
      <c r="E6167" s="5" t="s">
        <v>35</v>
      </c>
      <c r="F6167" s="9" t="s">
        <v>36</v>
      </c>
      <c r="G6167" s="9" t="s">
        <v>818</v>
      </c>
      <c r="H6167" s="5" t="s">
        <v>21</v>
      </c>
      <c r="I6167" s="5" t="s">
        <v>14727</v>
      </c>
      <c r="J6167" s="12" t="str">
        <f>HYPERLINK("https://www.boe.es/gazeta/dias/1808/04/22/pdfs/GMD-C-1808-38.pdf#page=7","Abrir facsímil")</f>
        <v>Abrir facsímil</v>
      </c>
      <c r="K6167" s="15" t="s">
        <v>23</v>
      </c>
    </row>
    <row r="6168" spans="1:11" ht="42" customHeight="1">
      <c r="A6168" s="4" t="s">
        <v>14728</v>
      </c>
      <c r="B6168" s="5" t="s">
        <v>14729</v>
      </c>
      <c r="C6168" s="5" t="s">
        <v>101</v>
      </c>
      <c r="D6168" s="5" t="s">
        <v>102</v>
      </c>
      <c r="E6168" s="5" t="s">
        <v>2171</v>
      </c>
      <c r="F6168" s="9" t="s">
        <v>2172</v>
      </c>
      <c r="G6168" s="9">
        <v>771</v>
      </c>
      <c r="H6168" s="5" t="s">
        <v>21</v>
      </c>
      <c r="I6168" s="5" t="s">
        <v>14730</v>
      </c>
      <c r="J6168" s="12" t="str">
        <f>HYPERLINK("https://www.boe.es/gazeta/dias/1808/07/10/pdfs/GMD-1808-82.pdf#page=5","Abrir facsímil")</f>
        <v>Abrir facsímil</v>
      </c>
      <c r="K6168" s="15" t="s">
        <v>23</v>
      </c>
    </row>
    <row r="6169" spans="1:11" ht="42" customHeight="1">
      <c r="A6169" s="4" t="s">
        <v>14731</v>
      </c>
      <c r="B6169" s="5" t="s">
        <v>14732</v>
      </c>
      <c r="C6169" s="5" t="s">
        <v>33</v>
      </c>
      <c r="D6169" s="5" t="s">
        <v>34</v>
      </c>
      <c r="E6169" s="5" t="s">
        <v>68</v>
      </c>
      <c r="F6169" s="9" t="s">
        <v>309</v>
      </c>
      <c r="G6169" s="9" t="s">
        <v>106</v>
      </c>
      <c r="H6169" s="5" t="s">
        <v>21</v>
      </c>
      <c r="I6169" s="5" t="s">
        <v>14733</v>
      </c>
      <c r="J6169" s="12" t="str">
        <f>HYPERLINK("https://www.boe.es/gazeta/dias/1808/10/21/pdfs/GMD-D-1808-136.pdf#page=3","Abrir facsímil")</f>
        <v>Abrir facsímil</v>
      </c>
      <c r="K6169" s="15" t="s">
        <v>23</v>
      </c>
    </row>
    <row r="6170" spans="1:11" ht="42" customHeight="1">
      <c r="A6170" s="4" t="s">
        <v>14734</v>
      </c>
      <c r="B6170" s="5" t="s">
        <v>14735</v>
      </c>
      <c r="C6170" s="5" t="s">
        <v>94</v>
      </c>
      <c r="D6170" s="5" t="s">
        <v>95</v>
      </c>
      <c r="E6170" s="5" t="s">
        <v>203</v>
      </c>
      <c r="F6170" s="9" t="s">
        <v>204</v>
      </c>
      <c r="G6170" s="9">
        <v>141</v>
      </c>
      <c r="H6170" s="5" t="s">
        <v>21</v>
      </c>
      <c r="I6170" s="5" t="s">
        <v>14736</v>
      </c>
      <c r="J6170" s="12" t="str">
        <f>HYPERLINK("https://www.boe.es/gazeta/dias/1808/02/09/pdfs/GMD-1808-12.pdf#page=9","Abrir facsímil")</f>
        <v>Abrir facsímil</v>
      </c>
      <c r="K6170" s="15" t="s">
        <v>23</v>
      </c>
    </row>
    <row r="6171" spans="1:11" ht="42" customHeight="1">
      <c r="A6171" s="4" t="s">
        <v>14737</v>
      </c>
      <c r="B6171" s="5" t="s">
        <v>14738</v>
      </c>
      <c r="C6171" s="5" t="s">
        <v>17</v>
      </c>
      <c r="D6171" s="5" t="s">
        <v>18</v>
      </c>
      <c r="E6171" s="5" t="s">
        <v>185</v>
      </c>
      <c r="F6171" s="9" t="s">
        <v>6822</v>
      </c>
      <c r="G6171" s="9">
        <v>211</v>
      </c>
      <c r="H6171" s="5" t="s">
        <v>21</v>
      </c>
      <c r="I6171" s="5" t="s">
        <v>14739</v>
      </c>
      <c r="J6171" s="12" t="str">
        <f>HYPERLINK("https://www.boe.es/gazeta/dias/1808/08/30/pdfs/GMS-1808-27.pdf#page=3","Abrir facsímil")</f>
        <v>Abrir facsímil</v>
      </c>
      <c r="K6171" s="15" t="s">
        <v>23</v>
      </c>
    </row>
    <row r="6172" spans="1:11" ht="42" customHeight="1">
      <c r="A6172" s="4" t="s">
        <v>14740</v>
      </c>
      <c r="B6172" s="5" t="s">
        <v>14741</v>
      </c>
      <c r="C6172" s="5" t="s">
        <v>94</v>
      </c>
      <c r="D6172" s="5" t="s">
        <v>95</v>
      </c>
      <c r="E6172" s="5" t="s">
        <v>84</v>
      </c>
      <c r="F6172" s="9" t="s">
        <v>85</v>
      </c>
      <c r="G6172" s="9">
        <v>1157</v>
      </c>
      <c r="H6172" s="5" t="s">
        <v>21</v>
      </c>
      <c r="I6172" s="5" t="s">
        <v>14742</v>
      </c>
      <c r="J6172" s="12" t="str">
        <f>HYPERLINK("https://www.boe.es/gazeta/dias/1808/09/13/pdfs/GMD-1808-123.pdf#page=5","Abrir facsímil")</f>
        <v>Abrir facsímil</v>
      </c>
      <c r="K6172" s="15" t="s">
        <v>23</v>
      </c>
    </row>
    <row r="6173" spans="1:11" ht="42" customHeight="1">
      <c r="A6173" s="4" t="s">
        <v>14743</v>
      </c>
      <c r="B6173" s="5" t="s">
        <v>14744</v>
      </c>
      <c r="C6173" s="5" t="s">
        <v>41</v>
      </c>
      <c r="D6173" s="5" t="s">
        <v>42</v>
      </c>
      <c r="E6173" s="5" t="s">
        <v>391</v>
      </c>
      <c r="F6173" s="9" t="s">
        <v>588</v>
      </c>
      <c r="G6173" s="9" t="s">
        <v>199</v>
      </c>
      <c r="H6173" s="5" t="s">
        <v>21</v>
      </c>
      <c r="I6173" s="5" t="s">
        <v>14745</v>
      </c>
      <c r="J6173" s="12" t="str">
        <f>HYPERLINK("https://www.boe.es/gazeta/dias/1808/09/27/pdfs/GMD-C-1808-128.pdf#page=2","Abrir facsímil")</f>
        <v>Abrir facsímil</v>
      </c>
      <c r="K6173" s="15" t="s">
        <v>23</v>
      </c>
    </row>
    <row r="6174" spans="1:11" ht="42" customHeight="1">
      <c r="A6174" s="4" t="s">
        <v>14746</v>
      </c>
      <c r="B6174" s="5" t="s">
        <v>14747</v>
      </c>
      <c r="C6174" s="5" t="s">
        <v>33</v>
      </c>
      <c r="D6174" s="5" t="s">
        <v>34</v>
      </c>
      <c r="E6174" s="5" t="s">
        <v>334</v>
      </c>
      <c r="F6174" s="9" t="s">
        <v>335</v>
      </c>
      <c r="G6174" s="9">
        <v>1251</v>
      </c>
      <c r="H6174" s="5" t="s">
        <v>21</v>
      </c>
      <c r="I6174" s="5" t="s">
        <v>14748</v>
      </c>
      <c r="J6174" s="12" t="str">
        <f>HYPERLINK("https://www.boe.es/gazeta/dias/1808/10/04/pdfs/GMD-C-1808-131.pdf#page=3","Abrir facsímil")</f>
        <v>Abrir facsímil</v>
      </c>
      <c r="K6174" s="15" t="s">
        <v>23</v>
      </c>
    </row>
    <row r="6175" spans="1:11" ht="42" customHeight="1">
      <c r="A6175" s="4" t="s">
        <v>14749</v>
      </c>
      <c r="B6175" s="5" t="s">
        <v>14750</v>
      </c>
      <c r="C6175" s="5" t="s">
        <v>17</v>
      </c>
      <c r="D6175" s="5" t="s">
        <v>18</v>
      </c>
      <c r="E6175" s="5" t="s">
        <v>804</v>
      </c>
      <c r="F6175" s="9" t="s">
        <v>805</v>
      </c>
      <c r="G6175" s="9">
        <v>971</v>
      </c>
      <c r="H6175" s="5" t="s">
        <v>21</v>
      </c>
      <c r="I6175" s="5" t="s">
        <v>14751</v>
      </c>
      <c r="J6175" s="12" t="str">
        <f>HYPERLINK("https://www.boe.es/gazeta/dias/1808/08/05/pdfs/GMD-1808-108.pdf#page=1","Abrir facsímil")</f>
        <v>Abrir facsímil</v>
      </c>
      <c r="K6175" s="15" t="s">
        <v>23</v>
      </c>
    </row>
    <row r="6176" spans="1:11" ht="42" customHeight="1">
      <c r="A6176" s="4" t="s">
        <v>14752</v>
      </c>
      <c r="B6176" s="5" t="s">
        <v>14753</v>
      </c>
      <c r="C6176" s="5" t="s">
        <v>33</v>
      </c>
      <c r="D6176" s="5" t="s">
        <v>34</v>
      </c>
      <c r="E6176" s="5" t="s">
        <v>461</v>
      </c>
      <c r="F6176" s="9" t="s">
        <v>462</v>
      </c>
      <c r="G6176" s="9" t="s">
        <v>106</v>
      </c>
      <c r="H6176" s="5" t="s">
        <v>21</v>
      </c>
      <c r="I6176" s="5" t="s">
        <v>14754</v>
      </c>
      <c r="J6176" s="12" t="str">
        <f>HYPERLINK("https://www.boe.es/gazeta/dias/1808/11/08/pdfs/GMD-D-1808-142.pdf#page=3","Abrir facsímil")</f>
        <v>Abrir facsímil</v>
      </c>
      <c r="K6176" s="15" t="s">
        <v>23</v>
      </c>
    </row>
    <row r="6177" spans="1:11" ht="42" customHeight="1">
      <c r="A6177" s="4" t="s">
        <v>14755</v>
      </c>
      <c r="B6177" s="5" t="s">
        <v>14756</v>
      </c>
      <c r="C6177" s="5" t="s">
        <v>94</v>
      </c>
      <c r="D6177" s="5" t="s">
        <v>95</v>
      </c>
      <c r="E6177" s="5" t="s">
        <v>96</v>
      </c>
      <c r="F6177" s="9" t="s">
        <v>97</v>
      </c>
      <c r="G6177" s="9">
        <v>266</v>
      </c>
      <c r="H6177" s="5" t="s">
        <v>21</v>
      </c>
      <c r="I6177" s="5" t="s">
        <v>14757</v>
      </c>
      <c r="J6177" s="12" t="str">
        <f>HYPERLINK("https://www.boe.es/gazeta/dias/1808/03/15/pdfs/GMD-1808-22.pdf#page=8","Abrir facsímil")</f>
        <v>Abrir facsímil</v>
      </c>
      <c r="K6177" s="15" t="s">
        <v>23</v>
      </c>
    </row>
    <row r="6178" spans="1:11" ht="42" customHeight="1">
      <c r="A6178" s="4" t="s">
        <v>14758</v>
      </c>
      <c r="B6178" s="5" t="s">
        <v>14759</v>
      </c>
      <c r="C6178" s="5" t="s">
        <v>41</v>
      </c>
      <c r="D6178" s="5" t="s">
        <v>42</v>
      </c>
      <c r="E6178" s="5" t="s">
        <v>616</v>
      </c>
      <c r="F6178" s="9" t="s">
        <v>617</v>
      </c>
      <c r="G6178" s="9">
        <v>1042</v>
      </c>
      <c r="H6178" s="5" t="s">
        <v>21</v>
      </c>
      <c r="I6178" s="5" t="s">
        <v>14760</v>
      </c>
      <c r="J6178" s="12" t="str">
        <f>HYPERLINK("https://www.boe.es/gazeta/dias/1808/08/19/pdfs/GMD-1808-115.pdf#page=8","Abrir facsímil")</f>
        <v>Abrir facsímil</v>
      </c>
      <c r="K6178" s="15" t="s">
        <v>23</v>
      </c>
    </row>
    <row r="6179" spans="1:11" ht="42" customHeight="1">
      <c r="A6179" s="4" t="s">
        <v>14758</v>
      </c>
      <c r="B6179" s="5" t="s">
        <v>14759</v>
      </c>
      <c r="C6179" s="5" t="s">
        <v>41</v>
      </c>
      <c r="D6179" s="5" t="s">
        <v>42</v>
      </c>
      <c r="E6179" s="5" t="s">
        <v>65</v>
      </c>
      <c r="F6179" s="9" t="s">
        <v>66</v>
      </c>
      <c r="G6179" s="9">
        <v>1316</v>
      </c>
      <c r="H6179" s="5" t="s">
        <v>21</v>
      </c>
      <c r="I6179" s="5" t="s">
        <v>14761</v>
      </c>
      <c r="J6179" s="12" t="str">
        <f>HYPERLINK("https://www.boe.es/gazeta/dias/1808/10/18/pdfs/GMD-1808-135.pdf#page=16","Abrir facsímil")</f>
        <v>Abrir facsímil</v>
      </c>
      <c r="K6179" s="15" t="s">
        <v>23</v>
      </c>
    </row>
    <row r="6180" spans="1:11" ht="42" customHeight="1">
      <c r="A6180" s="4" t="s">
        <v>14762</v>
      </c>
      <c r="B6180" s="5" t="s">
        <v>14763</v>
      </c>
      <c r="C6180" s="5" t="s">
        <v>41</v>
      </c>
      <c r="D6180" s="5" t="s">
        <v>42</v>
      </c>
      <c r="E6180" s="5" t="s">
        <v>180</v>
      </c>
      <c r="F6180" s="9" t="s">
        <v>2568</v>
      </c>
      <c r="G6180" s="9">
        <v>1498</v>
      </c>
      <c r="H6180" s="5" t="s">
        <v>21</v>
      </c>
      <c r="I6180" s="5" t="s">
        <v>14764</v>
      </c>
      <c r="J6180" s="12" t="str">
        <f>HYPERLINK("https://www.boe.es/gazeta/dias/1808/11/15/pdfs/GMD-1808-144.pdf#page=12","Abrir facsímil")</f>
        <v>Abrir facsímil</v>
      </c>
      <c r="K6180" s="15" t="s">
        <v>23</v>
      </c>
    </row>
    <row r="6181" spans="1:11" ht="42" customHeight="1">
      <c r="A6181" s="4" t="s">
        <v>14765</v>
      </c>
      <c r="B6181" s="5" t="s">
        <v>14766</v>
      </c>
      <c r="C6181" s="5" t="s">
        <v>94</v>
      </c>
      <c r="D6181" s="5" t="s">
        <v>95</v>
      </c>
      <c r="E6181" s="5" t="s">
        <v>1210</v>
      </c>
      <c r="F6181" s="9" t="s">
        <v>1211</v>
      </c>
      <c r="G6181" s="9">
        <v>459</v>
      </c>
      <c r="H6181" s="5" t="s">
        <v>21</v>
      </c>
      <c r="I6181" s="5" t="s">
        <v>14767</v>
      </c>
      <c r="J6181" s="12" t="str">
        <f>HYPERLINK("https://www.boe.es/gazeta/dias/1808/05/13/pdfs/GMD-1808-46.pdf#page=11","Abrir facsímil")</f>
        <v>Abrir facsímil</v>
      </c>
      <c r="K6181" s="15" t="s">
        <v>23</v>
      </c>
    </row>
    <row r="6182" spans="1:11" ht="42" customHeight="1">
      <c r="A6182" s="4" t="s">
        <v>14765</v>
      </c>
      <c r="B6182" s="5" t="s">
        <v>14766</v>
      </c>
      <c r="C6182" s="5" t="s">
        <v>17</v>
      </c>
      <c r="D6182" s="5" t="s">
        <v>18</v>
      </c>
      <c r="E6182" s="5" t="s">
        <v>919</v>
      </c>
      <c r="F6182" s="9" t="s">
        <v>920</v>
      </c>
      <c r="G6182" s="9">
        <v>491</v>
      </c>
      <c r="H6182" s="5" t="s">
        <v>21</v>
      </c>
      <c r="I6182" s="5" t="s">
        <v>14768</v>
      </c>
      <c r="J6182" s="12" t="str">
        <f>HYPERLINK("https://www.boe.es/gazeta/dias/1808/05/24/pdfs/GMD-1808-49.pdf#page=7","Abrir facsímil")</f>
        <v>Abrir facsímil</v>
      </c>
      <c r="K6182" s="15" t="s">
        <v>23</v>
      </c>
    </row>
    <row r="6183" spans="1:11" ht="42" customHeight="1">
      <c r="A6183" s="4" t="s">
        <v>14765</v>
      </c>
      <c r="B6183" s="5" t="s">
        <v>14766</v>
      </c>
      <c r="C6183" s="5" t="s">
        <v>17</v>
      </c>
      <c r="D6183" s="5" t="s">
        <v>18</v>
      </c>
      <c r="E6183" s="5" t="s">
        <v>832</v>
      </c>
      <c r="F6183" s="9" t="s">
        <v>833</v>
      </c>
      <c r="G6183" s="9">
        <v>518</v>
      </c>
      <c r="H6183" s="5" t="s">
        <v>21</v>
      </c>
      <c r="I6183" s="5" t="s">
        <v>14769</v>
      </c>
      <c r="J6183" s="12" t="str">
        <f>HYPERLINK("https://www.boe.es/gazeta/dias/1808/05/31/pdfs/GMD-1808-52.pdf#page=8","Abrir facsímil")</f>
        <v>Abrir facsímil</v>
      </c>
      <c r="K6183" s="15" t="s">
        <v>23</v>
      </c>
    </row>
    <row r="6184" spans="1:11" ht="42" customHeight="1">
      <c r="A6184" s="4" t="s">
        <v>14765</v>
      </c>
      <c r="B6184" s="5" t="s">
        <v>14766</v>
      </c>
      <c r="C6184" s="5" t="s">
        <v>17</v>
      </c>
      <c r="D6184" s="5" t="s">
        <v>18</v>
      </c>
      <c r="E6184" s="5" t="s">
        <v>256</v>
      </c>
      <c r="F6184" s="9" t="s">
        <v>257</v>
      </c>
      <c r="G6184" s="9">
        <v>530</v>
      </c>
      <c r="H6184" s="5" t="s">
        <v>21</v>
      </c>
      <c r="I6184" s="5" t="s">
        <v>14770</v>
      </c>
      <c r="J6184" s="12" t="str">
        <f>HYPERLINK("https://www.boe.es/gazeta/dias/1808/06/03/pdfs/GMD-1808-53.pdf#page=8","Abrir facsímil")</f>
        <v>Abrir facsímil</v>
      </c>
      <c r="K6184" s="15" t="s">
        <v>23</v>
      </c>
    </row>
    <row r="6185" spans="1:11" ht="42" customHeight="1">
      <c r="A6185" s="4" t="s">
        <v>14765</v>
      </c>
      <c r="B6185" s="5" t="s">
        <v>14766</v>
      </c>
      <c r="C6185" s="5" t="s">
        <v>94</v>
      </c>
      <c r="D6185" s="5" t="s">
        <v>95</v>
      </c>
      <c r="E6185" s="5" t="s">
        <v>3160</v>
      </c>
      <c r="F6185" s="9" t="s">
        <v>3161</v>
      </c>
      <c r="G6185" s="9">
        <v>569</v>
      </c>
      <c r="H6185" s="5" t="s">
        <v>21</v>
      </c>
      <c r="I6185" s="5" t="s">
        <v>14771</v>
      </c>
      <c r="J6185" s="12" t="str">
        <f>HYPERLINK("https://www.boe.es/gazeta/dias/1808/06/14/pdfs/GMD-1808-57.pdf#page=7","Abrir facsímil")</f>
        <v>Abrir facsímil</v>
      </c>
      <c r="K6185" s="15" t="s">
        <v>23</v>
      </c>
    </row>
    <row r="6186" spans="1:11" ht="42" customHeight="1">
      <c r="A6186" s="4" t="s">
        <v>14765</v>
      </c>
      <c r="B6186" s="5" t="s">
        <v>14766</v>
      </c>
      <c r="C6186" s="5" t="s">
        <v>17</v>
      </c>
      <c r="D6186" s="5" t="s">
        <v>18</v>
      </c>
      <c r="E6186" s="5" t="s">
        <v>516</v>
      </c>
      <c r="F6186" s="9" t="s">
        <v>517</v>
      </c>
      <c r="G6186" s="9">
        <v>601</v>
      </c>
      <c r="H6186" s="5" t="s">
        <v>21</v>
      </c>
      <c r="I6186" s="5" t="s">
        <v>14772</v>
      </c>
      <c r="J6186" s="12" t="str">
        <f>HYPERLINK("https://www.boe.es/gazeta/dias/1808/06/19/pdfs/GMD-1808-61.pdf#page=7","Abrir facsímil")</f>
        <v>Abrir facsímil</v>
      </c>
      <c r="K6186" s="15" t="s">
        <v>23</v>
      </c>
    </row>
    <row r="6187" spans="1:11" ht="42" customHeight="1">
      <c r="A6187" s="4" t="s">
        <v>14765</v>
      </c>
      <c r="B6187" s="5" t="s">
        <v>14766</v>
      </c>
      <c r="C6187" s="5" t="s">
        <v>94</v>
      </c>
      <c r="D6187" s="5" t="s">
        <v>95</v>
      </c>
      <c r="E6187" s="5" t="s">
        <v>6961</v>
      </c>
      <c r="F6187" s="9" t="s">
        <v>6962</v>
      </c>
      <c r="G6187" s="9">
        <v>956</v>
      </c>
      <c r="H6187" s="5" t="s">
        <v>21</v>
      </c>
      <c r="I6187" s="5" t="s">
        <v>14773</v>
      </c>
      <c r="J6187" s="12" t="str">
        <f>HYPERLINK("https://www.boe.es/gazeta/dias/1808/08/02/pdfs/GMD-1808-105.pdf#page=6","Abrir facsímil")</f>
        <v>Abrir facsímil</v>
      </c>
      <c r="K6187" s="15" t="s">
        <v>23</v>
      </c>
    </row>
    <row r="6188" spans="1:11" ht="42" customHeight="1">
      <c r="A6188" s="4" t="s">
        <v>14765</v>
      </c>
      <c r="B6188" s="5" t="s">
        <v>14766</v>
      </c>
      <c r="C6188" s="5" t="s">
        <v>41</v>
      </c>
      <c r="D6188" s="5" t="s">
        <v>42</v>
      </c>
      <c r="E6188" s="5" t="s">
        <v>290</v>
      </c>
      <c r="F6188" s="9" t="s">
        <v>291</v>
      </c>
      <c r="G6188" s="9">
        <v>1058</v>
      </c>
      <c r="H6188" s="5" t="s">
        <v>21</v>
      </c>
      <c r="I6188" s="5" t="s">
        <v>14774</v>
      </c>
      <c r="J6188" s="12" t="str">
        <f>HYPERLINK("https://www.boe.es/gazeta/dias/1808/08/23/pdfs/GMD-1808-116.pdf#page=4","Abrir facsímil")</f>
        <v>Abrir facsímil</v>
      </c>
      <c r="K6188" s="15" t="s">
        <v>23</v>
      </c>
    </row>
    <row r="6189" spans="1:11" ht="42" customHeight="1">
      <c r="A6189" s="4" t="s">
        <v>14765</v>
      </c>
      <c r="B6189" s="5" t="s">
        <v>14766</v>
      </c>
      <c r="C6189" s="5" t="s">
        <v>41</v>
      </c>
      <c r="D6189" s="5" t="s">
        <v>42</v>
      </c>
      <c r="E6189" s="5" t="s">
        <v>153</v>
      </c>
      <c r="F6189" s="9" t="s">
        <v>1185</v>
      </c>
      <c r="G6189" s="9">
        <v>1149</v>
      </c>
      <c r="H6189" s="5" t="s">
        <v>21</v>
      </c>
      <c r="I6189" s="5" t="s">
        <v>14775</v>
      </c>
      <c r="J6189" s="12" t="str">
        <f>HYPERLINK("https://www.boe.es/gazeta/dias/1808/09/09/pdfs/GMD-1808-121.pdf#page=7","Abrir facsímil")</f>
        <v>Abrir facsímil</v>
      </c>
      <c r="K6189" s="15" t="s">
        <v>23</v>
      </c>
    </row>
    <row r="6190" spans="1:11" ht="42" customHeight="1">
      <c r="A6190" s="4" t="s">
        <v>14765</v>
      </c>
      <c r="B6190" s="5" t="s">
        <v>14766</v>
      </c>
      <c r="C6190" s="5" t="s">
        <v>94</v>
      </c>
      <c r="D6190" s="5" t="s">
        <v>95</v>
      </c>
      <c r="E6190" s="5" t="s">
        <v>65</v>
      </c>
      <c r="F6190" s="9" t="s">
        <v>66</v>
      </c>
      <c r="G6190" s="9">
        <v>1316</v>
      </c>
      <c r="H6190" s="5" t="s">
        <v>21</v>
      </c>
      <c r="I6190" s="5" t="s">
        <v>14776</v>
      </c>
      <c r="J6190" s="12" t="str">
        <f>HYPERLINK("https://www.boe.es/gazeta/dias/1808/10/18/pdfs/GMD-1808-135.pdf#page=16","Abrir facsímil")</f>
        <v>Abrir facsímil</v>
      </c>
      <c r="K6190" s="15" t="s">
        <v>23</v>
      </c>
    </row>
    <row r="6191" spans="1:11" ht="42" customHeight="1">
      <c r="A6191" s="4" t="s">
        <v>14777</v>
      </c>
      <c r="B6191" s="5" t="s">
        <v>14778</v>
      </c>
      <c r="C6191" s="5" t="s">
        <v>33</v>
      </c>
      <c r="D6191" s="5" t="s">
        <v>34</v>
      </c>
      <c r="E6191" s="5" t="s">
        <v>558</v>
      </c>
      <c r="F6191" s="9" t="s">
        <v>758</v>
      </c>
      <c r="G6191" s="9" t="s">
        <v>106</v>
      </c>
      <c r="H6191" s="5" t="s">
        <v>21</v>
      </c>
      <c r="I6191" s="5" t="s">
        <v>14779</v>
      </c>
      <c r="J6191" s="12" t="str">
        <f>HYPERLINK("https://www.boe.es/gazeta/dias/1808/11/25/pdfs/GMD-E-1808-147.pdf#page=3","Abrir facsímil")</f>
        <v>Abrir facsímil</v>
      </c>
      <c r="K6191" s="15" t="s">
        <v>23</v>
      </c>
    </row>
    <row r="6192" spans="1:11" ht="42" customHeight="1">
      <c r="A6192" s="4" t="s">
        <v>14780</v>
      </c>
      <c r="B6192" s="5" t="s">
        <v>14781</v>
      </c>
      <c r="C6192" s="5" t="s">
        <v>41</v>
      </c>
      <c r="D6192" s="5" t="s">
        <v>42</v>
      </c>
      <c r="E6192" s="5" t="s">
        <v>73</v>
      </c>
      <c r="F6192" s="9" t="s">
        <v>74</v>
      </c>
      <c r="G6192" s="9" t="s">
        <v>106</v>
      </c>
      <c r="H6192" s="5" t="s">
        <v>21</v>
      </c>
      <c r="I6192" s="5" t="s">
        <v>14782</v>
      </c>
      <c r="J6192" s="12" t="str">
        <f>HYPERLINK("https://www.boe.es/gazeta/dias/1808/11/11/pdfs/GMD-D-1808-143.pdf#page=3","Abrir facsímil")</f>
        <v>Abrir facsímil</v>
      </c>
      <c r="K6192" s="15" t="s">
        <v>23</v>
      </c>
    </row>
    <row r="6193" spans="1:11" ht="42" customHeight="1">
      <c r="A6193" s="4" t="s">
        <v>14783</v>
      </c>
      <c r="B6193" s="5" t="s">
        <v>14784</v>
      </c>
      <c r="C6193" s="5" t="s">
        <v>17</v>
      </c>
      <c r="D6193" s="5" t="s">
        <v>18</v>
      </c>
      <c r="E6193" s="5" t="s">
        <v>130</v>
      </c>
      <c r="F6193" s="9" t="s">
        <v>131</v>
      </c>
      <c r="G6193" s="9">
        <v>1602</v>
      </c>
      <c r="H6193" s="5" t="s">
        <v>21</v>
      </c>
      <c r="I6193" s="5" t="s">
        <v>14785</v>
      </c>
      <c r="J6193" s="12" t="str">
        <f>HYPERLINK("https://www.boe.es/gazeta/dias/1808/12/15/pdfs/GMD-1808-155.pdf#page=6","Abrir facsímil")</f>
        <v>Abrir facsímil</v>
      </c>
      <c r="K6193" s="15" t="s">
        <v>23</v>
      </c>
    </row>
    <row r="6194" spans="1:11" ht="42" customHeight="1">
      <c r="A6194" s="4" t="s">
        <v>14786</v>
      </c>
      <c r="B6194" s="5" t="s">
        <v>14787</v>
      </c>
      <c r="C6194" s="5" t="s">
        <v>33</v>
      </c>
      <c r="D6194" s="5" t="s">
        <v>34</v>
      </c>
      <c r="E6194" s="5" t="s">
        <v>461</v>
      </c>
      <c r="F6194" s="9" t="s">
        <v>462</v>
      </c>
      <c r="G6194" s="9" t="s">
        <v>75</v>
      </c>
      <c r="H6194" s="5" t="s">
        <v>21</v>
      </c>
      <c r="I6194" s="5" t="s">
        <v>14788</v>
      </c>
      <c r="J6194" s="12" t="str">
        <f>HYPERLINK("https://www.boe.es/gazeta/dias/1808/11/08/pdfs/GMD-D-1808-142.pdf#page=4","Abrir facsímil")</f>
        <v>Abrir facsímil</v>
      </c>
      <c r="K6194" s="15" t="s">
        <v>23</v>
      </c>
    </row>
    <row r="6195" spans="1:11" ht="42" customHeight="1">
      <c r="A6195" s="4" t="s">
        <v>14789</v>
      </c>
      <c r="B6195" s="5" t="s">
        <v>14790</v>
      </c>
      <c r="C6195" s="5" t="s">
        <v>17</v>
      </c>
      <c r="D6195" s="5" t="s">
        <v>18</v>
      </c>
      <c r="E6195" s="5" t="s">
        <v>130</v>
      </c>
      <c r="F6195" s="9" t="s">
        <v>131</v>
      </c>
      <c r="G6195" s="9">
        <v>1602</v>
      </c>
      <c r="H6195" s="5" t="s">
        <v>21</v>
      </c>
      <c r="I6195" s="5" t="s">
        <v>14791</v>
      </c>
      <c r="J6195" s="12" t="str">
        <f>HYPERLINK("https://www.boe.es/gazeta/dias/1808/12/15/pdfs/GMD-1808-155.pdf#page=6","Abrir facsímil")</f>
        <v>Abrir facsímil</v>
      </c>
      <c r="K6195" s="15" t="s">
        <v>23</v>
      </c>
    </row>
    <row r="6196" spans="1:11" ht="42" customHeight="1">
      <c r="A6196" s="4" t="s">
        <v>14792</v>
      </c>
      <c r="B6196" s="5" t="s">
        <v>14793</v>
      </c>
      <c r="C6196" s="5" t="s">
        <v>94</v>
      </c>
      <c r="D6196" s="5" t="s">
        <v>95</v>
      </c>
      <c r="E6196" s="5" t="s">
        <v>238</v>
      </c>
      <c r="F6196" s="9" t="s">
        <v>239</v>
      </c>
      <c r="G6196" s="9">
        <v>34</v>
      </c>
      <c r="H6196" s="5" t="s">
        <v>21</v>
      </c>
      <c r="I6196" s="5" t="s">
        <v>14794</v>
      </c>
      <c r="J6196" s="12" t="str">
        <f>HYPERLINK("https://www.boe.es/gazeta/dias/1808/01/08/pdfs/GMD-1808-3.pdf#page=10","Abrir facsímil")</f>
        <v>Abrir facsímil</v>
      </c>
      <c r="K6196" s="15" t="s">
        <v>23</v>
      </c>
    </row>
    <row r="6197" spans="1:11" ht="42" customHeight="1">
      <c r="A6197" s="4" t="s">
        <v>14795</v>
      </c>
      <c r="B6197" s="5" t="s">
        <v>14796</v>
      </c>
      <c r="C6197" s="5" t="s">
        <v>33</v>
      </c>
      <c r="D6197" s="5" t="s">
        <v>34</v>
      </c>
      <c r="E6197" s="5" t="s">
        <v>461</v>
      </c>
      <c r="F6197" s="9" t="s">
        <v>462</v>
      </c>
      <c r="G6197" s="9" t="s">
        <v>117</v>
      </c>
      <c r="H6197" s="5" t="s">
        <v>21</v>
      </c>
      <c r="I6197" s="5" t="s">
        <v>14797</v>
      </c>
      <c r="J6197" s="12" t="str">
        <f>HYPERLINK("https://www.boe.es/gazeta/dias/1808/11/08/pdfs/GMD-D-1808-142.pdf#page=1","Abrir facsímil")</f>
        <v>Abrir facsímil</v>
      </c>
      <c r="K6197" s="15" t="s">
        <v>23</v>
      </c>
    </row>
    <row r="6198" spans="1:11" ht="42" customHeight="1">
      <c r="A6198" s="4" t="s">
        <v>14798</v>
      </c>
      <c r="B6198" s="5" t="s">
        <v>14799</v>
      </c>
      <c r="C6198" s="5" t="s">
        <v>94</v>
      </c>
      <c r="D6198" s="5" t="s">
        <v>95</v>
      </c>
      <c r="E6198" s="5" t="s">
        <v>54</v>
      </c>
      <c r="F6198" s="9" t="s">
        <v>55</v>
      </c>
      <c r="G6198" s="9">
        <v>1089</v>
      </c>
      <c r="H6198" s="5" t="s">
        <v>21</v>
      </c>
      <c r="I6198" s="5" t="s">
        <v>14800</v>
      </c>
      <c r="J6198" s="12" t="str">
        <f>HYPERLINK("https://www.boe.es/gazeta/dias/1808/08/26/pdfs/GMD-1808-117.pdf#page=11","Abrir facsímil")</f>
        <v>Abrir facsímil</v>
      </c>
      <c r="K6198" s="15" t="s">
        <v>23</v>
      </c>
    </row>
    <row r="6199" spans="1:11" ht="42" customHeight="1">
      <c r="A6199" s="4" t="s">
        <v>14801</v>
      </c>
      <c r="B6199" s="5" t="s">
        <v>14802</v>
      </c>
      <c r="C6199" s="5" t="s">
        <v>17</v>
      </c>
      <c r="D6199" s="5" t="s">
        <v>18</v>
      </c>
      <c r="E6199" s="5" t="s">
        <v>461</v>
      </c>
      <c r="F6199" s="9" t="s">
        <v>733</v>
      </c>
      <c r="G6199" s="9">
        <v>1447</v>
      </c>
      <c r="H6199" s="5" t="s">
        <v>21</v>
      </c>
      <c r="I6199" s="5" t="s">
        <v>14803</v>
      </c>
      <c r="J6199" s="12" t="str">
        <f>HYPERLINK("https://www.boe.es/gazeta/dias/1808/11/08/pdfs/GMD-1808-142.pdf#page=9","Abrir facsímil")</f>
        <v>Abrir facsímil</v>
      </c>
      <c r="K6199" s="15" t="s">
        <v>23</v>
      </c>
    </row>
    <row r="6200" spans="1:11" ht="42" customHeight="1">
      <c r="A6200" s="4" t="s">
        <v>14804</v>
      </c>
      <c r="B6200" s="5" t="s">
        <v>14805</v>
      </c>
      <c r="C6200" s="5" t="s">
        <v>33</v>
      </c>
      <c r="D6200" s="5" t="s">
        <v>34</v>
      </c>
      <c r="E6200" s="5" t="s">
        <v>334</v>
      </c>
      <c r="F6200" s="9" t="s">
        <v>335</v>
      </c>
      <c r="G6200" s="9">
        <v>1252</v>
      </c>
      <c r="H6200" s="5" t="s">
        <v>21</v>
      </c>
      <c r="I6200" s="5" t="s">
        <v>14806</v>
      </c>
      <c r="J6200" s="12" t="str">
        <f>HYPERLINK("https://www.boe.es/gazeta/dias/1808/10/04/pdfs/GMD-C-1808-131.pdf#page=4","Abrir facsímil")</f>
        <v>Abrir facsímil</v>
      </c>
      <c r="K6200" s="15" t="s">
        <v>23</v>
      </c>
    </row>
    <row r="6201" spans="1:11" ht="42" customHeight="1">
      <c r="A6201" s="4" t="s">
        <v>14807</v>
      </c>
      <c r="B6201" s="5" t="s">
        <v>14808</v>
      </c>
      <c r="C6201" s="5" t="s">
        <v>94</v>
      </c>
      <c r="D6201" s="5" t="s">
        <v>95</v>
      </c>
      <c r="E6201" s="5" t="s">
        <v>207</v>
      </c>
      <c r="F6201" s="9" t="s">
        <v>208</v>
      </c>
      <c r="G6201" s="9">
        <v>196</v>
      </c>
      <c r="H6201" s="5" t="s">
        <v>21</v>
      </c>
      <c r="I6201" s="5" t="s">
        <v>14809</v>
      </c>
      <c r="J6201" s="12" t="str">
        <f>HYPERLINK("https://www.boe.es/gazeta/dias/1808/02/23/pdfs/GMD-1808-16.pdf#page=10","Abrir facsímil")</f>
        <v>Abrir facsímil</v>
      </c>
      <c r="K6201" s="15" t="s">
        <v>23</v>
      </c>
    </row>
    <row r="6202" spans="1:11" ht="42" customHeight="1">
      <c r="A6202" s="4" t="s">
        <v>14810</v>
      </c>
      <c r="B6202" s="5" t="s">
        <v>14811</v>
      </c>
      <c r="C6202" s="5" t="s">
        <v>94</v>
      </c>
      <c r="D6202" s="5" t="s">
        <v>95</v>
      </c>
      <c r="E6202" s="5" t="s">
        <v>19</v>
      </c>
      <c r="F6202" s="9" t="s">
        <v>59</v>
      </c>
      <c r="G6202" s="9">
        <v>1226</v>
      </c>
      <c r="H6202" s="5" t="s">
        <v>21</v>
      </c>
      <c r="I6202" s="5" t="s">
        <v>14812</v>
      </c>
      <c r="J6202" s="12" t="str">
        <f>HYPERLINK("https://www.boe.es/gazeta/dias/1808/09/30/pdfs/GMD-1808-130.pdf#page=6","Abrir facsímil")</f>
        <v>Abrir facsímil</v>
      </c>
      <c r="K6202" s="15" t="s">
        <v>23</v>
      </c>
    </row>
    <row r="6203" spans="1:11" ht="42" customHeight="1">
      <c r="A6203" s="4" t="s">
        <v>14810</v>
      </c>
      <c r="B6203" s="5" t="s">
        <v>14811</v>
      </c>
      <c r="C6203" s="5" t="s">
        <v>94</v>
      </c>
      <c r="D6203" s="5" t="s">
        <v>95</v>
      </c>
      <c r="E6203" s="5" t="s">
        <v>456</v>
      </c>
      <c r="F6203" s="9" t="s">
        <v>457</v>
      </c>
      <c r="G6203" s="9">
        <v>1297</v>
      </c>
      <c r="H6203" s="5" t="s">
        <v>21</v>
      </c>
      <c r="I6203" s="5" t="s">
        <v>14813</v>
      </c>
      <c r="J6203" s="12" t="str">
        <f>HYPERLINK("https://www.boe.es/gazeta/dias/1808/10/14/pdfs/GMD-1808-134.pdf#page=9","Abrir facsímil")</f>
        <v>Abrir facsímil</v>
      </c>
      <c r="K6203" s="15" t="s">
        <v>23</v>
      </c>
    </row>
    <row r="6204" spans="1:11" ht="42" customHeight="1">
      <c r="A6204" s="4" t="s">
        <v>14814</v>
      </c>
      <c r="B6204" s="5" t="s">
        <v>14815</v>
      </c>
      <c r="C6204" s="5" t="s">
        <v>260</v>
      </c>
      <c r="D6204" s="5" t="s">
        <v>42</v>
      </c>
      <c r="E6204" s="5" t="s">
        <v>616</v>
      </c>
      <c r="F6204" s="9" t="s">
        <v>617</v>
      </c>
      <c r="G6204" s="9">
        <v>1043</v>
      </c>
      <c r="H6204" s="5" t="s">
        <v>21</v>
      </c>
      <c r="I6204" s="5" t="s">
        <v>14816</v>
      </c>
      <c r="J6204" s="12" t="str">
        <f>HYPERLINK("https://www.boe.es/gazeta/dias/1808/08/19/pdfs/GMD-1808-115.pdf#page=9","Abrir facsímil")</f>
        <v>Abrir facsímil</v>
      </c>
      <c r="K6204" s="15" t="s">
        <v>23</v>
      </c>
    </row>
    <row r="6205" spans="1:11" ht="42" customHeight="1">
      <c r="A6205" s="4" t="s">
        <v>14817</v>
      </c>
      <c r="B6205" s="5" t="s">
        <v>14817</v>
      </c>
      <c r="C6205" s="5" t="s">
        <v>94</v>
      </c>
      <c r="D6205" s="5" t="s">
        <v>95</v>
      </c>
      <c r="E6205" s="5" t="s">
        <v>3097</v>
      </c>
      <c r="F6205" s="9" t="s">
        <v>3098</v>
      </c>
      <c r="G6205" s="9">
        <v>827</v>
      </c>
      <c r="H6205" s="5" t="s">
        <v>21</v>
      </c>
      <c r="I6205" s="5" t="s">
        <v>14818</v>
      </c>
      <c r="J6205" s="12" t="str">
        <f>HYPERLINK("https://www.boe.es/gazeta/dias/1808/07/17/pdfs/GMD-1808-89.pdf#page=5","Abrir facsímil")</f>
        <v>Abrir facsímil</v>
      </c>
      <c r="K6205" s="15" t="s">
        <v>23</v>
      </c>
    </row>
    <row r="6206" spans="1:11" ht="42" customHeight="1">
      <c r="A6206" s="4" t="s">
        <v>14817</v>
      </c>
      <c r="B6206" s="5" t="s">
        <v>14817</v>
      </c>
      <c r="C6206" s="5" t="s">
        <v>17</v>
      </c>
      <c r="D6206" s="5" t="s">
        <v>18</v>
      </c>
      <c r="E6206" s="5" t="s">
        <v>3097</v>
      </c>
      <c r="F6206" s="9" t="s">
        <v>3098</v>
      </c>
      <c r="G6206" s="9">
        <v>828</v>
      </c>
      <c r="H6206" s="5" t="s">
        <v>21</v>
      </c>
      <c r="I6206" s="5" t="s">
        <v>14819</v>
      </c>
      <c r="J6206" s="12" t="str">
        <f>HYPERLINK("https://www.boe.es/gazeta/dias/1808/07/17/pdfs/GMD-1808-89.pdf#page=6","Abrir facsímil")</f>
        <v>Abrir facsímil</v>
      </c>
      <c r="K6206" s="15" t="s">
        <v>23</v>
      </c>
    </row>
    <row r="6207" spans="1:11" ht="42" customHeight="1">
      <c r="A6207" s="4" t="s">
        <v>14817</v>
      </c>
      <c r="B6207" s="5" t="s">
        <v>14817</v>
      </c>
      <c r="C6207" s="5" t="s">
        <v>17</v>
      </c>
      <c r="D6207" s="5" t="s">
        <v>18</v>
      </c>
      <c r="E6207" s="5" t="s">
        <v>3097</v>
      </c>
      <c r="F6207" s="9" t="s">
        <v>3098</v>
      </c>
      <c r="G6207" s="9">
        <v>829</v>
      </c>
      <c r="H6207" s="5" t="s">
        <v>21</v>
      </c>
      <c r="I6207" s="5" t="s">
        <v>14820</v>
      </c>
      <c r="J6207" s="12" t="str">
        <f>HYPERLINK("https://www.boe.es/gazeta/dias/1808/07/17/pdfs/GMD-1808-89.pdf#page=7","Abrir facsímil")</f>
        <v>Abrir facsímil</v>
      </c>
      <c r="K6207" s="15" t="s">
        <v>23</v>
      </c>
    </row>
    <row r="6208" spans="1:11" ht="42" customHeight="1">
      <c r="A6208" s="4" t="s">
        <v>14821</v>
      </c>
      <c r="B6208" s="5" t="s">
        <v>14822</v>
      </c>
      <c r="C6208" s="5" t="s">
        <v>94</v>
      </c>
      <c r="D6208" s="5" t="s">
        <v>95</v>
      </c>
      <c r="E6208" s="5" t="s">
        <v>180</v>
      </c>
      <c r="F6208" s="9" t="s">
        <v>2568</v>
      </c>
      <c r="G6208" s="9">
        <v>1497</v>
      </c>
      <c r="H6208" s="5" t="s">
        <v>21</v>
      </c>
      <c r="I6208" s="5" t="s">
        <v>14823</v>
      </c>
      <c r="J6208" s="12" t="str">
        <f>HYPERLINK("https://www.boe.es/gazeta/dias/1808/11/15/pdfs/GMD-1808-144.pdf#page=11","Abrir facsímil")</f>
        <v>Abrir facsímil</v>
      </c>
      <c r="K6208" s="15" t="s">
        <v>23</v>
      </c>
    </row>
    <row r="6209" spans="1:11" ht="42" customHeight="1">
      <c r="A6209" s="4" t="s">
        <v>14824</v>
      </c>
      <c r="B6209" s="5" t="s">
        <v>14825</v>
      </c>
      <c r="C6209" s="5" t="s">
        <v>17</v>
      </c>
      <c r="D6209" s="5" t="s">
        <v>18</v>
      </c>
      <c r="E6209" s="5" t="s">
        <v>28</v>
      </c>
      <c r="F6209" s="9" t="s">
        <v>29</v>
      </c>
      <c r="G6209" s="9">
        <v>1429</v>
      </c>
      <c r="H6209" s="5" t="s">
        <v>21</v>
      </c>
      <c r="I6209" s="5" t="s">
        <v>14826</v>
      </c>
      <c r="J6209" s="12" t="str">
        <f>HYPERLINK("https://www.boe.es/gazeta/dias/1808/11/04/pdfs/GMD-1808-141.pdf#page=11","Abrir facsímil")</f>
        <v>Abrir facsímil</v>
      </c>
      <c r="K6209" s="15" t="s">
        <v>23</v>
      </c>
    </row>
    <row r="6210" spans="1:11" ht="42" customHeight="1">
      <c r="A6210" s="4" t="s">
        <v>14827</v>
      </c>
      <c r="B6210" s="5" t="s">
        <v>14828</v>
      </c>
      <c r="C6210" s="5" t="s">
        <v>33</v>
      </c>
      <c r="D6210" s="5" t="s">
        <v>34</v>
      </c>
      <c r="E6210" s="5" t="s">
        <v>153</v>
      </c>
      <c r="F6210" s="9" t="s">
        <v>154</v>
      </c>
      <c r="G6210" s="9" t="s">
        <v>199</v>
      </c>
      <c r="H6210" s="5" t="s">
        <v>21</v>
      </c>
      <c r="I6210" s="5" t="s">
        <v>14829</v>
      </c>
      <c r="J6210" s="12" t="str">
        <f>HYPERLINK("https://www.boe.es/gazeta/dias/1808/09/09/pdfs/GMD-C-1808-121.pdf#page=2","Abrir facsímil")</f>
        <v>Abrir facsímil</v>
      </c>
      <c r="K6210" s="15" t="s">
        <v>23</v>
      </c>
    </row>
    <row r="6211" spans="1:11" ht="42" customHeight="1">
      <c r="A6211" s="4" t="s">
        <v>14830</v>
      </c>
      <c r="B6211" s="5" t="s">
        <v>14831</v>
      </c>
      <c r="C6211" s="5" t="s">
        <v>94</v>
      </c>
      <c r="D6211" s="5" t="s">
        <v>95</v>
      </c>
      <c r="E6211" s="5" t="s">
        <v>548</v>
      </c>
      <c r="F6211" s="9" t="s">
        <v>549</v>
      </c>
      <c r="G6211" s="9">
        <v>276</v>
      </c>
      <c r="H6211" s="5" t="s">
        <v>21</v>
      </c>
      <c r="I6211" s="5" t="s">
        <v>14832</v>
      </c>
      <c r="J6211" s="12" t="str">
        <f>HYPERLINK("https://www.boe.es/gazeta/dias/1808/03/18/pdfs/GMD-1808-23.pdf#page=6","Abrir facsímil")</f>
        <v>Abrir facsímil</v>
      </c>
      <c r="K6211" s="15" t="s">
        <v>23</v>
      </c>
    </row>
    <row r="6212" spans="1:11" ht="42" customHeight="1">
      <c r="A6212" s="4" t="s">
        <v>14833</v>
      </c>
      <c r="B6212" s="5" t="s">
        <v>14834</v>
      </c>
      <c r="C6212" s="5" t="s">
        <v>260</v>
      </c>
      <c r="D6212" s="5" t="s">
        <v>42</v>
      </c>
      <c r="E6212" s="5" t="s">
        <v>35</v>
      </c>
      <c r="F6212" s="9" t="s">
        <v>36</v>
      </c>
      <c r="G6212" s="9" t="s">
        <v>43</v>
      </c>
      <c r="H6212" s="5" t="s">
        <v>21</v>
      </c>
      <c r="I6212" s="5" t="s">
        <v>14835</v>
      </c>
      <c r="J6212" s="12" t="str">
        <f>HYPERLINK("https://www.boe.es/gazeta/dias/1808/04/22/pdfs/GMD-C-1808-38.pdf#page=30","Abrir facsímil")</f>
        <v>Abrir facsímil</v>
      </c>
      <c r="K6212" s="15" t="s">
        <v>23</v>
      </c>
    </row>
    <row r="6213" spans="1:11" ht="42" customHeight="1">
      <c r="A6213" s="4" t="s">
        <v>14833</v>
      </c>
      <c r="B6213" s="5" t="s">
        <v>14834</v>
      </c>
      <c r="C6213" s="5" t="s">
        <v>41</v>
      </c>
      <c r="D6213" s="5" t="s">
        <v>42</v>
      </c>
      <c r="E6213" s="5" t="s">
        <v>35</v>
      </c>
      <c r="F6213" s="9" t="s">
        <v>36</v>
      </c>
      <c r="G6213" s="9" t="s">
        <v>450</v>
      </c>
      <c r="H6213" s="5" t="s">
        <v>21</v>
      </c>
      <c r="I6213" s="5" t="s">
        <v>14836</v>
      </c>
      <c r="J6213" s="12" t="str">
        <f>HYPERLINK("https://www.boe.es/gazeta/dias/1808/04/22/pdfs/GMD-C-1808-38.pdf#page=45","Abrir facsímil")</f>
        <v>Abrir facsímil</v>
      </c>
      <c r="K6213" s="15" t="s">
        <v>23</v>
      </c>
    </row>
    <row r="6214" spans="1:11" ht="42" customHeight="1">
      <c r="A6214" s="4" t="s">
        <v>14837</v>
      </c>
      <c r="B6214" s="5" t="s">
        <v>14838</v>
      </c>
      <c r="C6214" s="5" t="s">
        <v>33</v>
      </c>
      <c r="D6214" s="5" t="s">
        <v>34</v>
      </c>
      <c r="E6214" s="5" t="s">
        <v>68</v>
      </c>
      <c r="F6214" s="9" t="s">
        <v>309</v>
      </c>
      <c r="G6214" s="9" t="s">
        <v>199</v>
      </c>
      <c r="H6214" s="5" t="s">
        <v>21</v>
      </c>
      <c r="I6214" s="5" t="s">
        <v>14839</v>
      </c>
      <c r="J6214" s="12" t="str">
        <f>HYPERLINK("https://www.boe.es/gazeta/dias/1808/10/21/pdfs/GMD-D-1808-136.pdf#page=2","Abrir facsímil")</f>
        <v>Abrir facsímil</v>
      </c>
      <c r="K6214" s="15" t="s">
        <v>23</v>
      </c>
    </row>
    <row r="6215" spans="1:11" ht="42" customHeight="1">
      <c r="A6215" s="4" t="s">
        <v>14840</v>
      </c>
      <c r="B6215" s="5" t="s">
        <v>14841</v>
      </c>
      <c r="C6215" s="5" t="s">
        <v>94</v>
      </c>
      <c r="D6215" s="5" t="s">
        <v>95</v>
      </c>
      <c r="E6215" s="5" t="s">
        <v>968</v>
      </c>
      <c r="F6215" s="9" t="s">
        <v>969</v>
      </c>
      <c r="G6215" s="9">
        <v>899</v>
      </c>
      <c r="H6215" s="5" t="s">
        <v>21</v>
      </c>
      <c r="I6215" s="5" t="s">
        <v>14842</v>
      </c>
      <c r="J6215" s="12" t="str">
        <f>HYPERLINK("https://www.boe.es/gazeta/dias/1808/07/26/pdfs/GMD-1808-98.pdf#page=5","Abrir facsímil")</f>
        <v>Abrir facsímil</v>
      </c>
      <c r="K6215" s="15" t="s">
        <v>23</v>
      </c>
    </row>
    <row r="6216" spans="1:11" ht="42" customHeight="1">
      <c r="A6216" s="4" t="s">
        <v>14843</v>
      </c>
      <c r="B6216" s="5" t="s">
        <v>14844</v>
      </c>
      <c r="C6216" s="5" t="s">
        <v>33</v>
      </c>
      <c r="D6216" s="5" t="s">
        <v>34</v>
      </c>
      <c r="E6216" s="5" t="s">
        <v>35</v>
      </c>
      <c r="F6216" s="9" t="s">
        <v>36</v>
      </c>
      <c r="G6216" s="9" t="s">
        <v>498</v>
      </c>
      <c r="H6216" s="5" t="s">
        <v>21</v>
      </c>
      <c r="I6216" s="5" t="s">
        <v>14845</v>
      </c>
      <c r="J6216" s="12" t="str">
        <f>HYPERLINK("https://www.boe.es/gazeta/dias/1808/04/22/pdfs/GMD-C-1808-38.pdf#page=22","Abrir facsímil")</f>
        <v>Abrir facsímil</v>
      </c>
      <c r="K6216" s="15" t="s">
        <v>23</v>
      </c>
    </row>
    <row r="6217" spans="1:11" ht="42" customHeight="1">
      <c r="A6217" s="4" t="s">
        <v>14846</v>
      </c>
      <c r="B6217" s="5" t="s">
        <v>14847</v>
      </c>
      <c r="C6217" s="5" t="s">
        <v>41</v>
      </c>
      <c r="D6217" s="5" t="s">
        <v>42</v>
      </c>
      <c r="E6217" s="5" t="s">
        <v>28</v>
      </c>
      <c r="F6217" s="9" t="s">
        <v>446</v>
      </c>
      <c r="G6217" s="9" t="s">
        <v>199</v>
      </c>
      <c r="H6217" s="5" t="s">
        <v>21</v>
      </c>
      <c r="I6217" s="5" t="s">
        <v>14848</v>
      </c>
      <c r="J6217" s="12" t="str">
        <f>HYPERLINK("https://www.boe.es/gazeta/dias/1808/11/04/pdfs/GMD-D-1808-141.pdf#page=2","Abrir facsímil")</f>
        <v>Abrir facsímil</v>
      </c>
      <c r="K6217" s="15" t="s">
        <v>23</v>
      </c>
    </row>
    <row r="6218" spans="1:11" ht="42" customHeight="1">
      <c r="A6218" s="4" t="s">
        <v>14849</v>
      </c>
      <c r="B6218" s="5" t="s">
        <v>14849</v>
      </c>
      <c r="C6218" s="5" t="s">
        <v>389</v>
      </c>
      <c r="D6218" s="5" t="s">
        <v>390</v>
      </c>
      <c r="E6218" s="5" t="s">
        <v>714</v>
      </c>
      <c r="F6218" s="9" t="s">
        <v>2736</v>
      </c>
      <c r="G6218" s="9">
        <v>820</v>
      </c>
      <c r="H6218" s="5" t="s">
        <v>21</v>
      </c>
      <c r="I6218" s="5" t="s">
        <v>14850</v>
      </c>
      <c r="J6218" s="12" t="str">
        <f>HYPERLINK("https://www.boe.es/gazeta/dias/1808/07/16/pdfs/GMD-1808-88.pdf#page=6","Abrir facsímil")</f>
        <v>Abrir facsímil</v>
      </c>
      <c r="K6218" s="15" t="s">
        <v>23</v>
      </c>
    </row>
    <row r="6219" spans="1:11" ht="42" customHeight="1">
      <c r="A6219" s="4" t="s">
        <v>14851</v>
      </c>
      <c r="B6219" s="5" t="s">
        <v>14852</v>
      </c>
      <c r="C6219" s="5" t="s">
        <v>17</v>
      </c>
      <c r="D6219" s="5" t="s">
        <v>18</v>
      </c>
      <c r="E6219" s="5" t="s">
        <v>130</v>
      </c>
      <c r="F6219" s="9" t="s">
        <v>131</v>
      </c>
      <c r="G6219" s="9">
        <v>1604</v>
      </c>
      <c r="H6219" s="5" t="s">
        <v>21</v>
      </c>
      <c r="I6219" s="5" t="s">
        <v>14853</v>
      </c>
      <c r="J6219" s="12" t="str">
        <f>HYPERLINK("https://www.boe.es/gazeta/dias/1808/12/15/pdfs/GMD-1808-155.pdf#page=8","Abrir facsímil")</f>
        <v>Abrir facsímil</v>
      </c>
      <c r="K6219" s="15" t="s">
        <v>23</v>
      </c>
    </row>
    <row r="6220" spans="1:11" ht="42" customHeight="1">
      <c r="A6220" s="4" t="s">
        <v>14854</v>
      </c>
      <c r="B6220" s="5" t="s">
        <v>14855</v>
      </c>
      <c r="C6220" s="5" t="s">
        <v>33</v>
      </c>
      <c r="D6220" s="5" t="s">
        <v>34</v>
      </c>
      <c r="E6220" s="5" t="s">
        <v>65</v>
      </c>
      <c r="F6220" s="9" t="s">
        <v>105</v>
      </c>
      <c r="G6220" s="9" t="s">
        <v>199</v>
      </c>
      <c r="H6220" s="5" t="s">
        <v>21</v>
      </c>
      <c r="I6220" s="5" t="s">
        <v>14856</v>
      </c>
      <c r="J6220" s="12" t="str">
        <f>HYPERLINK("https://www.boe.es/gazeta/dias/1808/10/18/pdfs/GMD-D-1808-135.pdf#page=2","Abrir facsímil")</f>
        <v>Abrir facsímil</v>
      </c>
      <c r="K6220" s="15" t="s">
        <v>23</v>
      </c>
    </row>
    <row r="6221" spans="1:11" ht="42" customHeight="1">
      <c r="A6221" s="4" t="s">
        <v>14857</v>
      </c>
      <c r="B6221" s="5" t="s">
        <v>14857</v>
      </c>
      <c r="C6221" s="5" t="s">
        <v>41</v>
      </c>
      <c r="D6221" s="5" t="s">
        <v>42</v>
      </c>
      <c r="E6221" s="5" t="s">
        <v>35</v>
      </c>
      <c r="F6221" s="9" t="s">
        <v>36</v>
      </c>
      <c r="G6221" s="9" t="s">
        <v>1860</v>
      </c>
      <c r="H6221" s="5" t="s">
        <v>21</v>
      </c>
      <c r="I6221" s="5" t="s">
        <v>14858</v>
      </c>
      <c r="J6221" s="12" t="str">
        <f>HYPERLINK("https://www.boe.es/gazeta/dias/1808/04/22/pdfs/GMD-C-1808-38.pdf#page=37","Abrir facsímil")</f>
        <v>Abrir facsímil</v>
      </c>
      <c r="K6221" s="15" t="s">
        <v>23</v>
      </c>
    </row>
    <row r="6222" spans="1:11" ht="42" customHeight="1">
      <c r="A6222" s="4" t="s">
        <v>14859</v>
      </c>
      <c r="B6222" s="5" t="s">
        <v>14859</v>
      </c>
      <c r="C6222" s="5" t="s">
        <v>94</v>
      </c>
      <c r="D6222" s="5" t="s">
        <v>95</v>
      </c>
      <c r="E6222" s="5" t="s">
        <v>427</v>
      </c>
      <c r="F6222" s="9" t="s">
        <v>428</v>
      </c>
      <c r="G6222" s="9" t="s">
        <v>199</v>
      </c>
      <c r="H6222" s="5" t="s">
        <v>21</v>
      </c>
      <c r="I6222" s="5" t="s">
        <v>14860</v>
      </c>
      <c r="J6222" s="12" t="str">
        <f>HYPERLINK("https://www.boe.es/gazeta/dias/1808/11/22/pdfs/GMD-D-1808-146.pdf#page=2","Abrir facsímil")</f>
        <v>Abrir facsímil</v>
      </c>
      <c r="K6222" s="15" t="s">
        <v>23</v>
      </c>
    </row>
    <row r="6223" spans="1:11" ht="42" customHeight="1">
      <c r="A6223" s="4" t="s">
        <v>14861</v>
      </c>
      <c r="B6223" s="5" t="s">
        <v>14861</v>
      </c>
      <c r="C6223" s="5" t="s">
        <v>41</v>
      </c>
      <c r="D6223" s="5" t="s">
        <v>42</v>
      </c>
      <c r="E6223" s="5" t="s">
        <v>35</v>
      </c>
      <c r="F6223" s="9" t="s">
        <v>36</v>
      </c>
      <c r="G6223" s="9" t="s">
        <v>75</v>
      </c>
      <c r="H6223" s="5" t="s">
        <v>21</v>
      </c>
      <c r="I6223" s="5" t="s">
        <v>14862</v>
      </c>
      <c r="J6223" s="12" t="str">
        <f>HYPERLINK("https://www.boe.es/gazeta/dias/1808/04/22/pdfs/GMD-C-1808-38.pdf#page=4","Abrir facsímil")</f>
        <v>Abrir facsímil</v>
      </c>
      <c r="K6223" s="15" t="s">
        <v>23</v>
      </c>
    </row>
    <row r="6224" spans="1:11" ht="42" customHeight="1">
      <c r="A6224" s="4" t="s">
        <v>14863</v>
      </c>
      <c r="B6224" s="5" t="s">
        <v>14863</v>
      </c>
      <c r="C6224" s="5" t="s">
        <v>17</v>
      </c>
      <c r="D6224" s="5" t="s">
        <v>18</v>
      </c>
      <c r="E6224" s="5" t="s">
        <v>2935</v>
      </c>
      <c r="F6224" s="9" t="s">
        <v>2936</v>
      </c>
      <c r="G6224" s="9">
        <v>431</v>
      </c>
      <c r="H6224" s="5" t="s">
        <v>21</v>
      </c>
      <c r="I6224" s="5" t="s">
        <v>14864</v>
      </c>
      <c r="J6224" s="12" t="str">
        <f>HYPERLINK("https://www.boe.es/gazeta/dias/1808/12/02/pdfs/GMS-1808-54.pdf#page=7","Abrir facsímil")</f>
        <v>Abrir facsímil</v>
      </c>
      <c r="K6224" s="15" t="s">
        <v>23</v>
      </c>
    </row>
    <row r="6225" spans="1:11" ht="42" customHeight="1">
      <c r="A6225" s="4" t="s">
        <v>14865</v>
      </c>
      <c r="B6225" s="5" t="s">
        <v>14865</v>
      </c>
      <c r="C6225" s="5" t="s">
        <v>33</v>
      </c>
      <c r="D6225" s="5" t="s">
        <v>34</v>
      </c>
      <c r="E6225" s="5" t="s">
        <v>558</v>
      </c>
      <c r="F6225" s="9" t="s">
        <v>1495</v>
      </c>
      <c r="G6225" s="9">
        <v>1552</v>
      </c>
      <c r="H6225" s="5" t="s">
        <v>21</v>
      </c>
      <c r="I6225" s="5" t="s">
        <v>14866</v>
      </c>
      <c r="J6225" s="12" t="str">
        <f>HYPERLINK("https://www.boe.es/gazeta/dias/1808/11/25/pdfs/GMD-D-1808-147.pdf#page=2","Abrir facsímil")</f>
        <v>Abrir facsímil</v>
      </c>
      <c r="K6225" s="15" t="s">
        <v>23</v>
      </c>
    </row>
    <row r="6226" spans="1:11" ht="42" customHeight="1">
      <c r="A6226" s="4" t="s">
        <v>14867</v>
      </c>
      <c r="B6226" s="5" t="s">
        <v>14867</v>
      </c>
      <c r="C6226" s="5" t="s">
        <v>33</v>
      </c>
      <c r="D6226" s="5" t="s">
        <v>34</v>
      </c>
      <c r="E6226" s="5" t="s">
        <v>73</v>
      </c>
      <c r="F6226" s="9" t="s">
        <v>74</v>
      </c>
      <c r="G6226" s="9" t="s">
        <v>75</v>
      </c>
      <c r="H6226" s="5" t="s">
        <v>21</v>
      </c>
      <c r="I6226" s="5" t="s">
        <v>14868</v>
      </c>
      <c r="J6226" s="12" t="str">
        <f>HYPERLINK("https://www.boe.es/gazeta/dias/1808/11/11/pdfs/GMD-D-1808-143.pdf#page=4","Abrir facsímil")</f>
        <v>Abrir facsímil</v>
      </c>
      <c r="K6226" s="15" t="s">
        <v>23</v>
      </c>
    </row>
    <row r="6227" spans="1:11" ht="42" customHeight="1">
      <c r="A6227" s="4" t="s">
        <v>14869</v>
      </c>
      <c r="B6227" s="5" t="s">
        <v>14869</v>
      </c>
      <c r="C6227" s="5" t="s">
        <v>94</v>
      </c>
      <c r="D6227" s="5" t="s">
        <v>95</v>
      </c>
      <c r="E6227" s="5" t="s">
        <v>539</v>
      </c>
      <c r="F6227" s="9" t="s">
        <v>540</v>
      </c>
      <c r="G6227" s="9">
        <v>1113</v>
      </c>
      <c r="H6227" s="5" t="s">
        <v>21</v>
      </c>
      <c r="I6227" s="5" t="s">
        <v>14870</v>
      </c>
      <c r="J6227" s="12" t="str">
        <f>HYPERLINK("https://www.boe.es/gazeta/dias/1808/09/02/pdfs/GMD-1808-119.pdf#page=7","Abrir facsímil")</f>
        <v>Abrir facsímil</v>
      </c>
      <c r="K6227" s="15" t="s">
        <v>23</v>
      </c>
    </row>
    <row r="6228" spans="1:11" ht="42" customHeight="1">
      <c r="A6228" s="4" t="s">
        <v>14871</v>
      </c>
      <c r="B6228" s="5" t="s">
        <v>14871</v>
      </c>
      <c r="C6228" s="5" t="s">
        <v>94</v>
      </c>
      <c r="D6228" s="5" t="s">
        <v>95</v>
      </c>
      <c r="E6228" s="5" t="s">
        <v>115</v>
      </c>
      <c r="F6228" s="9" t="s">
        <v>882</v>
      </c>
      <c r="G6228" s="9">
        <v>252</v>
      </c>
      <c r="H6228" s="5" t="s">
        <v>21</v>
      </c>
      <c r="I6228" s="5" t="s">
        <v>14872</v>
      </c>
      <c r="J6228" s="12" t="str">
        <f>HYPERLINK("https://www.boe.es/gazeta/dias/1808/09/16/pdfs/GMS-1808-32.pdf#page=4","Abrir facsímil")</f>
        <v>Abrir facsímil</v>
      </c>
      <c r="K6228" s="15" t="s">
        <v>23</v>
      </c>
    </row>
    <row r="6229" spans="1:11" ht="42" customHeight="1">
      <c r="A6229" s="4" t="s">
        <v>14873</v>
      </c>
      <c r="B6229" s="5" t="s">
        <v>14873</v>
      </c>
      <c r="C6229" s="5" t="s">
        <v>17</v>
      </c>
      <c r="D6229" s="5" t="s">
        <v>18</v>
      </c>
      <c r="E6229" s="5" t="s">
        <v>290</v>
      </c>
      <c r="F6229" s="9" t="s">
        <v>3150</v>
      </c>
      <c r="G6229" s="9">
        <v>198</v>
      </c>
      <c r="H6229" s="5" t="s">
        <v>21</v>
      </c>
      <c r="I6229" s="5" t="s">
        <v>14874</v>
      </c>
      <c r="J6229" s="12" t="str">
        <f>HYPERLINK("https://www.boe.es/gazeta/dias/1808/08/23/pdfs/GMS-1808-25.pdf#page=6","Abrir facsímil")</f>
        <v>Abrir facsímil</v>
      </c>
      <c r="K6229" s="15" t="s">
        <v>23</v>
      </c>
    </row>
    <row r="6230" spans="1:11" ht="42" customHeight="1">
      <c r="A6230" s="4" t="s">
        <v>14873</v>
      </c>
      <c r="B6230" s="5" t="s">
        <v>14873</v>
      </c>
      <c r="C6230" s="5" t="s">
        <v>17</v>
      </c>
      <c r="D6230" s="5" t="s">
        <v>18</v>
      </c>
      <c r="E6230" s="5" t="s">
        <v>54</v>
      </c>
      <c r="F6230" s="9" t="s">
        <v>55</v>
      </c>
      <c r="G6230" s="9">
        <v>1083</v>
      </c>
      <c r="H6230" s="5" t="s">
        <v>21</v>
      </c>
      <c r="I6230" s="5" t="s">
        <v>14875</v>
      </c>
      <c r="J6230" s="12" t="str">
        <f>HYPERLINK("https://www.boe.es/gazeta/dias/1808/08/26/pdfs/GMD-1808-117.pdf#page=5","Abrir facsímil")</f>
        <v>Abrir facsímil</v>
      </c>
      <c r="K6230" s="15" t="s">
        <v>23</v>
      </c>
    </row>
    <row r="6231" spans="1:11" ht="42" customHeight="1">
      <c r="A6231" s="4" t="s">
        <v>14876</v>
      </c>
      <c r="B6231" s="5" t="s">
        <v>14876</v>
      </c>
      <c r="C6231" s="5" t="s">
        <v>41</v>
      </c>
      <c r="D6231" s="5" t="s">
        <v>42</v>
      </c>
      <c r="E6231" s="5" t="s">
        <v>539</v>
      </c>
      <c r="F6231" s="9" t="s">
        <v>908</v>
      </c>
      <c r="G6231" s="9">
        <v>222</v>
      </c>
      <c r="H6231" s="5" t="s">
        <v>21</v>
      </c>
      <c r="I6231" s="5" t="s">
        <v>14877</v>
      </c>
      <c r="J6231" s="12" t="str">
        <f>HYPERLINK("https://www.boe.es/gazeta/dias/1808/09/02/pdfs/GMS-1808-28.pdf#page=6","Abrir facsímil")</f>
        <v>Abrir facsímil</v>
      </c>
      <c r="K6231" s="15" t="s">
        <v>23</v>
      </c>
    </row>
    <row r="6232" spans="1:11" ht="42" customHeight="1">
      <c r="A6232" s="4" t="s">
        <v>14878</v>
      </c>
      <c r="B6232" s="5" t="s">
        <v>14878</v>
      </c>
      <c r="C6232" s="5" t="s">
        <v>17</v>
      </c>
      <c r="D6232" s="5" t="s">
        <v>18</v>
      </c>
      <c r="E6232" s="5" t="s">
        <v>54</v>
      </c>
      <c r="F6232" s="9" t="s">
        <v>55</v>
      </c>
      <c r="G6232" s="9">
        <v>1079</v>
      </c>
      <c r="H6232" s="5" t="s">
        <v>21</v>
      </c>
      <c r="I6232" s="5" t="s">
        <v>14879</v>
      </c>
      <c r="J6232" s="12" t="str">
        <f>HYPERLINK("https://www.boe.es/gazeta/dias/1808/08/26/pdfs/GMD-1808-117.pdf#page=1","Abrir facsímil")</f>
        <v>Abrir facsímil</v>
      </c>
      <c r="K6232" s="15" t="s">
        <v>23</v>
      </c>
    </row>
    <row r="6233" spans="1:11" ht="42" customHeight="1">
      <c r="A6233" s="4" t="s">
        <v>14880</v>
      </c>
      <c r="B6233" s="5" t="s">
        <v>14880</v>
      </c>
      <c r="C6233" s="5" t="s">
        <v>33</v>
      </c>
      <c r="D6233" s="5" t="s">
        <v>34</v>
      </c>
      <c r="E6233" s="5" t="s">
        <v>35</v>
      </c>
      <c r="F6233" s="9" t="s">
        <v>36</v>
      </c>
      <c r="G6233" s="9" t="s">
        <v>443</v>
      </c>
      <c r="H6233" s="5" t="s">
        <v>21</v>
      </c>
      <c r="I6233" s="5" t="s">
        <v>14881</v>
      </c>
      <c r="J6233" s="12" t="str">
        <f>HYPERLINK("https://www.boe.es/gazeta/dias/1808/04/22/pdfs/GMD-C-1808-38.pdf#page=16","Abrir facsímil")</f>
        <v>Abrir facsímil</v>
      </c>
      <c r="K6233" s="15" t="s">
        <v>23</v>
      </c>
    </row>
    <row r="6234" spans="1:11" ht="42" customHeight="1">
      <c r="A6234" s="4" t="s">
        <v>14882</v>
      </c>
      <c r="B6234" s="5" t="s">
        <v>14882</v>
      </c>
      <c r="C6234" s="5" t="s">
        <v>94</v>
      </c>
      <c r="D6234" s="5" t="s">
        <v>95</v>
      </c>
      <c r="E6234" s="5" t="s">
        <v>35</v>
      </c>
      <c r="F6234" s="9" t="s">
        <v>36</v>
      </c>
      <c r="G6234" s="9" t="s">
        <v>324</v>
      </c>
      <c r="H6234" s="5" t="s">
        <v>21</v>
      </c>
      <c r="I6234" s="5" t="s">
        <v>14883</v>
      </c>
      <c r="J6234" s="12" t="str">
        <f>HYPERLINK("https://www.boe.es/gazeta/dias/1808/04/22/pdfs/GMD-C-1808-38.pdf#page=24","Abrir facsímil")</f>
        <v>Abrir facsímil</v>
      </c>
      <c r="K6234" s="15" t="s">
        <v>23</v>
      </c>
    </row>
    <row r="6235" spans="1:11" ht="42" customHeight="1">
      <c r="A6235" s="4" t="s">
        <v>14884</v>
      </c>
      <c r="B6235" s="5" t="s">
        <v>14885</v>
      </c>
      <c r="C6235" s="5" t="s">
        <v>33</v>
      </c>
      <c r="D6235" s="5" t="s">
        <v>34</v>
      </c>
      <c r="E6235" s="5" t="s">
        <v>558</v>
      </c>
      <c r="F6235" s="9" t="s">
        <v>758</v>
      </c>
      <c r="G6235" s="9" t="s">
        <v>117</v>
      </c>
      <c r="H6235" s="5" t="s">
        <v>21</v>
      </c>
      <c r="I6235" s="5" t="s">
        <v>14886</v>
      </c>
      <c r="J6235" s="12" t="str">
        <f>HYPERLINK("https://www.boe.es/gazeta/dias/1808/11/25/pdfs/GMD-E-1808-147.pdf#page=1","Abrir facsímil")</f>
        <v>Abrir facsímil</v>
      </c>
      <c r="K6235" s="15" t="s">
        <v>23</v>
      </c>
    </row>
    <row r="6236" spans="1:11" ht="42" customHeight="1">
      <c r="A6236" s="4" t="s">
        <v>14887</v>
      </c>
      <c r="B6236" s="5" t="s">
        <v>14887</v>
      </c>
      <c r="C6236" s="5" t="s">
        <v>33</v>
      </c>
      <c r="D6236" s="5" t="s">
        <v>34</v>
      </c>
      <c r="E6236" s="5" t="s">
        <v>110</v>
      </c>
      <c r="F6236" s="9" t="s">
        <v>828</v>
      </c>
      <c r="G6236" s="9" t="s">
        <v>117</v>
      </c>
      <c r="H6236" s="5" t="s">
        <v>21</v>
      </c>
      <c r="I6236" s="5" t="s">
        <v>14888</v>
      </c>
      <c r="J6236" s="12" t="str">
        <f>HYPERLINK("https://www.boe.es/gazeta/dias/1808/10/28/pdfs/GMD-D-1808-138.pdf#page=1","Abrir facsímil")</f>
        <v>Abrir facsímil</v>
      </c>
      <c r="K6236" s="15" t="s">
        <v>23</v>
      </c>
    </row>
    <row r="6237" spans="1:11" ht="42" customHeight="1">
      <c r="A6237" s="4" t="s">
        <v>14889</v>
      </c>
      <c r="B6237" s="5" t="s">
        <v>14889</v>
      </c>
      <c r="C6237" s="5" t="s">
        <v>94</v>
      </c>
      <c r="D6237" s="5" t="s">
        <v>95</v>
      </c>
      <c r="E6237" s="5" t="s">
        <v>8477</v>
      </c>
      <c r="F6237" s="9" t="s">
        <v>8478</v>
      </c>
      <c r="G6237" s="9">
        <v>443</v>
      </c>
      <c r="H6237" s="5" t="s">
        <v>21</v>
      </c>
      <c r="I6237" s="5" t="s">
        <v>14890</v>
      </c>
      <c r="J6237" s="12" t="str">
        <f>HYPERLINK("https://www.boe.es/gazeta/dias/1808/12/09/pdfs/GMS-1808-56.pdf#page=3","Abrir facsímil")</f>
        <v>Abrir facsímil</v>
      </c>
      <c r="K6237" s="15" t="s">
        <v>23</v>
      </c>
    </row>
    <row r="6238" spans="1:11" ht="42" customHeight="1">
      <c r="A6238" s="4" t="s">
        <v>14891</v>
      </c>
      <c r="B6238" s="5" t="s">
        <v>14891</v>
      </c>
      <c r="C6238" s="5" t="s">
        <v>33</v>
      </c>
      <c r="D6238" s="5" t="s">
        <v>34</v>
      </c>
      <c r="E6238" s="5" t="s">
        <v>68</v>
      </c>
      <c r="F6238" s="9" t="s">
        <v>849</v>
      </c>
      <c r="G6238" s="9">
        <v>1344</v>
      </c>
      <c r="H6238" s="5" t="s">
        <v>21</v>
      </c>
      <c r="I6238" s="5" t="s">
        <v>14892</v>
      </c>
      <c r="J6238" s="12" t="str">
        <f>HYPERLINK("https://www.boe.es/gazeta/dias/1808/10/21/pdfs/GMD-C-1808-136.pdf#page=4","Abrir facsímil")</f>
        <v>Abrir facsímil</v>
      </c>
      <c r="K6238" s="15" t="s">
        <v>23</v>
      </c>
    </row>
    <row r="6239" spans="1:11" ht="42" customHeight="1">
      <c r="A6239" s="4" t="s">
        <v>14893</v>
      </c>
      <c r="B6239" s="5" t="s">
        <v>14893</v>
      </c>
      <c r="C6239" s="5" t="s">
        <v>17</v>
      </c>
      <c r="D6239" s="5" t="s">
        <v>18</v>
      </c>
      <c r="E6239" s="5" t="s">
        <v>508</v>
      </c>
      <c r="F6239" s="9" t="s">
        <v>509</v>
      </c>
      <c r="G6239" s="9">
        <v>1016</v>
      </c>
      <c r="H6239" s="5" t="s">
        <v>21</v>
      </c>
      <c r="I6239" s="5" t="s">
        <v>14894</v>
      </c>
      <c r="J6239" s="12" t="str">
        <f>HYPERLINK("https://www.boe.es/gazeta/dias/1808/08/16/pdfs/GMD-1808-113.pdf#page=8","Abrir facsímil")</f>
        <v>Abrir facsímil</v>
      </c>
      <c r="K6239" s="15" t="s">
        <v>23</v>
      </c>
    </row>
    <row r="6240" spans="1:11" ht="42" customHeight="1">
      <c r="A6240" s="4" t="s">
        <v>14893</v>
      </c>
      <c r="B6240" s="5" t="s">
        <v>14893</v>
      </c>
      <c r="C6240" s="5" t="s">
        <v>33</v>
      </c>
      <c r="D6240" s="5" t="s">
        <v>34</v>
      </c>
      <c r="E6240" s="5" t="s">
        <v>89</v>
      </c>
      <c r="F6240" s="9" t="s">
        <v>1247</v>
      </c>
      <c r="G6240" s="9">
        <v>1369</v>
      </c>
      <c r="H6240" s="5" t="s">
        <v>21</v>
      </c>
      <c r="I6240" s="5" t="s">
        <v>14895</v>
      </c>
      <c r="J6240" s="12" t="str">
        <f>HYPERLINK("https://www.boe.es/gazeta/dias/1808/10/25/pdfs/GMD-C-1808-137.pdf#page=5","Abrir facsímil")</f>
        <v>Abrir facsímil</v>
      </c>
      <c r="K6240" s="15" t="s">
        <v>23</v>
      </c>
    </row>
    <row r="6241" spans="1:11" ht="42" customHeight="1">
      <c r="A6241" s="4" t="s">
        <v>14896</v>
      </c>
      <c r="B6241" s="5" t="s">
        <v>14896</v>
      </c>
      <c r="C6241" s="5" t="s">
        <v>94</v>
      </c>
      <c r="D6241" s="5" t="s">
        <v>95</v>
      </c>
      <c r="E6241" s="5" t="s">
        <v>508</v>
      </c>
      <c r="F6241" s="9" t="s">
        <v>509</v>
      </c>
      <c r="G6241" s="9">
        <v>1016</v>
      </c>
      <c r="H6241" s="5" t="s">
        <v>21</v>
      </c>
      <c r="I6241" s="5" t="s">
        <v>14897</v>
      </c>
      <c r="J6241" s="12" t="str">
        <f>HYPERLINK("https://www.boe.es/gazeta/dias/1808/08/16/pdfs/GMD-1808-113.pdf#page=8","Abrir facsímil")</f>
        <v>Abrir facsímil</v>
      </c>
      <c r="K6241" s="15" t="s">
        <v>23</v>
      </c>
    </row>
    <row r="6242" spans="1:11" ht="42" customHeight="1">
      <c r="A6242" s="4" t="s">
        <v>14898</v>
      </c>
      <c r="B6242" s="5" t="s">
        <v>14898</v>
      </c>
      <c r="C6242" s="5" t="s">
        <v>41</v>
      </c>
      <c r="D6242" s="5" t="s">
        <v>42</v>
      </c>
      <c r="E6242" s="5" t="s">
        <v>391</v>
      </c>
      <c r="F6242" s="9" t="s">
        <v>588</v>
      </c>
      <c r="G6242" s="9" t="s">
        <v>199</v>
      </c>
      <c r="H6242" s="5" t="s">
        <v>21</v>
      </c>
      <c r="I6242" s="5" t="s">
        <v>14899</v>
      </c>
      <c r="J6242" s="12" t="str">
        <f>HYPERLINK("https://www.boe.es/gazeta/dias/1808/09/27/pdfs/GMD-C-1808-128.pdf#page=2","Abrir facsímil")</f>
        <v>Abrir facsímil</v>
      </c>
      <c r="K6242" s="15" t="s">
        <v>23</v>
      </c>
    </row>
    <row r="6243" spans="1:11" ht="42" customHeight="1">
      <c r="A6243" s="4" t="s">
        <v>14900</v>
      </c>
      <c r="B6243" s="5" t="s">
        <v>14901</v>
      </c>
      <c r="C6243" s="5" t="s">
        <v>33</v>
      </c>
      <c r="D6243" s="5" t="s">
        <v>34</v>
      </c>
      <c r="E6243" s="5" t="s">
        <v>35</v>
      </c>
      <c r="F6243" s="9" t="s">
        <v>36</v>
      </c>
      <c r="G6243" s="9" t="s">
        <v>814</v>
      </c>
      <c r="H6243" s="5" t="s">
        <v>21</v>
      </c>
      <c r="I6243" s="5" t="s">
        <v>14902</v>
      </c>
      <c r="J6243" s="12" t="str">
        <f>HYPERLINK("https://www.boe.es/gazeta/dias/1808/04/22/pdfs/GMD-C-1808-38.pdf#page=25","Abrir facsímil")</f>
        <v>Abrir facsímil</v>
      </c>
      <c r="K6243" s="15" t="s">
        <v>23</v>
      </c>
    </row>
    <row r="6244" spans="1:11" ht="42" customHeight="1">
      <c r="A6244" s="4" t="s">
        <v>14900</v>
      </c>
      <c r="B6244" s="5" t="s">
        <v>14901</v>
      </c>
      <c r="C6244" s="5" t="s">
        <v>33</v>
      </c>
      <c r="D6244" s="5" t="s">
        <v>34</v>
      </c>
      <c r="E6244" s="5" t="s">
        <v>35</v>
      </c>
      <c r="F6244" s="9" t="s">
        <v>36</v>
      </c>
      <c r="G6244" s="9" t="s">
        <v>1294</v>
      </c>
      <c r="H6244" s="5" t="s">
        <v>21</v>
      </c>
      <c r="I6244" s="5" t="s">
        <v>14903</v>
      </c>
      <c r="J6244" s="12" t="str">
        <f>HYPERLINK("https://www.boe.es/gazeta/dias/1808/04/22/pdfs/GMD-C-1808-38.pdf#page=8","Abrir facsímil")</f>
        <v>Abrir facsímil</v>
      </c>
      <c r="K6244" s="15" t="s">
        <v>23</v>
      </c>
    </row>
    <row r="6245" spans="1:11" ht="42" customHeight="1">
      <c r="A6245" s="4" t="s">
        <v>14904</v>
      </c>
      <c r="B6245" s="5" t="s">
        <v>14905</v>
      </c>
      <c r="C6245" s="5" t="s">
        <v>17</v>
      </c>
      <c r="D6245" s="5" t="s">
        <v>18</v>
      </c>
      <c r="E6245" s="5" t="s">
        <v>1085</v>
      </c>
      <c r="F6245" s="9" t="s">
        <v>1086</v>
      </c>
      <c r="G6245" s="9">
        <v>108</v>
      </c>
      <c r="H6245" s="5" t="s">
        <v>21</v>
      </c>
      <c r="I6245" s="5" t="s">
        <v>14906</v>
      </c>
      <c r="J6245" s="12" t="str">
        <f>HYPERLINK("https://www.boe.es/gazeta/dias/1808/01/29/pdfs/GMD-1808-9.pdf#page=12","Abrir facsímil")</f>
        <v>Abrir facsímil</v>
      </c>
      <c r="K6245" s="15" t="s">
        <v>23</v>
      </c>
    </row>
    <row r="6246" spans="1:11" ht="42" customHeight="1">
      <c r="A6246" s="4" t="s">
        <v>14907</v>
      </c>
      <c r="B6246" s="5" t="s">
        <v>14907</v>
      </c>
      <c r="C6246" s="5" t="s">
        <v>94</v>
      </c>
      <c r="D6246" s="5" t="s">
        <v>95</v>
      </c>
      <c r="E6246" s="5" t="s">
        <v>54</v>
      </c>
      <c r="F6246" s="9" t="s">
        <v>55</v>
      </c>
      <c r="G6246" s="9">
        <v>1089</v>
      </c>
      <c r="H6246" s="5" t="s">
        <v>21</v>
      </c>
      <c r="I6246" s="5" t="s">
        <v>14908</v>
      </c>
      <c r="J6246" s="12" t="str">
        <f>HYPERLINK("https://www.boe.es/gazeta/dias/1808/08/26/pdfs/GMD-1808-117.pdf#page=11","Abrir facsímil")</f>
        <v>Abrir facsímil</v>
      </c>
      <c r="K6246" s="15" t="s">
        <v>23</v>
      </c>
    </row>
    <row r="6247" spans="1:11" ht="42" customHeight="1">
      <c r="A6247" s="4" t="s">
        <v>14909</v>
      </c>
      <c r="B6247" s="5" t="s">
        <v>14910</v>
      </c>
      <c r="C6247" s="5" t="s">
        <v>33</v>
      </c>
      <c r="D6247" s="5" t="s">
        <v>34</v>
      </c>
      <c r="E6247" s="5" t="s">
        <v>180</v>
      </c>
      <c r="F6247" s="9" t="s">
        <v>768</v>
      </c>
      <c r="G6247" s="9" t="s">
        <v>199</v>
      </c>
      <c r="H6247" s="5" t="s">
        <v>21</v>
      </c>
      <c r="I6247" s="5" t="s">
        <v>14911</v>
      </c>
      <c r="J6247" s="12" t="str">
        <f>HYPERLINK("https://www.boe.es/gazeta/dias/1808/11/15/pdfs/GMD-D-1808-144.pdf#page=2","Abrir facsímil")</f>
        <v>Abrir facsímil</v>
      </c>
      <c r="K6247" s="15" t="s">
        <v>23</v>
      </c>
    </row>
    <row r="6248" spans="1:11" ht="42" customHeight="1">
      <c r="A6248" s="4" t="s">
        <v>14912</v>
      </c>
      <c r="B6248" s="5" t="s">
        <v>14912</v>
      </c>
      <c r="C6248" s="5" t="s">
        <v>94</v>
      </c>
      <c r="D6248" s="5" t="s">
        <v>95</v>
      </c>
      <c r="E6248" s="5" t="s">
        <v>1286</v>
      </c>
      <c r="F6248" s="9" t="s">
        <v>1287</v>
      </c>
      <c r="G6248" s="9">
        <v>1628</v>
      </c>
      <c r="H6248" s="5" t="s">
        <v>21</v>
      </c>
      <c r="I6248" s="5" t="s">
        <v>14913</v>
      </c>
      <c r="J6248" s="12" t="str">
        <f>HYPERLINK("https://www.boe.es/gazeta/dias/1808/12/17/pdfs/GMD-1808-157.pdf#page=8","Abrir facsímil")</f>
        <v>Abrir facsímil</v>
      </c>
      <c r="K6248" s="15" t="s">
        <v>23</v>
      </c>
    </row>
    <row r="6249" spans="1:11" ht="42" customHeight="1">
      <c r="A6249" s="4" t="s">
        <v>14914</v>
      </c>
      <c r="B6249" s="5" t="s">
        <v>14915</v>
      </c>
      <c r="C6249" s="5" t="s">
        <v>94</v>
      </c>
      <c r="D6249" s="5" t="s">
        <v>95</v>
      </c>
      <c r="E6249" s="5" t="s">
        <v>287</v>
      </c>
      <c r="F6249" s="9" t="s">
        <v>489</v>
      </c>
      <c r="G6249" s="9">
        <v>1003</v>
      </c>
      <c r="H6249" s="5" t="s">
        <v>21</v>
      </c>
      <c r="I6249" s="5" t="s">
        <v>14916</v>
      </c>
      <c r="J6249" s="12" t="str">
        <f>HYPERLINK("https://www.boe.es/gazeta/dias/1808/08/12/pdfs/GMD-1808-112.pdf#page=7","Abrir facsímil")</f>
        <v>Abrir facsímil</v>
      </c>
      <c r="K6249" s="15" t="s">
        <v>23</v>
      </c>
    </row>
    <row r="6250" spans="1:11" ht="42" customHeight="1">
      <c r="A6250" s="4" t="s">
        <v>14917</v>
      </c>
      <c r="B6250" s="5" t="s">
        <v>14918</v>
      </c>
      <c r="C6250" s="5" t="s">
        <v>260</v>
      </c>
      <c r="D6250" s="5" t="s">
        <v>42</v>
      </c>
      <c r="E6250" s="5" t="s">
        <v>115</v>
      </c>
      <c r="F6250" s="9" t="s">
        <v>1650</v>
      </c>
      <c r="G6250" s="9">
        <v>1179</v>
      </c>
      <c r="H6250" s="5" t="s">
        <v>21</v>
      </c>
      <c r="I6250" s="5" t="s">
        <v>14919</v>
      </c>
      <c r="J6250" s="12" t="str">
        <f>HYPERLINK("https://www.boe.es/gazeta/dias/1808/09/16/pdfs/GMD-1808-125.pdf#page=11","Abrir facsímil")</f>
        <v>Abrir facsímil</v>
      </c>
      <c r="K6250" s="15" t="s">
        <v>23</v>
      </c>
    </row>
    <row r="6251" spans="1:11" ht="42" customHeight="1">
      <c r="A6251" s="4" t="s">
        <v>14920</v>
      </c>
      <c r="B6251" s="5" t="s">
        <v>14921</v>
      </c>
      <c r="C6251" s="5" t="s">
        <v>17</v>
      </c>
      <c r="D6251" s="5" t="s">
        <v>18</v>
      </c>
      <c r="E6251" s="5" t="s">
        <v>519</v>
      </c>
      <c r="F6251" s="9" t="s">
        <v>520</v>
      </c>
      <c r="G6251" s="9">
        <v>967</v>
      </c>
      <c r="H6251" s="5" t="s">
        <v>21</v>
      </c>
      <c r="I6251" s="5" t="s">
        <v>14922</v>
      </c>
      <c r="J6251" s="12" t="str">
        <f>HYPERLINK("https://www.boe.es/gazeta/dias/1808/08/04/pdfs/GMD-1808-107.pdf#page=1","Abrir facsímil")</f>
        <v>Abrir facsímil</v>
      </c>
      <c r="K6251" s="15" t="s">
        <v>23</v>
      </c>
    </row>
    <row r="6252" spans="1:11" ht="42" customHeight="1">
      <c r="A6252" s="4" t="s">
        <v>14923</v>
      </c>
      <c r="B6252" s="5" t="s">
        <v>14924</v>
      </c>
      <c r="C6252" s="5" t="s">
        <v>17</v>
      </c>
      <c r="D6252" s="5" t="s">
        <v>18</v>
      </c>
      <c r="E6252" s="5" t="s">
        <v>215</v>
      </c>
      <c r="F6252" s="9" t="s">
        <v>216</v>
      </c>
      <c r="G6252" s="9">
        <v>295</v>
      </c>
      <c r="H6252" s="5" t="s">
        <v>21</v>
      </c>
      <c r="I6252" s="5" t="s">
        <v>14925</v>
      </c>
      <c r="J6252" s="12" t="str">
        <f>HYPERLINK("https://www.boe.es/gazeta/dias/1808/03/25/pdfs/GMD-1808-25.pdf#page=5","Abrir facsímil")</f>
        <v>Abrir facsímil</v>
      </c>
      <c r="K6252" s="15" t="s">
        <v>23</v>
      </c>
    </row>
    <row r="6253" spans="1:11" ht="42" customHeight="1">
      <c r="A6253" s="4" t="s">
        <v>14926</v>
      </c>
      <c r="B6253" s="5" t="s">
        <v>14927</v>
      </c>
      <c r="C6253" s="5" t="s">
        <v>33</v>
      </c>
      <c r="D6253" s="5" t="s">
        <v>34</v>
      </c>
      <c r="E6253" s="5" t="s">
        <v>19</v>
      </c>
      <c r="F6253" s="9" t="s">
        <v>949</v>
      </c>
      <c r="G6253" s="9" t="s">
        <v>106</v>
      </c>
      <c r="H6253" s="5" t="s">
        <v>21</v>
      </c>
      <c r="I6253" s="5" t="s">
        <v>14928</v>
      </c>
      <c r="J6253" s="12" t="str">
        <f>HYPERLINK("https://www.boe.es/gazeta/dias/1808/09/30/pdfs/GMD-C-1808-130.pdf#page=3","Abrir facsímil")</f>
        <v>Abrir facsímil</v>
      </c>
      <c r="K6253" s="15" t="s">
        <v>23</v>
      </c>
    </row>
    <row r="6254" spans="1:11" ht="42" customHeight="1">
      <c r="A6254" s="4" t="s">
        <v>14929</v>
      </c>
      <c r="B6254" s="5" t="s">
        <v>14930</v>
      </c>
      <c r="C6254" s="5" t="s">
        <v>33</v>
      </c>
      <c r="D6254" s="5" t="s">
        <v>34</v>
      </c>
      <c r="E6254" s="5" t="s">
        <v>35</v>
      </c>
      <c r="F6254" s="9" t="s">
        <v>36</v>
      </c>
      <c r="G6254" s="9" t="s">
        <v>117</v>
      </c>
      <c r="H6254" s="5" t="s">
        <v>21</v>
      </c>
      <c r="I6254" s="5" t="s">
        <v>14931</v>
      </c>
      <c r="J6254" s="12" t="str">
        <f>HYPERLINK("https://www.boe.es/gazeta/dias/1808/04/22/pdfs/GMD-C-1808-38.pdf#page=1","Abrir facsímil")</f>
        <v>Abrir facsímil</v>
      </c>
      <c r="K6254" s="15" t="s">
        <v>23</v>
      </c>
    </row>
    <row r="6255" spans="1:11" ht="42" customHeight="1">
      <c r="A6255" s="4" t="s">
        <v>14932</v>
      </c>
      <c r="B6255" s="5" t="s">
        <v>14933</v>
      </c>
      <c r="C6255" s="5" t="s">
        <v>94</v>
      </c>
      <c r="D6255" s="5" t="s">
        <v>95</v>
      </c>
      <c r="E6255" s="5" t="s">
        <v>663</v>
      </c>
      <c r="F6255" s="9" t="s">
        <v>664</v>
      </c>
      <c r="G6255" s="9">
        <v>209</v>
      </c>
      <c r="H6255" s="5" t="s">
        <v>21</v>
      </c>
      <c r="I6255" s="5" t="s">
        <v>14934</v>
      </c>
      <c r="J6255" s="12" t="str">
        <f>HYPERLINK("https://www.boe.es/gazeta/dias/1808/02/26/pdfs/GMD-1808-17.pdf#page=11","Abrir facsímil")</f>
        <v>Abrir facsímil</v>
      </c>
      <c r="K6255" s="15" t="s">
        <v>23</v>
      </c>
    </row>
    <row r="6256" spans="1:11" ht="42" customHeight="1">
      <c r="A6256" s="4" t="s">
        <v>14935</v>
      </c>
      <c r="B6256" s="5" t="s">
        <v>14936</v>
      </c>
      <c r="C6256" s="5" t="s">
        <v>389</v>
      </c>
      <c r="D6256" s="5" t="s">
        <v>390</v>
      </c>
      <c r="E6256" s="5" t="s">
        <v>269</v>
      </c>
      <c r="F6256" s="9" t="s">
        <v>270</v>
      </c>
      <c r="G6256" s="9">
        <v>70</v>
      </c>
      <c r="H6256" s="5" t="s">
        <v>21</v>
      </c>
      <c r="I6256" s="5" t="s">
        <v>14937</v>
      </c>
      <c r="J6256" s="12" t="str">
        <f>HYPERLINK("https://www.boe.es/gazeta/dias/1808/01/19/pdfs/GMD-1808-6.pdf#page=10","Abrir facsímil")</f>
        <v>Abrir facsímil</v>
      </c>
      <c r="K6256" s="15" t="s">
        <v>23</v>
      </c>
    </row>
    <row r="6257" spans="1:11" ht="42" customHeight="1">
      <c r="A6257" s="4" t="s">
        <v>14938</v>
      </c>
      <c r="B6257" s="5" t="s">
        <v>14939</v>
      </c>
      <c r="C6257" s="5" t="s">
        <v>389</v>
      </c>
      <c r="D6257" s="5" t="s">
        <v>390</v>
      </c>
      <c r="E6257" s="5" t="s">
        <v>991</v>
      </c>
      <c r="F6257" s="9" t="s">
        <v>992</v>
      </c>
      <c r="G6257" s="9">
        <v>219</v>
      </c>
      <c r="H6257" s="5" t="s">
        <v>21</v>
      </c>
      <c r="I6257" s="5" t="s">
        <v>14940</v>
      </c>
      <c r="J6257" s="12" t="str">
        <f>HYPERLINK("https://www.boe.es/gazeta/dias/1808/03/01/pdfs/GMD-1808-18.pdf#page=9","Abrir facsímil")</f>
        <v>Abrir facsímil</v>
      </c>
      <c r="K6257" s="15" t="s">
        <v>23</v>
      </c>
    </row>
    <row r="6258" spans="1:11" ht="42" customHeight="1">
      <c r="A6258" s="4" t="s">
        <v>14935</v>
      </c>
      <c r="B6258" s="5" t="s">
        <v>14936</v>
      </c>
      <c r="C6258" s="5" t="s">
        <v>94</v>
      </c>
      <c r="D6258" s="5" t="s">
        <v>95</v>
      </c>
      <c r="E6258" s="5" t="s">
        <v>2281</v>
      </c>
      <c r="F6258" s="9" t="s">
        <v>2282</v>
      </c>
      <c r="G6258" s="9">
        <v>423</v>
      </c>
      <c r="H6258" s="5" t="s">
        <v>21</v>
      </c>
      <c r="I6258" s="5" t="s">
        <v>14941</v>
      </c>
      <c r="J6258" s="12" t="str">
        <f>HYPERLINK("https://www.boe.es/gazeta/dias/1808/04/29/pdfs/GMD-1808-42.pdf#page=7","Abrir facsímil")</f>
        <v>Abrir facsímil</v>
      </c>
      <c r="K6258" s="15" t="s">
        <v>23</v>
      </c>
    </row>
    <row r="6259" spans="1:11" ht="42" customHeight="1">
      <c r="A6259" s="4" t="s">
        <v>14935</v>
      </c>
      <c r="B6259" s="5" t="s">
        <v>14936</v>
      </c>
      <c r="C6259" s="5" t="s">
        <v>389</v>
      </c>
      <c r="D6259" s="5" t="s">
        <v>390</v>
      </c>
      <c r="E6259" s="5" t="s">
        <v>3485</v>
      </c>
      <c r="F6259" s="9" t="s">
        <v>3486</v>
      </c>
      <c r="G6259" s="9">
        <v>702</v>
      </c>
      <c r="H6259" s="5" t="s">
        <v>21</v>
      </c>
      <c r="I6259" s="5" t="s">
        <v>14942</v>
      </c>
      <c r="J6259" s="12" t="str">
        <f>HYPERLINK("https://www.boe.es/gazeta/dias/1808/07/01/pdfs/GMD-1808-73.pdf#page=8","Abrir facsímil")</f>
        <v>Abrir facsímil</v>
      </c>
      <c r="K6259" s="15" t="s">
        <v>23</v>
      </c>
    </row>
    <row r="6260" spans="1:11" ht="42" customHeight="1">
      <c r="A6260" s="4" t="s">
        <v>14935</v>
      </c>
      <c r="B6260" s="5" t="s">
        <v>14936</v>
      </c>
      <c r="C6260" s="5" t="s">
        <v>17</v>
      </c>
      <c r="D6260" s="5" t="s">
        <v>18</v>
      </c>
      <c r="E6260" s="5" t="s">
        <v>110</v>
      </c>
      <c r="F6260" s="9" t="s">
        <v>111</v>
      </c>
      <c r="G6260" s="9">
        <v>1384</v>
      </c>
      <c r="H6260" s="5" t="s">
        <v>21</v>
      </c>
      <c r="I6260" s="5" t="s">
        <v>14943</v>
      </c>
      <c r="J6260" s="12" t="str">
        <f>HYPERLINK("https://www.boe.es/gazeta/dias/1808/10/28/pdfs/GMD-1808-138.pdf#page=10","Abrir facsímil")</f>
        <v>Abrir facsímil</v>
      </c>
      <c r="K6260" s="15" t="s">
        <v>23</v>
      </c>
    </row>
    <row r="6261" spans="1:11" ht="42" customHeight="1">
      <c r="A6261" s="4" t="s">
        <v>14944</v>
      </c>
      <c r="B6261" s="5" t="s">
        <v>14945</v>
      </c>
      <c r="C6261" s="5" t="s">
        <v>33</v>
      </c>
      <c r="D6261" s="5" t="s">
        <v>34</v>
      </c>
      <c r="E6261" s="5" t="s">
        <v>68</v>
      </c>
      <c r="F6261" s="9" t="s">
        <v>309</v>
      </c>
      <c r="G6261" s="9" t="s">
        <v>199</v>
      </c>
      <c r="H6261" s="5" t="s">
        <v>21</v>
      </c>
      <c r="I6261" s="5" t="s">
        <v>14946</v>
      </c>
      <c r="J6261" s="12" t="str">
        <f>HYPERLINK("https://www.boe.es/gazeta/dias/1808/10/21/pdfs/GMD-D-1808-136.pdf#page=2","Abrir facsímil")</f>
        <v>Abrir facsímil</v>
      </c>
      <c r="K6261" s="15" t="s">
        <v>23</v>
      </c>
    </row>
    <row r="6262" spans="1:11" ht="42" customHeight="1">
      <c r="A6262" s="4" t="s">
        <v>14944</v>
      </c>
      <c r="B6262" s="5" t="s">
        <v>14945</v>
      </c>
      <c r="C6262" s="5" t="s">
        <v>17</v>
      </c>
      <c r="D6262" s="5" t="s">
        <v>18</v>
      </c>
      <c r="E6262" s="5" t="s">
        <v>110</v>
      </c>
      <c r="F6262" s="9" t="s">
        <v>111</v>
      </c>
      <c r="G6262" s="9">
        <v>1384</v>
      </c>
      <c r="H6262" s="5" t="s">
        <v>21</v>
      </c>
      <c r="I6262" s="5" t="s">
        <v>14947</v>
      </c>
      <c r="J6262" s="12" t="str">
        <f>HYPERLINK("https://www.boe.es/gazeta/dias/1808/10/28/pdfs/GMD-1808-138.pdf#page=10","Abrir facsímil")</f>
        <v>Abrir facsímil</v>
      </c>
      <c r="K6262" s="15" t="s">
        <v>23</v>
      </c>
    </row>
    <row r="6263" spans="1:11" ht="42" customHeight="1">
      <c r="A6263" s="4" t="s">
        <v>14948</v>
      </c>
      <c r="B6263" s="5" t="s">
        <v>14949</v>
      </c>
      <c r="C6263" s="5" t="s">
        <v>17</v>
      </c>
      <c r="D6263" s="5" t="s">
        <v>18</v>
      </c>
      <c r="E6263" s="5" t="s">
        <v>522</v>
      </c>
      <c r="F6263" s="9" t="s">
        <v>523</v>
      </c>
      <c r="G6263" s="9">
        <v>983</v>
      </c>
      <c r="H6263" s="5" t="s">
        <v>21</v>
      </c>
      <c r="I6263" s="5" t="s">
        <v>14950</v>
      </c>
      <c r="J6263" s="12" t="str">
        <f>HYPERLINK("https://www.boe.es/gazeta/dias/1808/08/07/pdfs/GMD-1808-110.pdf#page=5","Abrir facsímil")</f>
        <v>Abrir facsímil</v>
      </c>
      <c r="K6263" s="15" t="s">
        <v>23</v>
      </c>
    </row>
    <row r="6264" spans="1:11" ht="42" customHeight="1">
      <c r="A6264" s="4" t="s">
        <v>14951</v>
      </c>
      <c r="B6264" s="5" t="s">
        <v>14951</v>
      </c>
      <c r="C6264" s="5" t="s">
        <v>17</v>
      </c>
      <c r="D6264" s="5" t="s">
        <v>18</v>
      </c>
      <c r="E6264" s="5" t="s">
        <v>51</v>
      </c>
      <c r="F6264" s="9" t="s">
        <v>52</v>
      </c>
      <c r="G6264" s="9">
        <v>990</v>
      </c>
      <c r="H6264" s="5" t="s">
        <v>21</v>
      </c>
      <c r="I6264" s="5" t="s">
        <v>14952</v>
      </c>
      <c r="J6264" s="12" t="str">
        <f>HYPERLINK("https://www.boe.es/gazeta/dias/1808/08/09/pdfs/GMD-1808-111.pdf#page=6","Abrir facsímil")</f>
        <v>Abrir facsímil</v>
      </c>
      <c r="K6264" s="15" t="s">
        <v>23</v>
      </c>
    </row>
    <row r="6265" spans="1:11" ht="42" customHeight="1">
      <c r="A6265" s="4" t="s">
        <v>14951</v>
      </c>
      <c r="B6265" s="5" t="s">
        <v>14951</v>
      </c>
      <c r="C6265" s="5" t="s">
        <v>41</v>
      </c>
      <c r="D6265" s="5" t="s">
        <v>42</v>
      </c>
      <c r="E6265" s="5" t="s">
        <v>427</v>
      </c>
      <c r="F6265" s="9" t="s">
        <v>1802</v>
      </c>
      <c r="G6265" s="9">
        <v>1518</v>
      </c>
      <c r="H6265" s="5" t="s">
        <v>21</v>
      </c>
      <c r="I6265" s="5" t="s">
        <v>14953</v>
      </c>
      <c r="J6265" s="12" t="str">
        <f>HYPERLINK("https://www.boe.es/gazeta/dias/1808/11/22/pdfs/GMD-1808-146.pdf#page=4","Abrir facsímil")</f>
        <v>Abrir facsímil</v>
      </c>
      <c r="K6265" s="15" t="s">
        <v>23</v>
      </c>
    </row>
    <row r="6266" spans="1:11" ht="42" customHeight="1">
      <c r="A6266" s="4" t="s">
        <v>14954</v>
      </c>
      <c r="B6266" s="5" t="s">
        <v>14955</v>
      </c>
      <c r="C6266" s="5" t="s">
        <v>33</v>
      </c>
      <c r="D6266" s="5" t="s">
        <v>34</v>
      </c>
      <c r="E6266" s="5" t="s">
        <v>35</v>
      </c>
      <c r="F6266" s="9" t="s">
        <v>36</v>
      </c>
      <c r="G6266" s="9" t="s">
        <v>273</v>
      </c>
      <c r="H6266" s="5" t="s">
        <v>21</v>
      </c>
      <c r="I6266" s="5" t="s">
        <v>14956</v>
      </c>
      <c r="J6266" s="12" t="str">
        <f>HYPERLINK("https://www.boe.es/gazeta/dias/1808/04/22/pdfs/GMD-C-1808-38.pdf#page=12","Abrir facsímil")</f>
        <v>Abrir facsímil</v>
      </c>
      <c r="K6266" s="15" t="s">
        <v>23</v>
      </c>
    </row>
    <row r="6267" spans="1:11" ht="42" customHeight="1">
      <c r="A6267" s="4" t="s">
        <v>14954</v>
      </c>
      <c r="B6267" s="5" t="s">
        <v>14955</v>
      </c>
      <c r="C6267" s="5" t="s">
        <v>33</v>
      </c>
      <c r="D6267" s="5" t="s">
        <v>34</v>
      </c>
      <c r="E6267" s="5" t="s">
        <v>35</v>
      </c>
      <c r="F6267" s="9" t="s">
        <v>36</v>
      </c>
      <c r="G6267" s="9" t="s">
        <v>324</v>
      </c>
      <c r="H6267" s="5" t="s">
        <v>21</v>
      </c>
      <c r="I6267" s="5" t="s">
        <v>14957</v>
      </c>
      <c r="J6267" s="12" t="str">
        <f>HYPERLINK("https://www.boe.es/gazeta/dias/1808/04/22/pdfs/GMD-C-1808-38.pdf#page=24","Abrir facsímil")</f>
        <v>Abrir facsímil</v>
      </c>
      <c r="K6267" s="15" t="s">
        <v>23</v>
      </c>
    </row>
    <row r="6268" spans="1:11" ht="42" customHeight="1">
      <c r="A6268" s="4" t="s">
        <v>14958</v>
      </c>
      <c r="B6268" s="5" t="s">
        <v>14959</v>
      </c>
      <c r="C6268" s="5" t="s">
        <v>17</v>
      </c>
      <c r="D6268" s="5" t="s">
        <v>18</v>
      </c>
      <c r="E6268" s="5" t="s">
        <v>130</v>
      </c>
      <c r="F6268" s="9" t="s">
        <v>131</v>
      </c>
      <c r="G6268" s="9">
        <v>1603</v>
      </c>
      <c r="H6268" s="5" t="s">
        <v>21</v>
      </c>
      <c r="I6268" s="5" t="s">
        <v>14960</v>
      </c>
      <c r="J6268" s="12" t="str">
        <f>HYPERLINK("https://www.boe.es/gazeta/dias/1808/12/15/pdfs/GMD-1808-155.pdf#page=7","Abrir facsímil")</f>
        <v>Abrir facsímil</v>
      </c>
      <c r="K6268" s="15" t="s">
        <v>23</v>
      </c>
    </row>
    <row r="6269" spans="1:11" ht="42" customHeight="1">
      <c r="A6269" s="4" t="s">
        <v>14961</v>
      </c>
      <c r="B6269" s="5" t="s">
        <v>14962</v>
      </c>
      <c r="C6269" s="5" t="s">
        <v>33</v>
      </c>
      <c r="D6269" s="5" t="s">
        <v>34</v>
      </c>
      <c r="E6269" s="5" t="s">
        <v>363</v>
      </c>
      <c r="F6269" s="9" t="s">
        <v>364</v>
      </c>
      <c r="G6269" s="9" t="s">
        <v>75</v>
      </c>
      <c r="H6269" s="5" t="s">
        <v>21</v>
      </c>
      <c r="I6269" s="5" t="s">
        <v>14963</v>
      </c>
      <c r="J6269" s="12" t="str">
        <f>HYPERLINK("https://www.boe.es/gazeta/dias/1808/09/20/pdfs/GMD-C-1808-126.pdf#page=4","Abrir facsímil")</f>
        <v>Abrir facsímil</v>
      </c>
      <c r="K6269" s="15" t="s">
        <v>23</v>
      </c>
    </row>
    <row r="6270" spans="1:11" ht="42" customHeight="1">
      <c r="A6270" s="4" t="s">
        <v>14964</v>
      </c>
      <c r="B6270" s="5" t="s">
        <v>14965</v>
      </c>
      <c r="C6270" s="5" t="s">
        <v>33</v>
      </c>
      <c r="D6270" s="5" t="s">
        <v>34</v>
      </c>
      <c r="E6270" s="5" t="s">
        <v>461</v>
      </c>
      <c r="F6270" s="9" t="s">
        <v>462</v>
      </c>
      <c r="G6270" s="9" t="s">
        <v>106</v>
      </c>
      <c r="H6270" s="5" t="s">
        <v>21</v>
      </c>
      <c r="I6270" s="5" t="s">
        <v>14966</v>
      </c>
      <c r="J6270" s="12" t="str">
        <f>HYPERLINK("https://www.boe.es/gazeta/dias/1808/11/08/pdfs/GMD-D-1808-142.pdf#page=3","Abrir facsímil")</f>
        <v>Abrir facsímil</v>
      </c>
      <c r="K6270" s="15" t="s">
        <v>23</v>
      </c>
    </row>
    <row r="6271" spans="1:11" ht="42" customHeight="1">
      <c r="A6271" s="4" t="s">
        <v>14967</v>
      </c>
      <c r="B6271" s="5" t="s">
        <v>14968</v>
      </c>
      <c r="C6271" s="5" t="s">
        <v>101</v>
      </c>
      <c r="D6271" s="5" t="s">
        <v>102</v>
      </c>
      <c r="E6271" s="5" t="s">
        <v>991</v>
      </c>
      <c r="F6271" s="9" t="s">
        <v>992</v>
      </c>
      <c r="G6271" s="9">
        <v>213</v>
      </c>
      <c r="H6271" s="5" t="s">
        <v>21</v>
      </c>
      <c r="I6271" s="5" t="s">
        <v>14969</v>
      </c>
      <c r="J6271" s="12" t="str">
        <f>HYPERLINK("https://www.boe.es/gazeta/dias/1808/03/01/pdfs/GMD-1808-18.pdf#page=3","Abrir facsímil")</f>
        <v>Abrir facsímil</v>
      </c>
      <c r="K6271" s="15" t="s">
        <v>23</v>
      </c>
    </row>
    <row r="6272" spans="1:11" ht="42" customHeight="1">
      <c r="A6272" s="4" t="s">
        <v>14970</v>
      </c>
      <c r="B6272" s="5" t="s">
        <v>14971</v>
      </c>
      <c r="C6272" s="5" t="s">
        <v>94</v>
      </c>
      <c r="D6272" s="5" t="s">
        <v>95</v>
      </c>
      <c r="E6272" s="5" t="s">
        <v>238</v>
      </c>
      <c r="F6272" s="9" t="s">
        <v>239</v>
      </c>
      <c r="G6272" s="9">
        <v>35</v>
      </c>
      <c r="H6272" s="5" t="s">
        <v>21</v>
      </c>
      <c r="I6272" s="5" t="s">
        <v>14972</v>
      </c>
      <c r="J6272" s="12" t="str">
        <f>HYPERLINK("https://www.boe.es/gazeta/dias/1808/01/08/pdfs/GMD-1808-3.pdf#page=11","Abrir facsímil")</f>
        <v>Abrir facsímil</v>
      </c>
      <c r="K6272" s="15" t="s">
        <v>23</v>
      </c>
    </row>
    <row r="6273" spans="1:11" ht="42" customHeight="1">
      <c r="A6273" s="4" t="s">
        <v>14973</v>
      </c>
      <c r="B6273" s="5" t="s">
        <v>14974</v>
      </c>
      <c r="C6273" s="5" t="s">
        <v>17</v>
      </c>
      <c r="D6273" s="5" t="s">
        <v>18</v>
      </c>
      <c r="E6273" s="5" t="s">
        <v>28</v>
      </c>
      <c r="F6273" s="9" t="s">
        <v>29</v>
      </c>
      <c r="G6273" s="9">
        <v>1420</v>
      </c>
      <c r="H6273" s="5" t="s">
        <v>21</v>
      </c>
      <c r="I6273" s="5" t="s">
        <v>14975</v>
      </c>
      <c r="J6273" s="12" t="str">
        <f>HYPERLINK("https://www.boe.es/gazeta/dias/1808/11/04/pdfs/GMD-1808-141.pdf#page=2","Abrir facsímil")</f>
        <v>Abrir facsímil</v>
      </c>
      <c r="K6273" s="15" t="s">
        <v>23</v>
      </c>
    </row>
    <row r="6274" spans="1:11" ht="42" customHeight="1">
      <c r="A6274" s="4" t="s">
        <v>14976</v>
      </c>
      <c r="B6274" s="5" t="s">
        <v>14977</v>
      </c>
      <c r="C6274" s="5" t="s">
        <v>33</v>
      </c>
      <c r="D6274" s="5" t="s">
        <v>34</v>
      </c>
      <c r="E6274" s="5" t="s">
        <v>35</v>
      </c>
      <c r="F6274" s="9" t="s">
        <v>36</v>
      </c>
      <c r="G6274" s="9" t="s">
        <v>837</v>
      </c>
      <c r="H6274" s="5" t="s">
        <v>21</v>
      </c>
      <c r="I6274" s="5" t="s">
        <v>14978</v>
      </c>
      <c r="J6274" s="12" t="str">
        <f>HYPERLINK("https://www.boe.es/gazeta/dias/1808/04/22/pdfs/GMD-C-1808-38.pdf#page=10","Abrir facsímil")</f>
        <v>Abrir facsímil</v>
      </c>
      <c r="K6274" s="15" t="s">
        <v>23</v>
      </c>
    </row>
    <row r="6275" spans="1:11" ht="42" customHeight="1">
      <c r="A6275" s="4" t="s">
        <v>14976</v>
      </c>
      <c r="B6275" s="5" t="s">
        <v>14977</v>
      </c>
      <c r="C6275" s="5" t="s">
        <v>33</v>
      </c>
      <c r="D6275" s="5" t="s">
        <v>34</v>
      </c>
      <c r="E6275" s="5" t="s">
        <v>35</v>
      </c>
      <c r="F6275" s="9" t="s">
        <v>36</v>
      </c>
      <c r="G6275" s="9" t="s">
        <v>1128</v>
      </c>
      <c r="H6275" s="5" t="s">
        <v>21</v>
      </c>
      <c r="I6275" s="5" t="s">
        <v>14979</v>
      </c>
      <c r="J6275" s="12" t="str">
        <f>HYPERLINK("https://www.boe.es/gazeta/dias/1808/04/22/pdfs/GMD-C-1808-38.pdf#page=11","Abrir facsímil")</f>
        <v>Abrir facsímil</v>
      </c>
      <c r="K6275" s="15" t="s">
        <v>23</v>
      </c>
    </row>
    <row r="6276" spans="1:11" ht="42" customHeight="1">
      <c r="A6276" s="4" t="s">
        <v>14980</v>
      </c>
      <c r="B6276" s="5" t="s">
        <v>14980</v>
      </c>
      <c r="C6276" s="5" t="s">
        <v>33</v>
      </c>
      <c r="D6276" s="5" t="s">
        <v>34</v>
      </c>
      <c r="E6276" s="5" t="s">
        <v>68</v>
      </c>
      <c r="F6276" s="9" t="s">
        <v>849</v>
      </c>
      <c r="G6276" s="9">
        <v>1344</v>
      </c>
      <c r="H6276" s="5" t="s">
        <v>21</v>
      </c>
      <c r="I6276" s="5" t="s">
        <v>14981</v>
      </c>
      <c r="J6276" s="12" t="str">
        <f>HYPERLINK("https://www.boe.es/gazeta/dias/1808/10/21/pdfs/GMD-C-1808-136.pdf#page=4","Abrir facsímil")</f>
        <v>Abrir facsímil</v>
      </c>
      <c r="K6276" s="15" t="s">
        <v>23</v>
      </c>
    </row>
    <row r="6277" spans="1:11" ht="42" customHeight="1">
      <c r="A6277" s="4" t="s">
        <v>14982</v>
      </c>
      <c r="B6277" s="5" t="s">
        <v>14982</v>
      </c>
      <c r="C6277" s="5" t="s">
        <v>33</v>
      </c>
      <c r="D6277" s="5" t="s">
        <v>34</v>
      </c>
      <c r="E6277" s="5" t="s">
        <v>35</v>
      </c>
      <c r="F6277" s="9" t="s">
        <v>36</v>
      </c>
      <c r="G6277" s="9" t="s">
        <v>450</v>
      </c>
      <c r="H6277" s="5" t="s">
        <v>21</v>
      </c>
      <c r="I6277" s="5" t="s">
        <v>14983</v>
      </c>
      <c r="J6277" s="12" t="str">
        <f>HYPERLINK("https://www.boe.es/gazeta/dias/1808/04/22/pdfs/GMD-C-1808-38.pdf#page=45","Abrir facsímil")</f>
        <v>Abrir facsímil</v>
      </c>
      <c r="K6277" s="15" t="s">
        <v>23</v>
      </c>
    </row>
    <row r="6278" spans="1:11" ht="42" customHeight="1">
      <c r="A6278" s="4" t="s">
        <v>14984</v>
      </c>
      <c r="B6278" s="5" t="s">
        <v>14984</v>
      </c>
      <c r="C6278" s="5" t="s">
        <v>33</v>
      </c>
      <c r="D6278" s="5" t="s">
        <v>34</v>
      </c>
      <c r="E6278" s="5" t="s">
        <v>28</v>
      </c>
      <c r="F6278" s="9" t="s">
        <v>71</v>
      </c>
      <c r="G6278" s="9">
        <v>1436</v>
      </c>
      <c r="H6278" s="5" t="s">
        <v>21</v>
      </c>
      <c r="I6278" s="5" t="s">
        <v>14985</v>
      </c>
      <c r="J6278" s="12" t="str">
        <f>HYPERLINK("https://www.boe.es/gazeta/dias/1808/11/04/pdfs/GMD-C-1808-141.pdf#page=6","Abrir facsímil")</f>
        <v>Abrir facsímil</v>
      </c>
      <c r="K6278" s="15" t="s">
        <v>23</v>
      </c>
    </row>
    <row r="6279" spans="1:11" ht="42" customHeight="1">
      <c r="A6279" s="4" t="s">
        <v>14986</v>
      </c>
      <c r="B6279" s="5" t="s">
        <v>14987</v>
      </c>
      <c r="C6279" s="5" t="s">
        <v>389</v>
      </c>
      <c r="D6279" s="5" t="s">
        <v>390</v>
      </c>
      <c r="E6279" s="5" t="s">
        <v>54</v>
      </c>
      <c r="F6279" s="9" t="s">
        <v>55</v>
      </c>
      <c r="G6279" s="9">
        <v>1090</v>
      </c>
      <c r="H6279" s="5" t="s">
        <v>21</v>
      </c>
      <c r="I6279" s="5" t="s">
        <v>14988</v>
      </c>
      <c r="J6279" s="12" t="str">
        <f>HYPERLINK("https://www.boe.es/gazeta/dias/1808/08/26/pdfs/GMD-1808-117.pdf#page=12","Abrir facsímil")</f>
        <v>Abrir facsímil</v>
      </c>
      <c r="K6279" s="15" t="s">
        <v>23</v>
      </c>
    </row>
    <row r="6280" spans="1:11" ht="42" customHeight="1">
      <c r="A6280" s="4" t="s">
        <v>14986</v>
      </c>
      <c r="B6280" s="5" t="s">
        <v>14987</v>
      </c>
      <c r="C6280" s="5" t="s">
        <v>389</v>
      </c>
      <c r="D6280" s="5" t="s">
        <v>390</v>
      </c>
      <c r="E6280" s="5" t="s">
        <v>166</v>
      </c>
      <c r="F6280" s="9" t="s">
        <v>356</v>
      </c>
      <c r="G6280" s="9">
        <v>1510</v>
      </c>
      <c r="H6280" s="5" t="s">
        <v>21</v>
      </c>
      <c r="I6280" s="5" t="s">
        <v>14989</v>
      </c>
      <c r="J6280" s="12" t="str">
        <f>HYPERLINK("https://www.boe.es/gazeta/dias/1808/11/18/pdfs/GMD-1808-145.pdf#page=8","Abrir facsímil")</f>
        <v>Abrir facsímil</v>
      </c>
      <c r="K6280" s="15" t="s">
        <v>23</v>
      </c>
    </row>
    <row r="6281" spans="1:11" ht="42" customHeight="1">
      <c r="A6281" s="4" t="s">
        <v>14990</v>
      </c>
      <c r="B6281" s="5" t="s">
        <v>14991</v>
      </c>
      <c r="C6281" s="5" t="s">
        <v>33</v>
      </c>
      <c r="D6281" s="5" t="s">
        <v>34</v>
      </c>
      <c r="E6281" s="5" t="s">
        <v>456</v>
      </c>
      <c r="F6281" s="9" t="s">
        <v>748</v>
      </c>
      <c r="G6281" s="9" t="s">
        <v>75</v>
      </c>
      <c r="H6281" s="5" t="s">
        <v>21</v>
      </c>
      <c r="I6281" s="5" t="s">
        <v>14992</v>
      </c>
      <c r="J6281" s="12" t="str">
        <f>HYPERLINK("https://www.boe.es/gazeta/dias/1808/10/14/pdfs/GMD-C-1808-134.pdf#page=4","Abrir facsímil")</f>
        <v>Abrir facsímil</v>
      </c>
      <c r="K6281" s="15" t="s">
        <v>23</v>
      </c>
    </row>
    <row r="6282" spans="1:11" ht="42" customHeight="1">
      <c r="A6282" s="4" t="s">
        <v>14993</v>
      </c>
      <c r="B6282" s="5" t="s">
        <v>14994</v>
      </c>
      <c r="C6282" s="5" t="s">
        <v>17</v>
      </c>
      <c r="D6282" s="5" t="s">
        <v>18</v>
      </c>
      <c r="E6282" s="5" t="s">
        <v>719</v>
      </c>
      <c r="F6282" s="9" t="s">
        <v>720</v>
      </c>
      <c r="G6282" s="9">
        <v>1609</v>
      </c>
      <c r="H6282" s="5" t="s">
        <v>21</v>
      </c>
      <c r="I6282" s="5" t="s">
        <v>14995</v>
      </c>
      <c r="J6282" s="12" t="str">
        <f>HYPERLINK("https://www.boe.es/gazeta/dias/1808/12/16/pdfs/GMD-1808-156.pdf#page=1","Abrir facsímil")</f>
        <v>Abrir facsímil</v>
      </c>
      <c r="K6282" s="15" t="s">
        <v>23</v>
      </c>
    </row>
    <row r="6283" spans="1:11" ht="42" customHeight="1">
      <c r="A6283" s="4" t="s">
        <v>14996</v>
      </c>
      <c r="B6283" s="5" t="s">
        <v>14997</v>
      </c>
      <c r="C6283" s="5" t="s">
        <v>33</v>
      </c>
      <c r="D6283" s="5" t="s">
        <v>34</v>
      </c>
      <c r="E6283" s="5" t="s">
        <v>65</v>
      </c>
      <c r="F6283" s="9" t="s">
        <v>105</v>
      </c>
      <c r="G6283" s="9" t="s">
        <v>199</v>
      </c>
      <c r="H6283" s="5" t="s">
        <v>21</v>
      </c>
      <c r="I6283" s="5" t="s">
        <v>14998</v>
      </c>
      <c r="J6283" s="12" t="str">
        <f>HYPERLINK("https://www.boe.es/gazeta/dias/1808/10/18/pdfs/GMD-D-1808-135.pdf#page=2","Abrir facsímil")</f>
        <v>Abrir facsímil</v>
      </c>
      <c r="K6283" s="15" t="s">
        <v>23</v>
      </c>
    </row>
    <row r="6284" spans="1:11" ht="42" customHeight="1">
      <c r="A6284" s="4" t="s">
        <v>14999</v>
      </c>
      <c r="B6284" s="5" t="s">
        <v>14999</v>
      </c>
      <c r="C6284" s="5" t="s">
        <v>101</v>
      </c>
      <c r="D6284" s="5" t="s">
        <v>102</v>
      </c>
      <c r="E6284" s="5" t="s">
        <v>130</v>
      </c>
      <c r="F6284" s="9" t="s">
        <v>131</v>
      </c>
      <c r="G6284" s="9">
        <v>1597</v>
      </c>
      <c r="H6284" s="5" t="s">
        <v>21</v>
      </c>
      <c r="I6284" s="5" t="s">
        <v>15000</v>
      </c>
      <c r="J6284" s="12" t="str">
        <f>HYPERLINK("https://www.boe.es/gazeta/dias/1808/12/15/pdfs/GMD-1808-155.pdf#page=1","Abrir facsímil")</f>
        <v>Abrir facsímil</v>
      </c>
      <c r="K6284" s="15" t="s">
        <v>23</v>
      </c>
    </row>
    <row r="6285" spans="1:11" ht="42" customHeight="1">
      <c r="A6285" s="4" t="s">
        <v>15001</v>
      </c>
      <c r="B6285" s="5" t="s">
        <v>15001</v>
      </c>
      <c r="C6285" s="5" t="s">
        <v>17</v>
      </c>
      <c r="D6285" s="5" t="s">
        <v>18</v>
      </c>
      <c r="E6285" s="5" t="s">
        <v>110</v>
      </c>
      <c r="F6285" s="9" t="s">
        <v>111</v>
      </c>
      <c r="G6285" s="9">
        <v>1384</v>
      </c>
      <c r="H6285" s="5" t="s">
        <v>21</v>
      </c>
      <c r="I6285" s="5" t="s">
        <v>15002</v>
      </c>
      <c r="J6285" s="12" t="str">
        <f>HYPERLINK("https://www.boe.es/gazeta/dias/1808/10/28/pdfs/GMD-1808-138.pdf#page=10","Abrir facsímil")</f>
        <v>Abrir facsímil</v>
      </c>
      <c r="K6285" s="15" t="s">
        <v>23</v>
      </c>
    </row>
    <row r="6286" spans="1:11" ht="42" customHeight="1">
      <c r="A6286" s="4" t="s">
        <v>15003</v>
      </c>
      <c r="B6286" s="5" t="s">
        <v>15003</v>
      </c>
      <c r="C6286" s="5" t="s">
        <v>33</v>
      </c>
      <c r="D6286" s="5" t="s">
        <v>34</v>
      </c>
      <c r="E6286" s="5" t="s">
        <v>28</v>
      </c>
      <c r="F6286" s="9" t="s">
        <v>71</v>
      </c>
      <c r="G6286" s="9">
        <v>1432</v>
      </c>
      <c r="H6286" s="5" t="s">
        <v>21</v>
      </c>
      <c r="I6286" s="5" t="s">
        <v>15004</v>
      </c>
      <c r="J6286" s="12" t="str">
        <f>HYPERLINK("https://www.boe.es/gazeta/dias/1808/11/04/pdfs/GMD-C-1808-141.pdf#page=2","Abrir facsímil")</f>
        <v>Abrir facsímil</v>
      </c>
      <c r="K6286" s="15" t="s">
        <v>23</v>
      </c>
    </row>
    <row r="6287" spans="1:11" ht="42" customHeight="1">
      <c r="A6287" s="4" t="s">
        <v>15005</v>
      </c>
      <c r="B6287" s="5" t="s">
        <v>15005</v>
      </c>
      <c r="C6287" s="5" t="s">
        <v>33</v>
      </c>
      <c r="D6287" s="5" t="s">
        <v>34</v>
      </c>
      <c r="E6287" s="5" t="s">
        <v>110</v>
      </c>
      <c r="F6287" s="9" t="s">
        <v>828</v>
      </c>
      <c r="G6287" s="9" t="s">
        <v>117</v>
      </c>
      <c r="H6287" s="5" t="s">
        <v>21</v>
      </c>
      <c r="I6287" s="5" t="s">
        <v>15006</v>
      </c>
      <c r="J6287" s="12" t="str">
        <f>HYPERLINK("https://www.boe.es/gazeta/dias/1808/10/28/pdfs/GMD-D-1808-138.pdf#page=1","Abrir facsímil")</f>
        <v>Abrir facsímil</v>
      </c>
      <c r="K6287" s="15" t="s">
        <v>23</v>
      </c>
    </row>
    <row r="6288" spans="1:11" ht="42" customHeight="1">
      <c r="A6288" s="4" t="s">
        <v>15007</v>
      </c>
      <c r="B6288" s="5" t="s">
        <v>15007</v>
      </c>
      <c r="C6288" s="5" t="s">
        <v>17</v>
      </c>
      <c r="D6288" s="5" t="s">
        <v>18</v>
      </c>
      <c r="E6288" s="5" t="s">
        <v>61</v>
      </c>
      <c r="F6288" s="9" t="s">
        <v>62</v>
      </c>
      <c r="G6288" s="9">
        <v>1285</v>
      </c>
      <c r="H6288" s="5" t="s">
        <v>21</v>
      </c>
      <c r="I6288" s="5" t="s">
        <v>15008</v>
      </c>
      <c r="J6288" s="12" t="str">
        <f>HYPERLINK("https://www.boe.es/gazeta/dias/1808/10/11/pdfs/GMD-1808-133.pdf#page=13","Abrir facsímil")</f>
        <v>Abrir facsímil</v>
      </c>
      <c r="K6288" s="15" t="s">
        <v>23</v>
      </c>
    </row>
    <row r="6289" spans="1:11" ht="42" customHeight="1">
      <c r="A6289" s="4" t="s">
        <v>15009</v>
      </c>
      <c r="B6289" s="5" t="s">
        <v>15009</v>
      </c>
      <c r="C6289" s="5" t="s">
        <v>17</v>
      </c>
      <c r="D6289" s="5" t="s">
        <v>18</v>
      </c>
      <c r="E6289" s="5" t="s">
        <v>139</v>
      </c>
      <c r="F6289" s="9" t="s">
        <v>140</v>
      </c>
      <c r="G6289" s="9">
        <v>1203</v>
      </c>
      <c r="H6289" s="5" t="s">
        <v>21</v>
      </c>
      <c r="I6289" s="5" t="s">
        <v>15010</v>
      </c>
      <c r="J6289" s="12" t="str">
        <f>HYPERLINK("https://www.boe.es/gazeta/dias/1808/09/23/pdfs/GMD-1808-127.pdf#page=11","Abrir facsímil")</f>
        <v>Abrir facsímil</v>
      </c>
      <c r="K6289" s="15" t="s">
        <v>23</v>
      </c>
    </row>
    <row r="6290" spans="1:11" ht="42" customHeight="1">
      <c r="A6290" s="4" t="s">
        <v>15011</v>
      </c>
      <c r="B6290" s="5" t="s">
        <v>15011</v>
      </c>
      <c r="C6290" s="5" t="s">
        <v>17</v>
      </c>
      <c r="D6290" s="5" t="s">
        <v>18</v>
      </c>
      <c r="E6290" s="5" t="s">
        <v>61</v>
      </c>
      <c r="F6290" s="9" t="s">
        <v>62</v>
      </c>
      <c r="G6290" s="9">
        <v>1285</v>
      </c>
      <c r="H6290" s="5" t="s">
        <v>21</v>
      </c>
      <c r="I6290" s="5" t="s">
        <v>15012</v>
      </c>
      <c r="J6290" s="12" t="str">
        <f>HYPERLINK("https://www.boe.es/gazeta/dias/1808/10/11/pdfs/GMD-1808-133.pdf#page=13","Abrir facsímil")</f>
        <v>Abrir facsímil</v>
      </c>
      <c r="K6290" s="15" t="s">
        <v>23</v>
      </c>
    </row>
    <row r="6291" spans="1:11" ht="42" customHeight="1">
      <c r="A6291" s="4" t="s">
        <v>15013</v>
      </c>
      <c r="B6291" s="5" t="s">
        <v>15014</v>
      </c>
      <c r="C6291" s="5" t="s">
        <v>41</v>
      </c>
      <c r="D6291" s="5" t="s">
        <v>42</v>
      </c>
      <c r="E6291" s="5" t="s">
        <v>1194</v>
      </c>
      <c r="F6291" s="9" t="s">
        <v>1195</v>
      </c>
      <c r="G6291" s="9">
        <v>448</v>
      </c>
      <c r="H6291" s="5" t="s">
        <v>21</v>
      </c>
      <c r="I6291" s="5" t="s">
        <v>15015</v>
      </c>
      <c r="J6291" s="12" t="str">
        <f>HYPERLINK("https://www.boe.es/gazeta/dias/1808/05/10/pdfs/GMD-1808-45.pdf#page=8","Abrir facsímil")</f>
        <v>Abrir facsímil</v>
      </c>
      <c r="K6291" s="15" t="s">
        <v>23</v>
      </c>
    </row>
    <row r="6292" spans="1:11" ht="42" customHeight="1">
      <c r="A6292" s="4" t="s">
        <v>15013</v>
      </c>
      <c r="B6292" s="5" t="s">
        <v>15014</v>
      </c>
      <c r="C6292" s="5" t="s">
        <v>41</v>
      </c>
      <c r="D6292" s="5" t="s">
        <v>42</v>
      </c>
      <c r="E6292" s="5" t="s">
        <v>185</v>
      </c>
      <c r="F6292" s="9" t="s">
        <v>186</v>
      </c>
      <c r="G6292" s="9">
        <v>1105</v>
      </c>
      <c r="H6292" s="5" t="s">
        <v>21</v>
      </c>
      <c r="I6292" s="5" t="s">
        <v>15016</v>
      </c>
      <c r="J6292" s="12" t="str">
        <f>HYPERLINK("https://www.boe.es/gazeta/dias/1808/08/30/pdfs/GMD-1808-118.pdf#page=11","Abrir facsímil")</f>
        <v>Abrir facsímil</v>
      </c>
      <c r="K6292" s="15" t="s">
        <v>23</v>
      </c>
    </row>
    <row r="6293" spans="1:11" ht="42" customHeight="1">
      <c r="A6293" s="4" t="s">
        <v>15017</v>
      </c>
      <c r="B6293" s="5" t="s">
        <v>15018</v>
      </c>
      <c r="C6293" s="5" t="s">
        <v>33</v>
      </c>
      <c r="D6293" s="5" t="s">
        <v>34</v>
      </c>
      <c r="E6293" s="5" t="s">
        <v>197</v>
      </c>
      <c r="F6293" s="9" t="s">
        <v>198</v>
      </c>
      <c r="G6293" s="9" t="s">
        <v>75</v>
      </c>
      <c r="H6293" s="5" t="s">
        <v>21</v>
      </c>
      <c r="I6293" s="5" t="s">
        <v>15019</v>
      </c>
      <c r="J6293" s="12" t="str">
        <f>HYPERLINK("https://www.boe.es/gazeta/dias/1808/11/01/pdfs/GMD-D-1808-140.pdf#page=4","Abrir facsímil")</f>
        <v>Abrir facsímil</v>
      </c>
      <c r="K6293" s="15" t="s">
        <v>23</v>
      </c>
    </row>
    <row r="6294" spans="1:11" ht="42" customHeight="1">
      <c r="A6294" s="4" t="s">
        <v>15017</v>
      </c>
      <c r="B6294" s="5" t="s">
        <v>15018</v>
      </c>
      <c r="C6294" s="5" t="s">
        <v>17</v>
      </c>
      <c r="D6294" s="5" t="s">
        <v>18</v>
      </c>
      <c r="E6294" s="5" t="s">
        <v>130</v>
      </c>
      <c r="F6294" s="9" t="s">
        <v>131</v>
      </c>
      <c r="G6294" s="9">
        <v>1603</v>
      </c>
      <c r="H6294" s="5" t="s">
        <v>21</v>
      </c>
      <c r="I6294" s="5" t="s">
        <v>15020</v>
      </c>
      <c r="J6294" s="12" t="str">
        <f>HYPERLINK("https://www.boe.es/gazeta/dias/1808/12/15/pdfs/GMD-1808-155.pdf#page=7","Abrir facsímil")</f>
        <v>Abrir facsímil</v>
      </c>
      <c r="K6294" s="15" t="s">
        <v>23</v>
      </c>
    </row>
    <row r="6295" spans="1:11" ht="42" customHeight="1">
      <c r="A6295" s="4" t="s">
        <v>15017</v>
      </c>
      <c r="B6295" s="5" t="s">
        <v>15018</v>
      </c>
      <c r="C6295" s="5" t="s">
        <v>17</v>
      </c>
      <c r="D6295" s="5" t="s">
        <v>18</v>
      </c>
      <c r="E6295" s="5" t="s">
        <v>719</v>
      </c>
      <c r="F6295" s="9" t="s">
        <v>720</v>
      </c>
      <c r="G6295" s="9">
        <v>1609</v>
      </c>
      <c r="H6295" s="5" t="s">
        <v>21</v>
      </c>
      <c r="I6295" s="5" t="s">
        <v>15021</v>
      </c>
      <c r="J6295" s="12" t="str">
        <f>HYPERLINK("https://www.boe.es/gazeta/dias/1808/12/16/pdfs/GMD-1808-156.pdf#page=1","Abrir facsímil")</f>
        <v>Abrir facsímil</v>
      </c>
      <c r="K6295" s="15" t="s">
        <v>23</v>
      </c>
    </row>
    <row r="6296" spans="1:11" ht="42" customHeight="1">
      <c r="A6296" s="4" t="s">
        <v>15022</v>
      </c>
      <c r="B6296" s="5" t="s">
        <v>15023</v>
      </c>
      <c r="C6296" s="5" t="s">
        <v>94</v>
      </c>
      <c r="D6296" s="5" t="s">
        <v>95</v>
      </c>
      <c r="E6296" s="5" t="s">
        <v>203</v>
      </c>
      <c r="F6296" s="9" t="s">
        <v>204</v>
      </c>
      <c r="G6296" s="9">
        <v>142</v>
      </c>
      <c r="H6296" s="5" t="s">
        <v>21</v>
      </c>
      <c r="I6296" s="5" t="s">
        <v>15024</v>
      </c>
      <c r="J6296" s="12" t="str">
        <f>HYPERLINK("https://www.boe.es/gazeta/dias/1808/02/09/pdfs/GMD-1808-12.pdf#page=10","Abrir facsímil")</f>
        <v>Abrir facsímil</v>
      </c>
      <c r="K6296" s="15" t="s">
        <v>23</v>
      </c>
    </row>
    <row r="6297" spans="1:11" ht="42" customHeight="1">
      <c r="A6297" s="4" t="s">
        <v>15025</v>
      </c>
      <c r="B6297" s="5" t="s">
        <v>15026</v>
      </c>
      <c r="C6297" s="5" t="s">
        <v>94</v>
      </c>
      <c r="D6297" s="5" t="s">
        <v>95</v>
      </c>
      <c r="E6297" s="5" t="s">
        <v>203</v>
      </c>
      <c r="F6297" s="9" t="s">
        <v>204</v>
      </c>
      <c r="G6297" s="9">
        <v>142</v>
      </c>
      <c r="H6297" s="5" t="s">
        <v>21</v>
      </c>
      <c r="I6297" s="5" t="s">
        <v>15027</v>
      </c>
      <c r="J6297" s="12" t="str">
        <f>HYPERLINK("https://www.boe.es/gazeta/dias/1808/02/09/pdfs/GMD-1808-12.pdf#page=10","Abrir facsímil")</f>
        <v>Abrir facsímil</v>
      </c>
      <c r="K6297" s="15" t="s">
        <v>23</v>
      </c>
    </row>
    <row r="6298" spans="1:11" ht="42" customHeight="1">
      <c r="A6298" s="4" t="s">
        <v>15028</v>
      </c>
      <c r="B6298" s="5" t="s">
        <v>15029</v>
      </c>
      <c r="C6298" s="5" t="s">
        <v>94</v>
      </c>
      <c r="D6298" s="5" t="s">
        <v>95</v>
      </c>
      <c r="E6298" s="5" t="s">
        <v>539</v>
      </c>
      <c r="F6298" s="9" t="s">
        <v>540</v>
      </c>
      <c r="G6298" s="9">
        <v>1114</v>
      </c>
      <c r="H6298" s="5" t="s">
        <v>21</v>
      </c>
      <c r="I6298" s="5" t="s">
        <v>15030</v>
      </c>
      <c r="J6298" s="12" t="str">
        <f>HYPERLINK("https://www.boe.es/gazeta/dias/1808/09/02/pdfs/GMD-1808-119.pdf#page=8","Abrir facsímil")</f>
        <v>Abrir facsímil</v>
      </c>
      <c r="K6298" s="15" t="s">
        <v>23</v>
      </c>
    </row>
    <row r="6299" spans="1:11" ht="42" customHeight="1">
      <c r="A6299" s="4" t="s">
        <v>15031</v>
      </c>
      <c r="B6299" s="5" t="s">
        <v>15032</v>
      </c>
      <c r="C6299" s="5" t="s">
        <v>101</v>
      </c>
      <c r="D6299" s="5" t="s">
        <v>102</v>
      </c>
      <c r="E6299" s="5" t="s">
        <v>1466</v>
      </c>
      <c r="F6299" s="9" t="s">
        <v>1467</v>
      </c>
      <c r="G6299" s="9">
        <v>54</v>
      </c>
      <c r="H6299" s="5" t="s">
        <v>21</v>
      </c>
      <c r="I6299" s="5" t="s">
        <v>15033</v>
      </c>
      <c r="J6299" s="12" t="str">
        <f>HYPERLINK("https://www.boe.es/gazeta/dias/1808/01/15/pdfs/GMD-1808-5.pdf#page=6","Abrir facsímil")</f>
        <v>Abrir facsímil</v>
      </c>
      <c r="K6299" s="15" t="s">
        <v>23</v>
      </c>
    </row>
    <row r="6300" spans="1:11" ht="42" customHeight="1">
      <c r="A6300" s="4" t="s">
        <v>15034</v>
      </c>
      <c r="B6300" s="5" t="s">
        <v>15035</v>
      </c>
      <c r="C6300" s="5" t="s">
        <v>94</v>
      </c>
      <c r="D6300" s="5" t="s">
        <v>95</v>
      </c>
      <c r="E6300" s="5" t="s">
        <v>203</v>
      </c>
      <c r="F6300" s="9" t="s">
        <v>204</v>
      </c>
      <c r="G6300" s="9">
        <v>142</v>
      </c>
      <c r="H6300" s="5" t="s">
        <v>21</v>
      </c>
      <c r="I6300" s="5" t="s">
        <v>15036</v>
      </c>
      <c r="J6300" s="12" t="str">
        <f>HYPERLINK("https://www.boe.es/gazeta/dias/1808/02/09/pdfs/GMD-1808-12.pdf#page=10","Abrir facsímil")</f>
        <v>Abrir facsímil</v>
      </c>
      <c r="K6300" s="15" t="s">
        <v>23</v>
      </c>
    </row>
    <row r="6301" spans="1:11" ht="42" customHeight="1">
      <c r="A6301" s="4" t="s">
        <v>15037</v>
      </c>
      <c r="B6301" s="5" t="s">
        <v>15037</v>
      </c>
      <c r="C6301" s="5" t="s">
        <v>33</v>
      </c>
      <c r="D6301" s="5" t="s">
        <v>34</v>
      </c>
      <c r="E6301" s="5" t="s">
        <v>68</v>
      </c>
      <c r="F6301" s="9" t="s">
        <v>309</v>
      </c>
      <c r="G6301" s="9" t="s">
        <v>75</v>
      </c>
      <c r="H6301" s="5" t="s">
        <v>21</v>
      </c>
      <c r="I6301" s="5" t="s">
        <v>15038</v>
      </c>
      <c r="J6301" s="12" t="str">
        <f>HYPERLINK("https://www.boe.es/gazeta/dias/1808/10/21/pdfs/GMD-D-1808-136.pdf#page=4","Abrir facsímil")</f>
        <v>Abrir facsímil</v>
      </c>
      <c r="K6301" s="15" t="s">
        <v>23</v>
      </c>
    </row>
    <row r="6302" spans="1:11" ht="42" customHeight="1">
      <c r="A6302" s="4" t="s">
        <v>15039</v>
      </c>
      <c r="B6302" s="5" t="s">
        <v>15040</v>
      </c>
      <c r="C6302" s="5" t="s">
        <v>33</v>
      </c>
      <c r="D6302" s="5" t="s">
        <v>34</v>
      </c>
      <c r="E6302" s="5" t="s">
        <v>35</v>
      </c>
      <c r="F6302" s="9" t="s">
        <v>36</v>
      </c>
      <c r="G6302" s="9" t="s">
        <v>313</v>
      </c>
      <c r="H6302" s="5" t="s">
        <v>21</v>
      </c>
      <c r="I6302" s="5" t="s">
        <v>15041</v>
      </c>
      <c r="J6302" s="12" t="str">
        <f>HYPERLINK("https://www.boe.es/gazeta/dias/1808/04/22/pdfs/GMD-C-1808-38.pdf#page=29","Abrir facsímil")</f>
        <v>Abrir facsímil</v>
      </c>
      <c r="K6302" s="15" t="s">
        <v>23</v>
      </c>
    </row>
    <row r="6303" spans="1:11" ht="42" customHeight="1">
      <c r="A6303" s="4" t="s">
        <v>15042</v>
      </c>
      <c r="B6303" s="5" t="s">
        <v>15043</v>
      </c>
      <c r="C6303" s="5" t="s">
        <v>94</v>
      </c>
      <c r="D6303" s="5" t="s">
        <v>95</v>
      </c>
      <c r="E6303" s="5" t="s">
        <v>1671</v>
      </c>
      <c r="F6303" s="9" t="s">
        <v>1672</v>
      </c>
      <c r="G6303" s="9">
        <v>484</v>
      </c>
      <c r="H6303" s="5" t="s">
        <v>21</v>
      </c>
      <c r="I6303" s="5" t="s">
        <v>15044</v>
      </c>
      <c r="J6303" s="12" t="str">
        <f>HYPERLINK("https://www.boe.es/gazeta/dias/1808/05/20/pdfs/GMD-1808-48.pdf#page=12","Abrir facsímil")</f>
        <v>Abrir facsímil</v>
      </c>
      <c r="K6303" s="15" t="s">
        <v>23</v>
      </c>
    </row>
    <row r="6304" spans="1:11" ht="42" customHeight="1">
      <c r="A6304" s="4" t="s">
        <v>15045</v>
      </c>
      <c r="B6304" s="5" t="s">
        <v>15046</v>
      </c>
      <c r="C6304" s="5" t="s">
        <v>33</v>
      </c>
      <c r="D6304" s="5" t="s">
        <v>34</v>
      </c>
      <c r="E6304" s="5" t="s">
        <v>35</v>
      </c>
      <c r="F6304" s="9" t="s">
        <v>36</v>
      </c>
      <c r="G6304" s="9" t="s">
        <v>273</v>
      </c>
      <c r="H6304" s="5" t="s">
        <v>21</v>
      </c>
      <c r="I6304" s="5" t="s">
        <v>15047</v>
      </c>
      <c r="J6304" s="12" t="str">
        <f>HYPERLINK("https://www.boe.es/gazeta/dias/1808/04/22/pdfs/GMD-C-1808-38.pdf#page=12","Abrir facsímil")</f>
        <v>Abrir facsímil</v>
      </c>
      <c r="K6304" s="15" t="s">
        <v>23</v>
      </c>
    </row>
    <row r="6305" spans="1:11" ht="42" customHeight="1">
      <c r="A6305" s="4" t="s">
        <v>15045</v>
      </c>
      <c r="B6305" s="5" t="s">
        <v>15046</v>
      </c>
      <c r="C6305" s="5" t="s">
        <v>33</v>
      </c>
      <c r="D6305" s="5" t="s">
        <v>34</v>
      </c>
      <c r="E6305" s="5" t="s">
        <v>35</v>
      </c>
      <c r="F6305" s="9" t="s">
        <v>36</v>
      </c>
      <c r="G6305" s="9" t="s">
        <v>655</v>
      </c>
      <c r="H6305" s="5" t="s">
        <v>21</v>
      </c>
      <c r="I6305" s="5" t="s">
        <v>15048</v>
      </c>
      <c r="J6305" s="12" t="str">
        <f>HYPERLINK("https://www.boe.es/gazeta/dias/1808/04/22/pdfs/GMD-C-1808-38.pdf#page=43","Abrir facsímil")</f>
        <v>Abrir facsímil</v>
      </c>
      <c r="K6305" s="15" t="s">
        <v>23</v>
      </c>
    </row>
    <row r="6306" spans="1:11" ht="42" customHeight="1">
      <c r="A6306" s="4" t="s">
        <v>15049</v>
      </c>
      <c r="B6306" s="5" t="s">
        <v>15050</v>
      </c>
      <c r="C6306" s="5" t="s">
        <v>33</v>
      </c>
      <c r="D6306" s="5" t="s">
        <v>34</v>
      </c>
      <c r="E6306" s="5" t="s">
        <v>363</v>
      </c>
      <c r="F6306" s="9" t="s">
        <v>364</v>
      </c>
      <c r="G6306" s="9" t="s">
        <v>75</v>
      </c>
      <c r="H6306" s="5" t="s">
        <v>21</v>
      </c>
      <c r="I6306" s="5" t="s">
        <v>15051</v>
      </c>
      <c r="J6306" s="12" t="str">
        <f>HYPERLINK("https://www.boe.es/gazeta/dias/1808/09/20/pdfs/GMD-C-1808-126.pdf#page=4","Abrir facsímil")</f>
        <v>Abrir facsímil</v>
      </c>
      <c r="K6306" s="15" t="s">
        <v>23</v>
      </c>
    </row>
    <row r="6307" spans="1:11" ht="42" customHeight="1">
      <c r="A6307" s="4" t="s">
        <v>15052</v>
      </c>
      <c r="B6307" s="5" t="s">
        <v>15053</v>
      </c>
      <c r="C6307" s="5" t="s">
        <v>33</v>
      </c>
      <c r="D6307" s="5" t="s">
        <v>34</v>
      </c>
      <c r="E6307" s="5" t="s">
        <v>461</v>
      </c>
      <c r="F6307" s="9" t="s">
        <v>462</v>
      </c>
      <c r="G6307" s="9" t="s">
        <v>117</v>
      </c>
      <c r="H6307" s="5" t="s">
        <v>21</v>
      </c>
      <c r="I6307" s="5" t="s">
        <v>15054</v>
      </c>
      <c r="J6307" s="12" t="str">
        <f>HYPERLINK("https://www.boe.es/gazeta/dias/1808/11/08/pdfs/GMD-D-1808-142.pdf#page=1","Abrir facsímil")</f>
        <v>Abrir facsímil</v>
      </c>
      <c r="K6307" s="15" t="s">
        <v>23</v>
      </c>
    </row>
    <row r="6308" spans="1:11" ht="42" customHeight="1">
      <c r="A6308" s="4" t="s">
        <v>15055</v>
      </c>
      <c r="B6308" s="5" t="s">
        <v>15056</v>
      </c>
      <c r="C6308" s="5" t="s">
        <v>17</v>
      </c>
      <c r="D6308" s="5" t="s">
        <v>18</v>
      </c>
      <c r="E6308" s="5" t="s">
        <v>719</v>
      </c>
      <c r="F6308" s="9" t="s">
        <v>720</v>
      </c>
      <c r="G6308" s="9">
        <v>1611</v>
      </c>
      <c r="H6308" s="5" t="s">
        <v>21</v>
      </c>
      <c r="I6308" s="5" t="s">
        <v>15057</v>
      </c>
      <c r="J6308" s="12" t="str">
        <f>HYPERLINK("https://www.boe.es/gazeta/dias/1808/12/16/pdfs/GMD-1808-156.pdf#page=3","Abrir facsímil")</f>
        <v>Abrir facsímil</v>
      </c>
      <c r="K6308" s="15" t="s">
        <v>23</v>
      </c>
    </row>
    <row r="6309" spans="1:11" ht="42" customHeight="1">
      <c r="A6309" s="4" t="s">
        <v>15058</v>
      </c>
      <c r="B6309" s="5" t="s">
        <v>15058</v>
      </c>
      <c r="C6309" s="5" t="s">
        <v>101</v>
      </c>
      <c r="D6309" s="5" t="s">
        <v>102</v>
      </c>
      <c r="E6309" s="5" t="s">
        <v>1671</v>
      </c>
      <c r="F6309" s="9" t="s">
        <v>1672</v>
      </c>
      <c r="G6309" s="9">
        <v>476</v>
      </c>
      <c r="H6309" s="5" t="s">
        <v>21</v>
      </c>
      <c r="I6309" s="5" t="s">
        <v>15059</v>
      </c>
      <c r="J6309" s="12" t="str">
        <f>HYPERLINK("https://www.boe.es/gazeta/dias/1808/05/20/pdfs/GMD-1808-48.pdf#page=4","Abrir facsímil")</f>
        <v>Abrir facsímil</v>
      </c>
      <c r="K6309" s="15" t="s">
        <v>23</v>
      </c>
    </row>
    <row r="6310" spans="1:11" ht="42" customHeight="1">
      <c r="A6310" s="4" t="s">
        <v>15058</v>
      </c>
      <c r="B6310" s="5" t="s">
        <v>15058</v>
      </c>
      <c r="C6310" s="5" t="s">
        <v>101</v>
      </c>
      <c r="D6310" s="5" t="s">
        <v>102</v>
      </c>
      <c r="E6310" s="5" t="s">
        <v>3313</v>
      </c>
      <c r="F6310" s="9" t="s">
        <v>3314</v>
      </c>
      <c r="G6310" s="9">
        <v>811</v>
      </c>
      <c r="H6310" s="5" t="s">
        <v>21</v>
      </c>
      <c r="I6310" s="5" t="s">
        <v>15060</v>
      </c>
      <c r="J6310" s="12" t="str">
        <f>HYPERLINK("https://www.boe.es/gazeta/dias/1808/07/15/pdfs/GMD-1808-87.pdf#page=5","Abrir facsímil")</f>
        <v>Abrir facsímil</v>
      </c>
      <c r="K6310" s="15" t="s">
        <v>23</v>
      </c>
    </row>
    <row r="6311" spans="1:11" ht="42" customHeight="1">
      <c r="A6311" s="4" t="s">
        <v>15061</v>
      </c>
      <c r="B6311" s="5" t="s">
        <v>15062</v>
      </c>
      <c r="C6311" s="5" t="s">
        <v>33</v>
      </c>
      <c r="D6311" s="5" t="s">
        <v>34</v>
      </c>
      <c r="E6311" s="5" t="s">
        <v>35</v>
      </c>
      <c r="F6311" s="9" t="s">
        <v>36</v>
      </c>
      <c r="G6311" s="9" t="s">
        <v>80</v>
      </c>
      <c r="H6311" s="5" t="s">
        <v>21</v>
      </c>
      <c r="I6311" s="5" t="s">
        <v>15063</v>
      </c>
      <c r="J6311" s="12" t="str">
        <f>HYPERLINK("https://www.boe.es/gazeta/dias/1808/04/22/pdfs/GMD-C-1808-38.pdf#page=18","Abrir facsímil")</f>
        <v>Abrir facsímil</v>
      </c>
      <c r="K6311" s="15" t="s">
        <v>23</v>
      </c>
    </row>
    <row r="6312" spans="1:11" ht="42" customHeight="1">
      <c r="A6312" s="4" t="s">
        <v>15064</v>
      </c>
      <c r="B6312" s="5" t="s">
        <v>15065</v>
      </c>
      <c r="C6312" s="5" t="s">
        <v>33</v>
      </c>
      <c r="D6312" s="5" t="s">
        <v>34</v>
      </c>
      <c r="E6312" s="5" t="s">
        <v>35</v>
      </c>
      <c r="F6312" s="9" t="s">
        <v>36</v>
      </c>
      <c r="G6312" s="9" t="s">
        <v>4783</v>
      </c>
      <c r="H6312" s="5" t="s">
        <v>21</v>
      </c>
      <c r="I6312" s="5" t="s">
        <v>15066</v>
      </c>
      <c r="J6312" s="12" t="str">
        <f>HYPERLINK("https://www.boe.es/gazeta/dias/1808/04/22/pdfs/GMD-C-1808-38.pdf#page=36","Abrir facsímil")</f>
        <v>Abrir facsímil</v>
      </c>
      <c r="K6312" s="15" t="s">
        <v>23</v>
      </c>
    </row>
    <row r="6313" spans="1:11" ht="42" customHeight="1">
      <c r="A6313" s="4" t="s">
        <v>15067</v>
      </c>
      <c r="B6313" s="5" t="s">
        <v>15068</v>
      </c>
      <c r="C6313" s="5" t="s">
        <v>94</v>
      </c>
      <c r="D6313" s="5" t="s">
        <v>95</v>
      </c>
      <c r="E6313" s="5" t="s">
        <v>68</v>
      </c>
      <c r="F6313" s="9" t="s">
        <v>69</v>
      </c>
      <c r="G6313" s="9">
        <v>1336</v>
      </c>
      <c r="H6313" s="5" t="s">
        <v>21</v>
      </c>
      <c r="I6313" s="5" t="s">
        <v>15069</v>
      </c>
      <c r="J6313" s="12" t="str">
        <f>HYPERLINK("https://www.boe.es/gazeta/dias/1808/10/21/pdfs/GMD-1808-136.pdf#page=8","Abrir facsímil")</f>
        <v>Abrir facsímil</v>
      </c>
      <c r="K6313" s="15" t="s">
        <v>23</v>
      </c>
    </row>
    <row r="6314" spans="1:11" ht="42" customHeight="1">
      <c r="A6314" s="4" t="s">
        <v>15070</v>
      </c>
      <c r="B6314" s="5" t="s">
        <v>15071</v>
      </c>
      <c r="C6314" s="5" t="s">
        <v>17</v>
      </c>
      <c r="D6314" s="5" t="s">
        <v>18</v>
      </c>
      <c r="E6314" s="5" t="s">
        <v>61</v>
      </c>
      <c r="F6314" s="9" t="s">
        <v>62</v>
      </c>
      <c r="G6314" s="9">
        <v>1286</v>
      </c>
      <c r="H6314" s="5" t="s">
        <v>21</v>
      </c>
      <c r="I6314" s="5" t="s">
        <v>15072</v>
      </c>
      <c r="J6314" s="12" t="str">
        <f>HYPERLINK("https://www.boe.es/gazeta/dias/1808/10/11/pdfs/GMD-1808-133.pdf#page=14","Abrir facsímil")</f>
        <v>Abrir facsímil</v>
      </c>
      <c r="K6314" s="15" t="s">
        <v>23</v>
      </c>
    </row>
    <row r="6315" spans="1:11" ht="42" customHeight="1">
      <c r="A6315" s="4" t="s">
        <v>15073</v>
      </c>
      <c r="B6315" s="5" t="s">
        <v>15074</v>
      </c>
      <c r="C6315" s="5" t="s">
        <v>17</v>
      </c>
      <c r="D6315" s="5" t="s">
        <v>18</v>
      </c>
      <c r="E6315" s="5" t="s">
        <v>877</v>
      </c>
      <c r="F6315" s="9" t="s">
        <v>878</v>
      </c>
      <c r="G6315" s="9">
        <v>118</v>
      </c>
      <c r="H6315" s="5" t="s">
        <v>21</v>
      </c>
      <c r="I6315" s="5" t="s">
        <v>15075</v>
      </c>
      <c r="J6315" s="12" t="str">
        <f>HYPERLINK("https://www.boe.es/gazeta/dias/1808/02/02/pdfs/GMD-1808-10.pdf#page=10","Abrir facsímil")</f>
        <v>Abrir facsímil</v>
      </c>
      <c r="K6315" s="15" t="s">
        <v>23</v>
      </c>
    </row>
    <row r="6316" spans="1:11" ht="42" customHeight="1">
      <c r="A6316" s="4" t="s">
        <v>15076</v>
      </c>
      <c r="B6316" s="5" t="s">
        <v>15076</v>
      </c>
      <c r="C6316" s="5" t="s">
        <v>41</v>
      </c>
      <c r="D6316" s="5" t="s">
        <v>42</v>
      </c>
      <c r="E6316" s="5" t="s">
        <v>1415</v>
      </c>
      <c r="F6316" s="9" t="s">
        <v>1416</v>
      </c>
      <c r="G6316" s="9">
        <v>414</v>
      </c>
      <c r="H6316" s="5" t="s">
        <v>21</v>
      </c>
      <c r="I6316" s="5" t="s">
        <v>15077</v>
      </c>
      <c r="J6316" s="12" t="str">
        <f>HYPERLINK("https://www.boe.es/gazeta/dias/1808/04/26/pdfs/GMD-1808-41.pdf#page=6","Abrir facsímil")</f>
        <v>Abrir facsímil</v>
      </c>
      <c r="K6316" s="15" t="s">
        <v>23</v>
      </c>
    </row>
    <row r="6317" spans="1:11" ht="42" customHeight="1">
      <c r="A6317" s="4" t="s">
        <v>15078</v>
      </c>
      <c r="B6317" s="5" t="s">
        <v>15079</v>
      </c>
      <c r="C6317" s="5" t="s">
        <v>17</v>
      </c>
      <c r="D6317" s="5" t="s">
        <v>18</v>
      </c>
      <c r="E6317" s="5" t="s">
        <v>290</v>
      </c>
      <c r="F6317" s="9" t="s">
        <v>3150</v>
      </c>
      <c r="G6317" s="9">
        <v>199</v>
      </c>
      <c r="H6317" s="5" t="s">
        <v>21</v>
      </c>
      <c r="I6317" s="5" t="s">
        <v>15080</v>
      </c>
      <c r="J6317" s="12" t="str">
        <f>HYPERLINK("https://www.boe.es/gazeta/dias/1808/08/23/pdfs/GMS-1808-25.pdf#page=7","Abrir facsímil")</f>
        <v>Abrir facsímil</v>
      </c>
      <c r="K6317" s="15" t="s">
        <v>23</v>
      </c>
    </row>
    <row r="6318" spans="1:11" ht="42" customHeight="1">
      <c r="A6318" s="4" t="s">
        <v>15081</v>
      </c>
      <c r="B6318" s="5" t="s">
        <v>15082</v>
      </c>
      <c r="C6318" s="5" t="s">
        <v>94</v>
      </c>
      <c r="D6318" s="5" t="s">
        <v>95</v>
      </c>
      <c r="E6318" s="5" t="s">
        <v>539</v>
      </c>
      <c r="F6318" s="9" t="s">
        <v>540</v>
      </c>
      <c r="G6318" s="9">
        <v>1113</v>
      </c>
      <c r="H6318" s="5" t="s">
        <v>21</v>
      </c>
      <c r="I6318" s="5" t="s">
        <v>15083</v>
      </c>
      <c r="J6318" s="12" t="str">
        <f>HYPERLINK("https://www.boe.es/gazeta/dias/1808/09/02/pdfs/GMD-1808-119.pdf#page=7","Abrir facsímil")</f>
        <v>Abrir facsímil</v>
      </c>
      <c r="K6318" s="15" t="s">
        <v>23</v>
      </c>
    </row>
    <row r="6319" spans="1:11" ht="42" customHeight="1">
      <c r="A6319" s="4" t="s">
        <v>15084</v>
      </c>
      <c r="B6319" s="5" t="s">
        <v>15085</v>
      </c>
      <c r="C6319" s="5" t="s">
        <v>94</v>
      </c>
      <c r="D6319" s="5" t="s">
        <v>95</v>
      </c>
      <c r="E6319" s="5" t="s">
        <v>287</v>
      </c>
      <c r="F6319" s="9" t="s">
        <v>489</v>
      </c>
      <c r="G6319" s="9">
        <v>1004</v>
      </c>
      <c r="H6319" s="5" t="s">
        <v>21</v>
      </c>
      <c r="I6319" s="5" t="s">
        <v>15086</v>
      </c>
      <c r="J6319" s="12" t="str">
        <f>HYPERLINK("https://www.boe.es/gazeta/dias/1808/08/12/pdfs/GMD-1808-112.pdf#page=8","Abrir facsímil")</f>
        <v>Abrir facsímil</v>
      </c>
      <c r="K6319" s="15" t="s">
        <v>23</v>
      </c>
    </row>
    <row r="6320" spans="1:11" ht="42" customHeight="1">
      <c r="A6320" s="4" t="s">
        <v>15087</v>
      </c>
      <c r="B6320" s="5" t="s">
        <v>15088</v>
      </c>
      <c r="C6320" s="5" t="s">
        <v>94</v>
      </c>
      <c r="D6320" s="5" t="s">
        <v>95</v>
      </c>
      <c r="E6320" s="5" t="s">
        <v>539</v>
      </c>
      <c r="F6320" s="9" t="s">
        <v>540</v>
      </c>
      <c r="G6320" s="9">
        <v>1114</v>
      </c>
      <c r="H6320" s="5" t="s">
        <v>21</v>
      </c>
      <c r="I6320" s="5" t="s">
        <v>15089</v>
      </c>
      <c r="J6320" s="12" t="str">
        <f>HYPERLINK("https://www.boe.es/gazeta/dias/1808/09/02/pdfs/GMD-1808-119.pdf#page=8","Abrir facsímil")</f>
        <v>Abrir facsímil</v>
      </c>
      <c r="K6320" s="15" t="s">
        <v>23</v>
      </c>
    </row>
    <row r="6321" spans="1:11" ht="42" customHeight="1">
      <c r="A6321" s="4" t="s">
        <v>15090</v>
      </c>
      <c r="B6321" s="5" t="s">
        <v>15091</v>
      </c>
      <c r="C6321" s="5" t="s">
        <v>17</v>
      </c>
      <c r="D6321" s="5" t="s">
        <v>18</v>
      </c>
      <c r="E6321" s="5" t="s">
        <v>1866</v>
      </c>
      <c r="F6321" s="9" t="s">
        <v>1867</v>
      </c>
      <c r="G6321" s="9">
        <v>1591</v>
      </c>
      <c r="H6321" s="5" t="s">
        <v>21</v>
      </c>
      <c r="I6321" s="5" t="s">
        <v>15092</v>
      </c>
      <c r="J6321" s="12" t="str">
        <f>HYPERLINK("https://www.boe.es/gazeta/dias/1808/12/14/pdfs/GMD-1808-154.pdf#page=3","Abrir facsímil")</f>
        <v>Abrir facsímil</v>
      </c>
      <c r="K6321" s="15" t="s">
        <v>23</v>
      </c>
    </row>
    <row r="6322" spans="1:11" ht="42" customHeight="1">
      <c r="A6322" s="4" t="s">
        <v>15093</v>
      </c>
      <c r="B6322" s="5" t="s">
        <v>15094</v>
      </c>
      <c r="C6322" s="5" t="s">
        <v>94</v>
      </c>
      <c r="D6322" s="5" t="s">
        <v>95</v>
      </c>
      <c r="E6322" s="5" t="s">
        <v>508</v>
      </c>
      <c r="F6322" s="9" t="s">
        <v>1561</v>
      </c>
      <c r="G6322" s="9">
        <v>1025</v>
      </c>
      <c r="H6322" s="5" t="s">
        <v>21</v>
      </c>
      <c r="I6322" s="5" t="s">
        <v>15095</v>
      </c>
      <c r="J6322" s="12" t="str">
        <f>HYPERLINK("https://www.boe.es/gazeta/dias/1808/08/16/pdfs/GMD-C-1808-113.pdf#page=5","Abrir facsímil")</f>
        <v>Abrir facsímil</v>
      </c>
      <c r="K6322" s="15" t="s">
        <v>23</v>
      </c>
    </row>
    <row r="6323" spans="1:11" ht="42" customHeight="1">
      <c r="A6323" s="4" t="s">
        <v>15096</v>
      </c>
      <c r="B6323" s="5" t="s">
        <v>15097</v>
      </c>
      <c r="C6323" s="5" t="s">
        <v>17</v>
      </c>
      <c r="D6323" s="5" t="s">
        <v>18</v>
      </c>
      <c r="E6323" s="5" t="s">
        <v>1866</v>
      </c>
      <c r="F6323" s="9" t="s">
        <v>1867</v>
      </c>
      <c r="G6323" s="9">
        <v>1592</v>
      </c>
      <c r="H6323" s="5" t="s">
        <v>21</v>
      </c>
      <c r="I6323" s="5" t="s">
        <v>15098</v>
      </c>
      <c r="J6323" s="12" t="str">
        <f>HYPERLINK("https://www.boe.es/gazeta/dias/1808/12/14/pdfs/GMD-1808-154.pdf#page=4","Abrir facsímil")</f>
        <v>Abrir facsímil</v>
      </c>
      <c r="K6323" s="15" t="s">
        <v>23</v>
      </c>
    </row>
    <row r="6324" spans="1:11" ht="42" customHeight="1">
      <c r="A6324" s="4" t="s">
        <v>15096</v>
      </c>
      <c r="B6324" s="5" t="s">
        <v>15097</v>
      </c>
      <c r="C6324" s="5" t="s">
        <v>17</v>
      </c>
      <c r="D6324" s="5" t="s">
        <v>18</v>
      </c>
      <c r="E6324" s="5" t="s">
        <v>431</v>
      </c>
      <c r="F6324" s="9" t="s">
        <v>432</v>
      </c>
      <c r="G6324" s="9">
        <v>490</v>
      </c>
      <c r="H6324" s="5" t="s">
        <v>21</v>
      </c>
      <c r="I6324" s="5" t="s">
        <v>15099</v>
      </c>
      <c r="J6324" s="12" t="str">
        <f>HYPERLINK("https://www.boe.es/gazeta/dias/1808/12/27/pdfs/GMS-1808-61.pdf#page=6","Abrir facsímil")</f>
        <v>Abrir facsímil</v>
      </c>
      <c r="K6324" s="15" t="s">
        <v>23</v>
      </c>
    </row>
    <row r="6325" spans="1:11" ht="42" customHeight="1">
      <c r="A6325" s="4" t="s">
        <v>15100</v>
      </c>
      <c r="B6325" s="5" t="s">
        <v>15101</v>
      </c>
      <c r="C6325" s="5" t="s">
        <v>17</v>
      </c>
      <c r="D6325" s="5" t="s">
        <v>18</v>
      </c>
      <c r="E6325" s="5" t="s">
        <v>54</v>
      </c>
      <c r="F6325" s="9" t="s">
        <v>55</v>
      </c>
      <c r="G6325" s="9">
        <v>1084</v>
      </c>
      <c r="H6325" s="5" t="s">
        <v>21</v>
      </c>
      <c r="I6325" s="5" t="s">
        <v>15102</v>
      </c>
      <c r="J6325" s="12" t="str">
        <f>HYPERLINK("https://www.boe.es/gazeta/dias/1808/08/26/pdfs/GMD-1808-117.pdf#page=6","Abrir facsímil")</f>
        <v>Abrir facsímil</v>
      </c>
      <c r="K6325" s="15" t="s">
        <v>23</v>
      </c>
    </row>
    <row r="6326" spans="1:11" ht="42" customHeight="1">
      <c r="A6326" s="4" t="s">
        <v>15103</v>
      </c>
      <c r="B6326" s="5" t="s">
        <v>15104</v>
      </c>
      <c r="C6326" s="5" t="s">
        <v>41</v>
      </c>
      <c r="D6326" s="5" t="s">
        <v>42</v>
      </c>
      <c r="E6326" s="5" t="s">
        <v>539</v>
      </c>
      <c r="F6326" s="9" t="s">
        <v>540</v>
      </c>
      <c r="G6326" s="9">
        <v>1112</v>
      </c>
      <c r="H6326" s="5" t="s">
        <v>21</v>
      </c>
      <c r="I6326" s="5" t="s">
        <v>15105</v>
      </c>
      <c r="J6326" s="12" t="str">
        <f>HYPERLINK("https://www.boe.es/gazeta/dias/1808/09/02/pdfs/GMD-1808-119.pdf#page=6","Abrir facsímil")</f>
        <v>Abrir facsímil</v>
      </c>
      <c r="K6326" s="15" t="s">
        <v>23</v>
      </c>
    </row>
    <row r="6327" spans="1:11" ht="42" customHeight="1">
      <c r="A6327" s="4" t="s">
        <v>15103</v>
      </c>
      <c r="B6327" s="5" t="s">
        <v>15104</v>
      </c>
      <c r="C6327" s="5" t="s">
        <v>94</v>
      </c>
      <c r="D6327" s="5" t="s">
        <v>95</v>
      </c>
      <c r="E6327" s="5" t="s">
        <v>539</v>
      </c>
      <c r="F6327" s="9" t="s">
        <v>540</v>
      </c>
      <c r="G6327" s="9">
        <v>1113</v>
      </c>
      <c r="H6327" s="5" t="s">
        <v>21</v>
      </c>
      <c r="I6327" s="5" t="s">
        <v>15106</v>
      </c>
      <c r="J6327" s="12" t="str">
        <f>HYPERLINK("https://www.boe.es/gazeta/dias/1808/09/02/pdfs/GMD-1808-119.pdf#page=7","Abrir facsímil")</f>
        <v>Abrir facsímil</v>
      </c>
      <c r="K6327" s="15" t="s">
        <v>23</v>
      </c>
    </row>
    <row r="6328" spans="1:11" ht="42" customHeight="1">
      <c r="A6328" s="4" t="s">
        <v>15107</v>
      </c>
      <c r="B6328" s="5" t="s">
        <v>15108</v>
      </c>
      <c r="C6328" s="5" t="s">
        <v>17</v>
      </c>
      <c r="D6328" s="5" t="s">
        <v>18</v>
      </c>
      <c r="E6328" s="5" t="s">
        <v>539</v>
      </c>
      <c r="F6328" s="9" t="s">
        <v>540</v>
      </c>
      <c r="G6328" s="9">
        <v>1112</v>
      </c>
      <c r="H6328" s="5" t="s">
        <v>21</v>
      </c>
      <c r="I6328" s="5" t="s">
        <v>15109</v>
      </c>
      <c r="J6328" s="12" t="str">
        <f>HYPERLINK("https://www.boe.es/gazeta/dias/1808/09/02/pdfs/GMD-1808-119.pdf#page=6","Abrir facsímil")</f>
        <v>Abrir facsímil</v>
      </c>
      <c r="K6328" s="15" t="s">
        <v>23</v>
      </c>
    </row>
    <row r="6329" spans="1:11" ht="42" customHeight="1">
      <c r="A6329" s="4" t="s">
        <v>15107</v>
      </c>
      <c r="B6329" s="5" t="s">
        <v>15108</v>
      </c>
      <c r="C6329" s="5" t="s">
        <v>33</v>
      </c>
      <c r="D6329" s="5" t="s">
        <v>34</v>
      </c>
      <c r="E6329" s="5" t="s">
        <v>89</v>
      </c>
      <c r="F6329" s="9" t="s">
        <v>1247</v>
      </c>
      <c r="G6329" s="9">
        <v>1373</v>
      </c>
      <c r="H6329" s="5" t="s">
        <v>21</v>
      </c>
      <c r="I6329" s="5" t="s">
        <v>15110</v>
      </c>
      <c r="J6329" s="12" t="str">
        <f>HYPERLINK("https://www.boe.es/gazeta/dias/1808/10/25/pdfs/GMD-C-1808-137.pdf#page=9","Abrir facsímil")</f>
        <v>Abrir facsímil</v>
      </c>
      <c r="K6329" s="15" t="s">
        <v>23</v>
      </c>
    </row>
    <row r="6330" spans="1:11" ht="42" customHeight="1">
      <c r="A6330" s="4" t="s">
        <v>15107</v>
      </c>
      <c r="B6330" s="5" t="s">
        <v>15108</v>
      </c>
      <c r="C6330" s="5" t="s">
        <v>33</v>
      </c>
      <c r="D6330" s="5" t="s">
        <v>34</v>
      </c>
      <c r="E6330" s="5" t="s">
        <v>89</v>
      </c>
      <c r="F6330" s="9" t="s">
        <v>1247</v>
      </c>
      <c r="G6330" s="9">
        <v>1374</v>
      </c>
      <c r="H6330" s="5" t="s">
        <v>21</v>
      </c>
      <c r="I6330" s="5" t="s">
        <v>15111</v>
      </c>
      <c r="J6330" s="12" t="str">
        <f>HYPERLINK("https://www.boe.es/gazeta/dias/1808/10/25/pdfs/GMD-C-1808-137.pdf#page=10","Abrir facsímil")</f>
        <v>Abrir facsímil</v>
      </c>
      <c r="K6330" s="15" t="s">
        <v>23</v>
      </c>
    </row>
    <row r="6331" spans="1:11" ht="42" customHeight="1">
      <c r="A6331" s="4" t="s">
        <v>15112</v>
      </c>
      <c r="B6331" s="5" t="s">
        <v>15113</v>
      </c>
      <c r="C6331" s="5" t="s">
        <v>94</v>
      </c>
      <c r="D6331" s="5" t="s">
        <v>95</v>
      </c>
      <c r="E6331" s="5" t="s">
        <v>2194</v>
      </c>
      <c r="F6331" s="9" t="s">
        <v>3881</v>
      </c>
      <c r="G6331" s="9">
        <v>341</v>
      </c>
      <c r="H6331" s="5" t="s">
        <v>21</v>
      </c>
      <c r="I6331" s="5" t="s">
        <v>15114</v>
      </c>
      <c r="J6331" s="12" t="str">
        <f>HYPERLINK("https://www.boe.es/gazeta/dias/1808/04/05/pdfs/GMD-1808-31.pdf#page=7","Abrir facsímil")</f>
        <v>Abrir facsímil</v>
      </c>
      <c r="K6331" s="15" t="s">
        <v>23</v>
      </c>
    </row>
    <row r="6332" spans="1:11" ht="42" customHeight="1">
      <c r="A6332" s="4" t="s">
        <v>15115</v>
      </c>
      <c r="B6332" s="5" t="s">
        <v>15116</v>
      </c>
      <c r="C6332" s="5" t="s">
        <v>17</v>
      </c>
      <c r="D6332" s="5" t="s">
        <v>18</v>
      </c>
      <c r="E6332" s="5" t="s">
        <v>1194</v>
      </c>
      <c r="F6332" s="9" t="s">
        <v>1195</v>
      </c>
      <c r="G6332" s="9">
        <v>442</v>
      </c>
      <c r="H6332" s="5" t="s">
        <v>21</v>
      </c>
      <c r="I6332" s="5" t="s">
        <v>15117</v>
      </c>
      <c r="J6332" s="12" t="str">
        <f>HYPERLINK("https://www.boe.es/gazeta/dias/1808/05/10/pdfs/GMD-1808-45.pdf#page=2","Abrir facsímil")</f>
        <v>Abrir facsímil</v>
      </c>
      <c r="K6332" s="15" t="s">
        <v>23</v>
      </c>
    </row>
    <row r="6333" spans="1:11" ht="42" customHeight="1">
      <c r="A6333" s="4" t="s">
        <v>15115</v>
      </c>
      <c r="B6333" s="5" t="s">
        <v>15116</v>
      </c>
      <c r="C6333" s="5" t="s">
        <v>94</v>
      </c>
      <c r="D6333" s="5" t="s">
        <v>95</v>
      </c>
      <c r="E6333" s="5" t="s">
        <v>1210</v>
      </c>
      <c r="F6333" s="9" t="s">
        <v>1211</v>
      </c>
      <c r="G6333" s="9">
        <v>458</v>
      </c>
      <c r="H6333" s="5" t="s">
        <v>21</v>
      </c>
      <c r="I6333" s="5" t="s">
        <v>15118</v>
      </c>
      <c r="J6333" s="12" t="str">
        <f>HYPERLINK("https://www.boe.es/gazeta/dias/1808/05/13/pdfs/GMD-1808-46.pdf#page=10","Abrir facsímil")</f>
        <v>Abrir facsímil</v>
      </c>
      <c r="K6333" s="15" t="s">
        <v>23</v>
      </c>
    </row>
    <row r="6334" spans="1:11" ht="42" customHeight="1">
      <c r="A6334" s="4" t="s">
        <v>15119</v>
      </c>
      <c r="B6334" s="5" t="s">
        <v>15120</v>
      </c>
      <c r="C6334" s="5" t="s">
        <v>17</v>
      </c>
      <c r="D6334" s="5" t="s">
        <v>18</v>
      </c>
      <c r="E6334" s="5" t="s">
        <v>245</v>
      </c>
      <c r="F6334" s="9" t="s">
        <v>246</v>
      </c>
      <c r="G6334" s="9">
        <v>541</v>
      </c>
      <c r="H6334" s="5" t="s">
        <v>21</v>
      </c>
      <c r="I6334" s="5" t="s">
        <v>15121</v>
      </c>
      <c r="J6334" s="12" t="str">
        <f>HYPERLINK("https://www.boe.es/gazeta/dias/1808/06/07/pdfs/GMD-1808-54.pdf#page=7","Abrir facsímil")</f>
        <v>Abrir facsímil</v>
      </c>
      <c r="K6334" s="15" t="s">
        <v>23</v>
      </c>
    </row>
    <row r="6335" spans="1:11" ht="42" customHeight="1">
      <c r="A6335" s="4" t="s">
        <v>15115</v>
      </c>
      <c r="B6335" s="5" t="s">
        <v>15116</v>
      </c>
      <c r="C6335" s="5" t="s">
        <v>94</v>
      </c>
      <c r="D6335" s="5" t="s">
        <v>95</v>
      </c>
      <c r="E6335" s="5" t="s">
        <v>1702</v>
      </c>
      <c r="F6335" s="9" t="s">
        <v>3079</v>
      </c>
      <c r="G6335" s="9">
        <v>797</v>
      </c>
      <c r="H6335" s="5" t="s">
        <v>21</v>
      </c>
      <c r="I6335" s="5" t="s">
        <v>15122</v>
      </c>
      <c r="J6335" s="12" t="str">
        <f>HYPERLINK("https://www.boe.es/gazeta/dias/1808/07/13/pdfs/GMD-1808-85.pdf#page=7","Abrir facsímil")</f>
        <v>Abrir facsímil</v>
      </c>
      <c r="K6335" s="15" t="s">
        <v>23</v>
      </c>
    </row>
    <row r="6336" spans="1:11" ht="42" customHeight="1">
      <c r="A6336" s="4" t="s">
        <v>15123</v>
      </c>
      <c r="B6336" s="5" t="s">
        <v>15124</v>
      </c>
      <c r="C6336" s="5" t="s">
        <v>94</v>
      </c>
      <c r="D6336" s="5" t="s">
        <v>95</v>
      </c>
      <c r="E6336" s="5" t="s">
        <v>974</v>
      </c>
      <c r="F6336" s="9" t="s">
        <v>975</v>
      </c>
      <c r="G6336" s="9">
        <v>391</v>
      </c>
      <c r="H6336" s="5" t="s">
        <v>21</v>
      </c>
      <c r="I6336" s="5" t="s">
        <v>15125</v>
      </c>
      <c r="J6336" s="12" t="str">
        <f>HYPERLINK("https://www.boe.es/gazeta/dias/1808/04/19/pdfs/GMD-1808-37.pdf#page=7","Abrir facsímil")</f>
        <v>Abrir facsímil</v>
      </c>
      <c r="K6336" s="15" t="s">
        <v>23</v>
      </c>
    </row>
    <row r="6337" spans="1:11" ht="42" customHeight="1">
      <c r="A6337" s="4" t="s">
        <v>15123</v>
      </c>
      <c r="B6337" s="5" t="s">
        <v>15124</v>
      </c>
      <c r="C6337" s="5" t="s">
        <v>33</v>
      </c>
      <c r="D6337" s="5" t="s">
        <v>34</v>
      </c>
      <c r="E6337" s="5" t="s">
        <v>558</v>
      </c>
      <c r="F6337" s="9" t="s">
        <v>1310</v>
      </c>
      <c r="G6337" s="9">
        <v>1547</v>
      </c>
      <c r="H6337" s="5" t="s">
        <v>21</v>
      </c>
      <c r="I6337" s="5" t="s">
        <v>15126</v>
      </c>
      <c r="J6337" s="12" t="str">
        <f>HYPERLINK("https://www.boe.es/gazeta/dias/1808/11/25/pdfs/GMD-C-1808-147.pdf#page=1","Abrir facsímil")</f>
        <v>Abrir facsímil</v>
      </c>
      <c r="K6337" s="15" t="s">
        <v>23</v>
      </c>
    </row>
    <row r="6338" spans="1:11" ht="42" customHeight="1">
      <c r="A6338" s="4" t="s">
        <v>15127</v>
      </c>
      <c r="B6338" s="5" t="s">
        <v>15128</v>
      </c>
      <c r="C6338" s="5" t="s">
        <v>17</v>
      </c>
      <c r="D6338" s="5" t="s">
        <v>18</v>
      </c>
      <c r="E6338" s="5" t="s">
        <v>558</v>
      </c>
      <c r="F6338" s="9" t="s">
        <v>3837</v>
      </c>
      <c r="G6338" s="9">
        <v>415</v>
      </c>
      <c r="H6338" s="5" t="s">
        <v>21</v>
      </c>
      <c r="I6338" s="5" t="s">
        <v>15129</v>
      </c>
      <c r="J6338" s="12" t="str">
        <f>HYPERLINK("https://www.boe.es/gazeta/dias/1808/11/25/pdfs/GMS-1808-52.pdf#page=7","Abrir facsímil")</f>
        <v>Abrir facsímil</v>
      </c>
      <c r="K6338" s="15" t="s">
        <v>23</v>
      </c>
    </row>
    <row r="6339" spans="1:11" ht="42" customHeight="1">
      <c r="A6339" s="4" t="s">
        <v>15130</v>
      </c>
      <c r="B6339" s="5" t="s">
        <v>15131</v>
      </c>
      <c r="C6339" s="5" t="s">
        <v>94</v>
      </c>
      <c r="D6339" s="5" t="s">
        <v>95</v>
      </c>
      <c r="E6339" s="5" t="s">
        <v>54</v>
      </c>
      <c r="F6339" s="9" t="s">
        <v>8048</v>
      </c>
      <c r="G6339" s="9">
        <v>1092</v>
      </c>
      <c r="H6339" s="5" t="s">
        <v>21</v>
      </c>
      <c r="I6339" s="5" t="s">
        <v>15132</v>
      </c>
      <c r="J6339" s="12" t="str">
        <f>HYPERLINK("https://www.boe.es/gazeta/dias/1808/08/26/pdfs/GMD-C-1808-117.pdf#page=2","Abrir facsímil")</f>
        <v>Abrir facsímil</v>
      </c>
      <c r="K6339" s="15" t="s">
        <v>23</v>
      </c>
    </row>
    <row r="6340" spans="1:11" ht="42" customHeight="1">
      <c r="A6340" s="4" t="s">
        <v>15133</v>
      </c>
      <c r="B6340" s="5" t="s">
        <v>15134</v>
      </c>
      <c r="C6340" s="5" t="s">
        <v>94</v>
      </c>
      <c r="D6340" s="5" t="s">
        <v>95</v>
      </c>
      <c r="E6340" s="5" t="s">
        <v>7774</v>
      </c>
      <c r="F6340" s="9" t="s">
        <v>7775</v>
      </c>
      <c r="G6340" s="9">
        <v>1395</v>
      </c>
      <c r="H6340" s="5" t="s">
        <v>21</v>
      </c>
      <c r="I6340" s="5" t="s">
        <v>15135</v>
      </c>
      <c r="J6340" s="12" t="str">
        <f>HYPERLINK("https://www.boe.es/gazeta/dias/1808/10/30/pdfs/GMD-1808-139E.pdf#page=1","Abrir facsímil")</f>
        <v>Abrir facsímil</v>
      </c>
      <c r="K6340" s="15" t="s">
        <v>23</v>
      </c>
    </row>
    <row r="6341" spans="1:11" ht="42" customHeight="1">
      <c r="A6341" s="4" t="s">
        <v>15136</v>
      </c>
      <c r="B6341" s="5" t="s">
        <v>15137</v>
      </c>
      <c r="C6341" s="5" t="s">
        <v>17</v>
      </c>
      <c r="D6341" s="5" t="s">
        <v>18</v>
      </c>
      <c r="E6341" s="5" t="s">
        <v>73</v>
      </c>
      <c r="F6341" s="9" t="s">
        <v>581</v>
      </c>
      <c r="G6341" s="9">
        <v>1463</v>
      </c>
      <c r="H6341" s="5" t="s">
        <v>21</v>
      </c>
      <c r="I6341" s="5" t="s">
        <v>15138</v>
      </c>
      <c r="J6341" s="12" t="str">
        <f>HYPERLINK("https://www.boe.es/gazeta/dias/1808/11/11/pdfs/GMD-1808-143.pdf#page=5","Abrir facsímil")</f>
        <v>Abrir facsímil</v>
      </c>
      <c r="K6341" s="15" t="s">
        <v>23</v>
      </c>
    </row>
    <row r="6342" spans="1:11" ht="42" customHeight="1">
      <c r="A6342" s="4" t="s">
        <v>15139</v>
      </c>
      <c r="B6342" s="5" t="s">
        <v>15140</v>
      </c>
      <c r="C6342" s="5" t="s">
        <v>41</v>
      </c>
      <c r="D6342" s="5" t="s">
        <v>42</v>
      </c>
      <c r="E6342" s="5" t="s">
        <v>478</v>
      </c>
      <c r="F6342" s="9" t="s">
        <v>479</v>
      </c>
      <c r="G6342" s="9">
        <v>244</v>
      </c>
      <c r="H6342" s="5" t="s">
        <v>21</v>
      </c>
      <c r="I6342" s="5" t="s">
        <v>15141</v>
      </c>
      <c r="J6342" s="12" t="str">
        <f>HYPERLINK("https://www.boe.es/gazeta/dias/1808/03/08/pdfs/GMD-1808-20.pdf#page=10","Abrir facsímil")</f>
        <v>Abrir facsímil</v>
      </c>
      <c r="K6342" s="15" t="s">
        <v>23</v>
      </c>
    </row>
    <row r="6343" spans="1:11" ht="42" customHeight="1">
      <c r="A6343" s="4" t="s">
        <v>15142</v>
      </c>
      <c r="B6343" s="5" t="s">
        <v>15143</v>
      </c>
      <c r="C6343" s="5" t="s">
        <v>33</v>
      </c>
      <c r="D6343" s="5" t="s">
        <v>34</v>
      </c>
      <c r="E6343" s="5" t="s">
        <v>35</v>
      </c>
      <c r="F6343" s="9" t="s">
        <v>36</v>
      </c>
      <c r="G6343" s="9" t="s">
        <v>299</v>
      </c>
      <c r="H6343" s="5" t="s">
        <v>21</v>
      </c>
      <c r="I6343" s="5" t="s">
        <v>15144</v>
      </c>
      <c r="J6343" s="12" t="str">
        <f>HYPERLINK("https://www.boe.es/gazeta/dias/1808/04/22/pdfs/GMD-C-1808-38.pdf#page=14","Abrir facsímil")</f>
        <v>Abrir facsímil</v>
      </c>
      <c r="K6343" s="15" t="s">
        <v>23</v>
      </c>
    </row>
    <row r="6344" spans="1:11" ht="42" customHeight="1">
      <c r="A6344" s="4" t="s">
        <v>15145</v>
      </c>
      <c r="B6344" s="5" t="s">
        <v>15146</v>
      </c>
      <c r="C6344" s="5" t="s">
        <v>94</v>
      </c>
      <c r="D6344" s="5" t="s">
        <v>95</v>
      </c>
      <c r="E6344" s="5" t="s">
        <v>1415</v>
      </c>
      <c r="F6344" s="9" t="s">
        <v>1416</v>
      </c>
      <c r="G6344" s="9">
        <v>415</v>
      </c>
      <c r="H6344" s="5" t="s">
        <v>21</v>
      </c>
      <c r="I6344" s="5" t="s">
        <v>15147</v>
      </c>
      <c r="J6344" s="12" t="str">
        <f>HYPERLINK("https://www.boe.es/gazeta/dias/1808/04/26/pdfs/GMD-1808-41.pdf#page=7","Abrir facsímil")</f>
        <v>Abrir facsímil</v>
      </c>
      <c r="K6344" s="15" t="s">
        <v>23</v>
      </c>
    </row>
    <row r="6345" spans="1:11" ht="42" customHeight="1">
      <c r="A6345" s="4" t="s">
        <v>15148</v>
      </c>
      <c r="B6345" s="5" t="s">
        <v>15149</v>
      </c>
      <c r="C6345" s="5" t="s">
        <v>94</v>
      </c>
      <c r="D6345" s="5" t="s">
        <v>95</v>
      </c>
      <c r="E6345" s="5" t="s">
        <v>508</v>
      </c>
      <c r="F6345" s="9" t="s">
        <v>1561</v>
      </c>
      <c r="G6345" s="9">
        <v>1028</v>
      </c>
      <c r="H6345" s="5" t="s">
        <v>21</v>
      </c>
      <c r="I6345" s="5" t="s">
        <v>15150</v>
      </c>
      <c r="J6345" s="12" t="str">
        <f>HYPERLINK("https://www.boe.es/gazeta/dias/1808/08/16/pdfs/GMD-C-1808-113.pdf#page=8","Abrir facsímil")</f>
        <v>Abrir facsímil</v>
      </c>
      <c r="K6345" s="15" t="s">
        <v>23</v>
      </c>
    </row>
    <row r="6346" spans="1:11" ht="42" customHeight="1">
      <c r="A6346" s="4" t="s">
        <v>15151</v>
      </c>
      <c r="B6346" s="5" t="s">
        <v>15152</v>
      </c>
      <c r="C6346" s="5" t="s">
        <v>17</v>
      </c>
      <c r="D6346" s="5" t="s">
        <v>18</v>
      </c>
      <c r="E6346" s="5" t="s">
        <v>616</v>
      </c>
      <c r="F6346" s="9" t="s">
        <v>617</v>
      </c>
      <c r="G6346" s="9">
        <v>1044</v>
      </c>
      <c r="H6346" s="5" t="s">
        <v>21</v>
      </c>
      <c r="I6346" s="5" t="s">
        <v>15153</v>
      </c>
      <c r="J6346" s="12" t="str">
        <f>HYPERLINK("https://www.boe.es/gazeta/dias/1808/08/19/pdfs/GMD-1808-115.pdf#page=10","Abrir facsímil")</f>
        <v>Abrir facsímil</v>
      </c>
      <c r="K6346" s="15" t="s">
        <v>23</v>
      </c>
    </row>
    <row r="6347" spans="1:11" ht="42" customHeight="1">
      <c r="A6347" s="4" t="s">
        <v>15154</v>
      </c>
      <c r="B6347" s="5" t="s">
        <v>15155</v>
      </c>
      <c r="C6347" s="5" t="s">
        <v>17</v>
      </c>
      <c r="D6347" s="5" t="s">
        <v>18</v>
      </c>
      <c r="E6347" s="5" t="s">
        <v>1258</v>
      </c>
      <c r="F6347" s="9" t="s">
        <v>1259</v>
      </c>
      <c r="G6347" s="9">
        <v>890</v>
      </c>
      <c r="H6347" s="5" t="s">
        <v>21</v>
      </c>
      <c r="I6347" s="5" t="s">
        <v>15156</v>
      </c>
      <c r="J6347" s="12" t="str">
        <f>HYPERLINK("https://www.boe.es/gazeta/dias/1808/07/25/pdfs/GMD-1808-97.pdf#page=4","Abrir facsímil")</f>
        <v>Abrir facsímil</v>
      </c>
      <c r="K6347" s="15" t="s">
        <v>23</v>
      </c>
    </row>
    <row r="6348" spans="1:11" ht="42" customHeight="1">
      <c r="A6348" s="4" t="s">
        <v>15157</v>
      </c>
      <c r="B6348" s="5" t="s">
        <v>15158</v>
      </c>
      <c r="C6348" s="5" t="s">
        <v>17</v>
      </c>
      <c r="D6348" s="5" t="s">
        <v>18</v>
      </c>
      <c r="E6348" s="5" t="s">
        <v>290</v>
      </c>
      <c r="F6348" s="9" t="s">
        <v>3150</v>
      </c>
      <c r="G6348" s="9">
        <v>199</v>
      </c>
      <c r="H6348" s="5" t="s">
        <v>21</v>
      </c>
      <c r="I6348" s="5" t="s">
        <v>15159</v>
      </c>
      <c r="J6348" s="12" t="str">
        <f>HYPERLINK("https://www.boe.es/gazeta/dias/1808/08/23/pdfs/GMS-1808-25.pdf#page=7","Abrir facsímil")</f>
        <v>Abrir facsímil</v>
      </c>
      <c r="K6348" s="15" t="s">
        <v>23</v>
      </c>
    </row>
    <row r="6349" spans="1:11" ht="42" customHeight="1">
      <c r="A6349" s="4" t="s">
        <v>15160</v>
      </c>
      <c r="B6349" s="5" t="s">
        <v>15161</v>
      </c>
      <c r="C6349" s="5" t="s">
        <v>94</v>
      </c>
      <c r="D6349" s="5" t="s">
        <v>95</v>
      </c>
      <c r="E6349" s="5" t="s">
        <v>215</v>
      </c>
      <c r="F6349" s="9" t="s">
        <v>216</v>
      </c>
      <c r="G6349" s="9">
        <v>298</v>
      </c>
      <c r="H6349" s="5" t="s">
        <v>21</v>
      </c>
      <c r="I6349" s="5" t="s">
        <v>15162</v>
      </c>
      <c r="J6349" s="12" t="str">
        <f>HYPERLINK("https://www.boe.es/gazeta/dias/1808/03/25/pdfs/GMD-1808-25.pdf#page=8","Abrir facsímil")</f>
        <v>Abrir facsímil</v>
      </c>
      <c r="K6349" s="15" t="s">
        <v>23</v>
      </c>
    </row>
    <row r="6350" spans="1:11" ht="42" customHeight="1">
      <c r="A6350" s="4" t="s">
        <v>15160</v>
      </c>
      <c r="B6350" s="5" t="s">
        <v>15161</v>
      </c>
      <c r="C6350" s="5" t="s">
        <v>94</v>
      </c>
      <c r="D6350" s="5" t="s">
        <v>95</v>
      </c>
      <c r="E6350" s="5" t="s">
        <v>974</v>
      </c>
      <c r="F6350" s="9" t="s">
        <v>975</v>
      </c>
      <c r="G6350" s="9">
        <v>390</v>
      </c>
      <c r="H6350" s="5" t="s">
        <v>21</v>
      </c>
      <c r="I6350" s="5" t="s">
        <v>15163</v>
      </c>
      <c r="J6350" s="12" t="str">
        <f>HYPERLINK("https://www.boe.es/gazeta/dias/1808/04/19/pdfs/GMD-1808-37.pdf#page=6","Abrir facsímil")</f>
        <v>Abrir facsímil</v>
      </c>
      <c r="K6350" s="15" t="s">
        <v>23</v>
      </c>
    </row>
    <row r="6351" spans="1:11" ht="42" customHeight="1">
      <c r="A6351" s="4" t="s">
        <v>15164</v>
      </c>
      <c r="B6351" s="5" t="s">
        <v>15165</v>
      </c>
      <c r="C6351" s="5" t="s">
        <v>33</v>
      </c>
      <c r="D6351" s="5" t="s">
        <v>34</v>
      </c>
      <c r="E6351" s="5" t="s">
        <v>264</v>
      </c>
      <c r="F6351" s="9" t="s">
        <v>318</v>
      </c>
      <c r="G6351" s="9" t="s">
        <v>106</v>
      </c>
      <c r="H6351" s="5" t="s">
        <v>21</v>
      </c>
      <c r="I6351" s="5" t="s">
        <v>15166</v>
      </c>
      <c r="J6351" s="12" t="str">
        <f>HYPERLINK("https://www.boe.es/gazeta/dias/1808/11/29/pdfs/GMD-C-1808-148.pdf#page=3","Abrir facsímil")</f>
        <v>Abrir facsímil</v>
      </c>
      <c r="K6351" s="15" t="s">
        <v>23</v>
      </c>
    </row>
    <row r="6352" spans="1:11" ht="42" customHeight="1">
      <c r="A6352" s="4" t="s">
        <v>15167</v>
      </c>
      <c r="B6352" s="5" t="s">
        <v>15168</v>
      </c>
      <c r="C6352" s="5" t="s">
        <v>41</v>
      </c>
      <c r="D6352" s="5" t="s">
        <v>42</v>
      </c>
      <c r="E6352" s="5" t="s">
        <v>35</v>
      </c>
      <c r="F6352" s="9" t="s">
        <v>36</v>
      </c>
      <c r="G6352" s="9" t="s">
        <v>4783</v>
      </c>
      <c r="H6352" s="5" t="s">
        <v>21</v>
      </c>
      <c r="I6352" s="5" t="s">
        <v>15169</v>
      </c>
      <c r="J6352" s="12" t="str">
        <f>HYPERLINK("https://www.boe.es/gazeta/dias/1808/04/22/pdfs/GMD-C-1808-38.pdf#page=36","Abrir facsímil")</f>
        <v>Abrir facsímil</v>
      </c>
      <c r="K6352" s="15" t="s">
        <v>23</v>
      </c>
    </row>
    <row r="6353" spans="1:11" ht="42" customHeight="1">
      <c r="A6353" s="4" t="s">
        <v>15170</v>
      </c>
      <c r="B6353" s="5" t="s">
        <v>15171</v>
      </c>
      <c r="C6353" s="5" t="s">
        <v>17</v>
      </c>
      <c r="D6353" s="5" t="s">
        <v>18</v>
      </c>
      <c r="E6353" s="5" t="s">
        <v>461</v>
      </c>
      <c r="F6353" s="9" t="s">
        <v>733</v>
      </c>
      <c r="G6353" s="9">
        <v>1447</v>
      </c>
      <c r="H6353" s="5" t="s">
        <v>21</v>
      </c>
      <c r="I6353" s="5" t="s">
        <v>15172</v>
      </c>
      <c r="J6353" s="12" t="str">
        <f>HYPERLINK("https://www.boe.es/gazeta/dias/1808/11/08/pdfs/GMD-1808-142.pdf#page=9","Abrir facsímil")</f>
        <v>Abrir facsímil</v>
      </c>
      <c r="K6353" s="15" t="s">
        <v>23</v>
      </c>
    </row>
    <row r="6354" spans="1:11" ht="42" customHeight="1">
      <c r="A6354" s="4" t="s">
        <v>15173</v>
      </c>
      <c r="B6354" s="5" t="s">
        <v>15174</v>
      </c>
      <c r="C6354" s="5" t="s">
        <v>33</v>
      </c>
      <c r="D6354" s="5" t="s">
        <v>34</v>
      </c>
      <c r="E6354" s="5" t="s">
        <v>73</v>
      </c>
      <c r="F6354" s="9" t="s">
        <v>74</v>
      </c>
      <c r="G6354" s="9" t="s">
        <v>106</v>
      </c>
      <c r="H6354" s="5" t="s">
        <v>21</v>
      </c>
      <c r="I6354" s="5" t="s">
        <v>15175</v>
      </c>
      <c r="J6354" s="12" t="str">
        <f>HYPERLINK("https://www.boe.es/gazeta/dias/1808/11/11/pdfs/GMD-D-1808-143.pdf#page=3","Abrir facsímil")</f>
        <v>Abrir facsímil</v>
      </c>
      <c r="K6354" s="15" t="s">
        <v>23</v>
      </c>
    </row>
    <row r="6355" spans="1:11" ht="42" customHeight="1">
      <c r="A6355" s="4" t="s">
        <v>15176</v>
      </c>
      <c r="B6355" s="5" t="s">
        <v>15177</v>
      </c>
      <c r="C6355" s="5" t="s">
        <v>94</v>
      </c>
      <c r="D6355" s="5" t="s">
        <v>95</v>
      </c>
      <c r="E6355" s="5" t="s">
        <v>2524</v>
      </c>
      <c r="F6355" s="9" t="s">
        <v>4648</v>
      </c>
      <c r="G6355" s="9">
        <v>478</v>
      </c>
      <c r="H6355" s="5" t="s">
        <v>21</v>
      </c>
      <c r="I6355" s="5" t="s">
        <v>15178</v>
      </c>
      <c r="J6355" s="12" t="str">
        <f>HYPERLINK("https://www.boe.es/gazeta/dias/1808/12/23/pdfs/GMS-1808-60.pdf#page=6","Abrir facsímil")</f>
        <v>Abrir facsímil</v>
      </c>
      <c r="K6355" s="15" t="s">
        <v>23</v>
      </c>
    </row>
    <row r="6356" spans="1:11" ht="42" customHeight="1">
      <c r="A6356" s="4" t="s">
        <v>15179</v>
      </c>
      <c r="B6356" s="5" t="s">
        <v>15179</v>
      </c>
      <c r="C6356" s="5" t="s">
        <v>101</v>
      </c>
      <c r="D6356" s="5" t="s">
        <v>102</v>
      </c>
      <c r="E6356" s="5" t="s">
        <v>2598</v>
      </c>
      <c r="F6356" s="9" t="s">
        <v>2599</v>
      </c>
      <c r="G6356" s="9">
        <v>945</v>
      </c>
      <c r="H6356" s="5" t="s">
        <v>21</v>
      </c>
      <c r="I6356" s="5" t="s">
        <v>15180</v>
      </c>
      <c r="J6356" s="12" t="str">
        <f>HYPERLINK("https://www.boe.es/gazeta/dias/1808/08/01/pdfs/GMD-1808-104.pdf#page=3","Abrir facsímil")</f>
        <v>Abrir facsímil</v>
      </c>
      <c r="K6356" s="15" t="s">
        <v>23</v>
      </c>
    </row>
    <row r="6357" spans="1:11" ht="42" customHeight="1">
      <c r="A6357" s="4" t="s">
        <v>15181</v>
      </c>
      <c r="B6357" s="5" t="s">
        <v>15182</v>
      </c>
      <c r="C6357" s="5" t="s">
        <v>33</v>
      </c>
      <c r="D6357" s="5" t="s">
        <v>34</v>
      </c>
      <c r="E6357" s="5" t="s">
        <v>427</v>
      </c>
      <c r="F6357" s="9" t="s">
        <v>428</v>
      </c>
      <c r="G6357" s="9" t="s">
        <v>117</v>
      </c>
      <c r="H6357" s="5" t="s">
        <v>21</v>
      </c>
      <c r="I6357" s="5" t="s">
        <v>15183</v>
      </c>
      <c r="J6357" s="12" t="str">
        <f>HYPERLINK("https://www.boe.es/gazeta/dias/1808/11/22/pdfs/GMD-D-1808-146.pdf#page=1","Abrir facsímil")</f>
        <v>Abrir facsímil</v>
      </c>
      <c r="K6357" s="15" t="s">
        <v>23</v>
      </c>
    </row>
    <row r="6358" spans="1:11" ht="42" customHeight="1">
      <c r="A6358" s="4" t="s">
        <v>15184</v>
      </c>
      <c r="B6358" s="5" t="s">
        <v>15185</v>
      </c>
      <c r="C6358" s="5" t="s">
        <v>17</v>
      </c>
      <c r="D6358" s="5" t="s">
        <v>18</v>
      </c>
      <c r="E6358" s="5" t="s">
        <v>130</v>
      </c>
      <c r="F6358" s="9" t="s">
        <v>131</v>
      </c>
      <c r="G6358" s="9">
        <v>1604</v>
      </c>
      <c r="H6358" s="5" t="s">
        <v>21</v>
      </c>
      <c r="I6358" s="5" t="s">
        <v>15186</v>
      </c>
      <c r="J6358" s="12" t="str">
        <f>HYPERLINK("https://www.boe.es/gazeta/dias/1808/12/15/pdfs/GMD-1808-155.pdf#page=8","Abrir facsímil")</f>
        <v>Abrir facsímil</v>
      </c>
      <c r="K6358" s="15" t="s">
        <v>23</v>
      </c>
    </row>
    <row r="6359" spans="1:11" ht="42" customHeight="1">
      <c r="A6359" s="4" t="s">
        <v>15187</v>
      </c>
      <c r="B6359" s="5" t="s">
        <v>15188</v>
      </c>
      <c r="C6359" s="5" t="s">
        <v>94</v>
      </c>
      <c r="D6359" s="5" t="s">
        <v>95</v>
      </c>
      <c r="E6359" s="5" t="s">
        <v>548</v>
      </c>
      <c r="F6359" s="9" t="s">
        <v>549</v>
      </c>
      <c r="G6359" s="9">
        <v>277</v>
      </c>
      <c r="H6359" s="5" t="s">
        <v>21</v>
      </c>
      <c r="I6359" s="5" t="s">
        <v>15189</v>
      </c>
      <c r="J6359" s="12" t="str">
        <f>HYPERLINK("https://www.boe.es/gazeta/dias/1808/03/18/pdfs/GMD-1808-23.pdf#page=7","Abrir facsímil")</f>
        <v>Abrir facsímil</v>
      </c>
      <c r="K6359" s="15" t="s">
        <v>23</v>
      </c>
    </row>
    <row r="6360" spans="1:11" ht="42" customHeight="1">
      <c r="A6360" s="4" t="s">
        <v>15190</v>
      </c>
      <c r="B6360" s="5" t="s">
        <v>15191</v>
      </c>
      <c r="C6360" s="5" t="s">
        <v>33</v>
      </c>
      <c r="D6360" s="5" t="s">
        <v>34</v>
      </c>
      <c r="E6360" s="5" t="s">
        <v>153</v>
      </c>
      <c r="F6360" s="9" t="s">
        <v>154</v>
      </c>
      <c r="G6360" s="9" t="s">
        <v>199</v>
      </c>
      <c r="H6360" s="5" t="s">
        <v>21</v>
      </c>
      <c r="I6360" s="5" t="s">
        <v>15192</v>
      </c>
      <c r="J6360" s="12" t="str">
        <f>HYPERLINK("https://www.boe.es/gazeta/dias/1808/09/09/pdfs/GMD-C-1808-121.pdf#page=2","Abrir facsímil")</f>
        <v>Abrir facsímil</v>
      </c>
      <c r="K6360" s="15" t="s">
        <v>23</v>
      </c>
    </row>
    <row r="6361" spans="1:11" ht="42" customHeight="1">
      <c r="A6361" s="4" t="s">
        <v>15193</v>
      </c>
      <c r="B6361" s="5" t="s">
        <v>15193</v>
      </c>
      <c r="C6361" s="5" t="s">
        <v>94</v>
      </c>
      <c r="D6361" s="5" t="s">
        <v>95</v>
      </c>
      <c r="E6361" s="5" t="s">
        <v>1896</v>
      </c>
      <c r="F6361" s="9" t="s">
        <v>1897</v>
      </c>
      <c r="G6361" s="9">
        <v>780</v>
      </c>
      <c r="H6361" s="5" t="s">
        <v>21</v>
      </c>
      <c r="I6361" s="5" t="s">
        <v>15194</v>
      </c>
      <c r="J6361" s="12" t="str">
        <f>HYPERLINK("https://www.boe.es/gazeta/dias/1808/07/11/pdfs/GMD-1808-83.pdf#page=6","Abrir facsímil")</f>
        <v>Abrir facsímil</v>
      </c>
      <c r="K6361" s="15" t="s">
        <v>23</v>
      </c>
    </row>
    <row r="6362" spans="1:11" ht="42" customHeight="1">
      <c r="A6362" s="4" t="s">
        <v>15195</v>
      </c>
      <c r="B6362" s="5" t="s">
        <v>15196</v>
      </c>
      <c r="C6362" s="5" t="s">
        <v>33</v>
      </c>
      <c r="D6362" s="5" t="s">
        <v>34</v>
      </c>
      <c r="E6362" s="5" t="s">
        <v>35</v>
      </c>
      <c r="F6362" s="9" t="s">
        <v>36</v>
      </c>
      <c r="G6362" s="9" t="s">
        <v>498</v>
      </c>
      <c r="H6362" s="5" t="s">
        <v>21</v>
      </c>
      <c r="I6362" s="5" t="s">
        <v>15197</v>
      </c>
      <c r="J6362" s="12" t="str">
        <f>HYPERLINK("https://www.boe.es/gazeta/dias/1808/04/22/pdfs/GMD-C-1808-38.pdf#page=22","Abrir facsímil")</f>
        <v>Abrir facsímil</v>
      </c>
      <c r="K6362" s="15" t="s">
        <v>23</v>
      </c>
    </row>
    <row r="6363" spans="1:11" ht="42" customHeight="1">
      <c r="A6363" s="4" t="s">
        <v>15198</v>
      </c>
      <c r="B6363" s="5" t="s">
        <v>15199</v>
      </c>
      <c r="C6363" s="5" t="s">
        <v>94</v>
      </c>
      <c r="D6363" s="5" t="s">
        <v>95</v>
      </c>
      <c r="E6363" s="5" t="s">
        <v>572</v>
      </c>
      <c r="F6363" s="9" t="s">
        <v>573</v>
      </c>
      <c r="G6363" s="9">
        <v>19</v>
      </c>
      <c r="H6363" s="5" t="s">
        <v>21</v>
      </c>
      <c r="I6363" s="5" t="s">
        <v>15200</v>
      </c>
      <c r="J6363" s="12" t="str">
        <f>HYPERLINK("https://www.boe.es/gazeta/dias/1808/01/05/pdfs/GMD-1808-2.pdf#page=7","Abrir facsímil")</f>
        <v>Abrir facsímil</v>
      </c>
      <c r="K6363" s="15" t="s">
        <v>23</v>
      </c>
    </row>
    <row r="6364" spans="1:11" ht="42" customHeight="1">
      <c r="A6364" s="4" t="s">
        <v>15201</v>
      </c>
      <c r="B6364" s="5" t="s">
        <v>15202</v>
      </c>
      <c r="C6364" s="5" t="s">
        <v>33</v>
      </c>
      <c r="D6364" s="5" t="s">
        <v>34</v>
      </c>
      <c r="E6364" s="5" t="s">
        <v>166</v>
      </c>
      <c r="F6364" s="9" t="s">
        <v>400</v>
      </c>
      <c r="G6364" s="9" t="s">
        <v>75</v>
      </c>
      <c r="H6364" s="5" t="s">
        <v>21</v>
      </c>
      <c r="I6364" s="5" t="s">
        <v>15203</v>
      </c>
      <c r="J6364" s="12" t="str">
        <f>HYPERLINK("https://www.boe.es/gazeta/dias/1808/11/18/pdfs/D00069-00072.pdf#page=4","Abrir facsímil")</f>
        <v>Abrir facsímil</v>
      </c>
      <c r="K6364" s="15" t="s">
        <v>23</v>
      </c>
    </row>
    <row r="6365" spans="1:11" ht="42" customHeight="1">
      <c r="A6365" s="4" t="s">
        <v>15204</v>
      </c>
      <c r="B6365" s="5" t="s">
        <v>15205</v>
      </c>
      <c r="C6365" s="5" t="s">
        <v>33</v>
      </c>
      <c r="D6365" s="5" t="s">
        <v>34</v>
      </c>
      <c r="E6365" s="5" t="s">
        <v>35</v>
      </c>
      <c r="F6365" s="9" t="s">
        <v>36</v>
      </c>
      <c r="G6365" s="9" t="s">
        <v>2643</v>
      </c>
      <c r="H6365" s="5" t="s">
        <v>21</v>
      </c>
      <c r="I6365" s="5" t="s">
        <v>15206</v>
      </c>
      <c r="J6365" s="12" t="str">
        <f>HYPERLINK("https://www.boe.es/gazeta/dias/1808/04/22/pdfs/GMD-C-1808-38.pdf#page=17","Abrir facsímil")</f>
        <v>Abrir facsímil</v>
      </c>
      <c r="K6365" s="15" t="s">
        <v>23</v>
      </c>
    </row>
    <row r="6366" spans="1:11" ht="42" customHeight="1">
      <c r="A6366" s="4" t="s">
        <v>15207</v>
      </c>
      <c r="B6366" s="5" t="s">
        <v>15208</v>
      </c>
      <c r="C6366" s="5" t="s">
        <v>94</v>
      </c>
      <c r="D6366" s="5" t="s">
        <v>95</v>
      </c>
      <c r="E6366" s="5" t="s">
        <v>73</v>
      </c>
      <c r="F6366" s="9" t="s">
        <v>1570</v>
      </c>
      <c r="G6366" s="9">
        <v>1484</v>
      </c>
      <c r="H6366" s="5" t="s">
        <v>21</v>
      </c>
      <c r="I6366" s="5" t="s">
        <v>15209</v>
      </c>
      <c r="J6366" s="12" t="str">
        <f>HYPERLINK("https://www.boe.es/gazeta/dias/1808/11/11/pdfs/GMD-C-1808-143.pdf#page=14","Abrir facsímil")</f>
        <v>Abrir facsímil</v>
      </c>
      <c r="K6366" s="15" t="s">
        <v>23</v>
      </c>
    </row>
    <row r="6367" spans="1:11" ht="42" customHeight="1">
      <c r="A6367" s="4" t="s">
        <v>15210</v>
      </c>
      <c r="B6367" s="5" t="s">
        <v>15211</v>
      </c>
      <c r="C6367" s="5" t="s">
        <v>17</v>
      </c>
      <c r="D6367" s="5" t="s">
        <v>18</v>
      </c>
      <c r="E6367" s="5" t="s">
        <v>719</v>
      </c>
      <c r="F6367" s="9" t="s">
        <v>720</v>
      </c>
      <c r="G6367" s="9">
        <v>1611</v>
      </c>
      <c r="H6367" s="5" t="s">
        <v>21</v>
      </c>
      <c r="I6367" s="5" t="s">
        <v>15212</v>
      </c>
      <c r="J6367" s="12" t="str">
        <f>HYPERLINK("https://www.boe.es/gazeta/dias/1808/12/16/pdfs/GMD-1808-156.pdf#page=3","Abrir facsímil")</f>
        <v>Abrir facsímil</v>
      </c>
      <c r="K6367" s="15" t="s">
        <v>23</v>
      </c>
    </row>
    <row r="6368" spans="1:11" ht="42" customHeight="1">
      <c r="A6368" s="4" t="s">
        <v>15213</v>
      </c>
      <c r="B6368" s="5" t="s">
        <v>15214</v>
      </c>
      <c r="C6368" s="5" t="s">
        <v>94</v>
      </c>
      <c r="D6368" s="5" t="s">
        <v>95</v>
      </c>
      <c r="E6368" s="5" t="s">
        <v>210</v>
      </c>
      <c r="F6368" s="9" t="s">
        <v>211</v>
      </c>
      <c r="G6368" s="9">
        <v>254</v>
      </c>
      <c r="H6368" s="5" t="s">
        <v>21</v>
      </c>
      <c r="I6368" s="5" t="s">
        <v>15215</v>
      </c>
      <c r="J6368" s="12" t="str">
        <f>HYPERLINK("https://www.boe.es/gazeta/dias/1808/03/11/pdfs/GMD-1808-21.pdf#page=8","Abrir facsímil")</f>
        <v>Abrir facsímil</v>
      </c>
      <c r="K6368" s="15" t="s">
        <v>23</v>
      </c>
    </row>
    <row r="6369" spans="1:11" ht="42" customHeight="1">
      <c r="A6369" s="4" t="s">
        <v>15216</v>
      </c>
      <c r="B6369" s="5" t="s">
        <v>15217</v>
      </c>
      <c r="C6369" s="5" t="s">
        <v>41</v>
      </c>
      <c r="D6369" s="5" t="s">
        <v>42</v>
      </c>
      <c r="E6369" s="5" t="s">
        <v>558</v>
      </c>
      <c r="F6369" s="9" t="s">
        <v>758</v>
      </c>
      <c r="G6369" s="9" t="s">
        <v>117</v>
      </c>
      <c r="H6369" s="5" t="s">
        <v>21</v>
      </c>
      <c r="I6369" s="5" t="s">
        <v>15218</v>
      </c>
      <c r="J6369" s="12" t="str">
        <f>HYPERLINK("https://www.boe.es/gazeta/dias/1808/11/25/pdfs/GMD-E-1808-147.pdf#page=1","Abrir facsímil")</f>
        <v>Abrir facsímil</v>
      </c>
      <c r="K6369" s="15" t="s">
        <v>23</v>
      </c>
    </row>
    <row r="6370" spans="1:11" ht="42" customHeight="1">
      <c r="A6370" s="4" t="s">
        <v>15219</v>
      </c>
      <c r="B6370" s="5" t="s">
        <v>15220</v>
      </c>
      <c r="C6370" s="5" t="s">
        <v>260</v>
      </c>
      <c r="D6370" s="5" t="s">
        <v>42</v>
      </c>
      <c r="E6370" s="5" t="s">
        <v>339</v>
      </c>
      <c r="F6370" s="9" t="s">
        <v>340</v>
      </c>
      <c r="G6370" s="9">
        <v>81</v>
      </c>
      <c r="H6370" s="5" t="s">
        <v>21</v>
      </c>
      <c r="I6370" s="5" t="s">
        <v>15221</v>
      </c>
      <c r="J6370" s="12" t="str">
        <f>HYPERLINK("https://www.boe.es/gazeta/dias/1808/01/22/pdfs/GMD-1808-7.pdf#page=9","Abrir facsímil")</f>
        <v>Abrir facsímil</v>
      </c>
      <c r="K6370" s="15" t="s">
        <v>23</v>
      </c>
    </row>
    <row r="6371" spans="1:11" ht="42" customHeight="1">
      <c r="A6371" s="4" t="s">
        <v>15222</v>
      </c>
      <c r="B6371" s="5" t="s">
        <v>15223</v>
      </c>
      <c r="C6371" s="5" t="s">
        <v>33</v>
      </c>
      <c r="D6371" s="5" t="s">
        <v>34</v>
      </c>
      <c r="E6371" s="5" t="s">
        <v>35</v>
      </c>
      <c r="F6371" s="9" t="s">
        <v>36</v>
      </c>
      <c r="G6371" s="9" t="s">
        <v>299</v>
      </c>
      <c r="H6371" s="5" t="s">
        <v>21</v>
      </c>
      <c r="I6371" s="5" t="s">
        <v>15224</v>
      </c>
      <c r="J6371" s="12" t="str">
        <f>HYPERLINK("https://www.boe.es/gazeta/dias/1808/04/22/pdfs/GMD-C-1808-38.pdf#page=14","Abrir facsímil")</f>
        <v>Abrir facsímil</v>
      </c>
      <c r="K6371" s="15" t="s">
        <v>23</v>
      </c>
    </row>
    <row r="6372" spans="1:11" ht="42" customHeight="1">
      <c r="A6372" s="4" t="s">
        <v>15222</v>
      </c>
      <c r="B6372" s="5" t="s">
        <v>15223</v>
      </c>
      <c r="C6372" s="5" t="s">
        <v>33</v>
      </c>
      <c r="D6372" s="5" t="s">
        <v>34</v>
      </c>
      <c r="E6372" s="5" t="s">
        <v>35</v>
      </c>
      <c r="F6372" s="9" t="s">
        <v>36</v>
      </c>
      <c r="G6372" s="9" t="s">
        <v>106</v>
      </c>
      <c r="H6372" s="5" t="s">
        <v>21</v>
      </c>
      <c r="I6372" s="5" t="s">
        <v>15225</v>
      </c>
      <c r="J6372" s="12" t="str">
        <f>HYPERLINK("https://www.boe.es/gazeta/dias/1808/04/22/pdfs/GMD-C-1808-38.pdf#page=3","Abrir facsímil")</f>
        <v>Abrir facsímil</v>
      </c>
      <c r="K6372" s="15" t="s">
        <v>23</v>
      </c>
    </row>
    <row r="6373" spans="1:11" ht="42" customHeight="1">
      <c r="A6373" s="4" t="s">
        <v>15226</v>
      </c>
      <c r="B6373" s="5" t="s">
        <v>15227</v>
      </c>
      <c r="C6373" s="5" t="s">
        <v>94</v>
      </c>
      <c r="D6373" s="5" t="s">
        <v>95</v>
      </c>
      <c r="E6373" s="5" t="s">
        <v>68</v>
      </c>
      <c r="F6373" s="9" t="s">
        <v>309</v>
      </c>
      <c r="G6373" s="9" t="s">
        <v>117</v>
      </c>
      <c r="H6373" s="5" t="s">
        <v>21</v>
      </c>
      <c r="I6373" s="5" t="s">
        <v>15228</v>
      </c>
      <c r="J6373" s="12" t="str">
        <f>HYPERLINK("https://www.boe.es/gazeta/dias/1808/10/21/pdfs/GMD-D-1808-136.pdf#page=1","Abrir facsímil")</f>
        <v>Abrir facsímil</v>
      </c>
      <c r="K6373" s="15" t="s">
        <v>23</v>
      </c>
    </row>
    <row r="6374" spans="1:11" ht="42" customHeight="1">
      <c r="A6374" s="4" t="s">
        <v>15229</v>
      </c>
      <c r="B6374" s="5" t="s">
        <v>15230</v>
      </c>
      <c r="C6374" s="5" t="s">
        <v>33</v>
      </c>
      <c r="D6374" s="5" t="s">
        <v>34</v>
      </c>
      <c r="E6374" s="5" t="s">
        <v>89</v>
      </c>
      <c r="F6374" s="9" t="s">
        <v>563</v>
      </c>
      <c r="G6374" s="9" t="s">
        <v>117</v>
      </c>
      <c r="H6374" s="5" t="s">
        <v>21</v>
      </c>
      <c r="I6374" s="5" t="s">
        <v>15231</v>
      </c>
      <c r="J6374" s="12" t="str">
        <f>HYPERLINK("https://www.boe.es/gazeta/dias/1808/10/25/pdfs/GMD-D-1808-137.pdf#page=1","Abrir facsímil")</f>
        <v>Abrir facsímil</v>
      </c>
      <c r="K6374" s="15" t="s">
        <v>23</v>
      </c>
    </row>
    <row r="6375" spans="1:11" ht="42" customHeight="1">
      <c r="A6375" s="4" t="s">
        <v>15232</v>
      </c>
      <c r="B6375" s="5" t="s">
        <v>15233</v>
      </c>
      <c r="C6375" s="5" t="s">
        <v>94</v>
      </c>
      <c r="D6375" s="5" t="s">
        <v>95</v>
      </c>
      <c r="E6375" s="5" t="s">
        <v>478</v>
      </c>
      <c r="F6375" s="9" t="s">
        <v>479</v>
      </c>
      <c r="G6375" s="9">
        <v>241</v>
      </c>
      <c r="H6375" s="5" t="s">
        <v>21</v>
      </c>
      <c r="I6375" s="5" t="s">
        <v>15234</v>
      </c>
      <c r="J6375" s="12" t="str">
        <f>HYPERLINK("https://www.boe.es/gazeta/dias/1808/03/08/pdfs/GMD-1808-20.pdf#page=7","Abrir facsímil")</f>
        <v>Abrir facsímil</v>
      </c>
      <c r="K6375" s="15" t="s">
        <v>23</v>
      </c>
    </row>
    <row r="6376" spans="1:11" ht="42" customHeight="1">
      <c r="A6376" s="4" t="s">
        <v>15235</v>
      </c>
      <c r="B6376" s="5" t="s">
        <v>15236</v>
      </c>
      <c r="C6376" s="5" t="s">
        <v>33</v>
      </c>
      <c r="D6376" s="5" t="s">
        <v>34</v>
      </c>
      <c r="E6376" s="5" t="s">
        <v>153</v>
      </c>
      <c r="F6376" s="9" t="s">
        <v>154</v>
      </c>
      <c r="G6376" s="9" t="s">
        <v>75</v>
      </c>
      <c r="H6376" s="5" t="s">
        <v>21</v>
      </c>
      <c r="I6376" s="5" t="s">
        <v>15237</v>
      </c>
      <c r="J6376" s="12" t="str">
        <f>HYPERLINK("https://www.boe.es/gazeta/dias/1808/09/09/pdfs/GMD-C-1808-121.pdf#page=4","Abrir facsímil")</f>
        <v>Abrir facsímil</v>
      </c>
      <c r="K6376" s="15" t="s">
        <v>23</v>
      </c>
    </row>
    <row r="6377" spans="1:11" ht="42" customHeight="1">
      <c r="A6377" s="4" t="s">
        <v>15238</v>
      </c>
      <c r="B6377" s="5" t="s">
        <v>15239</v>
      </c>
      <c r="C6377" s="5" t="s">
        <v>41</v>
      </c>
      <c r="D6377" s="5" t="s">
        <v>42</v>
      </c>
      <c r="E6377" s="5" t="s">
        <v>139</v>
      </c>
      <c r="F6377" s="9" t="s">
        <v>140</v>
      </c>
      <c r="G6377" s="9">
        <v>1203</v>
      </c>
      <c r="H6377" s="5" t="s">
        <v>21</v>
      </c>
      <c r="I6377" s="5" t="s">
        <v>15240</v>
      </c>
      <c r="J6377" s="12" t="str">
        <f>HYPERLINK("https://www.boe.es/gazeta/dias/1808/09/23/pdfs/GMD-1808-127.pdf#page=11","Abrir facsímil")</f>
        <v>Abrir facsímil</v>
      </c>
      <c r="K6377" s="15" t="s">
        <v>23</v>
      </c>
    </row>
    <row r="6378" spans="1:11" ht="42" customHeight="1">
      <c r="A6378" s="4" t="s">
        <v>15241</v>
      </c>
      <c r="B6378" s="5" t="s">
        <v>15242</v>
      </c>
      <c r="C6378" s="5" t="s">
        <v>41</v>
      </c>
      <c r="D6378" s="5" t="s">
        <v>42</v>
      </c>
      <c r="E6378" s="5" t="s">
        <v>427</v>
      </c>
      <c r="F6378" s="9" t="s">
        <v>428</v>
      </c>
      <c r="G6378" s="9" t="s">
        <v>199</v>
      </c>
      <c r="H6378" s="5" t="s">
        <v>21</v>
      </c>
      <c r="I6378" s="5" t="s">
        <v>15243</v>
      </c>
      <c r="J6378" s="12" t="str">
        <f>HYPERLINK("https://www.boe.es/gazeta/dias/1808/11/22/pdfs/GMD-D-1808-146.pdf#page=2","Abrir facsímil")</f>
        <v>Abrir facsímil</v>
      </c>
      <c r="K6378" s="15" t="s">
        <v>23</v>
      </c>
    </row>
    <row r="6379" spans="1:11" ht="42" customHeight="1">
      <c r="A6379" s="4" t="s">
        <v>15244</v>
      </c>
      <c r="B6379" s="5" t="s">
        <v>15245</v>
      </c>
      <c r="C6379" s="5" t="s">
        <v>41</v>
      </c>
      <c r="D6379" s="5" t="s">
        <v>42</v>
      </c>
      <c r="E6379" s="5" t="s">
        <v>28</v>
      </c>
      <c r="F6379" s="9" t="s">
        <v>446</v>
      </c>
      <c r="G6379" s="9" t="s">
        <v>117</v>
      </c>
      <c r="H6379" s="5" t="s">
        <v>21</v>
      </c>
      <c r="I6379" s="5" t="s">
        <v>15246</v>
      </c>
      <c r="J6379" s="12" t="str">
        <f>HYPERLINK("https://www.boe.es/gazeta/dias/1808/11/04/pdfs/GMD-D-1808-141.pdf#page=1","Abrir facsímil")</f>
        <v>Abrir facsímil</v>
      </c>
      <c r="K6379" s="15" t="s">
        <v>23</v>
      </c>
    </row>
    <row r="6380" spans="1:11" ht="42" customHeight="1">
      <c r="A6380" s="4" t="s">
        <v>15247</v>
      </c>
      <c r="B6380" s="5" t="s">
        <v>15248</v>
      </c>
      <c r="C6380" s="5" t="s">
        <v>17</v>
      </c>
      <c r="D6380" s="5" t="s">
        <v>18</v>
      </c>
      <c r="E6380" s="5" t="s">
        <v>61</v>
      </c>
      <c r="F6380" s="9" t="s">
        <v>62</v>
      </c>
      <c r="G6380" s="9">
        <v>1286</v>
      </c>
      <c r="H6380" s="5" t="s">
        <v>21</v>
      </c>
      <c r="I6380" s="5" t="s">
        <v>15249</v>
      </c>
      <c r="J6380" s="12" t="str">
        <f>HYPERLINK("https://www.boe.es/gazeta/dias/1808/10/11/pdfs/GMD-1808-133.pdf#page=14","Abrir facsímil")</f>
        <v>Abrir facsímil</v>
      </c>
      <c r="K6380" s="15" t="s">
        <v>23</v>
      </c>
    </row>
    <row r="6381" spans="1:11" ht="42" customHeight="1">
      <c r="A6381" s="4" t="s">
        <v>15250</v>
      </c>
      <c r="B6381" s="5" t="s">
        <v>15251</v>
      </c>
      <c r="C6381" s="5" t="s">
        <v>33</v>
      </c>
      <c r="D6381" s="5" t="s">
        <v>34</v>
      </c>
      <c r="E6381" s="5" t="s">
        <v>456</v>
      </c>
      <c r="F6381" s="9" t="s">
        <v>748</v>
      </c>
      <c r="G6381" s="9" t="s">
        <v>106</v>
      </c>
      <c r="H6381" s="5" t="s">
        <v>21</v>
      </c>
      <c r="I6381" s="5" t="s">
        <v>15252</v>
      </c>
      <c r="J6381" s="12" t="str">
        <f>HYPERLINK("https://www.boe.es/gazeta/dias/1808/10/14/pdfs/GMD-C-1808-134.pdf#page=3","Abrir facsímil")</f>
        <v>Abrir facsímil</v>
      </c>
      <c r="K6381" s="15" t="s">
        <v>23</v>
      </c>
    </row>
    <row r="6382" spans="1:11" ht="42" customHeight="1">
      <c r="A6382" s="4" t="s">
        <v>15253</v>
      </c>
      <c r="B6382" s="5" t="s">
        <v>15254</v>
      </c>
      <c r="C6382" s="5" t="s">
        <v>33</v>
      </c>
      <c r="D6382" s="5" t="s">
        <v>34</v>
      </c>
      <c r="E6382" s="5" t="s">
        <v>139</v>
      </c>
      <c r="F6382" s="9" t="s">
        <v>1089</v>
      </c>
      <c r="G6382" s="9" t="s">
        <v>199</v>
      </c>
      <c r="H6382" s="5" t="s">
        <v>21</v>
      </c>
      <c r="I6382" s="5" t="s">
        <v>15255</v>
      </c>
      <c r="J6382" s="12" t="str">
        <f>HYPERLINK("https://www.boe.es/gazeta/dias/1808/09/23/pdfs/GMD-C-1808-127.pdf#page=2","Abrir facsímil")</f>
        <v>Abrir facsímil</v>
      </c>
      <c r="K6382" s="15" t="s">
        <v>23</v>
      </c>
    </row>
    <row r="6383" spans="1:11" ht="42" customHeight="1">
      <c r="A6383" s="4" t="s">
        <v>15253</v>
      </c>
      <c r="B6383" s="5" t="s">
        <v>15254</v>
      </c>
      <c r="C6383" s="5" t="s">
        <v>17</v>
      </c>
      <c r="D6383" s="5" t="s">
        <v>18</v>
      </c>
      <c r="E6383" s="5" t="s">
        <v>130</v>
      </c>
      <c r="F6383" s="9" t="s">
        <v>131</v>
      </c>
      <c r="G6383" s="9">
        <v>1603</v>
      </c>
      <c r="H6383" s="5" t="s">
        <v>21</v>
      </c>
      <c r="I6383" s="5" t="s">
        <v>15256</v>
      </c>
      <c r="J6383" s="12" t="str">
        <f>HYPERLINK("https://www.boe.es/gazeta/dias/1808/12/15/pdfs/GMD-1808-155.pdf#page=7","Abrir facsímil")</f>
        <v>Abrir facsímil</v>
      </c>
      <c r="K6383" s="15" t="s">
        <v>23</v>
      </c>
    </row>
    <row r="6384" spans="1:11" ht="42" customHeight="1">
      <c r="A6384" s="4" t="s">
        <v>15257</v>
      </c>
      <c r="B6384" s="5" t="s">
        <v>15258</v>
      </c>
      <c r="C6384" s="5" t="s">
        <v>94</v>
      </c>
      <c r="D6384" s="5" t="s">
        <v>95</v>
      </c>
      <c r="E6384" s="5" t="s">
        <v>73</v>
      </c>
      <c r="F6384" s="9" t="s">
        <v>1570</v>
      </c>
      <c r="G6384" s="9">
        <v>1478</v>
      </c>
      <c r="H6384" s="5" t="s">
        <v>21</v>
      </c>
      <c r="I6384" s="5" t="s">
        <v>15259</v>
      </c>
      <c r="J6384" s="12" t="str">
        <f>HYPERLINK("https://www.boe.es/gazeta/dias/1808/11/11/pdfs/GMD-C-1808-143.pdf#page=8","Abrir facsímil")</f>
        <v>Abrir facsímil</v>
      </c>
      <c r="K6384" s="15" t="s">
        <v>23</v>
      </c>
    </row>
    <row r="6385" spans="1:11" ht="42" customHeight="1">
      <c r="A6385" s="4" t="s">
        <v>15260</v>
      </c>
      <c r="B6385" s="5" t="s">
        <v>15261</v>
      </c>
      <c r="C6385" s="5" t="s">
        <v>33</v>
      </c>
      <c r="D6385" s="5" t="s">
        <v>34</v>
      </c>
      <c r="E6385" s="5" t="s">
        <v>139</v>
      </c>
      <c r="F6385" s="9" t="s">
        <v>1089</v>
      </c>
      <c r="G6385" s="9" t="s">
        <v>117</v>
      </c>
      <c r="H6385" s="5" t="s">
        <v>21</v>
      </c>
      <c r="I6385" s="5" t="s">
        <v>15262</v>
      </c>
      <c r="J6385" s="12" t="str">
        <f>HYPERLINK("https://www.boe.es/gazeta/dias/1808/09/23/pdfs/GMD-C-1808-127.pdf#page=1","Abrir facsímil")</f>
        <v>Abrir facsímil</v>
      </c>
      <c r="K6385" s="15" t="s">
        <v>23</v>
      </c>
    </row>
    <row r="6386" spans="1:11" ht="42" customHeight="1">
      <c r="A6386" s="4" t="s">
        <v>15263</v>
      </c>
      <c r="B6386" s="5" t="s">
        <v>15264</v>
      </c>
      <c r="C6386" s="5" t="s">
        <v>41</v>
      </c>
      <c r="D6386" s="5" t="s">
        <v>42</v>
      </c>
      <c r="E6386" s="5" t="s">
        <v>558</v>
      </c>
      <c r="F6386" s="9" t="s">
        <v>758</v>
      </c>
      <c r="G6386" s="9" t="s">
        <v>117</v>
      </c>
      <c r="H6386" s="5" t="s">
        <v>21</v>
      </c>
      <c r="I6386" s="5" t="s">
        <v>15265</v>
      </c>
      <c r="J6386" s="12" t="str">
        <f>HYPERLINK("https://www.boe.es/gazeta/dias/1808/11/25/pdfs/GMD-E-1808-147.pdf#page=1","Abrir facsímil")</f>
        <v>Abrir facsímil</v>
      </c>
      <c r="K6386" s="15" t="s">
        <v>23</v>
      </c>
    </row>
    <row r="6387" spans="1:11" ht="42" customHeight="1">
      <c r="A6387" s="4" t="s">
        <v>15266</v>
      </c>
      <c r="B6387" s="5" t="s">
        <v>15267</v>
      </c>
      <c r="C6387" s="5" t="s">
        <v>33</v>
      </c>
      <c r="D6387" s="5" t="s">
        <v>34</v>
      </c>
      <c r="E6387" s="5" t="s">
        <v>73</v>
      </c>
      <c r="F6387" s="9" t="s">
        <v>74</v>
      </c>
      <c r="G6387" s="9" t="s">
        <v>117</v>
      </c>
      <c r="H6387" s="5" t="s">
        <v>21</v>
      </c>
      <c r="I6387" s="5" t="s">
        <v>15268</v>
      </c>
      <c r="J6387" s="12" t="str">
        <f>HYPERLINK("https://www.boe.es/gazeta/dias/1808/11/11/pdfs/GMD-D-1808-143.pdf#page=1","Abrir facsímil")</f>
        <v>Abrir facsímil</v>
      </c>
      <c r="K6387" s="15" t="s">
        <v>23</v>
      </c>
    </row>
    <row r="6388" spans="1:11" ht="42" customHeight="1">
      <c r="A6388" s="4" t="s">
        <v>15266</v>
      </c>
      <c r="B6388" s="5" t="s">
        <v>15267</v>
      </c>
      <c r="C6388" s="5" t="s">
        <v>94</v>
      </c>
      <c r="D6388" s="5" t="s">
        <v>95</v>
      </c>
      <c r="E6388" s="5" t="s">
        <v>180</v>
      </c>
      <c r="F6388" s="9" t="s">
        <v>768</v>
      </c>
      <c r="G6388" s="9" t="s">
        <v>199</v>
      </c>
      <c r="H6388" s="5" t="s">
        <v>21</v>
      </c>
      <c r="I6388" s="5" t="s">
        <v>15269</v>
      </c>
      <c r="J6388" s="12" t="str">
        <f>HYPERLINK("https://www.boe.es/gazeta/dias/1808/11/15/pdfs/GMD-D-1808-144.pdf#page=2","Abrir facsímil")</f>
        <v>Abrir facsímil</v>
      </c>
      <c r="K6388" s="15" t="s">
        <v>23</v>
      </c>
    </row>
    <row r="6389" spans="1:11" ht="42" customHeight="1">
      <c r="A6389" s="4" t="s">
        <v>15266</v>
      </c>
      <c r="B6389" s="5" t="s">
        <v>15267</v>
      </c>
      <c r="C6389" s="5" t="s">
        <v>41</v>
      </c>
      <c r="D6389" s="5" t="s">
        <v>42</v>
      </c>
      <c r="E6389" s="5" t="s">
        <v>558</v>
      </c>
      <c r="F6389" s="9" t="s">
        <v>758</v>
      </c>
      <c r="G6389" s="9" t="s">
        <v>199</v>
      </c>
      <c r="H6389" s="5" t="s">
        <v>21</v>
      </c>
      <c r="I6389" s="5" t="s">
        <v>15270</v>
      </c>
      <c r="J6389" s="12" t="str">
        <f>HYPERLINK("https://www.boe.es/gazeta/dias/1808/11/25/pdfs/GMD-E-1808-147.pdf#page=2","Abrir facsímil")</f>
        <v>Abrir facsímil</v>
      </c>
      <c r="K6389" s="15" t="s">
        <v>23</v>
      </c>
    </row>
    <row r="6390" spans="1:11" ht="42" customHeight="1">
      <c r="A6390" s="4" t="s">
        <v>15271</v>
      </c>
      <c r="B6390" s="5" t="s">
        <v>15272</v>
      </c>
      <c r="C6390" s="5" t="s">
        <v>41</v>
      </c>
      <c r="D6390" s="5" t="s">
        <v>42</v>
      </c>
      <c r="E6390" s="5" t="s">
        <v>513</v>
      </c>
      <c r="F6390" s="9" t="s">
        <v>514</v>
      </c>
      <c r="G6390" s="9">
        <v>288</v>
      </c>
      <c r="H6390" s="5" t="s">
        <v>21</v>
      </c>
      <c r="I6390" s="5" t="s">
        <v>15273</v>
      </c>
      <c r="J6390" s="12" t="str">
        <f>HYPERLINK("https://www.boe.es/gazeta/dias/1808/03/22/pdfs/GMD-1808-24.pdf#page=10","Abrir facsímil")</f>
        <v>Abrir facsímil</v>
      </c>
      <c r="K6390" s="15" t="s">
        <v>23</v>
      </c>
    </row>
    <row r="6391" spans="1:11" ht="42" customHeight="1">
      <c r="A6391" s="4" t="s">
        <v>15274</v>
      </c>
      <c r="B6391" s="5" t="s">
        <v>15275</v>
      </c>
      <c r="C6391" s="5" t="s">
        <v>17</v>
      </c>
      <c r="D6391" s="5" t="s">
        <v>18</v>
      </c>
      <c r="E6391" s="5" t="s">
        <v>513</v>
      </c>
      <c r="F6391" s="9" t="s">
        <v>514</v>
      </c>
      <c r="G6391" s="9">
        <v>288</v>
      </c>
      <c r="H6391" s="5" t="s">
        <v>21</v>
      </c>
      <c r="I6391" s="5" t="s">
        <v>15276</v>
      </c>
      <c r="J6391" s="12" t="str">
        <f>HYPERLINK("https://www.boe.es/gazeta/dias/1808/03/22/pdfs/GMD-1808-24.pdf#page=10","Abrir facsímil")</f>
        <v>Abrir facsímil</v>
      </c>
      <c r="K6391" s="15" t="s">
        <v>23</v>
      </c>
    </row>
    <row r="6392" spans="1:11" ht="42" customHeight="1">
      <c r="A6392" s="4" t="s">
        <v>15277</v>
      </c>
      <c r="B6392" s="5" t="s">
        <v>15278</v>
      </c>
      <c r="C6392" s="5" t="s">
        <v>33</v>
      </c>
      <c r="D6392" s="5" t="s">
        <v>34</v>
      </c>
      <c r="E6392" s="5" t="s">
        <v>35</v>
      </c>
      <c r="F6392" s="9" t="s">
        <v>36</v>
      </c>
      <c r="G6392" s="9" t="s">
        <v>322</v>
      </c>
      <c r="H6392" s="5" t="s">
        <v>21</v>
      </c>
      <c r="I6392" s="5" t="s">
        <v>15279</v>
      </c>
      <c r="J6392" s="12" t="str">
        <f>HYPERLINK("https://www.boe.es/gazeta/dias/1808/04/22/pdfs/GMD-C-1808-38.pdf#page=15","Abrir facsímil")</f>
        <v>Abrir facsímil</v>
      </c>
      <c r="K6392" s="15" t="s">
        <v>23</v>
      </c>
    </row>
    <row r="6393" spans="1:11" ht="42" customHeight="1">
      <c r="A6393" s="4" t="s">
        <v>15280</v>
      </c>
      <c r="B6393" s="5" t="s">
        <v>15281</v>
      </c>
      <c r="C6393" s="5" t="s">
        <v>41</v>
      </c>
      <c r="D6393" s="5" t="s">
        <v>42</v>
      </c>
      <c r="E6393" s="5" t="s">
        <v>35</v>
      </c>
      <c r="F6393" s="9" t="s">
        <v>36</v>
      </c>
      <c r="G6393" s="9" t="s">
        <v>15282</v>
      </c>
      <c r="H6393" s="5" t="s">
        <v>21</v>
      </c>
      <c r="I6393" s="5" t="s">
        <v>15283</v>
      </c>
      <c r="J6393" s="12" t="str">
        <f>HYPERLINK("https://www.boe.es/gazeta/dias/1808/04/22/pdfs/GMD-C-1808-38.pdf#page=28","Abrir facsímil")</f>
        <v>Abrir facsímil</v>
      </c>
      <c r="K6393" s="15" t="s">
        <v>23</v>
      </c>
    </row>
    <row r="6394" spans="1:11" ht="42" customHeight="1">
      <c r="A6394" s="4" t="s">
        <v>15284</v>
      </c>
      <c r="B6394" s="5" t="s">
        <v>15285</v>
      </c>
      <c r="C6394" s="5" t="s">
        <v>33</v>
      </c>
      <c r="D6394" s="5" t="s">
        <v>34</v>
      </c>
      <c r="E6394" s="5" t="s">
        <v>35</v>
      </c>
      <c r="F6394" s="9" t="s">
        <v>36</v>
      </c>
      <c r="G6394" s="9" t="s">
        <v>47</v>
      </c>
      <c r="H6394" s="5" t="s">
        <v>21</v>
      </c>
      <c r="I6394" s="5" t="s">
        <v>15286</v>
      </c>
      <c r="J6394" s="12" t="str">
        <f>HYPERLINK("https://www.boe.es/gazeta/dias/1808/04/22/pdfs/GMD-C-1808-38.pdf#page=13","Abrir facsímil")</f>
        <v>Abrir facsímil</v>
      </c>
      <c r="K6394" s="15" t="s">
        <v>23</v>
      </c>
    </row>
    <row r="6395" spans="1:11" ht="42" customHeight="1">
      <c r="A6395" s="4" t="s">
        <v>15287</v>
      </c>
      <c r="B6395" s="5" t="s">
        <v>15288</v>
      </c>
      <c r="C6395" s="5" t="s">
        <v>94</v>
      </c>
      <c r="D6395" s="5" t="s">
        <v>95</v>
      </c>
      <c r="E6395" s="5" t="s">
        <v>51</v>
      </c>
      <c r="F6395" s="9" t="s">
        <v>52</v>
      </c>
      <c r="G6395" s="9">
        <v>990</v>
      </c>
      <c r="H6395" s="5" t="s">
        <v>21</v>
      </c>
      <c r="I6395" s="5" t="s">
        <v>15289</v>
      </c>
      <c r="J6395" s="12" t="str">
        <f>HYPERLINK("https://www.boe.es/gazeta/dias/1808/08/09/pdfs/GMD-1808-111.pdf#page=6","Abrir facsímil")</f>
        <v>Abrir facsímil</v>
      </c>
      <c r="K6395" s="15" t="s">
        <v>23</v>
      </c>
    </row>
    <row r="6396" spans="1:11" ht="42" customHeight="1">
      <c r="A6396" s="4" t="s">
        <v>15290</v>
      </c>
      <c r="B6396" s="5" t="s">
        <v>15291</v>
      </c>
      <c r="C6396" s="5" t="s">
        <v>33</v>
      </c>
      <c r="D6396" s="5" t="s">
        <v>34</v>
      </c>
      <c r="E6396" s="5" t="s">
        <v>35</v>
      </c>
      <c r="F6396" s="9" t="s">
        <v>36</v>
      </c>
      <c r="G6396" s="9" t="s">
        <v>324</v>
      </c>
      <c r="H6396" s="5" t="s">
        <v>21</v>
      </c>
      <c r="I6396" s="5" t="s">
        <v>15292</v>
      </c>
      <c r="J6396" s="12" t="str">
        <f>HYPERLINK("https://www.boe.es/gazeta/dias/1808/04/22/pdfs/GMD-C-1808-38.pdf#page=24","Abrir facsímil")</f>
        <v>Abrir facsímil</v>
      </c>
      <c r="K6396" s="15" t="s">
        <v>23</v>
      </c>
    </row>
    <row r="6397" spans="1:11" ht="42" customHeight="1">
      <c r="A6397" s="4" t="s">
        <v>15293</v>
      </c>
      <c r="B6397" s="5" t="s">
        <v>15294</v>
      </c>
      <c r="C6397" s="5" t="s">
        <v>94</v>
      </c>
      <c r="D6397" s="5" t="s">
        <v>95</v>
      </c>
      <c r="E6397" s="5" t="s">
        <v>203</v>
      </c>
      <c r="F6397" s="9" t="s">
        <v>204</v>
      </c>
      <c r="G6397" s="9">
        <v>141</v>
      </c>
      <c r="H6397" s="5" t="s">
        <v>21</v>
      </c>
      <c r="I6397" s="5" t="s">
        <v>15295</v>
      </c>
      <c r="J6397" s="12" t="str">
        <f>HYPERLINK("https://www.boe.es/gazeta/dias/1808/02/09/pdfs/GMD-1808-12.pdf#page=9","Abrir facsímil")</f>
        <v>Abrir facsímil</v>
      </c>
      <c r="K6397" s="15" t="s">
        <v>23</v>
      </c>
    </row>
    <row r="6398" spans="1:11" ht="42" customHeight="1">
      <c r="A6398" s="4" t="s">
        <v>15296</v>
      </c>
      <c r="B6398" s="5" t="s">
        <v>15297</v>
      </c>
      <c r="C6398" s="5" t="s">
        <v>33</v>
      </c>
      <c r="D6398" s="5" t="s">
        <v>34</v>
      </c>
      <c r="E6398" s="5" t="s">
        <v>35</v>
      </c>
      <c r="F6398" s="9" t="s">
        <v>36</v>
      </c>
      <c r="G6398" s="9" t="s">
        <v>956</v>
      </c>
      <c r="H6398" s="5" t="s">
        <v>21</v>
      </c>
      <c r="I6398" s="5" t="s">
        <v>15298</v>
      </c>
      <c r="J6398" s="12" t="str">
        <f>HYPERLINK("https://www.boe.es/gazeta/dias/1808/04/22/pdfs/GMD-C-1808-38.pdf#page=41","Abrir facsímil")</f>
        <v>Abrir facsímil</v>
      </c>
      <c r="K6398" s="15" t="s">
        <v>23</v>
      </c>
    </row>
    <row r="6399" spans="1:11" ht="42" customHeight="1">
      <c r="A6399" s="4" t="s">
        <v>15299</v>
      </c>
      <c r="B6399" s="5" t="s">
        <v>15300</v>
      </c>
      <c r="C6399" s="5" t="s">
        <v>17</v>
      </c>
      <c r="D6399" s="5" t="s">
        <v>18</v>
      </c>
      <c r="E6399" s="5" t="s">
        <v>558</v>
      </c>
      <c r="F6399" s="9" t="s">
        <v>559</v>
      </c>
      <c r="G6399" s="9">
        <v>1544</v>
      </c>
      <c r="H6399" s="5" t="s">
        <v>21</v>
      </c>
      <c r="I6399" s="5" t="s">
        <v>15301</v>
      </c>
      <c r="J6399" s="12" t="str">
        <f>HYPERLINK("https://www.boe.es/gazeta/dias/1808/11/25/pdfs/GMD-1808-147.pdf#page=10","Abrir facsímil")</f>
        <v>Abrir facsímil</v>
      </c>
      <c r="K6399" s="15" t="s">
        <v>23</v>
      </c>
    </row>
    <row r="6400" spans="1:11" ht="42" customHeight="1">
      <c r="A6400" s="4" t="s">
        <v>15302</v>
      </c>
      <c r="B6400" s="5" t="s">
        <v>15302</v>
      </c>
      <c r="C6400" s="5" t="s">
        <v>17</v>
      </c>
      <c r="D6400" s="5" t="s">
        <v>18</v>
      </c>
      <c r="E6400" s="5" t="s">
        <v>157</v>
      </c>
      <c r="F6400" s="9" t="s">
        <v>158</v>
      </c>
      <c r="G6400" s="9">
        <v>46</v>
      </c>
      <c r="H6400" s="5" t="s">
        <v>21</v>
      </c>
      <c r="I6400" s="5" t="s">
        <v>15303</v>
      </c>
      <c r="J6400" s="12" t="str">
        <f>HYPERLINK("https://www.boe.es/gazeta/dias/1808/06/18/pdfs/GMS-1808-6.pdf#page=6","Abrir facsímil")</f>
        <v>Abrir facsímil</v>
      </c>
      <c r="K6400" s="15" t="s">
        <v>23</v>
      </c>
    </row>
    <row r="6401" spans="1:11" ht="42" customHeight="1">
      <c r="A6401" s="4" t="s">
        <v>15304</v>
      </c>
      <c r="B6401" s="5" t="s">
        <v>15304</v>
      </c>
      <c r="C6401" s="5" t="s">
        <v>101</v>
      </c>
      <c r="D6401" s="5" t="s">
        <v>102</v>
      </c>
      <c r="E6401" s="5" t="s">
        <v>572</v>
      </c>
      <c r="F6401" s="9" t="s">
        <v>573</v>
      </c>
      <c r="G6401" s="9">
        <v>13</v>
      </c>
      <c r="H6401" s="5" t="s">
        <v>21</v>
      </c>
      <c r="I6401" s="5" t="s">
        <v>15305</v>
      </c>
      <c r="J6401" s="12" t="str">
        <f>HYPERLINK("https://www.boe.es/gazeta/dias/1808/01/05/pdfs/GMD-1808-2.pdf#page=1","Abrir facsímil")</f>
        <v>Abrir facsímil</v>
      </c>
      <c r="K6401" s="15" t="s">
        <v>23</v>
      </c>
    </row>
    <row r="6402" spans="1:11" ht="42" customHeight="1">
      <c r="A6402" s="4" t="s">
        <v>15306</v>
      </c>
      <c r="B6402" s="5" t="s">
        <v>15307</v>
      </c>
      <c r="C6402" s="5" t="s">
        <v>17</v>
      </c>
      <c r="D6402" s="5" t="s">
        <v>18</v>
      </c>
      <c r="E6402" s="5" t="s">
        <v>197</v>
      </c>
      <c r="F6402" s="9" t="s">
        <v>857</v>
      </c>
      <c r="G6402" s="9">
        <v>356</v>
      </c>
      <c r="H6402" s="5" t="s">
        <v>21</v>
      </c>
      <c r="I6402" s="5" t="s">
        <v>15308</v>
      </c>
      <c r="J6402" s="12" t="str">
        <f>HYPERLINK("https://www.boe.es/gazeta/dias/1808/11/01/pdfs/GMS-1808-45.pdf#page=4","Abrir facsímil")</f>
        <v>Abrir facsímil</v>
      </c>
      <c r="K6402" s="15" t="s">
        <v>23</v>
      </c>
    </row>
    <row r="6403" spans="1:11" ht="42" customHeight="1">
      <c r="A6403" s="4" t="s">
        <v>15309</v>
      </c>
      <c r="B6403" s="5" t="s">
        <v>15310</v>
      </c>
      <c r="C6403" s="5" t="s">
        <v>33</v>
      </c>
      <c r="D6403" s="5" t="s">
        <v>34</v>
      </c>
      <c r="E6403" s="5" t="s">
        <v>391</v>
      </c>
      <c r="F6403" s="9" t="s">
        <v>588</v>
      </c>
      <c r="G6403" s="9" t="s">
        <v>199</v>
      </c>
      <c r="H6403" s="5" t="s">
        <v>21</v>
      </c>
      <c r="I6403" s="5" t="s">
        <v>15311</v>
      </c>
      <c r="J6403" s="12" t="str">
        <f>HYPERLINK("https://www.boe.es/gazeta/dias/1808/09/27/pdfs/GMD-C-1808-128.pdf#page=2","Abrir facsímil")</f>
        <v>Abrir facsímil</v>
      </c>
      <c r="K6403" s="15" t="s">
        <v>23</v>
      </c>
    </row>
    <row r="6404" spans="1:11" ht="42" customHeight="1">
      <c r="A6404" s="4" t="s">
        <v>15312</v>
      </c>
      <c r="B6404" s="5" t="s">
        <v>15312</v>
      </c>
      <c r="C6404" s="5" t="s">
        <v>41</v>
      </c>
      <c r="D6404" s="5" t="s">
        <v>42</v>
      </c>
      <c r="E6404" s="5" t="s">
        <v>166</v>
      </c>
      <c r="F6404" s="9" t="s">
        <v>400</v>
      </c>
      <c r="G6404" s="9" t="s">
        <v>199</v>
      </c>
      <c r="H6404" s="5" t="s">
        <v>21</v>
      </c>
      <c r="I6404" s="5" t="s">
        <v>15313</v>
      </c>
      <c r="J6404" s="12" t="str">
        <f>HYPERLINK("https://www.boe.es/gazeta/dias/1808/11/18/pdfs/D00069-00072.pdf#page=2","Abrir facsímil")</f>
        <v>Abrir facsímil</v>
      </c>
      <c r="K6404" s="15" t="s">
        <v>23</v>
      </c>
    </row>
    <row r="6405" spans="1:11" ht="42" customHeight="1">
      <c r="A6405" s="4" t="s">
        <v>15314</v>
      </c>
      <c r="B6405" s="5" t="s">
        <v>15314</v>
      </c>
      <c r="C6405" s="5" t="s">
        <v>33</v>
      </c>
      <c r="D6405" s="5" t="s">
        <v>34</v>
      </c>
      <c r="E6405" s="5" t="s">
        <v>35</v>
      </c>
      <c r="F6405" s="9" t="s">
        <v>36</v>
      </c>
      <c r="G6405" s="9" t="s">
        <v>299</v>
      </c>
      <c r="H6405" s="5" t="s">
        <v>21</v>
      </c>
      <c r="I6405" s="5" t="s">
        <v>15315</v>
      </c>
      <c r="J6405" s="12" t="str">
        <f>HYPERLINK("https://www.boe.es/gazeta/dias/1808/04/22/pdfs/GMD-C-1808-38.pdf#page=14","Abrir facsímil")</f>
        <v>Abrir facsímil</v>
      </c>
      <c r="K6405" s="15" t="s">
        <v>23</v>
      </c>
    </row>
    <row r="6406" spans="1:11" ht="42" customHeight="1">
      <c r="A6406" s="4" t="s">
        <v>15314</v>
      </c>
      <c r="B6406" s="5" t="s">
        <v>15314</v>
      </c>
      <c r="C6406" s="5" t="s">
        <v>41</v>
      </c>
      <c r="D6406" s="5" t="s">
        <v>42</v>
      </c>
      <c r="E6406" s="5" t="s">
        <v>35</v>
      </c>
      <c r="F6406" s="9" t="s">
        <v>36</v>
      </c>
      <c r="G6406" s="9" t="s">
        <v>414</v>
      </c>
      <c r="H6406" s="5" t="s">
        <v>21</v>
      </c>
      <c r="I6406" s="5" t="s">
        <v>15316</v>
      </c>
      <c r="J6406" s="12" t="str">
        <f>HYPERLINK("https://www.boe.es/gazeta/dias/1808/04/22/pdfs/GMD-C-1808-38.pdf#page=20","Abrir facsímil")</f>
        <v>Abrir facsímil</v>
      </c>
      <c r="K6406" s="15" t="s">
        <v>23</v>
      </c>
    </row>
    <row r="6407" spans="1:11" ht="42" customHeight="1">
      <c r="A6407" s="4" t="s">
        <v>15314</v>
      </c>
      <c r="B6407" s="5" t="s">
        <v>15314</v>
      </c>
      <c r="C6407" s="5" t="s">
        <v>33</v>
      </c>
      <c r="D6407" s="5" t="s">
        <v>34</v>
      </c>
      <c r="E6407" s="5" t="s">
        <v>35</v>
      </c>
      <c r="F6407" s="9" t="s">
        <v>36</v>
      </c>
      <c r="G6407" s="9" t="s">
        <v>313</v>
      </c>
      <c r="H6407" s="5" t="s">
        <v>21</v>
      </c>
      <c r="I6407" s="5" t="s">
        <v>15317</v>
      </c>
      <c r="J6407" s="12" t="str">
        <f>HYPERLINK("https://www.boe.es/gazeta/dias/1808/04/22/pdfs/GMD-C-1808-38.pdf#page=29","Abrir facsímil")</f>
        <v>Abrir facsímil</v>
      </c>
      <c r="K6407" s="15" t="s">
        <v>23</v>
      </c>
    </row>
    <row r="6408" spans="1:11" ht="42" customHeight="1">
      <c r="A6408" s="4" t="s">
        <v>15314</v>
      </c>
      <c r="B6408" s="5" t="s">
        <v>15314</v>
      </c>
      <c r="C6408" s="5" t="s">
        <v>33</v>
      </c>
      <c r="D6408" s="5" t="s">
        <v>34</v>
      </c>
      <c r="E6408" s="5" t="s">
        <v>35</v>
      </c>
      <c r="F6408" s="9" t="s">
        <v>36</v>
      </c>
      <c r="G6408" s="9" t="s">
        <v>75</v>
      </c>
      <c r="H6408" s="5" t="s">
        <v>21</v>
      </c>
      <c r="I6408" s="5" t="s">
        <v>15318</v>
      </c>
      <c r="J6408" s="12" t="str">
        <f>HYPERLINK("https://www.boe.es/gazeta/dias/1808/04/22/pdfs/GMD-C-1808-38.pdf#page=4","Abrir facsímil")</f>
        <v>Abrir facsímil</v>
      </c>
      <c r="K6408" s="15" t="s">
        <v>23</v>
      </c>
    </row>
    <row r="6409" spans="1:11" ht="42" customHeight="1">
      <c r="A6409" s="4" t="s">
        <v>15319</v>
      </c>
      <c r="B6409" s="5" t="s">
        <v>15319</v>
      </c>
      <c r="C6409" s="5" t="s">
        <v>17</v>
      </c>
      <c r="D6409" s="5" t="s">
        <v>18</v>
      </c>
      <c r="E6409" s="5" t="s">
        <v>473</v>
      </c>
      <c r="F6409" s="9" t="s">
        <v>474</v>
      </c>
      <c r="G6409" s="9">
        <v>710</v>
      </c>
      <c r="H6409" s="5" t="s">
        <v>21</v>
      </c>
      <c r="I6409" s="5" t="s">
        <v>15320</v>
      </c>
      <c r="J6409" s="12" t="str">
        <f>HYPERLINK("https://www.boe.es/gazeta/dias/1808/07/02/pdfs/GMD-1808-74.pdf#page=8","Abrir facsímil")</f>
        <v>Abrir facsímil</v>
      </c>
      <c r="K6409" s="15" t="s">
        <v>23</v>
      </c>
    </row>
    <row r="6410" spans="1:11" ht="42" customHeight="1">
      <c r="A6410" s="4" t="s">
        <v>15321</v>
      </c>
      <c r="B6410" s="5" t="s">
        <v>15321</v>
      </c>
      <c r="C6410" s="5" t="s">
        <v>33</v>
      </c>
      <c r="D6410" s="5" t="s">
        <v>34</v>
      </c>
      <c r="E6410" s="5" t="s">
        <v>35</v>
      </c>
      <c r="F6410" s="9" t="s">
        <v>36</v>
      </c>
      <c r="G6410" s="9" t="s">
        <v>80</v>
      </c>
      <c r="H6410" s="5" t="s">
        <v>21</v>
      </c>
      <c r="I6410" s="5" t="s">
        <v>15322</v>
      </c>
      <c r="J6410" s="12" t="str">
        <f>HYPERLINK("https://www.boe.es/gazeta/dias/1808/04/22/pdfs/GMD-C-1808-38.pdf#page=18","Abrir facsímil")</f>
        <v>Abrir facsímil</v>
      </c>
      <c r="K6410" s="15" t="s">
        <v>23</v>
      </c>
    </row>
    <row r="6411" spans="1:11" ht="42" customHeight="1">
      <c r="A6411" s="4" t="s">
        <v>15323</v>
      </c>
      <c r="B6411" s="5" t="s">
        <v>15324</v>
      </c>
      <c r="C6411" s="5" t="s">
        <v>33</v>
      </c>
      <c r="D6411" s="5" t="s">
        <v>34</v>
      </c>
      <c r="E6411" s="5" t="s">
        <v>180</v>
      </c>
      <c r="F6411" s="9" t="s">
        <v>768</v>
      </c>
      <c r="G6411" s="9" t="s">
        <v>106</v>
      </c>
      <c r="H6411" s="5" t="s">
        <v>21</v>
      </c>
      <c r="I6411" s="5" t="s">
        <v>15325</v>
      </c>
      <c r="J6411" s="12" t="str">
        <f>HYPERLINK("https://www.boe.es/gazeta/dias/1808/11/15/pdfs/GMD-D-1808-144.pdf#page=3","Abrir facsímil")</f>
        <v>Abrir facsímil</v>
      </c>
      <c r="K6411" s="15" t="s">
        <v>23</v>
      </c>
    </row>
    <row r="6412" spans="1:11" ht="42" customHeight="1">
      <c r="A6412" s="4" t="s">
        <v>15326</v>
      </c>
      <c r="B6412" s="5" t="s">
        <v>15327</v>
      </c>
      <c r="C6412" s="5" t="s">
        <v>17</v>
      </c>
      <c r="D6412" s="5" t="s">
        <v>18</v>
      </c>
      <c r="E6412" s="5" t="s">
        <v>8875</v>
      </c>
      <c r="F6412" s="9" t="s">
        <v>8876</v>
      </c>
      <c r="G6412" s="9">
        <v>881</v>
      </c>
      <c r="H6412" s="5" t="s">
        <v>21</v>
      </c>
      <c r="I6412" s="5" t="s">
        <v>15328</v>
      </c>
      <c r="J6412" s="12" t="str">
        <f>HYPERLINK("https://www.boe.es/gazeta/dias/1808/07/24/pdfs/GMD-1808-96.pdf#page=3","Abrir facsímil")</f>
        <v>Abrir facsímil</v>
      </c>
      <c r="K6412" s="15" t="s">
        <v>23</v>
      </c>
    </row>
    <row r="6413" spans="1:11" ht="42" customHeight="1">
      <c r="A6413" s="4" t="s">
        <v>15329</v>
      </c>
      <c r="B6413" s="5" t="s">
        <v>15330</v>
      </c>
      <c r="C6413" s="5" t="s">
        <v>17</v>
      </c>
      <c r="D6413" s="5" t="s">
        <v>18</v>
      </c>
      <c r="E6413" s="5" t="s">
        <v>478</v>
      </c>
      <c r="F6413" s="9" t="s">
        <v>479</v>
      </c>
      <c r="G6413" s="9">
        <v>241</v>
      </c>
      <c r="H6413" s="5" t="s">
        <v>21</v>
      </c>
      <c r="I6413" s="5" t="s">
        <v>15331</v>
      </c>
      <c r="J6413" s="12" t="str">
        <f>HYPERLINK("https://www.boe.es/gazeta/dias/1808/03/08/pdfs/GMD-1808-20.pdf#page=7","Abrir facsímil")</f>
        <v>Abrir facsímil</v>
      </c>
      <c r="K6413" s="15" t="s">
        <v>23</v>
      </c>
    </row>
    <row r="6414" spans="1:11" ht="42" customHeight="1">
      <c r="A6414" s="4" t="s">
        <v>15332</v>
      </c>
      <c r="B6414" s="5" t="s">
        <v>15333</v>
      </c>
      <c r="C6414" s="5" t="s">
        <v>33</v>
      </c>
      <c r="D6414" s="5" t="s">
        <v>34</v>
      </c>
      <c r="E6414" s="5" t="s">
        <v>334</v>
      </c>
      <c r="F6414" s="9" t="s">
        <v>335</v>
      </c>
      <c r="G6414" s="9">
        <v>1254</v>
      </c>
      <c r="H6414" s="5" t="s">
        <v>21</v>
      </c>
      <c r="I6414" s="5" t="s">
        <v>15334</v>
      </c>
      <c r="J6414" s="12" t="str">
        <f>HYPERLINK("https://www.boe.es/gazeta/dias/1808/10/04/pdfs/GMD-C-1808-131.pdf#page=6","Abrir facsímil")</f>
        <v>Abrir facsímil</v>
      </c>
      <c r="K6414" s="15" t="s">
        <v>23</v>
      </c>
    </row>
    <row r="6415" spans="1:11" ht="42" customHeight="1">
      <c r="A6415" s="4" t="s">
        <v>15332</v>
      </c>
      <c r="B6415" s="5" t="s">
        <v>15333</v>
      </c>
      <c r="C6415" s="5" t="s">
        <v>33</v>
      </c>
      <c r="D6415" s="5" t="s">
        <v>34</v>
      </c>
      <c r="E6415" s="5" t="s">
        <v>65</v>
      </c>
      <c r="F6415" s="9" t="s">
        <v>105</v>
      </c>
      <c r="G6415" s="9" t="s">
        <v>199</v>
      </c>
      <c r="H6415" s="5" t="s">
        <v>21</v>
      </c>
      <c r="I6415" s="5" t="s">
        <v>15335</v>
      </c>
      <c r="J6415" s="12" t="str">
        <f>HYPERLINK("https://www.boe.es/gazeta/dias/1808/10/18/pdfs/GMD-D-1808-135.pdf#page=2","Abrir facsímil")</f>
        <v>Abrir facsímil</v>
      </c>
      <c r="K6415" s="15" t="s">
        <v>23</v>
      </c>
    </row>
    <row r="6416" spans="1:11" ht="42" customHeight="1">
      <c r="A6416" s="4" t="s">
        <v>15336</v>
      </c>
      <c r="B6416" s="5" t="s">
        <v>15337</v>
      </c>
      <c r="C6416" s="5" t="s">
        <v>33</v>
      </c>
      <c r="D6416" s="5" t="s">
        <v>34</v>
      </c>
      <c r="E6416" s="5" t="s">
        <v>68</v>
      </c>
      <c r="F6416" s="9" t="s">
        <v>849</v>
      </c>
      <c r="G6416" s="9">
        <v>1344</v>
      </c>
      <c r="H6416" s="5" t="s">
        <v>21</v>
      </c>
      <c r="I6416" s="5" t="s">
        <v>15338</v>
      </c>
      <c r="J6416" s="12" t="str">
        <f>HYPERLINK("https://www.boe.es/gazeta/dias/1808/10/21/pdfs/GMD-C-1808-136.pdf#page=4","Abrir facsímil")</f>
        <v>Abrir facsímil</v>
      </c>
      <c r="K6416" s="15" t="s">
        <v>23</v>
      </c>
    </row>
    <row r="6417" spans="1:11" ht="42" customHeight="1">
      <c r="A6417" s="4" t="s">
        <v>15339</v>
      </c>
      <c r="B6417" s="5" t="s">
        <v>15340</v>
      </c>
      <c r="C6417" s="5" t="s">
        <v>33</v>
      </c>
      <c r="D6417" s="5" t="s">
        <v>34</v>
      </c>
      <c r="E6417" s="5" t="s">
        <v>264</v>
      </c>
      <c r="F6417" s="9" t="s">
        <v>318</v>
      </c>
      <c r="G6417" s="9" t="s">
        <v>106</v>
      </c>
      <c r="H6417" s="5" t="s">
        <v>21</v>
      </c>
      <c r="I6417" s="5" t="s">
        <v>15341</v>
      </c>
      <c r="J6417" s="12" t="str">
        <f>HYPERLINK("https://www.boe.es/gazeta/dias/1808/11/29/pdfs/GMD-C-1808-148.pdf#page=3","Abrir facsímil")</f>
        <v>Abrir facsímil</v>
      </c>
      <c r="K6417" s="15" t="s">
        <v>23</v>
      </c>
    </row>
    <row r="6418" spans="1:11" ht="42" customHeight="1">
      <c r="A6418" s="4" t="s">
        <v>15342</v>
      </c>
      <c r="B6418" s="5" t="s">
        <v>15342</v>
      </c>
      <c r="C6418" s="5" t="s">
        <v>33</v>
      </c>
      <c r="D6418" s="5" t="s">
        <v>34</v>
      </c>
      <c r="E6418" s="5" t="s">
        <v>456</v>
      </c>
      <c r="F6418" s="9" t="s">
        <v>748</v>
      </c>
      <c r="G6418" s="9" t="s">
        <v>117</v>
      </c>
      <c r="H6418" s="5" t="s">
        <v>21</v>
      </c>
      <c r="I6418" s="5" t="s">
        <v>15343</v>
      </c>
      <c r="J6418" s="12" t="str">
        <f>HYPERLINK("https://www.boe.es/gazeta/dias/1808/10/14/pdfs/GMD-C-1808-134.pdf#page=1","Abrir facsímil")</f>
        <v>Abrir facsímil</v>
      </c>
      <c r="K6418" s="15" t="s">
        <v>23</v>
      </c>
    </row>
    <row r="6419" spans="1:11" ht="42" customHeight="1">
      <c r="A6419" s="4" t="s">
        <v>15344</v>
      </c>
      <c r="B6419" s="5" t="s">
        <v>15345</v>
      </c>
      <c r="C6419" s="5" t="s">
        <v>260</v>
      </c>
      <c r="D6419" s="5" t="s">
        <v>42</v>
      </c>
      <c r="E6419" s="5" t="s">
        <v>54</v>
      </c>
      <c r="F6419" s="9" t="s">
        <v>6663</v>
      </c>
      <c r="G6419" s="9">
        <v>208</v>
      </c>
      <c r="H6419" s="5" t="s">
        <v>21</v>
      </c>
      <c r="I6419" s="5" t="s">
        <v>15346</v>
      </c>
      <c r="J6419" s="12" t="str">
        <f>HYPERLINK("https://www.boe.es/gazeta/dias/1808/08/26/pdfs/GMS-1808-26.pdf#page=8","Abrir facsímil")</f>
        <v>Abrir facsímil</v>
      </c>
      <c r="K6419" s="15" t="s">
        <v>23</v>
      </c>
    </row>
    <row r="6420" spans="1:11" ht="42" customHeight="1">
      <c r="A6420" s="4" t="s">
        <v>15347</v>
      </c>
      <c r="B6420" s="5" t="s">
        <v>15348</v>
      </c>
      <c r="C6420" s="5" t="s">
        <v>41</v>
      </c>
      <c r="D6420" s="5" t="s">
        <v>42</v>
      </c>
      <c r="E6420" s="5" t="s">
        <v>431</v>
      </c>
      <c r="F6420" s="9" t="s">
        <v>432</v>
      </c>
      <c r="G6420" s="9">
        <v>492</v>
      </c>
      <c r="H6420" s="5" t="s">
        <v>21</v>
      </c>
      <c r="I6420" s="5" t="s">
        <v>15349</v>
      </c>
      <c r="J6420" s="12" t="str">
        <f>HYPERLINK("https://www.boe.es/gazeta/dias/1808/12/27/pdfs/GMS-1808-61.pdf#page=8","Abrir facsímil")</f>
        <v>Abrir facsímil</v>
      </c>
      <c r="K6420" s="15" t="s">
        <v>23</v>
      </c>
    </row>
    <row r="6421" spans="1:11" ht="42" customHeight="1">
      <c r="A6421" s="4" t="s">
        <v>15350</v>
      </c>
      <c r="B6421" s="5" t="s">
        <v>15351</v>
      </c>
      <c r="C6421" s="5" t="s">
        <v>17</v>
      </c>
      <c r="D6421" s="5" t="s">
        <v>18</v>
      </c>
      <c r="E6421" s="5" t="s">
        <v>68</v>
      </c>
      <c r="F6421" s="9" t="s">
        <v>69</v>
      </c>
      <c r="G6421" s="9">
        <v>1338</v>
      </c>
      <c r="H6421" s="5" t="s">
        <v>21</v>
      </c>
      <c r="I6421" s="5" t="s">
        <v>15352</v>
      </c>
      <c r="J6421" s="12" t="str">
        <f>HYPERLINK("https://www.boe.es/gazeta/dias/1808/10/21/pdfs/GMD-1808-136.pdf#page=10","Abrir facsímil")</f>
        <v>Abrir facsímil</v>
      </c>
      <c r="K6421" s="15" t="s">
        <v>23</v>
      </c>
    </row>
    <row r="6422" spans="1:11" ht="42" customHeight="1">
      <c r="A6422" s="4" t="s">
        <v>15353</v>
      </c>
      <c r="B6422" s="5" t="s">
        <v>15354</v>
      </c>
      <c r="C6422" s="5" t="s">
        <v>33</v>
      </c>
      <c r="D6422" s="5" t="s">
        <v>34</v>
      </c>
      <c r="E6422" s="5" t="s">
        <v>89</v>
      </c>
      <c r="F6422" s="9" t="s">
        <v>563</v>
      </c>
      <c r="G6422" s="9" t="s">
        <v>199</v>
      </c>
      <c r="H6422" s="5" t="s">
        <v>21</v>
      </c>
      <c r="I6422" s="5" t="s">
        <v>15355</v>
      </c>
      <c r="J6422" s="12" t="str">
        <f>HYPERLINK("https://www.boe.es/gazeta/dias/1808/10/25/pdfs/GMD-D-1808-137.pdf#page=2","Abrir facsímil")</f>
        <v>Abrir facsímil</v>
      </c>
      <c r="K6422" s="15" t="s">
        <v>23</v>
      </c>
    </row>
    <row r="6423" spans="1:11" ht="42" customHeight="1">
      <c r="A6423" s="4" t="s">
        <v>15356</v>
      </c>
      <c r="B6423" s="5" t="s">
        <v>15357</v>
      </c>
      <c r="C6423" s="5" t="s">
        <v>41</v>
      </c>
      <c r="D6423" s="5" t="s">
        <v>42</v>
      </c>
      <c r="E6423" s="5" t="s">
        <v>96</v>
      </c>
      <c r="F6423" s="9" t="s">
        <v>97</v>
      </c>
      <c r="G6423" s="9">
        <v>267</v>
      </c>
      <c r="H6423" s="5" t="s">
        <v>21</v>
      </c>
      <c r="I6423" s="5" t="s">
        <v>15358</v>
      </c>
      <c r="J6423" s="12" t="str">
        <f>HYPERLINK("https://www.boe.es/gazeta/dias/1808/03/15/pdfs/GMD-1808-22.pdf#page=9","Abrir facsímil")</f>
        <v>Abrir facsímil</v>
      </c>
      <c r="K6423" s="15" t="s">
        <v>23</v>
      </c>
    </row>
    <row r="6424" spans="1:11" ht="42" customHeight="1">
      <c r="A6424" s="4" t="s">
        <v>15359</v>
      </c>
      <c r="B6424" s="5" t="s">
        <v>15360</v>
      </c>
      <c r="C6424" s="5" t="s">
        <v>389</v>
      </c>
      <c r="D6424" s="5" t="s">
        <v>390</v>
      </c>
      <c r="E6424" s="5" t="s">
        <v>363</v>
      </c>
      <c r="F6424" s="9" t="s">
        <v>3718</v>
      </c>
      <c r="G6424" s="9">
        <v>264</v>
      </c>
      <c r="H6424" s="5" t="s">
        <v>21</v>
      </c>
      <c r="I6424" s="5" t="s">
        <v>15361</v>
      </c>
      <c r="J6424" s="12" t="str">
        <f>HYPERLINK("https://www.boe.es/gazeta/dias/1808/09/20/pdfs/GMS-1808-33.pdf#page=8","Abrir facsímil")</f>
        <v>Abrir facsímil</v>
      </c>
      <c r="K6424" s="15" t="s">
        <v>23</v>
      </c>
    </row>
    <row r="6425" spans="1:11" ht="42" customHeight="1">
      <c r="A6425" s="4" t="s">
        <v>15362</v>
      </c>
      <c r="B6425" s="5" t="s">
        <v>15363</v>
      </c>
      <c r="C6425" s="5" t="s">
        <v>33</v>
      </c>
      <c r="D6425" s="5" t="s">
        <v>34</v>
      </c>
      <c r="E6425" s="5" t="s">
        <v>35</v>
      </c>
      <c r="F6425" s="9" t="s">
        <v>36</v>
      </c>
      <c r="G6425" s="9" t="s">
        <v>924</v>
      </c>
      <c r="H6425" s="5" t="s">
        <v>21</v>
      </c>
      <c r="I6425" s="5" t="s">
        <v>15364</v>
      </c>
      <c r="J6425" s="12" t="str">
        <f>HYPERLINK("https://www.boe.es/gazeta/dias/1808/04/22/pdfs/GMD-C-1808-38.pdf#page=27","Abrir facsímil")</f>
        <v>Abrir facsímil</v>
      </c>
      <c r="K6425" s="15" t="s">
        <v>23</v>
      </c>
    </row>
    <row r="6426" spans="1:11" ht="42" customHeight="1">
      <c r="A6426" s="4" t="s">
        <v>15362</v>
      </c>
      <c r="B6426" s="5" t="s">
        <v>15363</v>
      </c>
      <c r="C6426" s="5" t="s">
        <v>33</v>
      </c>
      <c r="D6426" s="5" t="s">
        <v>34</v>
      </c>
      <c r="E6426" s="5" t="s">
        <v>35</v>
      </c>
      <c r="F6426" s="9" t="s">
        <v>36</v>
      </c>
      <c r="G6426" s="9" t="s">
        <v>1075</v>
      </c>
      <c r="H6426" s="5" t="s">
        <v>21</v>
      </c>
      <c r="I6426" s="5" t="s">
        <v>15365</v>
      </c>
      <c r="J6426" s="12" t="str">
        <f>HYPERLINK("https://www.boe.es/gazeta/dias/1808/04/22/pdfs/GMD-C-1808-38.pdf#page=32","Abrir facsímil")</f>
        <v>Abrir facsímil</v>
      </c>
      <c r="K6426" s="15" t="s">
        <v>23</v>
      </c>
    </row>
    <row r="6427" spans="1:11" ht="42" customHeight="1">
      <c r="A6427" s="4" t="s">
        <v>15366</v>
      </c>
      <c r="B6427" s="5" t="s">
        <v>15367</v>
      </c>
      <c r="C6427" s="5" t="s">
        <v>33</v>
      </c>
      <c r="D6427" s="5" t="s">
        <v>34</v>
      </c>
      <c r="E6427" s="5" t="s">
        <v>363</v>
      </c>
      <c r="F6427" s="9" t="s">
        <v>364</v>
      </c>
      <c r="G6427" s="9" t="s">
        <v>117</v>
      </c>
      <c r="H6427" s="5" t="s">
        <v>21</v>
      </c>
      <c r="I6427" s="5" t="s">
        <v>15368</v>
      </c>
      <c r="J6427" s="12" t="str">
        <f>HYPERLINK("https://www.boe.es/gazeta/dias/1808/09/20/pdfs/GMD-C-1808-126.pdf#page=1","Abrir facsímil")</f>
        <v>Abrir facsímil</v>
      </c>
      <c r="K6427" s="15" t="s">
        <v>23</v>
      </c>
    </row>
    <row r="6428" spans="1:11" ht="42" customHeight="1">
      <c r="A6428" s="4" t="s">
        <v>15369</v>
      </c>
      <c r="B6428" s="5" t="s">
        <v>15370</v>
      </c>
      <c r="C6428" s="5" t="s">
        <v>33</v>
      </c>
      <c r="D6428" s="5" t="s">
        <v>34</v>
      </c>
      <c r="E6428" s="5" t="s">
        <v>153</v>
      </c>
      <c r="F6428" s="9" t="s">
        <v>154</v>
      </c>
      <c r="G6428" s="9" t="s">
        <v>199</v>
      </c>
      <c r="H6428" s="5" t="s">
        <v>21</v>
      </c>
      <c r="I6428" s="5" t="s">
        <v>15371</v>
      </c>
      <c r="J6428" s="12" t="str">
        <f>HYPERLINK("https://www.boe.es/gazeta/dias/1808/09/09/pdfs/GMD-C-1808-121.pdf#page=2","Abrir facsímil")</f>
        <v>Abrir facsímil</v>
      </c>
      <c r="K6428" s="15" t="s">
        <v>23</v>
      </c>
    </row>
    <row r="6429" spans="1:11" ht="42" customHeight="1">
      <c r="A6429" s="4" t="s">
        <v>15372</v>
      </c>
      <c r="B6429" s="5" t="s">
        <v>15373</v>
      </c>
      <c r="C6429" s="5" t="s">
        <v>389</v>
      </c>
      <c r="D6429" s="5" t="s">
        <v>390</v>
      </c>
      <c r="E6429" s="5" t="s">
        <v>192</v>
      </c>
      <c r="F6429" s="9" t="s">
        <v>193</v>
      </c>
      <c r="G6429" s="9">
        <v>765</v>
      </c>
      <c r="H6429" s="5" t="s">
        <v>21</v>
      </c>
      <c r="I6429" s="5" t="s">
        <v>15374</v>
      </c>
      <c r="J6429" s="12" t="str">
        <f>HYPERLINK("https://www.boe.es/gazeta/dias/1808/07/09/pdfs/GMD-1808-81.pdf#page=7","Abrir facsímil")</f>
        <v>Abrir facsímil</v>
      </c>
      <c r="K6429" s="15" t="s">
        <v>23</v>
      </c>
    </row>
    <row r="6430" spans="1:11" ht="42" customHeight="1">
      <c r="A6430" s="4" t="s">
        <v>15375</v>
      </c>
      <c r="B6430" s="5" t="s">
        <v>15376</v>
      </c>
      <c r="C6430" s="5" t="s">
        <v>41</v>
      </c>
      <c r="D6430" s="5" t="s">
        <v>42</v>
      </c>
      <c r="E6430" s="5" t="s">
        <v>180</v>
      </c>
      <c r="F6430" s="9" t="s">
        <v>768</v>
      </c>
      <c r="G6430" s="9" t="s">
        <v>117</v>
      </c>
      <c r="H6430" s="5" t="s">
        <v>21</v>
      </c>
      <c r="I6430" s="5" t="s">
        <v>15377</v>
      </c>
      <c r="J6430" s="12" t="str">
        <f>HYPERLINK("https://www.boe.es/gazeta/dias/1808/11/15/pdfs/GMD-D-1808-144.pdf#page=1","Abrir facsímil")</f>
        <v>Abrir facsímil</v>
      </c>
      <c r="K6430" s="15" t="s">
        <v>23</v>
      </c>
    </row>
    <row r="6431" spans="1:11" ht="42" customHeight="1">
      <c r="A6431" s="4" t="s">
        <v>15378</v>
      </c>
      <c r="B6431" s="5" t="s">
        <v>15379</v>
      </c>
      <c r="C6431" s="5" t="s">
        <v>33</v>
      </c>
      <c r="D6431" s="5" t="s">
        <v>34</v>
      </c>
      <c r="E6431" s="5" t="s">
        <v>89</v>
      </c>
      <c r="F6431" s="9" t="s">
        <v>563</v>
      </c>
      <c r="G6431" s="9" t="s">
        <v>117</v>
      </c>
      <c r="H6431" s="5" t="s">
        <v>21</v>
      </c>
      <c r="I6431" s="5" t="s">
        <v>15380</v>
      </c>
      <c r="J6431" s="12" t="str">
        <f>HYPERLINK("https://www.boe.es/gazeta/dias/1808/10/25/pdfs/GMD-D-1808-137.pdf#page=1","Abrir facsímil")</f>
        <v>Abrir facsímil</v>
      </c>
      <c r="K6431" s="15" t="s">
        <v>23</v>
      </c>
    </row>
    <row r="6432" spans="1:11" ht="42" customHeight="1">
      <c r="A6432" s="4" t="s">
        <v>15381</v>
      </c>
      <c r="B6432" s="5" t="s">
        <v>15382</v>
      </c>
      <c r="C6432" s="5" t="s">
        <v>41</v>
      </c>
      <c r="D6432" s="5" t="s">
        <v>42</v>
      </c>
      <c r="E6432" s="5" t="s">
        <v>264</v>
      </c>
      <c r="F6432" s="9" t="s">
        <v>318</v>
      </c>
      <c r="G6432" s="9" t="s">
        <v>75</v>
      </c>
      <c r="H6432" s="5" t="s">
        <v>21</v>
      </c>
      <c r="I6432" s="5" t="s">
        <v>15383</v>
      </c>
      <c r="J6432" s="12" t="str">
        <f>HYPERLINK("https://www.boe.es/gazeta/dias/1808/11/29/pdfs/GMD-C-1808-148.pdf#page=4","Abrir facsímil")</f>
        <v>Abrir facsímil</v>
      </c>
      <c r="K6432" s="15" t="s">
        <v>23</v>
      </c>
    </row>
    <row r="6433" spans="1:11" ht="42" customHeight="1">
      <c r="A6433" s="4" t="s">
        <v>15384</v>
      </c>
      <c r="B6433" s="5" t="s">
        <v>15385</v>
      </c>
      <c r="C6433" s="5" t="s">
        <v>17</v>
      </c>
      <c r="D6433" s="5" t="s">
        <v>18</v>
      </c>
      <c r="E6433" s="5" t="s">
        <v>1258</v>
      </c>
      <c r="F6433" s="9" t="s">
        <v>1259</v>
      </c>
      <c r="G6433" s="9">
        <v>890</v>
      </c>
      <c r="H6433" s="5" t="s">
        <v>21</v>
      </c>
      <c r="I6433" s="5" t="s">
        <v>15386</v>
      </c>
      <c r="J6433" s="12" t="str">
        <f>HYPERLINK("https://www.boe.es/gazeta/dias/1808/07/25/pdfs/GMD-1808-97.pdf#page=4","Abrir facsímil")</f>
        <v>Abrir facsímil</v>
      </c>
      <c r="K6433" s="15" t="s">
        <v>23</v>
      </c>
    </row>
    <row r="6434" spans="1:11" ht="42" customHeight="1">
      <c r="A6434" s="4" t="s">
        <v>15387</v>
      </c>
      <c r="B6434" s="5" t="s">
        <v>15388</v>
      </c>
      <c r="C6434" s="5" t="s">
        <v>17</v>
      </c>
      <c r="D6434" s="5" t="s">
        <v>18</v>
      </c>
      <c r="E6434" s="5" t="s">
        <v>19</v>
      </c>
      <c r="F6434" s="9" t="s">
        <v>59</v>
      </c>
      <c r="G6434" s="9">
        <v>1228</v>
      </c>
      <c r="H6434" s="5" t="s">
        <v>21</v>
      </c>
      <c r="I6434" s="5" t="s">
        <v>15389</v>
      </c>
      <c r="J6434" s="12" t="str">
        <f>HYPERLINK("https://www.boe.es/gazeta/dias/1808/09/30/pdfs/GMD-1808-130.pdf#page=8","Abrir facsímil")</f>
        <v>Abrir facsímil</v>
      </c>
      <c r="K6434" s="15" t="s">
        <v>23</v>
      </c>
    </row>
    <row r="6435" spans="1:11" ht="42" customHeight="1">
      <c r="A6435" s="4" t="s">
        <v>15390</v>
      </c>
      <c r="B6435" s="5" t="s">
        <v>15391</v>
      </c>
      <c r="C6435" s="5" t="s">
        <v>33</v>
      </c>
      <c r="D6435" s="5" t="s">
        <v>34</v>
      </c>
      <c r="E6435" s="5" t="s">
        <v>125</v>
      </c>
      <c r="F6435" s="9" t="s">
        <v>126</v>
      </c>
      <c r="G6435" s="9" t="s">
        <v>75</v>
      </c>
      <c r="H6435" s="5" t="s">
        <v>21</v>
      </c>
      <c r="I6435" s="5" t="s">
        <v>15392</v>
      </c>
      <c r="J6435" s="12" t="str">
        <f>HYPERLINK("https://www.boe.es/gazeta/dias/1808/10/07/pdfs/GMD-C-1808-132.pdf#page=4","Abrir facsímil")</f>
        <v>Abrir facsímil</v>
      </c>
      <c r="K6435" s="15" t="s">
        <v>23</v>
      </c>
    </row>
    <row r="6436" spans="1:11" ht="42" customHeight="1">
      <c r="A6436" s="4" t="s">
        <v>15393</v>
      </c>
      <c r="B6436" s="5" t="s">
        <v>15394</v>
      </c>
      <c r="C6436" s="5" t="s">
        <v>33</v>
      </c>
      <c r="D6436" s="5" t="s">
        <v>34</v>
      </c>
      <c r="E6436" s="5" t="s">
        <v>35</v>
      </c>
      <c r="F6436" s="9" t="s">
        <v>36</v>
      </c>
      <c r="G6436" s="9" t="s">
        <v>924</v>
      </c>
      <c r="H6436" s="5" t="s">
        <v>21</v>
      </c>
      <c r="I6436" s="5" t="s">
        <v>15395</v>
      </c>
      <c r="J6436" s="12" t="str">
        <f>HYPERLINK("https://www.boe.es/gazeta/dias/1808/04/22/pdfs/GMD-C-1808-38.pdf#page=27","Abrir facsímil")</f>
        <v>Abrir facsímil</v>
      </c>
      <c r="K6436" s="15" t="s">
        <v>23</v>
      </c>
    </row>
    <row r="6437" spans="1:11" ht="42" customHeight="1">
      <c r="A6437" s="4" t="s">
        <v>15393</v>
      </c>
      <c r="B6437" s="5" t="s">
        <v>15394</v>
      </c>
      <c r="C6437" s="5" t="s">
        <v>33</v>
      </c>
      <c r="D6437" s="5" t="s">
        <v>34</v>
      </c>
      <c r="E6437" s="5" t="s">
        <v>558</v>
      </c>
      <c r="F6437" s="9" t="s">
        <v>758</v>
      </c>
      <c r="G6437" s="9" t="s">
        <v>106</v>
      </c>
      <c r="H6437" s="5" t="s">
        <v>21</v>
      </c>
      <c r="I6437" s="5" t="s">
        <v>15396</v>
      </c>
      <c r="J6437" s="12" t="str">
        <f>HYPERLINK("https://www.boe.es/gazeta/dias/1808/11/25/pdfs/GMD-E-1808-147.pdf#page=3","Abrir facsímil")</f>
        <v>Abrir facsímil</v>
      </c>
      <c r="K6437" s="15" t="s">
        <v>23</v>
      </c>
    </row>
    <row r="6438" spans="1:11" ht="42" customHeight="1">
      <c r="A6438" s="4" t="s">
        <v>15397</v>
      </c>
      <c r="B6438" s="5" t="s">
        <v>15398</v>
      </c>
      <c r="C6438" s="5" t="s">
        <v>389</v>
      </c>
      <c r="D6438" s="5" t="s">
        <v>390</v>
      </c>
      <c r="E6438" s="5" t="s">
        <v>166</v>
      </c>
      <c r="F6438" s="9" t="s">
        <v>400</v>
      </c>
      <c r="G6438" s="9" t="s">
        <v>106</v>
      </c>
      <c r="H6438" s="5" t="s">
        <v>21</v>
      </c>
      <c r="I6438" s="5" t="s">
        <v>15399</v>
      </c>
      <c r="J6438" s="12" t="str">
        <f>HYPERLINK("https://www.boe.es/gazeta/dias/1808/11/18/pdfs/D00069-00072.pdf#page=3","Abrir facsímil")</f>
        <v>Abrir facsímil</v>
      </c>
      <c r="K6438" s="15" t="s">
        <v>23</v>
      </c>
    </row>
    <row r="6439" spans="1:11" ht="42" customHeight="1">
      <c r="A6439" s="4" t="s">
        <v>15400</v>
      </c>
      <c r="B6439" s="5" t="s">
        <v>15401</v>
      </c>
      <c r="C6439" s="5" t="s">
        <v>17</v>
      </c>
      <c r="D6439" s="5" t="s">
        <v>18</v>
      </c>
      <c r="E6439" s="5" t="s">
        <v>427</v>
      </c>
      <c r="F6439" s="9" t="s">
        <v>1802</v>
      </c>
      <c r="G6439" s="9">
        <v>1523</v>
      </c>
      <c r="H6439" s="5" t="s">
        <v>21</v>
      </c>
      <c r="I6439" s="5" t="s">
        <v>15402</v>
      </c>
      <c r="J6439" s="12" t="str">
        <f>HYPERLINK("https://www.boe.es/gazeta/dias/1808/11/22/pdfs/GMD-1808-146.pdf#page=9","Abrir facsímil")</f>
        <v>Abrir facsímil</v>
      </c>
      <c r="K6439" s="15" t="s">
        <v>23</v>
      </c>
    </row>
    <row r="6440" spans="1:11" ht="42" customHeight="1">
      <c r="A6440" s="4" t="s">
        <v>15403</v>
      </c>
      <c r="B6440" s="5" t="s">
        <v>15404</v>
      </c>
      <c r="C6440" s="5" t="s">
        <v>94</v>
      </c>
      <c r="D6440" s="5" t="s">
        <v>95</v>
      </c>
      <c r="E6440" s="5" t="s">
        <v>264</v>
      </c>
      <c r="F6440" s="9" t="s">
        <v>265</v>
      </c>
      <c r="G6440" s="9">
        <v>421</v>
      </c>
      <c r="H6440" s="5" t="s">
        <v>21</v>
      </c>
      <c r="I6440" s="5" t="s">
        <v>15405</v>
      </c>
      <c r="J6440" s="12" t="str">
        <f>HYPERLINK("https://www.boe.es/gazeta/dias/1808/11/29/pdfs/GMS-1808-53.pdf#page=5","Abrir facsímil")</f>
        <v>Abrir facsímil</v>
      </c>
      <c r="K6440" s="15" t="s">
        <v>23</v>
      </c>
    </row>
    <row r="6441" spans="1:11" ht="42" customHeight="1">
      <c r="A6441" s="4" t="s">
        <v>15406</v>
      </c>
      <c r="B6441" s="5" t="s">
        <v>15407</v>
      </c>
      <c r="C6441" s="5" t="s">
        <v>17</v>
      </c>
      <c r="D6441" s="5" t="s">
        <v>18</v>
      </c>
      <c r="E6441" s="5" t="s">
        <v>228</v>
      </c>
      <c r="F6441" s="9" t="s">
        <v>229</v>
      </c>
      <c r="G6441" s="9">
        <v>838</v>
      </c>
      <c r="H6441" s="5" t="s">
        <v>21</v>
      </c>
      <c r="I6441" s="5" t="s">
        <v>15408</v>
      </c>
      <c r="J6441" s="12" t="str">
        <f>HYPERLINK("https://www.boe.es/gazeta/dias/1808/07/18/pdfs/GMD-1808-90.pdf#page=8","Abrir facsímil")</f>
        <v>Abrir facsímil</v>
      </c>
      <c r="K6441" s="15" t="s">
        <v>23</v>
      </c>
    </row>
    <row r="6442" spans="1:11" ht="42" customHeight="1">
      <c r="A6442" s="4" t="s">
        <v>15409</v>
      </c>
      <c r="B6442" s="5" t="s">
        <v>15410</v>
      </c>
      <c r="C6442" s="5" t="s">
        <v>33</v>
      </c>
      <c r="D6442" s="5" t="s">
        <v>34</v>
      </c>
      <c r="E6442" s="5" t="s">
        <v>508</v>
      </c>
      <c r="F6442" s="9" t="s">
        <v>1561</v>
      </c>
      <c r="G6442" s="9">
        <v>1022</v>
      </c>
      <c r="H6442" s="5" t="s">
        <v>21</v>
      </c>
      <c r="I6442" s="5" t="s">
        <v>15411</v>
      </c>
      <c r="J6442" s="12" t="str">
        <f>HYPERLINK("https://www.boe.es/gazeta/dias/1808/08/16/pdfs/GMD-C-1808-113.pdf#page=2","Abrir facsímil")</f>
        <v>Abrir facsímil</v>
      </c>
      <c r="K6442" s="15" t="s">
        <v>23</v>
      </c>
    </row>
    <row r="6443" spans="1:11" ht="42" customHeight="1">
      <c r="A6443" s="4" t="s">
        <v>15412</v>
      </c>
      <c r="B6443" s="5" t="s">
        <v>15413</v>
      </c>
      <c r="C6443" s="5" t="s">
        <v>33</v>
      </c>
      <c r="D6443" s="5" t="s">
        <v>34</v>
      </c>
      <c r="E6443" s="5" t="s">
        <v>89</v>
      </c>
      <c r="F6443" s="9" t="s">
        <v>563</v>
      </c>
      <c r="G6443" s="9" t="s">
        <v>199</v>
      </c>
      <c r="H6443" s="5" t="s">
        <v>21</v>
      </c>
      <c r="I6443" s="5" t="s">
        <v>15414</v>
      </c>
      <c r="J6443" s="12" t="str">
        <f>HYPERLINK("https://www.boe.es/gazeta/dias/1808/10/25/pdfs/GMD-D-1808-137.pdf#page=2","Abrir facsímil")</f>
        <v>Abrir facsímil</v>
      </c>
      <c r="K6443" s="15" t="s">
        <v>23</v>
      </c>
    </row>
    <row r="6444" spans="1:11" ht="42" customHeight="1">
      <c r="A6444" s="4" t="s">
        <v>15415</v>
      </c>
      <c r="B6444" s="5" t="s">
        <v>15416</v>
      </c>
      <c r="C6444" s="5" t="s">
        <v>260</v>
      </c>
      <c r="D6444" s="5" t="s">
        <v>42</v>
      </c>
      <c r="E6444" s="5" t="s">
        <v>1472</v>
      </c>
      <c r="F6444" s="9" t="s">
        <v>1473</v>
      </c>
      <c r="G6444" s="9">
        <v>95</v>
      </c>
      <c r="H6444" s="5" t="s">
        <v>21</v>
      </c>
      <c r="I6444" s="5" t="s">
        <v>15417</v>
      </c>
      <c r="J6444" s="12" t="str">
        <f>HYPERLINK("https://www.boe.es/gazeta/dias/1808/01/26/pdfs/GMD-1808-8.pdf#page=11","Abrir facsímil")</f>
        <v>Abrir facsímil</v>
      </c>
      <c r="K6444" s="15" t="s">
        <v>23</v>
      </c>
    </row>
    <row r="6445" spans="1:11" ht="42" customHeight="1">
      <c r="A6445" s="4" t="s">
        <v>15418</v>
      </c>
      <c r="B6445" s="5" t="s">
        <v>15419</v>
      </c>
      <c r="C6445" s="5" t="s">
        <v>41</v>
      </c>
      <c r="D6445" s="5" t="s">
        <v>42</v>
      </c>
      <c r="E6445" s="5" t="s">
        <v>61</v>
      </c>
      <c r="F6445" s="9" t="s">
        <v>62</v>
      </c>
      <c r="G6445" s="9">
        <v>1287</v>
      </c>
      <c r="H6445" s="5" t="s">
        <v>21</v>
      </c>
      <c r="I6445" s="5" t="s">
        <v>15420</v>
      </c>
      <c r="J6445" s="12" t="str">
        <f>HYPERLINK("https://www.boe.es/gazeta/dias/1808/10/11/pdfs/GMD-1808-133.pdf#page=15","Abrir facsímil")</f>
        <v>Abrir facsímil</v>
      </c>
      <c r="K6445" s="15" t="s">
        <v>23</v>
      </c>
    </row>
    <row r="6446" spans="1:11" ht="42" customHeight="1">
      <c r="A6446" s="4" t="s">
        <v>15421</v>
      </c>
      <c r="B6446" s="5" t="s">
        <v>15422</v>
      </c>
      <c r="C6446" s="5" t="s">
        <v>41</v>
      </c>
      <c r="D6446" s="5" t="s">
        <v>42</v>
      </c>
      <c r="E6446" s="5" t="s">
        <v>19</v>
      </c>
      <c r="F6446" s="9" t="s">
        <v>59</v>
      </c>
      <c r="G6446" s="9">
        <v>1230</v>
      </c>
      <c r="H6446" s="5" t="s">
        <v>21</v>
      </c>
      <c r="I6446" s="5" t="s">
        <v>15423</v>
      </c>
      <c r="J6446" s="12" t="str">
        <f>HYPERLINK("https://www.boe.es/gazeta/dias/1808/09/30/pdfs/GMD-1808-130.pdf#page=10","Abrir facsímil")</f>
        <v>Abrir facsímil</v>
      </c>
      <c r="K6446" s="15" t="s">
        <v>23</v>
      </c>
    </row>
    <row r="6447" spans="1:11" ht="42" customHeight="1">
      <c r="A6447" s="4" t="s">
        <v>15424</v>
      </c>
      <c r="B6447" s="5" t="s">
        <v>15425</v>
      </c>
      <c r="C6447" s="5" t="s">
        <v>33</v>
      </c>
      <c r="D6447" s="5" t="s">
        <v>34</v>
      </c>
      <c r="E6447" s="5" t="s">
        <v>363</v>
      </c>
      <c r="F6447" s="9" t="s">
        <v>364</v>
      </c>
      <c r="G6447" s="9" t="s">
        <v>106</v>
      </c>
      <c r="H6447" s="5" t="s">
        <v>21</v>
      </c>
      <c r="I6447" s="5" t="s">
        <v>15426</v>
      </c>
      <c r="J6447" s="12" t="str">
        <f>HYPERLINK("https://www.boe.es/gazeta/dias/1808/09/20/pdfs/GMD-C-1808-126.pdf#page=3","Abrir facsímil")</f>
        <v>Abrir facsímil</v>
      </c>
      <c r="K6447" s="15" t="s">
        <v>23</v>
      </c>
    </row>
    <row r="6448" spans="1:11" ht="42" customHeight="1">
      <c r="A6448" s="4" t="s">
        <v>15424</v>
      </c>
      <c r="B6448" s="5" t="s">
        <v>15425</v>
      </c>
      <c r="C6448" s="5" t="s">
        <v>33</v>
      </c>
      <c r="D6448" s="5" t="s">
        <v>34</v>
      </c>
      <c r="E6448" s="5" t="s">
        <v>68</v>
      </c>
      <c r="F6448" s="9" t="s">
        <v>309</v>
      </c>
      <c r="G6448" s="9" t="s">
        <v>106</v>
      </c>
      <c r="H6448" s="5" t="s">
        <v>21</v>
      </c>
      <c r="I6448" s="5" t="s">
        <v>15427</v>
      </c>
      <c r="J6448" s="12" t="str">
        <f>HYPERLINK("https://www.boe.es/gazeta/dias/1808/10/21/pdfs/GMD-D-1808-136.pdf#page=3","Abrir facsímil")</f>
        <v>Abrir facsímil</v>
      </c>
      <c r="K6448" s="15" t="s">
        <v>23</v>
      </c>
    </row>
    <row r="6449" spans="1:11" ht="42" customHeight="1">
      <c r="A6449" s="4" t="s">
        <v>15424</v>
      </c>
      <c r="B6449" s="5" t="s">
        <v>15425</v>
      </c>
      <c r="C6449" s="5" t="s">
        <v>17</v>
      </c>
      <c r="D6449" s="5" t="s">
        <v>18</v>
      </c>
      <c r="E6449" s="5" t="s">
        <v>461</v>
      </c>
      <c r="F6449" s="9" t="s">
        <v>733</v>
      </c>
      <c r="G6449" s="9">
        <v>1448</v>
      </c>
      <c r="H6449" s="5" t="s">
        <v>21</v>
      </c>
      <c r="I6449" s="5" t="s">
        <v>15428</v>
      </c>
      <c r="J6449" s="12" t="str">
        <f>HYPERLINK("https://www.boe.es/gazeta/dias/1808/11/08/pdfs/GMD-1808-142.pdf#page=10","Abrir facsímil")</f>
        <v>Abrir facsímil</v>
      </c>
      <c r="K6449" s="15" t="s">
        <v>23</v>
      </c>
    </row>
    <row r="6450" spans="1:11" ht="42" customHeight="1">
      <c r="A6450" s="4" t="s">
        <v>15429</v>
      </c>
      <c r="B6450" s="5" t="s">
        <v>15430</v>
      </c>
      <c r="C6450" s="5" t="s">
        <v>33</v>
      </c>
      <c r="D6450" s="5" t="s">
        <v>34</v>
      </c>
      <c r="E6450" s="5" t="s">
        <v>35</v>
      </c>
      <c r="F6450" s="9" t="s">
        <v>36</v>
      </c>
      <c r="G6450" s="9" t="s">
        <v>1128</v>
      </c>
      <c r="H6450" s="5" t="s">
        <v>21</v>
      </c>
      <c r="I6450" s="5" t="s">
        <v>15431</v>
      </c>
      <c r="J6450" s="12" t="str">
        <f>HYPERLINK("https://www.boe.es/gazeta/dias/1808/04/22/pdfs/GMD-C-1808-38.pdf#page=11","Abrir facsímil")</f>
        <v>Abrir facsímil</v>
      </c>
      <c r="K6450" s="15" t="s">
        <v>23</v>
      </c>
    </row>
    <row r="6451" spans="1:11" ht="42" customHeight="1">
      <c r="A6451" s="4" t="s">
        <v>15429</v>
      </c>
      <c r="B6451" s="5" t="s">
        <v>15430</v>
      </c>
      <c r="C6451" s="5" t="s">
        <v>33</v>
      </c>
      <c r="D6451" s="5" t="s">
        <v>34</v>
      </c>
      <c r="E6451" s="5" t="s">
        <v>363</v>
      </c>
      <c r="F6451" s="9" t="s">
        <v>364</v>
      </c>
      <c r="G6451" s="9" t="s">
        <v>117</v>
      </c>
      <c r="H6451" s="5" t="s">
        <v>21</v>
      </c>
      <c r="I6451" s="5" t="s">
        <v>15432</v>
      </c>
      <c r="J6451" s="12" t="str">
        <f>HYPERLINK("https://www.boe.es/gazeta/dias/1808/09/20/pdfs/GMD-C-1808-126.pdf#page=1","Abrir facsímil")</f>
        <v>Abrir facsímil</v>
      </c>
      <c r="K6451" s="15" t="s">
        <v>23</v>
      </c>
    </row>
    <row r="6452" spans="1:11" ht="42" customHeight="1">
      <c r="A6452" s="4" t="s">
        <v>15433</v>
      </c>
      <c r="B6452" s="5" t="s">
        <v>15433</v>
      </c>
      <c r="C6452" s="5" t="s">
        <v>17</v>
      </c>
      <c r="D6452" s="5" t="s">
        <v>18</v>
      </c>
      <c r="E6452" s="5" t="s">
        <v>65</v>
      </c>
      <c r="F6452" s="9" t="s">
        <v>66</v>
      </c>
      <c r="G6452" s="9">
        <v>1303</v>
      </c>
      <c r="H6452" s="5" t="s">
        <v>21</v>
      </c>
      <c r="I6452" s="5" t="s">
        <v>15434</v>
      </c>
      <c r="J6452" s="12" t="str">
        <f>HYPERLINK("https://www.boe.es/gazeta/dias/1808/10/18/pdfs/GMD-1808-135.pdf#page=3","Abrir facsímil")</f>
        <v>Abrir facsímil</v>
      </c>
      <c r="K6452" s="15" t="s">
        <v>23</v>
      </c>
    </row>
    <row r="6453" spans="1:11" ht="42" customHeight="1">
      <c r="A6453" s="4" t="s">
        <v>15435</v>
      </c>
      <c r="B6453" s="5" t="s">
        <v>15435</v>
      </c>
      <c r="C6453" s="5" t="s">
        <v>17</v>
      </c>
      <c r="D6453" s="5" t="s">
        <v>18</v>
      </c>
      <c r="E6453" s="5" t="s">
        <v>125</v>
      </c>
      <c r="F6453" s="9" t="s">
        <v>397</v>
      </c>
      <c r="G6453" s="9">
        <v>1270</v>
      </c>
      <c r="H6453" s="5" t="s">
        <v>21</v>
      </c>
      <c r="I6453" s="5" t="s">
        <v>15436</v>
      </c>
      <c r="J6453" s="12" t="str">
        <f>HYPERLINK("https://www.boe.es/gazeta/dias/1808/10/07/pdfs/GMD-1808-132.pdf#page=10","Abrir facsímil")</f>
        <v>Abrir facsímil</v>
      </c>
      <c r="K6453" s="15" t="s">
        <v>23</v>
      </c>
    </row>
    <row r="6454" spans="1:11" ht="42" customHeight="1">
      <c r="A6454" s="4" t="s">
        <v>15437</v>
      </c>
      <c r="B6454" s="5" t="s">
        <v>15437</v>
      </c>
      <c r="C6454" s="5" t="s">
        <v>17</v>
      </c>
      <c r="D6454" s="5" t="s">
        <v>18</v>
      </c>
      <c r="E6454" s="5" t="s">
        <v>508</v>
      </c>
      <c r="F6454" s="9" t="s">
        <v>509</v>
      </c>
      <c r="G6454" s="9">
        <v>1019</v>
      </c>
      <c r="H6454" s="5" t="s">
        <v>21</v>
      </c>
      <c r="I6454" s="5" t="s">
        <v>15438</v>
      </c>
      <c r="J6454" s="12" t="str">
        <f>HYPERLINK("https://www.boe.es/gazeta/dias/1808/08/16/pdfs/GMD-1808-113.pdf#page=11","Abrir facsímil")</f>
        <v>Abrir facsímil</v>
      </c>
      <c r="K6454" s="15" t="s">
        <v>23</v>
      </c>
    </row>
    <row r="6455" spans="1:11" ht="42" customHeight="1">
      <c r="A6455" s="4" t="s">
        <v>15439</v>
      </c>
      <c r="B6455" s="5" t="s">
        <v>15439</v>
      </c>
      <c r="C6455" s="5" t="s">
        <v>17</v>
      </c>
      <c r="D6455" s="5" t="s">
        <v>18</v>
      </c>
      <c r="E6455" s="5" t="s">
        <v>68</v>
      </c>
      <c r="F6455" s="9" t="s">
        <v>69</v>
      </c>
      <c r="G6455" s="9">
        <v>1339</v>
      </c>
      <c r="H6455" s="5" t="s">
        <v>21</v>
      </c>
      <c r="I6455" s="5" t="s">
        <v>15440</v>
      </c>
      <c r="J6455" s="12" t="str">
        <f>HYPERLINK("https://www.boe.es/gazeta/dias/1808/10/21/pdfs/GMD-1808-136.pdf#page=11","Abrir facsímil")</f>
        <v>Abrir facsímil</v>
      </c>
      <c r="K6455" s="15" t="s">
        <v>23</v>
      </c>
    </row>
    <row r="6456" spans="1:11" ht="42" customHeight="1">
      <c r="A6456" s="4" t="s">
        <v>15441</v>
      </c>
      <c r="B6456" s="5" t="s">
        <v>15441</v>
      </c>
      <c r="C6456" s="5" t="s">
        <v>41</v>
      </c>
      <c r="D6456" s="5" t="s">
        <v>42</v>
      </c>
      <c r="E6456" s="5" t="s">
        <v>166</v>
      </c>
      <c r="F6456" s="9" t="s">
        <v>400</v>
      </c>
      <c r="G6456" s="9" t="s">
        <v>199</v>
      </c>
      <c r="H6456" s="5" t="s">
        <v>21</v>
      </c>
      <c r="I6456" s="5" t="s">
        <v>15442</v>
      </c>
      <c r="J6456" s="12" t="str">
        <f>HYPERLINK("https://www.boe.es/gazeta/dias/1808/11/18/pdfs/D00069-00072.pdf#page=2","Abrir facsímil")</f>
        <v>Abrir facsímil</v>
      </c>
      <c r="K6456" s="15" t="s">
        <v>23</v>
      </c>
    </row>
    <row r="6457" spans="1:11" ht="42" customHeight="1">
      <c r="A6457" s="4" t="s">
        <v>15443</v>
      </c>
      <c r="B6457" s="5" t="s">
        <v>15444</v>
      </c>
      <c r="C6457" s="5" t="s">
        <v>33</v>
      </c>
      <c r="D6457" s="5" t="s">
        <v>34</v>
      </c>
      <c r="E6457" s="5" t="s">
        <v>197</v>
      </c>
      <c r="F6457" s="9" t="s">
        <v>198</v>
      </c>
      <c r="G6457" s="9" t="s">
        <v>75</v>
      </c>
      <c r="H6457" s="5" t="s">
        <v>21</v>
      </c>
      <c r="I6457" s="5" t="s">
        <v>15445</v>
      </c>
      <c r="J6457" s="12" t="str">
        <f>HYPERLINK("https://www.boe.es/gazeta/dias/1808/11/01/pdfs/GMD-D-1808-140.pdf#page=4","Abrir facsímil")</f>
        <v>Abrir facsímil</v>
      </c>
      <c r="K6457" s="15" t="s">
        <v>23</v>
      </c>
    </row>
    <row r="6458" spans="1:11" ht="42" customHeight="1">
      <c r="A6458" s="4" t="s">
        <v>15446</v>
      </c>
      <c r="B6458" s="5" t="s">
        <v>15447</v>
      </c>
      <c r="C6458" s="5" t="s">
        <v>17</v>
      </c>
      <c r="D6458" s="5" t="s">
        <v>18</v>
      </c>
      <c r="E6458" s="5" t="s">
        <v>2524</v>
      </c>
      <c r="F6458" s="9" t="s">
        <v>2525</v>
      </c>
      <c r="G6458" s="9">
        <v>1666</v>
      </c>
      <c r="H6458" s="5" t="s">
        <v>21</v>
      </c>
      <c r="I6458" s="5" t="s">
        <v>15448</v>
      </c>
      <c r="J6458" s="12" t="str">
        <f>HYPERLINK("https://www.boe.es/gazeta/dias/1808/12/23/pdfs/GMD-1808-163.pdf#page=4","Abrir facsímil")</f>
        <v>Abrir facsímil</v>
      </c>
      <c r="K6458" s="15" t="s">
        <v>23</v>
      </c>
    </row>
    <row r="6459" spans="1:11" ht="42" customHeight="1">
      <c r="A6459" s="4" t="s">
        <v>15449</v>
      </c>
      <c r="B6459" s="5" t="s">
        <v>15450</v>
      </c>
      <c r="C6459" s="5" t="s">
        <v>17</v>
      </c>
      <c r="D6459" s="5" t="s">
        <v>18</v>
      </c>
      <c r="E6459" s="5" t="s">
        <v>351</v>
      </c>
      <c r="F6459" s="9" t="s">
        <v>352</v>
      </c>
      <c r="G6459" s="9">
        <v>31</v>
      </c>
      <c r="H6459" s="5" t="s">
        <v>21</v>
      </c>
      <c r="I6459" s="5" t="s">
        <v>15451</v>
      </c>
      <c r="J6459" s="12" t="str">
        <f>HYPERLINK("https://www.boe.es/gazeta/dias/1808/06/11/pdfs/GMS-1808-4.pdf#page=7","Abrir facsímil")</f>
        <v>Abrir facsímil</v>
      </c>
      <c r="K6459" s="15" t="s">
        <v>23</v>
      </c>
    </row>
    <row r="6460" spans="1:11" ht="42" customHeight="1">
      <c r="A6460" s="4" t="s">
        <v>15452</v>
      </c>
      <c r="B6460" s="5" t="s">
        <v>15453</v>
      </c>
      <c r="C6460" s="5" t="s">
        <v>17</v>
      </c>
      <c r="D6460" s="5" t="s">
        <v>18</v>
      </c>
      <c r="E6460" s="5" t="s">
        <v>478</v>
      </c>
      <c r="F6460" s="9" t="s">
        <v>479</v>
      </c>
      <c r="G6460" s="9">
        <v>245</v>
      </c>
      <c r="H6460" s="5" t="s">
        <v>21</v>
      </c>
      <c r="I6460" s="5" t="s">
        <v>15454</v>
      </c>
      <c r="J6460" s="12" t="str">
        <f>HYPERLINK("https://www.boe.es/gazeta/dias/1808/03/08/pdfs/GMD-1808-20.pdf#page=11","Abrir facsímil")</f>
        <v>Abrir facsímil</v>
      </c>
      <c r="K6460" s="15" t="s">
        <v>23</v>
      </c>
    </row>
    <row r="6461" spans="1:11" ht="42" customHeight="1">
      <c r="A6461" s="4" t="s">
        <v>15455</v>
      </c>
      <c r="B6461" s="5" t="s">
        <v>15456</v>
      </c>
      <c r="C6461" s="5" t="s">
        <v>94</v>
      </c>
      <c r="D6461" s="5" t="s">
        <v>95</v>
      </c>
      <c r="E6461" s="5" t="s">
        <v>493</v>
      </c>
      <c r="F6461" s="9" t="s">
        <v>494</v>
      </c>
      <c r="G6461" s="9">
        <v>45</v>
      </c>
      <c r="H6461" s="5" t="s">
        <v>21</v>
      </c>
      <c r="I6461" s="5" t="s">
        <v>15457</v>
      </c>
      <c r="J6461" s="12" t="str">
        <f>HYPERLINK("https://www.boe.es/gazeta/dias/1808/01/12/pdfs/GMD-1808-4.pdf#page=9","Abrir facsímil")</f>
        <v>Abrir facsímil</v>
      </c>
      <c r="K6461" s="15" t="s">
        <v>23</v>
      </c>
    </row>
    <row r="6462" spans="1:11" ht="42" customHeight="1">
      <c r="A6462" s="4" t="s">
        <v>15455</v>
      </c>
      <c r="B6462" s="5" t="s">
        <v>15456</v>
      </c>
      <c r="C6462" s="5" t="s">
        <v>17</v>
      </c>
      <c r="D6462" s="5" t="s">
        <v>18</v>
      </c>
      <c r="E6462" s="5" t="s">
        <v>2849</v>
      </c>
      <c r="F6462" s="9" t="s">
        <v>2850</v>
      </c>
      <c r="G6462" s="9">
        <v>13</v>
      </c>
      <c r="H6462" s="5" t="s">
        <v>21</v>
      </c>
      <c r="I6462" s="5" t="s">
        <v>15458</v>
      </c>
      <c r="J6462" s="12" t="str">
        <f>HYPERLINK("https://www.boe.es/gazeta/dias/1808/06/04/pdfs/GMS-1808-2.pdf#page=5","Abrir facsímil")</f>
        <v>Abrir facsímil</v>
      </c>
      <c r="K6462" s="15" t="s">
        <v>23</v>
      </c>
    </row>
    <row r="6463" spans="1:11" ht="42" customHeight="1">
      <c r="A6463" s="4" t="s">
        <v>15455</v>
      </c>
      <c r="B6463" s="5" t="s">
        <v>15456</v>
      </c>
      <c r="C6463" s="5" t="s">
        <v>389</v>
      </c>
      <c r="D6463" s="5" t="s">
        <v>390</v>
      </c>
      <c r="E6463" s="5" t="s">
        <v>5928</v>
      </c>
      <c r="F6463" s="9" t="s">
        <v>5929</v>
      </c>
      <c r="G6463" s="9">
        <v>40</v>
      </c>
      <c r="H6463" s="5" t="s">
        <v>21</v>
      </c>
      <c r="I6463" s="5" t="s">
        <v>15459</v>
      </c>
      <c r="J6463" s="12" t="str">
        <f>HYPERLINK("https://www.boe.es/gazeta/dias/1808/06/15/pdfs/GMS-1808-5.pdf#page=8","Abrir facsímil")</f>
        <v>Abrir facsímil</v>
      </c>
      <c r="K6463" s="15" t="s">
        <v>23</v>
      </c>
    </row>
    <row r="6464" spans="1:11" ht="42" customHeight="1">
      <c r="A6464" s="4" t="s">
        <v>15460</v>
      </c>
      <c r="B6464" s="5" t="s">
        <v>15461</v>
      </c>
      <c r="C6464" s="5" t="s">
        <v>17</v>
      </c>
      <c r="D6464" s="5" t="s">
        <v>18</v>
      </c>
      <c r="E6464" s="5" t="s">
        <v>351</v>
      </c>
      <c r="F6464" s="9" t="s">
        <v>352</v>
      </c>
      <c r="G6464" s="9">
        <v>31</v>
      </c>
      <c r="H6464" s="5" t="s">
        <v>21</v>
      </c>
      <c r="I6464" s="5" t="s">
        <v>15462</v>
      </c>
      <c r="J6464" s="12" t="str">
        <f>HYPERLINK("https://www.boe.es/gazeta/dias/1808/06/11/pdfs/GMS-1808-4.pdf#page=7","Abrir facsímil")</f>
        <v>Abrir facsímil</v>
      </c>
      <c r="K6464" s="15" t="s">
        <v>23</v>
      </c>
    </row>
    <row r="6465" spans="1:11" ht="42" customHeight="1">
      <c r="A6465" s="4" t="s">
        <v>15460</v>
      </c>
      <c r="B6465" s="5" t="s">
        <v>15461</v>
      </c>
      <c r="C6465" s="5" t="s">
        <v>17</v>
      </c>
      <c r="D6465" s="5" t="s">
        <v>18</v>
      </c>
      <c r="E6465" s="5" t="s">
        <v>1182</v>
      </c>
      <c r="F6465" s="9" t="s">
        <v>1183</v>
      </c>
      <c r="G6465" s="9">
        <v>64</v>
      </c>
      <c r="H6465" s="5" t="s">
        <v>21</v>
      </c>
      <c r="I6465" s="5" t="s">
        <v>15463</v>
      </c>
      <c r="J6465" s="12" t="str">
        <f>HYPERLINK("https://www.boe.es/gazeta/dias/1808/06/26/pdfs/GMS-1808-8.pdf#page=8","Abrir facsímil")</f>
        <v>Abrir facsímil</v>
      </c>
      <c r="K6465" s="15" t="s">
        <v>23</v>
      </c>
    </row>
    <row r="6466" spans="1:11" ht="42" customHeight="1">
      <c r="A6466" s="4" t="s">
        <v>15460</v>
      </c>
      <c r="B6466" s="5" t="s">
        <v>15461</v>
      </c>
      <c r="C6466" s="5" t="s">
        <v>17</v>
      </c>
      <c r="D6466" s="5" t="s">
        <v>18</v>
      </c>
      <c r="E6466" s="5" t="s">
        <v>84</v>
      </c>
      <c r="F6466" s="9" t="s">
        <v>1381</v>
      </c>
      <c r="G6466" s="9">
        <v>248</v>
      </c>
      <c r="H6466" s="5" t="s">
        <v>21</v>
      </c>
      <c r="I6466" s="5" t="s">
        <v>15464</v>
      </c>
      <c r="J6466" s="12" t="str">
        <f>HYPERLINK("https://www.boe.es/gazeta/dias/1808/09/13/pdfs/GMS-1808-31.pdf#page=8","Abrir facsímil")</f>
        <v>Abrir facsímil</v>
      </c>
      <c r="K6466" s="15" t="s">
        <v>23</v>
      </c>
    </row>
    <row r="6467" spans="1:11" ht="42" customHeight="1">
      <c r="A6467" s="4" t="s">
        <v>15465</v>
      </c>
      <c r="B6467" s="5" t="s">
        <v>15466</v>
      </c>
      <c r="C6467" s="5" t="s">
        <v>41</v>
      </c>
      <c r="D6467" s="5" t="s">
        <v>42</v>
      </c>
      <c r="E6467" s="5" t="s">
        <v>974</v>
      </c>
      <c r="F6467" s="9" t="s">
        <v>975</v>
      </c>
      <c r="G6467" s="9">
        <v>392</v>
      </c>
      <c r="H6467" s="5" t="s">
        <v>21</v>
      </c>
      <c r="I6467" s="5" t="s">
        <v>15467</v>
      </c>
      <c r="J6467" s="12" t="str">
        <f>HYPERLINK("https://www.boe.es/gazeta/dias/1808/04/19/pdfs/GMD-1808-37.pdf#page=8","Abrir facsímil")</f>
        <v>Abrir facsímil</v>
      </c>
      <c r="K6467" s="15" t="s">
        <v>23</v>
      </c>
    </row>
    <row r="6468" spans="1:11" ht="42" customHeight="1">
      <c r="A6468" s="4" t="s">
        <v>15468</v>
      </c>
      <c r="B6468" s="5" t="s">
        <v>15469</v>
      </c>
      <c r="C6468" s="5" t="s">
        <v>33</v>
      </c>
      <c r="D6468" s="5" t="s">
        <v>34</v>
      </c>
      <c r="E6468" s="5" t="s">
        <v>89</v>
      </c>
      <c r="F6468" s="9" t="s">
        <v>563</v>
      </c>
      <c r="G6468" s="9" t="s">
        <v>106</v>
      </c>
      <c r="H6468" s="5" t="s">
        <v>21</v>
      </c>
      <c r="I6468" s="5" t="s">
        <v>15470</v>
      </c>
      <c r="J6468" s="12" t="str">
        <f>HYPERLINK("https://www.boe.es/gazeta/dias/1808/10/25/pdfs/GMD-D-1808-137.pdf#page=3","Abrir facsímil")</f>
        <v>Abrir facsímil</v>
      </c>
      <c r="K6468" s="15" t="s">
        <v>23</v>
      </c>
    </row>
    <row r="6469" spans="1:11" ht="42" customHeight="1">
      <c r="A6469" s="4" t="s">
        <v>15471</v>
      </c>
      <c r="B6469" s="5" t="s">
        <v>15472</v>
      </c>
      <c r="C6469" s="5" t="s">
        <v>17</v>
      </c>
      <c r="D6469" s="5" t="s">
        <v>18</v>
      </c>
      <c r="E6469" s="5" t="s">
        <v>418</v>
      </c>
      <c r="F6469" s="9" t="s">
        <v>1218</v>
      </c>
      <c r="G6469" s="9">
        <v>1121</v>
      </c>
      <c r="H6469" s="5" t="s">
        <v>21</v>
      </c>
      <c r="I6469" s="5" t="s">
        <v>15473</v>
      </c>
      <c r="J6469" s="12" t="str">
        <f>HYPERLINK("https://www.boe.es/gazeta/dias/1808/09/06/pdfs/GMD-1808-120.pdf#page=3","Abrir facsímil")</f>
        <v>Abrir facsímil</v>
      </c>
      <c r="K6469" s="15" t="s">
        <v>23</v>
      </c>
    </row>
    <row r="6470" spans="1:11" ht="42" customHeight="1">
      <c r="A6470" s="4" t="s">
        <v>15474</v>
      </c>
      <c r="B6470" s="5" t="s">
        <v>15474</v>
      </c>
      <c r="C6470" s="5" t="s">
        <v>94</v>
      </c>
      <c r="D6470" s="5" t="s">
        <v>95</v>
      </c>
      <c r="E6470" s="5" t="s">
        <v>120</v>
      </c>
      <c r="F6470" s="9" t="s">
        <v>121</v>
      </c>
      <c r="G6470" s="9">
        <v>307</v>
      </c>
      <c r="H6470" s="5" t="s">
        <v>21</v>
      </c>
      <c r="I6470" s="5" t="s">
        <v>15475</v>
      </c>
      <c r="J6470" s="12" t="str">
        <f>HYPERLINK("https://www.boe.es/gazeta/dias/1808/03/29/pdfs/GMD-1808-27.pdf#page=3","Abrir facsímil")</f>
        <v>Abrir facsímil</v>
      </c>
      <c r="K6470" s="15" t="s">
        <v>23</v>
      </c>
    </row>
    <row r="6471" spans="1:11" ht="42" customHeight="1">
      <c r="A6471" s="4" t="s">
        <v>15476</v>
      </c>
      <c r="B6471" s="5" t="s">
        <v>15476</v>
      </c>
      <c r="C6471" s="5" t="s">
        <v>33</v>
      </c>
      <c r="D6471" s="5" t="s">
        <v>34</v>
      </c>
      <c r="E6471" s="5" t="s">
        <v>35</v>
      </c>
      <c r="F6471" s="9" t="s">
        <v>36</v>
      </c>
      <c r="G6471" s="9" t="s">
        <v>106</v>
      </c>
      <c r="H6471" s="5" t="s">
        <v>21</v>
      </c>
      <c r="I6471" s="5" t="s">
        <v>15477</v>
      </c>
      <c r="J6471" s="12" t="str">
        <f>HYPERLINK("https://www.boe.es/gazeta/dias/1808/04/22/pdfs/GMD-C-1808-38.pdf#page=3","Abrir facsímil")</f>
        <v>Abrir facsímil</v>
      </c>
      <c r="K6471" s="15" t="s">
        <v>23</v>
      </c>
    </row>
    <row r="6472" spans="1:11" ht="42" customHeight="1">
      <c r="A6472" s="4" t="s">
        <v>15478</v>
      </c>
      <c r="B6472" s="5" t="s">
        <v>15478</v>
      </c>
      <c r="C6472" s="5" t="s">
        <v>33</v>
      </c>
      <c r="D6472" s="5" t="s">
        <v>34</v>
      </c>
      <c r="E6472" s="5" t="s">
        <v>35</v>
      </c>
      <c r="F6472" s="9" t="s">
        <v>36</v>
      </c>
      <c r="G6472" s="9" t="s">
        <v>818</v>
      </c>
      <c r="H6472" s="5" t="s">
        <v>21</v>
      </c>
      <c r="I6472" s="5" t="s">
        <v>15479</v>
      </c>
      <c r="J6472" s="12" t="str">
        <f>HYPERLINK("https://www.boe.es/gazeta/dias/1808/04/22/pdfs/GMD-C-1808-38.pdf#page=7","Abrir facsímil")</f>
        <v>Abrir facsímil</v>
      </c>
      <c r="K6472" s="15" t="s">
        <v>23</v>
      </c>
    </row>
    <row r="6473" spans="1:11" ht="42" customHeight="1">
      <c r="A6473" s="4" t="s">
        <v>15476</v>
      </c>
      <c r="B6473" s="5" t="s">
        <v>15476</v>
      </c>
      <c r="C6473" s="5" t="s">
        <v>33</v>
      </c>
      <c r="D6473" s="5" t="s">
        <v>34</v>
      </c>
      <c r="E6473" s="5" t="s">
        <v>456</v>
      </c>
      <c r="F6473" s="9" t="s">
        <v>748</v>
      </c>
      <c r="G6473" s="9" t="s">
        <v>106</v>
      </c>
      <c r="H6473" s="5" t="s">
        <v>21</v>
      </c>
      <c r="I6473" s="5" t="s">
        <v>15480</v>
      </c>
      <c r="J6473" s="12" t="str">
        <f>HYPERLINK("https://www.boe.es/gazeta/dias/1808/10/14/pdfs/GMD-C-1808-134.pdf#page=3","Abrir facsímil")</f>
        <v>Abrir facsímil</v>
      </c>
      <c r="K6473" s="15" t="s">
        <v>23</v>
      </c>
    </row>
    <row r="6474" spans="1:11" ht="42" customHeight="1">
      <c r="A6474" s="4" t="s">
        <v>15481</v>
      </c>
      <c r="B6474" s="5" t="s">
        <v>15481</v>
      </c>
      <c r="C6474" s="5" t="s">
        <v>94</v>
      </c>
      <c r="D6474" s="5" t="s">
        <v>95</v>
      </c>
      <c r="E6474" s="5" t="s">
        <v>222</v>
      </c>
      <c r="F6474" s="9" t="s">
        <v>223</v>
      </c>
      <c r="G6474" s="9">
        <v>355</v>
      </c>
      <c r="H6474" s="5" t="s">
        <v>21</v>
      </c>
      <c r="I6474" s="5" t="s">
        <v>15482</v>
      </c>
      <c r="J6474" s="12" t="str">
        <f>HYPERLINK("https://www.boe.es/gazeta/dias/1808/04/08/pdfs/GMD-1808-32.pdf#page=9","Abrir facsímil")</f>
        <v>Abrir facsímil</v>
      </c>
      <c r="K6474" s="15" t="s">
        <v>23</v>
      </c>
    </row>
    <row r="6475" spans="1:11" ht="42" customHeight="1">
      <c r="A6475" s="4" t="s">
        <v>15483</v>
      </c>
      <c r="B6475" s="5" t="s">
        <v>15483</v>
      </c>
      <c r="C6475" s="5" t="s">
        <v>94</v>
      </c>
      <c r="D6475" s="5" t="s">
        <v>95</v>
      </c>
      <c r="E6475" s="5" t="s">
        <v>974</v>
      </c>
      <c r="F6475" s="9" t="s">
        <v>975</v>
      </c>
      <c r="G6475" s="9">
        <v>391</v>
      </c>
      <c r="H6475" s="5" t="s">
        <v>21</v>
      </c>
      <c r="I6475" s="5" t="s">
        <v>15484</v>
      </c>
      <c r="J6475" s="12" t="str">
        <f>HYPERLINK("https://www.boe.es/gazeta/dias/1808/04/19/pdfs/GMD-1808-37.pdf#page=7","Abrir facsímil")</f>
        <v>Abrir facsímil</v>
      </c>
      <c r="K6475" s="15" t="s">
        <v>23</v>
      </c>
    </row>
    <row r="6476" spans="1:11" ht="42" customHeight="1">
      <c r="A6476" s="4" t="s">
        <v>15485</v>
      </c>
      <c r="B6476" s="5" t="s">
        <v>15485</v>
      </c>
      <c r="C6476" s="5" t="s">
        <v>41</v>
      </c>
      <c r="D6476" s="5" t="s">
        <v>42</v>
      </c>
      <c r="E6476" s="5" t="s">
        <v>35</v>
      </c>
      <c r="F6476" s="9" t="s">
        <v>36</v>
      </c>
      <c r="G6476" s="9" t="s">
        <v>281</v>
      </c>
      <c r="H6476" s="5" t="s">
        <v>21</v>
      </c>
      <c r="I6476" s="5" t="s">
        <v>15486</v>
      </c>
      <c r="J6476" s="12" t="str">
        <f>HYPERLINK("https://www.boe.es/gazeta/dias/1808/04/22/pdfs/GMD-C-1808-38.pdf#page=47","Abrir facsímil")</f>
        <v>Abrir facsímil</v>
      </c>
      <c r="K6476" s="15" t="s">
        <v>23</v>
      </c>
    </row>
    <row r="6477" spans="1:11" ht="42" customHeight="1">
      <c r="A6477" s="4" t="s">
        <v>15487</v>
      </c>
      <c r="B6477" s="5" t="s">
        <v>15487</v>
      </c>
      <c r="C6477" s="5" t="s">
        <v>389</v>
      </c>
      <c r="D6477" s="5" t="s">
        <v>390</v>
      </c>
      <c r="E6477" s="5" t="s">
        <v>166</v>
      </c>
      <c r="F6477" s="9" t="s">
        <v>400</v>
      </c>
      <c r="G6477" s="9" t="s">
        <v>106</v>
      </c>
      <c r="H6477" s="5" t="s">
        <v>21</v>
      </c>
      <c r="I6477" s="5" t="s">
        <v>15488</v>
      </c>
      <c r="J6477" s="12" t="str">
        <f>HYPERLINK("https://www.boe.es/gazeta/dias/1808/11/18/pdfs/D00069-00072.pdf#page=3","Abrir facsímil")</f>
        <v>Abrir facsímil</v>
      </c>
      <c r="K6477" s="15" t="s">
        <v>23</v>
      </c>
    </row>
    <row r="6478" spans="1:11" ht="42" customHeight="1">
      <c r="A6478" s="4" t="s">
        <v>15489</v>
      </c>
      <c r="B6478" s="5" t="s">
        <v>15489</v>
      </c>
      <c r="C6478" s="5" t="s">
        <v>33</v>
      </c>
      <c r="D6478" s="5" t="s">
        <v>34</v>
      </c>
      <c r="E6478" s="5" t="s">
        <v>35</v>
      </c>
      <c r="F6478" s="9" t="s">
        <v>36</v>
      </c>
      <c r="G6478" s="9" t="s">
        <v>148</v>
      </c>
      <c r="H6478" s="5" t="s">
        <v>21</v>
      </c>
      <c r="I6478" s="5" t="s">
        <v>15490</v>
      </c>
      <c r="J6478" s="12" t="str">
        <f>HYPERLINK("https://www.boe.es/gazeta/dias/1808/04/22/pdfs/GMD-C-1808-38.pdf#page=38","Abrir facsímil")</f>
        <v>Abrir facsímil</v>
      </c>
      <c r="K6478" s="15" t="s">
        <v>23</v>
      </c>
    </row>
    <row r="6479" spans="1:11" ht="42" customHeight="1">
      <c r="A6479" s="4" t="s">
        <v>15491</v>
      </c>
      <c r="B6479" s="5" t="s">
        <v>15492</v>
      </c>
      <c r="C6479" s="5" t="s">
        <v>33</v>
      </c>
      <c r="D6479" s="5" t="s">
        <v>34</v>
      </c>
      <c r="E6479" s="5" t="s">
        <v>35</v>
      </c>
      <c r="F6479" s="9" t="s">
        <v>36</v>
      </c>
      <c r="G6479" s="9" t="s">
        <v>501</v>
      </c>
      <c r="H6479" s="5" t="s">
        <v>21</v>
      </c>
      <c r="I6479" s="5" t="s">
        <v>15493</v>
      </c>
      <c r="J6479" s="12" t="str">
        <f>HYPERLINK("https://www.boe.es/gazeta/dias/1808/04/22/pdfs/GMD-C-1808-38.pdf#page=5","Abrir facsímil")</f>
        <v>Abrir facsímil</v>
      </c>
      <c r="K6479" s="15" t="s">
        <v>23</v>
      </c>
    </row>
    <row r="6480" spans="1:11" ht="42" customHeight="1">
      <c r="A6480" s="4" t="s">
        <v>15491</v>
      </c>
      <c r="B6480" s="5" t="s">
        <v>15492</v>
      </c>
      <c r="C6480" s="5" t="s">
        <v>94</v>
      </c>
      <c r="D6480" s="5" t="s">
        <v>95</v>
      </c>
      <c r="E6480" s="5" t="s">
        <v>68</v>
      </c>
      <c r="F6480" s="9" t="s">
        <v>69</v>
      </c>
      <c r="G6480" s="9">
        <v>1338</v>
      </c>
      <c r="H6480" s="5" t="s">
        <v>21</v>
      </c>
      <c r="I6480" s="5" t="s">
        <v>15494</v>
      </c>
      <c r="J6480" s="12" t="str">
        <f>HYPERLINK("https://www.boe.es/gazeta/dias/1808/10/21/pdfs/GMD-1808-136.pdf#page=10","Abrir facsímil")</f>
        <v>Abrir facsímil</v>
      </c>
      <c r="K6480" s="15" t="s">
        <v>23</v>
      </c>
    </row>
    <row r="6481" spans="1:11" ht="42" customHeight="1">
      <c r="A6481" s="4" t="s">
        <v>15495</v>
      </c>
      <c r="B6481" s="5" t="s">
        <v>15495</v>
      </c>
      <c r="C6481" s="5" t="s">
        <v>33</v>
      </c>
      <c r="D6481" s="5" t="s">
        <v>34</v>
      </c>
      <c r="E6481" s="5" t="s">
        <v>427</v>
      </c>
      <c r="F6481" s="9" t="s">
        <v>428</v>
      </c>
      <c r="G6481" s="9" t="s">
        <v>106</v>
      </c>
      <c r="H6481" s="5" t="s">
        <v>21</v>
      </c>
      <c r="I6481" s="5" t="s">
        <v>15496</v>
      </c>
      <c r="J6481" s="12" t="str">
        <f>HYPERLINK("https://www.boe.es/gazeta/dias/1808/11/22/pdfs/GMD-D-1808-146.pdf#page=3","Abrir facsímil")</f>
        <v>Abrir facsímil</v>
      </c>
      <c r="K6481" s="15" t="s">
        <v>23</v>
      </c>
    </row>
    <row r="6482" spans="1:11" ht="42" customHeight="1">
      <c r="A6482" s="4" t="s">
        <v>15497</v>
      </c>
      <c r="B6482" s="5" t="s">
        <v>15497</v>
      </c>
      <c r="C6482" s="5" t="s">
        <v>94</v>
      </c>
      <c r="D6482" s="5" t="s">
        <v>95</v>
      </c>
      <c r="E6482" s="5" t="s">
        <v>28</v>
      </c>
      <c r="F6482" s="9" t="s">
        <v>446</v>
      </c>
      <c r="G6482" s="9" t="s">
        <v>106</v>
      </c>
      <c r="H6482" s="5" t="s">
        <v>21</v>
      </c>
      <c r="I6482" s="5" t="s">
        <v>15498</v>
      </c>
      <c r="J6482" s="12" t="str">
        <f>HYPERLINK("https://www.boe.es/gazeta/dias/1808/11/04/pdfs/GMD-D-1808-141.pdf#page=3","Abrir facsímil")</f>
        <v>Abrir facsímil</v>
      </c>
      <c r="K6482" s="15" t="s">
        <v>23</v>
      </c>
    </row>
    <row r="6483" spans="1:11" ht="42" customHeight="1">
      <c r="A6483" s="4" t="s">
        <v>15499</v>
      </c>
      <c r="B6483" s="5" t="s">
        <v>15499</v>
      </c>
      <c r="C6483" s="5" t="s">
        <v>33</v>
      </c>
      <c r="D6483" s="5" t="s">
        <v>34</v>
      </c>
      <c r="E6483" s="5" t="s">
        <v>35</v>
      </c>
      <c r="F6483" s="9" t="s">
        <v>36</v>
      </c>
      <c r="G6483" s="9" t="s">
        <v>814</v>
      </c>
      <c r="H6483" s="5" t="s">
        <v>21</v>
      </c>
      <c r="I6483" s="5" t="s">
        <v>15500</v>
      </c>
      <c r="J6483" s="12" t="str">
        <f>HYPERLINK("https://www.boe.es/gazeta/dias/1808/04/22/pdfs/GMD-C-1808-38.pdf#page=25","Abrir facsímil")</f>
        <v>Abrir facsímil</v>
      </c>
      <c r="K6483" s="15" t="s">
        <v>23</v>
      </c>
    </row>
    <row r="6484" spans="1:11" ht="42" customHeight="1">
      <c r="A6484" s="4" t="s">
        <v>15501</v>
      </c>
      <c r="B6484" s="5" t="s">
        <v>15501</v>
      </c>
      <c r="C6484" s="5" t="s">
        <v>33</v>
      </c>
      <c r="D6484" s="5" t="s">
        <v>34</v>
      </c>
      <c r="E6484" s="5" t="s">
        <v>35</v>
      </c>
      <c r="F6484" s="9" t="s">
        <v>36</v>
      </c>
      <c r="G6484" s="9" t="s">
        <v>707</v>
      </c>
      <c r="H6484" s="5" t="s">
        <v>21</v>
      </c>
      <c r="I6484" s="5" t="s">
        <v>15502</v>
      </c>
      <c r="J6484" s="12" t="str">
        <f>HYPERLINK("https://www.boe.es/gazeta/dias/1808/04/22/pdfs/GMD-C-1808-38.pdf#page=42","Abrir facsímil")</f>
        <v>Abrir facsímil</v>
      </c>
      <c r="K6484" s="15" t="s">
        <v>23</v>
      </c>
    </row>
    <row r="6485" spans="1:11" ht="42" customHeight="1">
      <c r="A6485" s="4" t="s">
        <v>15503</v>
      </c>
      <c r="B6485" s="5" t="s">
        <v>15503</v>
      </c>
      <c r="C6485" s="5" t="s">
        <v>33</v>
      </c>
      <c r="D6485" s="5" t="s">
        <v>34</v>
      </c>
      <c r="E6485" s="5" t="s">
        <v>461</v>
      </c>
      <c r="F6485" s="9" t="s">
        <v>462</v>
      </c>
      <c r="G6485" s="9" t="s">
        <v>117</v>
      </c>
      <c r="H6485" s="5" t="s">
        <v>21</v>
      </c>
      <c r="I6485" s="5" t="s">
        <v>15504</v>
      </c>
      <c r="J6485" s="12" t="str">
        <f>HYPERLINK("https://www.boe.es/gazeta/dias/1808/11/08/pdfs/GMD-D-1808-142.pdf#page=1","Abrir facsímil")</f>
        <v>Abrir facsímil</v>
      </c>
      <c r="K6485" s="15" t="s">
        <v>23</v>
      </c>
    </row>
    <row r="6486" spans="1:11" ht="42" customHeight="1">
      <c r="A6486" s="4" t="s">
        <v>15505</v>
      </c>
      <c r="B6486" s="5" t="s">
        <v>15505</v>
      </c>
      <c r="C6486" s="5" t="s">
        <v>17</v>
      </c>
      <c r="D6486" s="5" t="s">
        <v>18</v>
      </c>
      <c r="E6486" s="5" t="s">
        <v>61</v>
      </c>
      <c r="F6486" s="9" t="s">
        <v>62</v>
      </c>
      <c r="G6486" s="9">
        <v>1286</v>
      </c>
      <c r="H6486" s="5" t="s">
        <v>21</v>
      </c>
      <c r="I6486" s="5" t="s">
        <v>15506</v>
      </c>
      <c r="J6486" s="12" t="str">
        <f>HYPERLINK("https://www.boe.es/gazeta/dias/1808/10/11/pdfs/GMD-1808-133.pdf#page=14","Abrir facsímil")</f>
        <v>Abrir facsímil</v>
      </c>
      <c r="K6486" s="15" t="s">
        <v>23</v>
      </c>
    </row>
    <row r="6487" spans="1:11" ht="42" customHeight="1">
      <c r="A6487" s="4" t="s">
        <v>15507</v>
      </c>
      <c r="B6487" s="5" t="s">
        <v>15507</v>
      </c>
      <c r="C6487" s="5" t="s">
        <v>33</v>
      </c>
      <c r="D6487" s="5" t="s">
        <v>34</v>
      </c>
      <c r="E6487" s="5" t="s">
        <v>35</v>
      </c>
      <c r="F6487" s="9" t="s">
        <v>36</v>
      </c>
      <c r="G6487" s="9" t="s">
        <v>47</v>
      </c>
      <c r="H6487" s="5" t="s">
        <v>21</v>
      </c>
      <c r="I6487" s="5" t="s">
        <v>15508</v>
      </c>
      <c r="J6487" s="12" t="str">
        <f>HYPERLINK("https://www.boe.es/gazeta/dias/1808/04/22/pdfs/GMD-C-1808-38.pdf#page=13","Abrir facsímil")</f>
        <v>Abrir facsímil</v>
      </c>
      <c r="K6487" s="15" t="s">
        <v>23</v>
      </c>
    </row>
    <row r="6488" spans="1:11" ht="42" customHeight="1">
      <c r="A6488" s="4" t="s">
        <v>15509</v>
      </c>
      <c r="B6488" s="5" t="s">
        <v>15509</v>
      </c>
      <c r="C6488" s="5" t="s">
        <v>33</v>
      </c>
      <c r="D6488" s="5" t="s">
        <v>34</v>
      </c>
      <c r="E6488" s="5" t="s">
        <v>35</v>
      </c>
      <c r="F6488" s="9" t="s">
        <v>36</v>
      </c>
      <c r="G6488" s="9" t="s">
        <v>313</v>
      </c>
      <c r="H6488" s="5" t="s">
        <v>21</v>
      </c>
      <c r="I6488" s="5" t="s">
        <v>15510</v>
      </c>
      <c r="J6488" s="12" t="str">
        <f>HYPERLINK("https://www.boe.es/gazeta/dias/1808/04/22/pdfs/GMD-C-1808-38.pdf#page=29","Abrir facsímil")</f>
        <v>Abrir facsímil</v>
      </c>
      <c r="K6488" s="15" t="s">
        <v>23</v>
      </c>
    </row>
    <row r="6489" spans="1:11" ht="42" customHeight="1">
      <c r="A6489" s="4" t="s">
        <v>15511</v>
      </c>
      <c r="B6489" s="5" t="s">
        <v>15511</v>
      </c>
      <c r="C6489" s="5" t="s">
        <v>33</v>
      </c>
      <c r="D6489" s="5" t="s">
        <v>34</v>
      </c>
      <c r="E6489" s="5" t="s">
        <v>35</v>
      </c>
      <c r="F6489" s="9" t="s">
        <v>36</v>
      </c>
      <c r="G6489" s="9" t="s">
        <v>144</v>
      </c>
      <c r="H6489" s="5" t="s">
        <v>21</v>
      </c>
      <c r="I6489" s="5" t="s">
        <v>15512</v>
      </c>
      <c r="J6489" s="12" t="str">
        <f>HYPERLINK("https://www.boe.es/gazeta/dias/1808/04/22/pdfs/GMD-C-1808-38.pdf#page=40","Abrir facsímil")</f>
        <v>Abrir facsímil</v>
      </c>
      <c r="K6489" s="15" t="s">
        <v>23</v>
      </c>
    </row>
    <row r="6490" spans="1:11" ht="42" customHeight="1">
      <c r="A6490" s="4" t="s">
        <v>15513</v>
      </c>
      <c r="B6490" s="5" t="s">
        <v>15513</v>
      </c>
      <c r="C6490" s="5" t="s">
        <v>17</v>
      </c>
      <c r="D6490" s="5" t="s">
        <v>18</v>
      </c>
      <c r="E6490" s="5" t="s">
        <v>51</v>
      </c>
      <c r="F6490" s="9" t="s">
        <v>52</v>
      </c>
      <c r="G6490" s="9">
        <v>991</v>
      </c>
      <c r="H6490" s="5" t="s">
        <v>21</v>
      </c>
      <c r="I6490" s="5" t="s">
        <v>15514</v>
      </c>
      <c r="J6490" s="12" t="str">
        <f>HYPERLINK("https://www.boe.es/gazeta/dias/1808/08/09/pdfs/GMD-1808-111.pdf#page=7","Abrir facsímil")</f>
        <v>Abrir facsímil</v>
      </c>
      <c r="K6490" s="15" t="s">
        <v>23</v>
      </c>
    </row>
    <row r="6491" spans="1:11" ht="42" customHeight="1">
      <c r="A6491" s="4" t="s">
        <v>15515</v>
      </c>
      <c r="B6491" s="5" t="s">
        <v>15515</v>
      </c>
      <c r="C6491" s="5" t="s">
        <v>41</v>
      </c>
      <c r="D6491" s="5" t="s">
        <v>42</v>
      </c>
      <c r="E6491" s="5" t="s">
        <v>35</v>
      </c>
      <c r="F6491" s="9" t="s">
        <v>36</v>
      </c>
      <c r="G6491" s="9" t="s">
        <v>1128</v>
      </c>
      <c r="H6491" s="5" t="s">
        <v>21</v>
      </c>
      <c r="I6491" s="5" t="s">
        <v>15516</v>
      </c>
      <c r="J6491" s="12" t="str">
        <f>HYPERLINK("https://www.boe.es/gazeta/dias/1808/04/22/pdfs/GMD-C-1808-38.pdf#page=11","Abrir facsímil")</f>
        <v>Abrir facsímil</v>
      </c>
      <c r="K6491" s="15" t="s">
        <v>23</v>
      </c>
    </row>
    <row r="6492" spans="1:11" ht="42" customHeight="1">
      <c r="A6492" s="4" t="s">
        <v>15515</v>
      </c>
      <c r="B6492" s="5" t="s">
        <v>15515</v>
      </c>
      <c r="C6492" s="5" t="s">
        <v>41</v>
      </c>
      <c r="D6492" s="5" t="s">
        <v>42</v>
      </c>
      <c r="E6492" s="5" t="s">
        <v>35</v>
      </c>
      <c r="F6492" s="9" t="s">
        <v>36</v>
      </c>
      <c r="G6492" s="9" t="s">
        <v>281</v>
      </c>
      <c r="H6492" s="5" t="s">
        <v>21</v>
      </c>
      <c r="I6492" s="5" t="s">
        <v>15517</v>
      </c>
      <c r="J6492" s="12" t="str">
        <f>HYPERLINK("https://www.boe.es/gazeta/dias/1808/04/22/pdfs/GMD-C-1808-38.pdf#page=47","Abrir facsímil")</f>
        <v>Abrir facsímil</v>
      </c>
      <c r="K6492" s="15" t="s">
        <v>23</v>
      </c>
    </row>
    <row r="6493" spans="1:11" ht="42" customHeight="1">
      <c r="A6493" s="4" t="s">
        <v>15515</v>
      </c>
      <c r="B6493" s="5" t="s">
        <v>15515</v>
      </c>
      <c r="C6493" s="5" t="s">
        <v>41</v>
      </c>
      <c r="D6493" s="5" t="s">
        <v>42</v>
      </c>
      <c r="E6493" s="5" t="s">
        <v>35</v>
      </c>
      <c r="F6493" s="9" t="s">
        <v>36</v>
      </c>
      <c r="G6493" s="9" t="s">
        <v>1294</v>
      </c>
      <c r="H6493" s="5" t="s">
        <v>21</v>
      </c>
      <c r="I6493" s="5" t="s">
        <v>15518</v>
      </c>
      <c r="J6493" s="12" t="str">
        <f>HYPERLINK("https://www.boe.es/gazeta/dias/1808/04/22/pdfs/GMD-C-1808-38.pdf#page=8","Abrir facsímil")</f>
        <v>Abrir facsímil</v>
      </c>
      <c r="K6493" s="15" t="s">
        <v>23</v>
      </c>
    </row>
    <row r="6494" spans="1:11" ht="42" customHeight="1">
      <c r="A6494" s="4" t="s">
        <v>15519</v>
      </c>
      <c r="B6494" s="5" t="s">
        <v>15519</v>
      </c>
      <c r="C6494" s="5" t="s">
        <v>17</v>
      </c>
      <c r="D6494" s="5" t="s">
        <v>18</v>
      </c>
      <c r="E6494" s="5" t="s">
        <v>616</v>
      </c>
      <c r="F6494" s="9" t="s">
        <v>617</v>
      </c>
      <c r="G6494" s="9">
        <v>1041</v>
      </c>
      <c r="H6494" s="5" t="s">
        <v>21</v>
      </c>
      <c r="I6494" s="5" t="s">
        <v>15520</v>
      </c>
      <c r="J6494" s="12" t="str">
        <f>HYPERLINK("https://www.boe.es/gazeta/dias/1808/08/19/pdfs/GMD-1808-115.pdf#page=7","Abrir facsímil")</f>
        <v>Abrir facsímil</v>
      </c>
      <c r="K6494" s="15" t="s">
        <v>23</v>
      </c>
    </row>
    <row r="6495" spans="1:11" ht="42" customHeight="1">
      <c r="A6495" s="4" t="s">
        <v>15521</v>
      </c>
      <c r="B6495" s="5" t="s">
        <v>15521</v>
      </c>
      <c r="C6495" s="5" t="s">
        <v>33</v>
      </c>
      <c r="D6495" s="5" t="s">
        <v>34</v>
      </c>
      <c r="E6495" s="5" t="s">
        <v>461</v>
      </c>
      <c r="F6495" s="9" t="s">
        <v>462</v>
      </c>
      <c r="G6495" s="9" t="s">
        <v>117</v>
      </c>
      <c r="H6495" s="5" t="s">
        <v>21</v>
      </c>
      <c r="I6495" s="5" t="s">
        <v>15522</v>
      </c>
      <c r="J6495" s="12" t="str">
        <f>HYPERLINK("https://www.boe.es/gazeta/dias/1808/11/08/pdfs/GMD-D-1808-142.pdf#page=1","Abrir facsímil")</f>
        <v>Abrir facsímil</v>
      </c>
      <c r="K6495" s="15" t="s">
        <v>23</v>
      </c>
    </row>
    <row r="6496" spans="1:11" ht="42" customHeight="1">
      <c r="A6496" s="4" t="s">
        <v>15523</v>
      </c>
      <c r="B6496" s="5" t="s">
        <v>15524</v>
      </c>
      <c r="C6496" s="5" t="s">
        <v>41</v>
      </c>
      <c r="D6496" s="5" t="s">
        <v>42</v>
      </c>
      <c r="E6496" s="5" t="s">
        <v>461</v>
      </c>
      <c r="F6496" s="9" t="s">
        <v>462</v>
      </c>
      <c r="G6496" s="9" t="s">
        <v>199</v>
      </c>
      <c r="H6496" s="5" t="s">
        <v>21</v>
      </c>
      <c r="I6496" s="5" t="s">
        <v>15525</v>
      </c>
      <c r="J6496" s="12" t="str">
        <f>HYPERLINK("https://www.boe.es/gazeta/dias/1808/11/08/pdfs/GMD-D-1808-142.pdf#page=2","Abrir facsímil")</f>
        <v>Abrir facsímil</v>
      </c>
      <c r="K6496" s="15" t="s">
        <v>23</v>
      </c>
    </row>
    <row r="6497" spans="1:11" ht="42" customHeight="1">
      <c r="A6497" s="4" t="s">
        <v>15526</v>
      </c>
      <c r="B6497" s="5" t="s">
        <v>15527</v>
      </c>
      <c r="C6497" s="5" t="s">
        <v>17</v>
      </c>
      <c r="D6497" s="5" t="s">
        <v>18</v>
      </c>
      <c r="E6497" s="5" t="s">
        <v>130</v>
      </c>
      <c r="F6497" s="9" t="s">
        <v>131</v>
      </c>
      <c r="G6497" s="9">
        <v>1603</v>
      </c>
      <c r="H6497" s="5" t="s">
        <v>21</v>
      </c>
      <c r="I6497" s="5" t="s">
        <v>15528</v>
      </c>
      <c r="J6497" s="12" t="str">
        <f>HYPERLINK("https://www.boe.es/gazeta/dias/1808/12/15/pdfs/GMD-1808-155.pdf#page=7","Abrir facsímil")</f>
        <v>Abrir facsímil</v>
      </c>
      <c r="K6497" s="15" t="s">
        <v>23</v>
      </c>
    </row>
    <row r="6498" spans="1:11" ht="42" customHeight="1">
      <c r="A6498" s="4" t="s">
        <v>15529</v>
      </c>
      <c r="B6498" s="5" t="s">
        <v>15529</v>
      </c>
      <c r="C6498" s="5" t="s">
        <v>17</v>
      </c>
      <c r="D6498" s="5" t="s">
        <v>18</v>
      </c>
      <c r="E6498" s="5" t="s">
        <v>558</v>
      </c>
      <c r="F6498" s="9" t="s">
        <v>559</v>
      </c>
      <c r="G6498" s="9">
        <v>1544</v>
      </c>
      <c r="H6498" s="5" t="s">
        <v>21</v>
      </c>
      <c r="I6498" s="5" t="s">
        <v>15530</v>
      </c>
      <c r="J6498" s="12" t="str">
        <f>HYPERLINK("https://www.boe.es/gazeta/dias/1808/11/25/pdfs/GMD-1808-147.pdf#page=10","Abrir facsímil")</f>
        <v>Abrir facsímil</v>
      </c>
      <c r="K6498" s="15" t="s">
        <v>23</v>
      </c>
    </row>
    <row r="6499" spans="1:11" ht="42" customHeight="1">
      <c r="A6499" s="4" t="s">
        <v>15531</v>
      </c>
      <c r="B6499" s="5" t="s">
        <v>15531</v>
      </c>
      <c r="C6499" s="5" t="s">
        <v>33</v>
      </c>
      <c r="D6499" s="5" t="s">
        <v>34</v>
      </c>
      <c r="E6499" s="5" t="s">
        <v>427</v>
      </c>
      <c r="F6499" s="9" t="s">
        <v>428</v>
      </c>
      <c r="G6499" s="9" t="s">
        <v>106</v>
      </c>
      <c r="H6499" s="5" t="s">
        <v>21</v>
      </c>
      <c r="I6499" s="5" t="s">
        <v>15532</v>
      </c>
      <c r="J6499" s="12" t="str">
        <f>HYPERLINK("https://www.boe.es/gazeta/dias/1808/11/22/pdfs/GMD-D-1808-146.pdf#page=3","Abrir facsímil")</f>
        <v>Abrir facsímil</v>
      </c>
      <c r="K6499" s="15" t="s">
        <v>23</v>
      </c>
    </row>
    <row r="6500" spans="1:11" ht="42" customHeight="1">
      <c r="A6500" s="4" t="s">
        <v>15533</v>
      </c>
      <c r="B6500" s="5" t="s">
        <v>15533</v>
      </c>
      <c r="C6500" s="5" t="s">
        <v>17</v>
      </c>
      <c r="D6500" s="5" t="s">
        <v>18</v>
      </c>
      <c r="E6500" s="5" t="s">
        <v>139</v>
      </c>
      <c r="F6500" s="9" t="s">
        <v>140</v>
      </c>
      <c r="G6500" s="9">
        <v>1203</v>
      </c>
      <c r="H6500" s="5" t="s">
        <v>21</v>
      </c>
      <c r="I6500" s="5" t="s">
        <v>15534</v>
      </c>
      <c r="J6500" s="12" t="str">
        <f>HYPERLINK("https://www.boe.es/gazeta/dias/1808/09/23/pdfs/GMD-1808-127.pdf#page=11","Abrir facsímil")</f>
        <v>Abrir facsímil</v>
      </c>
      <c r="K6500" s="15" t="s">
        <v>23</v>
      </c>
    </row>
    <row r="6501" spans="1:11" ht="42" customHeight="1">
      <c r="A6501" s="4" t="s">
        <v>15535</v>
      </c>
      <c r="B6501" s="5" t="s">
        <v>15536</v>
      </c>
      <c r="C6501" s="5" t="s">
        <v>17</v>
      </c>
      <c r="D6501" s="5" t="s">
        <v>18</v>
      </c>
      <c r="E6501" s="5" t="s">
        <v>960</v>
      </c>
      <c r="F6501" s="9" t="s">
        <v>961</v>
      </c>
      <c r="G6501" s="9">
        <v>860</v>
      </c>
      <c r="H6501" s="5" t="s">
        <v>21</v>
      </c>
      <c r="I6501" s="5" t="s">
        <v>15537</v>
      </c>
      <c r="J6501" s="12" t="str">
        <f>HYPERLINK("https://www.boe.es/gazeta/dias/1808/07/21/pdfs/GMD-1808-93.pdf#page=6","Abrir facsímil")</f>
        <v>Abrir facsímil</v>
      </c>
      <c r="K6501" s="15" t="s">
        <v>23</v>
      </c>
    </row>
    <row r="6502" spans="1:11" ht="42" customHeight="1">
      <c r="A6502" s="4" t="s">
        <v>15538</v>
      </c>
      <c r="B6502" s="5" t="s">
        <v>15538</v>
      </c>
      <c r="C6502" s="5" t="s">
        <v>94</v>
      </c>
      <c r="D6502" s="5" t="s">
        <v>95</v>
      </c>
      <c r="E6502" s="5" t="s">
        <v>2598</v>
      </c>
      <c r="F6502" s="9" t="s">
        <v>2599</v>
      </c>
      <c r="G6502" s="9">
        <v>944</v>
      </c>
      <c r="H6502" s="5" t="s">
        <v>21</v>
      </c>
      <c r="I6502" s="5" t="s">
        <v>15539</v>
      </c>
      <c r="J6502" s="12" t="str">
        <f>HYPERLINK("https://www.boe.es/gazeta/dias/1808/08/01/pdfs/GMD-1808-104.pdf#page=2","Abrir facsímil")</f>
        <v>Abrir facsímil</v>
      </c>
      <c r="K6502" s="15" t="s">
        <v>23</v>
      </c>
    </row>
    <row r="6503" spans="1:11" ht="42" customHeight="1">
      <c r="A6503" s="4" t="s">
        <v>15540</v>
      </c>
      <c r="B6503" s="5" t="s">
        <v>15540</v>
      </c>
      <c r="C6503" s="5" t="s">
        <v>17</v>
      </c>
      <c r="D6503" s="5" t="s">
        <v>18</v>
      </c>
      <c r="E6503" s="5" t="s">
        <v>539</v>
      </c>
      <c r="F6503" s="9" t="s">
        <v>908</v>
      </c>
      <c r="G6503" s="9">
        <v>221</v>
      </c>
      <c r="H6503" s="5" t="s">
        <v>21</v>
      </c>
      <c r="I6503" s="5" t="s">
        <v>15541</v>
      </c>
      <c r="J6503" s="12" t="str">
        <f>HYPERLINK("https://www.boe.es/gazeta/dias/1808/09/02/pdfs/GMS-1808-28.pdf#page=5","Abrir facsímil")</f>
        <v>Abrir facsímil</v>
      </c>
      <c r="K6503" s="15" t="s">
        <v>23</v>
      </c>
    </row>
    <row r="6504" spans="1:11" ht="42" customHeight="1">
      <c r="A6504" s="4" t="s">
        <v>15542</v>
      </c>
      <c r="B6504" s="5" t="s">
        <v>15542</v>
      </c>
      <c r="C6504" s="5" t="s">
        <v>17</v>
      </c>
      <c r="D6504" s="5" t="s">
        <v>18</v>
      </c>
      <c r="E6504" s="5" t="s">
        <v>2935</v>
      </c>
      <c r="F6504" s="9" t="s">
        <v>2936</v>
      </c>
      <c r="G6504" s="9">
        <v>427</v>
      </c>
      <c r="H6504" s="5" t="s">
        <v>21</v>
      </c>
      <c r="I6504" s="5" t="s">
        <v>15543</v>
      </c>
      <c r="J6504" s="12" t="str">
        <f>HYPERLINK("https://www.boe.es/gazeta/dias/1808/12/02/pdfs/GMS-1808-54.pdf#page=3","Abrir facsímil")</f>
        <v>Abrir facsímil</v>
      </c>
      <c r="K6504" s="15" t="s">
        <v>23</v>
      </c>
    </row>
    <row r="6505" spans="1:11" ht="42" customHeight="1">
      <c r="A6505" s="4" t="s">
        <v>15544</v>
      </c>
      <c r="B6505" s="5" t="s">
        <v>15544</v>
      </c>
      <c r="C6505" s="5" t="s">
        <v>101</v>
      </c>
      <c r="D6505" s="5" t="s">
        <v>102</v>
      </c>
      <c r="E6505" s="5" t="s">
        <v>2856</v>
      </c>
      <c r="F6505" s="9" t="s">
        <v>6466</v>
      </c>
      <c r="G6505" s="9">
        <v>960</v>
      </c>
      <c r="H6505" s="5" t="s">
        <v>21</v>
      </c>
      <c r="I6505" s="5" t="s">
        <v>15545</v>
      </c>
      <c r="J6505" s="12" t="str">
        <f>HYPERLINK("https://www.boe.es/gazeta/dias/1808/08/03/pdfs/GMD-1808-106.pdf#page=2","Abrir facsímil")</f>
        <v>Abrir facsímil</v>
      </c>
      <c r="K6505" s="15" t="s">
        <v>23</v>
      </c>
    </row>
    <row r="6506" spans="1:11" ht="42" customHeight="1">
      <c r="A6506" s="4" t="s">
        <v>15546</v>
      </c>
      <c r="B6506" s="5" t="s">
        <v>15547</v>
      </c>
      <c r="C6506" s="5" t="s">
        <v>26</v>
      </c>
      <c r="D6506" s="5" t="s">
        <v>27</v>
      </c>
      <c r="E6506" s="5" t="s">
        <v>110</v>
      </c>
      <c r="F6506" s="9" t="s">
        <v>111</v>
      </c>
      <c r="G6506" s="9">
        <v>1384</v>
      </c>
      <c r="H6506" s="5" t="s">
        <v>21</v>
      </c>
      <c r="I6506" s="5" t="s">
        <v>15548</v>
      </c>
      <c r="J6506" s="12" t="str">
        <f>HYPERLINK("https://www.boe.es/gazeta/dias/1808/10/28/pdfs/GMD-1808-138.pdf#page=10","Abrir facsímil")</f>
        <v>Abrir facsímil</v>
      </c>
      <c r="K6506" s="15" t="s">
        <v>23</v>
      </c>
    </row>
    <row r="6507" spans="1:11" ht="42" customHeight="1">
      <c r="A6507" s="4" t="s">
        <v>15549</v>
      </c>
      <c r="B6507" s="5" t="s">
        <v>15550</v>
      </c>
      <c r="C6507" s="5" t="s">
        <v>41</v>
      </c>
      <c r="D6507" s="5" t="s">
        <v>42</v>
      </c>
      <c r="E6507" s="5" t="s">
        <v>35</v>
      </c>
      <c r="F6507" s="9" t="s">
        <v>36</v>
      </c>
      <c r="G6507" s="9" t="s">
        <v>1075</v>
      </c>
      <c r="H6507" s="5" t="s">
        <v>21</v>
      </c>
      <c r="I6507" s="5" t="s">
        <v>15551</v>
      </c>
      <c r="J6507" s="12" t="str">
        <f>HYPERLINK("https://www.boe.es/gazeta/dias/1808/04/22/pdfs/GMD-C-1808-38.pdf#page=32","Abrir facsímil")</f>
        <v>Abrir facsímil</v>
      </c>
      <c r="K6507" s="15" t="s">
        <v>23</v>
      </c>
    </row>
    <row r="6508" spans="1:11" ht="42" customHeight="1">
      <c r="A6508" s="4" t="s">
        <v>15552</v>
      </c>
      <c r="B6508" s="5" t="s">
        <v>15553</v>
      </c>
      <c r="C6508" s="5" t="s">
        <v>33</v>
      </c>
      <c r="D6508" s="5" t="s">
        <v>34</v>
      </c>
      <c r="E6508" s="5" t="s">
        <v>35</v>
      </c>
      <c r="F6508" s="9" t="s">
        <v>36</v>
      </c>
      <c r="G6508" s="9" t="s">
        <v>322</v>
      </c>
      <c r="H6508" s="5" t="s">
        <v>21</v>
      </c>
      <c r="I6508" s="5" t="s">
        <v>15554</v>
      </c>
      <c r="J6508" s="12" t="str">
        <f>HYPERLINK("https://www.boe.es/gazeta/dias/1808/04/22/pdfs/GMD-C-1808-38.pdf#page=15","Abrir facsímil")</f>
        <v>Abrir facsímil</v>
      </c>
      <c r="K6508" s="15" t="s">
        <v>23</v>
      </c>
    </row>
    <row r="6509" spans="1:11" ht="42" customHeight="1">
      <c r="A6509" s="4" t="s">
        <v>15555</v>
      </c>
      <c r="B6509" s="5" t="s">
        <v>15555</v>
      </c>
      <c r="C6509" s="5" t="s">
        <v>33</v>
      </c>
      <c r="D6509" s="5" t="s">
        <v>34</v>
      </c>
      <c r="E6509" s="5" t="s">
        <v>139</v>
      </c>
      <c r="F6509" s="9" t="s">
        <v>1089</v>
      </c>
      <c r="G6509" s="9" t="s">
        <v>117</v>
      </c>
      <c r="H6509" s="5" t="s">
        <v>21</v>
      </c>
      <c r="I6509" s="5" t="s">
        <v>15556</v>
      </c>
      <c r="J6509" s="12" t="str">
        <f>HYPERLINK("https://www.boe.es/gazeta/dias/1808/09/23/pdfs/GMD-C-1808-127.pdf#page=1","Abrir facsímil")</f>
        <v>Abrir facsímil</v>
      </c>
      <c r="K6509" s="15" t="s">
        <v>23</v>
      </c>
    </row>
    <row r="6510" spans="1:11" ht="42" customHeight="1">
      <c r="A6510" s="4" t="s">
        <v>15557</v>
      </c>
      <c r="B6510" s="5" t="s">
        <v>15557</v>
      </c>
      <c r="C6510" s="5" t="s">
        <v>33</v>
      </c>
      <c r="D6510" s="5" t="s">
        <v>34</v>
      </c>
      <c r="E6510" s="5" t="s">
        <v>68</v>
      </c>
      <c r="F6510" s="9" t="s">
        <v>309</v>
      </c>
      <c r="G6510" s="9" t="s">
        <v>75</v>
      </c>
      <c r="H6510" s="5" t="s">
        <v>21</v>
      </c>
      <c r="I6510" s="5" t="s">
        <v>15558</v>
      </c>
      <c r="J6510" s="12" t="str">
        <f>HYPERLINK("https://www.boe.es/gazeta/dias/1808/10/21/pdfs/GMD-D-1808-136.pdf#page=4","Abrir facsímil")</f>
        <v>Abrir facsímil</v>
      </c>
      <c r="K6510" s="15" t="s">
        <v>23</v>
      </c>
    </row>
    <row r="6511" spans="1:11" ht="42" customHeight="1">
      <c r="A6511" s="4" t="s">
        <v>15559</v>
      </c>
      <c r="B6511" s="5" t="s">
        <v>15559</v>
      </c>
      <c r="C6511" s="5" t="s">
        <v>94</v>
      </c>
      <c r="D6511" s="5" t="s">
        <v>95</v>
      </c>
      <c r="E6511" s="5" t="s">
        <v>877</v>
      </c>
      <c r="F6511" s="9" t="s">
        <v>878</v>
      </c>
      <c r="G6511" s="9">
        <v>118</v>
      </c>
      <c r="H6511" s="5" t="s">
        <v>21</v>
      </c>
      <c r="I6511" s="5" t="s">
        <v>15560</v>
      </c>
      <c r="J6511" s="12" t="str">
        <f>HYPERLINK("https://www.boe.es/gazeta/dias/1808/02/02/pdfs/GMD-1808-10.pdf#page=10","Abrir facsímil")</f>
        <v>Abrir facsímil</v>
      </c>
      <c r="K6511" s="15" t="s">
        <v>23</v>
      </c>
    </row>
    <row r="6512" spans="1:11" ht="42" customHeight="1">
      <c r="A6512" s="4" t="s">
        <v>15559</v>
      </c>
      <c r="B6512" s="5" t="s">
        <v>15559</v>
      </c>
      <c r="C6512" s="5" t="s">
        <v>41</v>
      </c>
      <c r="D6512" s="5" t="s">
        <v>42</v>
      </c>
      <c r="E6512" s="5" t="s">
        <v>35</v>
      </c>
      <c r="F6512" s="9" t="s">
        <v>36</v>
      </c>
      <c r="G6512" s="9" t="s">
        <v>281</v>
      </c>
      <c r="H6512" s="5" t="s">
        <v>21</v>
      </c>
      <c r="I6512" s="5" t="s">
        <v>15561</v>
      </c>
      <c r="J6512" s="12" t="str">
        <f>HYPERLINK("https://www.boe.es/gazeta/dias/1808/04/22/pdfs/GMD-C-1808-38.pdf#page=47","Abrir facsímil")</f>
        <v>Abrir facsímil</v>
      </c>
      <c r="K6512" s="15" t="s">
        <v>23</v>
      </c>
    </row>
    <row r="6513" spans="1:11" ht="42" customHeight="1">
      <c r="A6513" s="4" t="s">
        <v>15562</v>
      </c>
      <c r="B6513" s="5" t="s">
        <v>15562</v>
      </c>
      <c r="C6513" s="5" t="s">
        <v>17</v>
      </c>
      <c r="D6513" s="5" t="s">
        <v>18</v>
      </c>
      <c r="E6513" s="5" t="s">
        <v>363</v>
      </c>
      <c r="F6513" s="9" t="s">
        <v>1224</v>
      </c>
      <c r="G6513" s="9">
        <v>1189</v>
      </c>
      <c r="H6513" s="5" t="s">
        <v>21</v>
      </c>
      <c r="I6513" s="5" t="s">
        <v>15563</v>
      </c>
      <c r="J6513" s="12" t="str">
        <f>HYPERLINK("https://www.boe.es/gazeta/dias/1808/09/20/pdfs/GMD-1808-126.pdf#page=9","Abrir facsímil")</f>
        <v>Abrir facsímil</v>
      </c>
      <c r="K6513" s="15" t="s">
        <v>23</v>
      </c>
    </row>
    <row r="6514" spans="1:11" ht="42" customHeight="1">
      <c r="A6514" s="4" t="s">
        <v>15564</v>
      </c>
      <c r="B6514" s="5" t="s">
        <v>15564</v>
      </c>
      <c r="C6514" s="5" t="s">
        <v>33</v>
      </c>
      <c r="D6514" s="5" t="s">
        <v>34</v>
      </c>
      <c r="E6514" s="5" t="s">
        <v>290</v>
      </c>
      <c r="F6514" s="9" t="s">
        <v>4683</v>
      </c>
      <c r="G6514" s="9">
        <v>1073</v>
      </c>
      <c r="H6514" s="5" t="s">
        <v>21</v>
      </c>
      <c r="I6514" s="5" t="s">
        <v>15565</v>
      </c>
      <c r="J6514" s="12" t="str">
        <f>HYPERLINK("https://www.boe.es/gazeta/dias/1808/08/23/pdfs/GMD-C-1808-116.pdf#page=7","Abrir facsímil")</f>
        <v>Abrir facsímil</v>
      </c>
      <c r="K6514" s="15" t="s">
        <v>23</v>
      </c>
    </row>
    <row r="6515" spans="1:11" ht="42" customHeight="1">
      <c r="A6515" s="4" t="s">
        <v>15564</v>
      </c>
      <c r="B6515" s="5" t="s">
        <v>15564</v>
      </c>
      <c r="C6515" s="5" t="s">
        <v>33</v>
      </c>
      <c r="D6515" s="5" t="s">
        <v>34</v>
      </c>
      <c r="E6515" s="5" t="s">
        <v>334</v>
      </c>
      <c r="F6515" s="9" t="s">
        <v>335</v>
      </c>
      <c r="G6515" s="9">
        <v>1254</v>
      </c>
      <c r="H6515" s="5" t="s">
        <v>21</v>
      </c>
      <c r="I6515" s="5" t="s">
        <v>15566</v>
      </c>
      <c r="J6515" s="12" t="str">
        <f>HYPERLINK("https://www.boe.es/gazeta/dias/1808/10/04/pdfs/GMD-C-1808-131.pdf#page=6","Abrir facsímil")</f>
        <v>Abrir facsímil</v>
      </c>
      <c r="K6515" s="15" t="s">
        <v>23</v>
      </c>
    </row>
    <row r="6516" spans="1:11" ht="42" customHeight="1">
      <c r="A6516" s="4" t="s">
        <v>15567</v>
      </c>
      <c r="B6516" s="5" t="s">
        <v>15567</v>
      </c>
      <c r="C6516" s="5" t="s">
        <v>17</v>
      </c>
      <c r="D6516" s="5" t="s">
        <v>18</v>
      </c>
      <c r="E6516" s="5" t="s">
        <v>65</v>
      </c>
      <c r="F6516" s="9" t="s">
        <v>66</v>
      </c>
      <c r="G6516" s="9">
        <v>1305</v>
      </c>
      <c r="H6516" s="5" t="s">
        <v>21</v>
      </c>
      <c r="I6516" s="5" t="s">
        <v>15568</v>
      </c>
      <c r="J6516" s="12" t="str">
        <f>HYPERLINK("https://www.boe.es/gazeta/dias/1808/10/18/pdfs/GMD-1808-135.pdf#page=5","Abrir facsímil")</f>
        <v>Abrir facsímil</v>
      </c>
      <c r="K6516" s="15" t="s">
        <v>23</v>
      </c>
    </row>
    <row r="6517" spans="1:11" ht="42" customHeight="1">
      <c r="A6517" s="4" t="s">
        <v>15564</v>
      </c>
      <c r="B6517" s="5" t="s">
        <v>15564</v>
      </c>
      <c r="C6517" s="5" t="s">
        <v>17</v>
      </c>
      <c r="D6517" s="5" t="s">
        <v>18</v>
      </c>
      <c r="E6517" s="5" t="s">
        <v>65</v>
      </c>
      <c r="F6517" s="9" t="s">
        <v>66</v>
      </c>
      <c r="G6517" s="9">
        <v>1311</v>
      </c>
      <c r="H6517" s="5" t="s">
        <v>21</v>
      </c>
      <c r="I6517" s="5" t="s">
        <v>15569</v>
      </c>
      <c r="J6517" s="12" t="str">
        <f>HYPERLINK("https://www.boe.es/gazeta/dias/1808/10/18/pdfs/GMD-1808-135.pdf#page=11","Abrir facsímil")</f>
        <v>Abrir facsímil</v>
      </c>
      <c r="K6517" s="15" t="s">
        <v>23</v>
      </c>
    </row>
    <row r="6518" spans="1:11" ht="42" customHeight="1">
      <c r="A6518" s="4" t="s">
        <v>15570</v>
      </c>
      <c r="B6518" s="5" t="s">
        <v>15570</v>
      </c>
      <c r="C6518" s="5" t="s">
        <v>17</v>
      </c>
      <c r="D6518" s="5" t="s">
        <v>18</v>
      </c>
      <c r="E6518" s="5" t="s">
        <v>65</v>
      </c>
      <c r="F6518" s="9" t="s">
        <v>66</v>
      </c>
      <c r="G6518" s="9">
        <v>1305</v>
      </c>
      <c r="H6518" s="5" t="s">
        <v>21</v>
      </c>
      <c r="I6518" s="5" t="s">
        <v>15571</v>
      </c>
      <c r="J6518" s="12" t="str">
        <f>HYPERLINK("https://www.boe.es/gazeta/dias/1808/10/18/pdfs/GMD-1808-135.pdf#page=5","Abrir facsímil")</f>
        <v>Abrir facsímil</v>
      </c>
      <c r="K6518" s="15" t="s">
        <v>23</v>
      </c>
    </row>
    <row r="6519" spans="1:11" ht="42" customHeight="1">
      <c r="A6519" s="4" t="s">
        <v>15572</v>
      </c>
      <c r="B6519" s="5" t="s">
        <v>15572</v>
      </c>
      <c r="C6519" s="5" t="s">
        <v>17</v>
      </c>
      <c r="D6519" s="5" t="s">
        <v>18</v>
      </c>
      <c r="E6519" s="5" t="s">
        <v>65</v>
      </c>
      <c r="F6519" s="9" t="s">
        <v>66</v>
      </c>
      <c r="G6519" s="9">
        <v>1307</v>
      </c>
      <c r="H6519" s="5" t="s">
        <v>21</v>
      </c>
      <c r="I6519" s="5" t="s">
        <v>15573</v>
      </c>
      <c r="J6519" s="12" t="str">
        <f>HYPERLINK("https://www.boe.es/gazeta/dias/1808/10/18/pdfs/GMD-1808-135.pdf#page=7","Abrir facsímil")</f>
        <v>Abrir facsímil</v>
      </c>
      <c r="K6519" s="15" t="s">
        <v>23</v>
      </c>
    </row>
    <row r="6520" spans="1:11" ht="42" customHeight="1">
      <c r="A6520" s="4" t="s">
        <v>15574</v>
      </c>
      <c r="B6520" s="5" t="s">
        <v>15574</v>
      </c>
      <c r="C6520" s="5" t="s">
        <v>260</v>
      </c>
      <c r="D6520" s="5" t="s">
        <v>42</v>
      </c>
      <c r="E6520" s="5" t="s">
        <v>469</v>
      </c>
      <c r="F6520" s="9" t="s">
        <v>470</v>
      </c>
      <c r="G6520" s="9">
        <v>152</v>
      </c>
      <c r="H6520" s="5" t="s">
        <v>21</v>
      </c>
      <c r="I6520" s="5" t="s">
        <v>15575</v>
      </c>
      <c r="J6520" s="12" t="str">
        <f>HYPERLINK("https://www.boe.es/gazeta/dias/1808/02/12/pdfs/GMD-1808-13.pdf#page=8","Abrir facsímil")</f>
        <v>Abrir facsímil</v>
      </c>
      <c r="K6520" s="15" t="s">
        <v>23</v>
      </c>
    </row>
    <row r="6521" spans="1:11" ht="42" customHeight="1">
      <c r="A6521" s="4" t="s">
        <v>15576</v>
      </c>
      <c r="B6521" s="5" t="s">
        <v>15576</v>
      </c>
      <c r="C6521" s="5" t="s">
        <v>33</v>
      </c>
      <c r="D6521" s="5" t="s">
        <v>34</v>
      </c>
      <c r="E6521" s="5" t="s">
        <v>35</v>
      </c>
      <c r="F6521" s="9" t="s">
        <v>36</v>
      </c>
      <c r="G6521" s="9" t="s">
        <v>795</v>
      </c>
      <c r="H6521" s="5" t="s">
        <v>21</v>
      </c>
      <c r="I6521" s="5" t="s">
        <v>15577</v>
      </c>
      <c r="J6521" s="12" t="str">
        <f>HYPERLINK("https://www.boe.es/gazeta/dias/1808/04/22/pdfs/GMD-C-1808-38.pdf#page=21","Abrir facsímil")</f>
        <v>Abrir facsímil</v>
      </c>
      <c r="K6521" s="15" t="s">
        <v>23</v>
      </c>
    </row>
    <row r="6522" spans="1:11" ht="42" customHeight="1">
      <c r="A6522" s="4" t="s">
        <v>15578</v>
      </c>
      <c r="B6522" s="5" t="s">
        <v>15578</v>
      </c>
      <c r="C6522" s="5" t="s">
        <v>33</v>
      </c>
      <c r="D6522" s="5" t="s">
        <v>34</v>
      </c>
      <c r="E6522" s="5" t="s">
        <v>334</v>
      </c>
      <c r="F6522" s="9" t="s">
        <v>335</v>
      </c>
      <c r="G6522" s="9">
        <v>1255</v>
      </c>
      <c r="H6522" s="5" t="s">
        <v>21</v>
      </c>
      <c r="I6522" s="5" t="s">
        <v>15579</v>
      </c>
      <c r="J6522" s="12" t="str">
        <f>HYPERLINK("https://www.boe.es/gazeta/dias/1808/10/04/pdfs/GMD-C-1808-131.pdf#page=7","Abrir facsímil")</f>
        <v>Abrir facsímil</v>
      </c>
      <c r="K6522" s="15" t="s">
        <v>23</v>
      </c>
    </row>
    <row r="6523" spans="1:11" ht="42" customHeight="1">
      <c r="A6523" s="4" t="s">
        <v>15580</v>
      </c>
      <c r="B6523" s="5" t="s">
        <v>15581</v>
      </c>
      <c r="C6523" s="5" t="s">
        <v>41</v>
      </c>
      <c r="D6523" s="5" t="s">
        <v>42</v>
      </c>
      <c r="E6523" s="5" t="s">
        <v>363</v>
      </c>
      <c r="F6523" s="9" t="s">
        <v>3718</v>
      </c>
      <c r="G6523" s="9">
        <v>264</v>
      </c>
      <c r="H6523" s="5" t="s">
        <v>21</v>
      </c>
      <c r="I6523" s="5" t="s">
        <v>15582</v>
      </c>
      <c r="J6523" s="12" t="str">
        <f>HYPERLINK("https://www.boe.es/gazeta/dias/1808/09/20/pdfs/GMS-1808-33.pdf#page=8","Abrir facsímil")</f>
        <v>Abrir facsímil</v>
      </c>
      <c r="K6523" s="15" t="s">
        <v>23</v>
      </c>
    </row>
    <row r="6524" spans="1:11" ht="42" customHeight="1">
      <c r="A6524" s="4" t="s">
        <v>15583</v>
      </c>
      <c r="B6524" s="5" t="s">
        <v>15584</v>
      </c>
      <c r="C6524" s="5" t="s">
        <v>33</v>
      </c>
      <c r="D6524" s="5" t="s">
        <v>34</v>
      </c>
      <c r="E6524" s="5" t="s">
        <v>153</v>
      </c>
      <c r="F6524" s="9" t="s">
        <v>154</v>
      </c>
      <c r="G6524" s="9" t="s">
        <v>75</v>
      </c>
      <c r="H6524" s="5" t="s">
        <v>21</v>
      </c>
      <c r="I6524" s="5" t="s">
        <v>15585</v>
      </c>
      <c r="J6524" s="12" t="str">
        <f>HYPERLINK("https://www.boe.es/gazeta/dias/1808/09/09/pdfs/GMD-C-1808-121.pdf#page=4","Abrir facsímil")</f>
        <v>Abrir facsímil</v>
      </c>
      <c r="K6524" s="15" t="s">
        <v>23</v>
      </c>
    </row>
    <row r="6525" spans="1:11" ht="42" customHeight="1">
      <c r="A6525" s="4" t="s">
        <v>15586</v>
      </c>
      <c r="B6525" s="5" t="s">
        <v>15586</v>
      </c>
      <c r="C6525" s="5" t="s">
        <v>17</v>
      </c>
      <c r="D6525" s="5" t="s">
        <v>18</v>
      </c>
      <c r="E6525" s="5" t="s">
        <v>73</v>
      </c>
      <c r="F6525" s="9" t="s">
        <v>581</v>
      </c>
      <c r="G6525" s="9">
        <v>1468</v>
      </c>
      <c r="H6525" s="5" t="s">
        <v>21</v>
      </c>
      <c r="I6525" s="5" t="s">
        <v>15587</v>
      </c>
      <c r="J6525" s="12" t="str">
        <f>HYPERLINK("https://www.boe.es/gazeta/dias/1808/11/11/pdfs/GMD-1808-143.pdf#page=10","Abrir facsímil")</f>
        <v>Abrir facsímil</v>
      </c>
      <c r="K6525" s="15" t="s">
        <v>23</v>
      </c>
    </row>
    <row r="6526" spans="1:11" ht="42" customHeight="1">
      <c r="A6526" s="4" t="s">
        <v>15588</v>
      </c>
      <c r="B6526" s="5" t="s">
        <v>15589</v>
      </c>
      <c r="C6526" s="5" t="s">
        <v>41</v>
      </c>
      <c r="D6526" s="5" t="s">
        <v>42</v>
      </c>
      <c r="E6526" s="5" t="s">
        <v>35</v>
      </c>
      <c r="F6526" s="9" t="s">
        <v>36</v>
      </c>
      <c r="G6526" s="9" t="s">
        <v>1128</v>
      </c>
      <c r="H6526" s="5" t="s">
        <v>21</v>
      </c>
      <c r="I6526" s="5" t="s">
        <v>15590</v>
      </c>
      <c r="J6526" s="12" t="str">
        <f>HYPERLINK("https://www.boe.es/gazeta/dias/1808/04/22/pdfs/GMD-C-1808-38.pdf#page=11","Abrir facsímil")</f>
        <v>Abrir facsímil</v>
      </c>
      <c r="K6526" s="15" t="s">
        <v>23</v>
      </c>
    </row>
    <row r="6527" spans="1:11" ht="42" customHeight="1">
      <c r="A6527" s="4" t="s">
        <v>15591</v>
      </c>
      <c r="B6527" s="5" t="s">
        <v>15592</v>
      </c>
      <c r="C6527" s="5" t="s">
        <v>17</v>
      </c>
      <c r="D6527" s="5" t="s">
        <v>18</v>
      </c>
      <c r="E6527" s="5" t="s">
        <v>73</v>
      </c>
      <c r="F6527" s="9" t="s">
        <v>581</v>
      </c>
      <c r="G6527" s="9">
        <v>1467</v>
      </c>
      <c r="H6527" s="5" t="s">
        <v>21</v>
      </c>
      <c r="I6527" s="5" t="s">
        <v>15593</v>
      </c>
      <c r="J6527" s="12" t="str">
        <f>HYPERLINK("https://www.boe.es/gazeta/dias/1808/11/11/pdfs/GMD-1808-143.pdf#page=9","Abrir facsímil")</f>
        <v>Abrir facsímil</v>
      </c>
      <c r="K6527" s="15" t="s">
        <v>23</v>
      </c>
    </row>
    <row r="6528" spans="1:11" ht="42" customHeight="1">
      <c r="A6528" s="4" t="s">
        <v>15594</v>
      </c>
      <c r="B6528" s="5" t="s">
        <v>15594</v>
      </c>
      <c r="C6528" s="5" t="s">
        <v>17</v>
      </c>
      <c r="D6528" s="5" t="s">
        <v>18</v>
      </c>
      <c r="E6528" s="5" t="s">
        <v>139</v>
      </c>
      <c r="F6528" s="9" t="s">
        <v>140</v>
      </c>
      <c r="G6528" s="9">
        <v>1203</v>
      </c>
      <c r="H6528" s="5" t="s">
        <v>21</v>
      </c>
      <c r="I6528" s="5" t="s">
        <v>15595</v>
      </c>
      <c r="J6528" s="12" t="str">
        <f>HYPERLINK("https://www.boe.es/gazeta/dias/1808/09/23/pdfs/GMD-1808-127.pdf#page=11","Abrir facsímil")</f>
        <v>Abrir facsímil</v>
      </c>
      <c r="K6528" s="15" t="s">
        <v>23</v>
      </c>
    </row>
    <row r="6529" spans="1:11" ht="42" customHeight="1">
      <c r="A6529" s="4" t="s">
        <v>15596</v>
      </c>
      <c r="B6529" s="5" t="s">
        <v>15596</v>
      </c>
      <c r="C6529" s="5" t="s">
        <v>33</v>
      </c>
      <c r="D6529" s="5" t="s">
        <v>34</v>
      </c>
      <c r="E6529" s="5" t="s">
        <v>35</v>
      </c>
      <c r="F6529" s="9" t="s">
        <v>36</v>
      </c>
      <c r="G6529" s="9" t="s">
        <v>501</v>
      </c>
      <c r="H6529" s="5" t="s">
        <v>21</v>
      </c>
      <c r="I6529" s="5" t="s">
        <v>15597</v>
      </c>
      <c r="J6529" s="12" t="str">
        <f>HYPERLINK("https://www.boe.es/gazeta/dias/1808/04/22/pdfs/GMD-C-1808-38.pdf#page=5","Abrir facsímil")</f>
        <v>Abrir facsímil</v>
      </c>
      <c r="K6529" s="15" t="s">
        <v>23</v>
      </c>
    </row>
    <row r="6530" spans="1:11" ht="42" customHeight="1">
      <c r="A6530" s="4" t="s">
        <v>15598</v>
      </c>
      <c r="B6530" s="5" t="s">
        <v>15598</v>
      </c>
      <c r="C6530" s="5" t="s">
        <v>33</v>
      </c>
      <c r="D6530" s="5" t="s">
        <v>34</v>
      </c>
      <c r="E6530" s="5" t="s">
        <v>35</v>
      </c>
      <c r="F6530" s="9" t="s">
        <v>36</v>
      </c>
      <c r="G6530" s="9" t="s">
        <v>37</v>
      </c>
      <c r="H6530" s="5" t="s">
        <v>21</v>
      </c>
      <c r="I6530" s="5" t="s">
        <v>15599</v>
      </c>
      <c r="J6530" s="12" t="str">
        <f>HYPERLINK("https://www.boe.es/gazeta/dias/1808/04/22/pdfs/GMD-C-1808-38.pdf#page=33","Abrir facsímil")</f>
        <v>Abrir facsímil</v>
      </c>
      <c r="K6530" s="15" t="s">
        <v>23</v>
      </c>
    </row>
    <row r="6531" spans="1:11" ht="42" customHeight="1">
      <c r="A6531" s="4" t="s">
        <v>15600</v>
      </c>
      <c r="B6531" s="5" t="s">
        <v>15600</v>
      </c>
      <c r="C6531" s="5" t="s">
        <v>33</v>
      </c>
      <c r="D6531" s="5" t="s">
        <v>34</v>
      </c>
      <c r="E6531" s="5" t="s">
        <v>35</v>
      </c>
      <c r="F6531" s="9" t="s">
        <v>36</v>
      </c>
      <c r="G6531" s="9" t="s">
        <v>795</v>
      </c>
      <c r="H6531" s="5" t="s">
        <v>21</v>
      </c>
      <c r="I6531" s="5" t="s">
        <v>15601</v>
      </c>
      <c r="J6531" s="12" t="str">
        <f>HYPERLINK("https://www.boe.es/gazeta/dias/1808/04/22/pdfs/GMD-C-1808-38.pdf#page=21","Abrir facsímil")</f>
        <v>Abrir facsímil</v>
      </c>
      <c r="K6531" s="15" t="s">
        <v>23</v>
      </c>
    </row>
    <row r="6532" spans="1:11" ht="42" customHeight="1">
      <c r="A6532" s="4" t="s">
        <v>15602</v>
      </c>
      <c r="B6532" s="5" t="s">
        <v>15602</v>
      </c>
      <c r="C6532" s="5" t="s">
        <v>41</v>
      </c>
      <c r="D6532" s="5" t="s">
        <v>42</v>
      </c>
      <c r="E6532" s="5" t="s">
        <v>461</v>
      </c>
      <c r="F6532" s="9" t="s">
        <v>733</v>
      </c>
      <c r="G6532" s="9">
        <v>1447</v>
      </c>
      <c r="H6532" s="5" t="s">
        <v>21</v>
      </c>
      <c r="I6532" s="5" t="s">
        <v>15603</v>
      </c>
      <c r="J6532" s="12" t="str">
        <f>HYPERLINK("https://www.boe.es/gazeta/dias/1808/11/08/pdfs/GMD-1808-142.pdf#page=9","Abrir facsímil")</f>
        <v>Abrir facsímil</v>
      </c>
      <c r="K6532" s="15" t="s">
        <v>23</v>
      </c>
    </row>
    <row r="6533" spans="1:11" ht="42" customHeight="1">
      <c r="A6533" s="4" t="s">
        <v>15604</v>
      </c>
      <c r="B6533" s="5" t="s">
        <v>15604</v>
      </c>
      <c r="C6533" s="5" t="s">
        <v>17</v>
      </c>
      <c r="D6533" s="5" t="s">
        <v>18</v>
      </c>
      <c r="E6533" s="5" t="s">
        <v>19</v>
      </c>
      <c r="F6533" s="9" t="s">
        <v>59</v>
      </c>
      <c r="G6533" s="9">
        <v>1228</v>
      </c>
      <c r="H6533" s="5" t="s">
        <v>21</v>
      </c>
      <c r="I6533" s="5" t="s">
        <v>15605</v>
      </c>
      <c r="J6533" s="12" t="str">
        <f>HYPERLINK("https://www.boe.es/gazeta/dias/1808/09/30/pdfs/GMD-1808-130.pdf#page=8","Abrir facsímil")</f>
        <v>Abrir facsímil</v>
      </c>
      <c r="K6533" s="15" t="s">
        <v>23</v>
      </c>
    </row>
    <row r="6534" spans="1:11" ht="42" customHeight="1">
      <c r="A6534" s="4" t="s">
        <v>15606</v>
      </c>
      <c r="B6534" s="5" t="s">
        <v>15606</v>
      </c>
      <c r="C6534" s="5" t="s">
        <v>33</v>
      </c>
      <c r="D6534" s="5" t="s">
        <v>34</v>
      </c>
      <c r="E6534" s="5" t="s">
        <v>35</v>
      </c>
      <c r="F6534" s="9" t="s">
        <v>36</v>
      </c>
      <c r="G6534" s="9" t="s">
        <v>75</v>
      </c>
      <c r="H6534" s="5" t="s">
        <v>21</v>
      </c>
      <c r="I6534" s="5" t="s">
        <v>15607</v>
      </c>
      <c r="J6534" s="12" t="str">
        <f>HYPERLINK("https://www.boe.es/gazeta/dias/1808/04/22/pdfs/GMD-C-1808-38.pdf#page=4","Abrir facsímil")</f>
        <v>Abrir facsímil</v>
      </c>
      <c r="K6534" s="15" t="s">
        <v>23</v>
      </c>
    </row>
    <row r="6535" spans="1:11" ht="42" customHeight="1">
      <c r="A6535" s="4" t="s">
        <v>15608</v>
      </c>
      <c r="B6535" s="5" t="s">
        <v>15609</v>
      </c>
      <c r="C6535" s="5" t="s">
        <v>17</v>
      </c>
      <c r="D6535" s="5" t="s">
        <v>18</v>
      </c>
      <c r="E6535" s="5" t="s">
        <v>19</v>
      </c>
      <c r="F6535" s="9" t="s">
        <v>59</v>
      </c>
      <c r="G6535" s="9">
        <v>1228</v>
      </c>
      <c r="H6535" s="5" t="s">
        <v>21</v>
      </c>
      <c r="I6535" s="5" t="s">
        <v>15610</v>
      </c>
      <c r="J6535" s="12" t="str">
        <f>HYPERLINK("https://www.boe.es/gazeta/dias/1808/09/30/pdfs/GMD-1808-130.pdf#page=8","Abrir facsímil")</f>
        <v>Abrir facsímil</v>
      </c>
      <c r="K6535" s="15" t="s">
        <v>23</v>
      </c>
    </row>
    <row r="6536" spans="1:11" ht="42" customHeight="1">
      <c r="A6536" s="4" t="s">
        <v>15611</v>
      </c>
      <c r="B6536" s="5" t="s">
        <v>15612</v>
      </c>
      <c r="C6536" s="5" t="s">
        <v>101</v>
      </c>
      <c r="D6536" s="5" t="s">
        <v>102</v>
      </c>
      <c r="E6536" s="5" t="s">
        <v>6961</v>
      </c>
      <c r="F6536" s="9" t="s">
        <v>6962</v>
      </c>
      <c r="G6536" s="9">
        <v>955</v>
      </c>
      <c r="H6536" s="5" t="s">
        <v>21</v>
      </c>
      <c r="I6536" s="5" t="s">
        <v>15613</v>
      </c>
      <c r="J6536" s="12" t="str">
        <f>HYPERLINK("https://www.boe.es/gazeta/dias/1808/08/02/pdfs/GMD-1808-105.pdf#page=5","Abrir facsímil")</f>
        <v>Abrir facsímil</v>
      </c>
      <c r="K6536" s="15" t="s">
        <v>23</v>
      </c>
    </row>
    <row r="6537" spans="1:11" ht="42" customHeight="1">
      <c r="A6537" s="4" t="s">
        <v>15614</v>
      </c>
      <c r="B6537" s="5" t="s">
        <v>15614</v>
      </c>
      <c r="C6537" s="5" t="s">
        <v>17</v>
      </c>
      <c r="D6537" s="5" t="s">
        <v>18</v>
      </c>
      <c r="E6537" s="5" t="s">
        <v>6282</v>
      </c>
      <c r="F6537" s="9" t="s">
        <v>6283</v>
      </c>
      <c r="G6537" s="9">
        <v>654</v>
      </c>
      <c r="H6537" s="5" t="s">
        <v>21</v>
      </c>
      <c r="I6537" s="5" t="s">
        <v>15615</v>
      </c>
      <c r="J6537" s="12" t="str">
        <f>HYPERLINK("https://www.boe.es/gazeta/dias/1808/06/25/pdfs/GMD-1808-67.pdf#page=8","Abrir facsímil")</f>
        <v>Abrir facsímil</v>
      </c>
      <c r="K6537" s="15" t="s">
        <v>23</v>
      </c>
    </row>
    <row r="6538" spans="1:11" ht="42" customHeight="1">
      <c r="A6538" s="4" t="s">
        <v>15616</v>
      </c>
      <c r="B6538" s="5" t="s">
        <v>15616</v>
      </c>
      <c r="C6538" s="5" t="s">
        <v>33</v>
      </c>
      <c r="D6538" s="5" t="s">
        <v>34</v>
      </c>
      <c r="E6538" s="5" t="s">
        <v>558</v>
      </c>
      <c r="F6538" s="9" t="s">
        <v>758</v>
      </c>
      <c r="G6538" s="9" t="s">
        <v>106</v>
      </c>
      <c r="H6538" s="5" t="s">
        <v>21</v>
      </c>
      <c r="I6538" s="5" t="s">
        <v>15617</v>
      </c>
      <c r="J6538" s="12" t="str">
        <f>HYPERLINK("https://www.boe.es/gazeta/dias/1808/11/25/pdfs/GMD-E-1808-147.pdf#page=3","Abrir facsímil")</f>
        <v>Abrir facsímil</v>
      </c>
      <c r="K6538" s="15" t="s">
        <v>23</v>
      </c>
    </row>
    <row r="6539" spans="1:11" ht="42" customHeight="1">
      <c r="A6539" s="4" t="s">
        <v>15618</v>
      </c>
      <c r="B6539" s="5" t="s">
        <v>15619</v>
      </c>
      <c r="C6539" s="5" t="s">
        <v>94</v>
      </c>
      <c r="D6539" s="5" t="s">
        <v>95</v>
      </c>
      <c r="E6539" s="5" t="s">
        <v>51</v>
      </c>
      <c r="F6539" s="9" t="s">
        <v>52</v>
      </c>
      <c r="G6539" s="9">
        <v>990</v>
      </c>
      <c r="H6539" s="5" t="s">
        <v>21</v>
      </c>
      <c r="I6539" s="5" t="s">
        <v>15620</v>
      </c>
      <c r="J6539" s="12" t="str">
        <f>HYPERLINK("https://www.boe.es/gazeta/dias/1808/08/09/pdfs/GMD-1808-111.pdf#page=6","Abrir facsímil")</f>
        <v>Abrir facsímil</v>
      </c>
      <c r="K6539" s="15" t="s">
        <v>23</v>
      </c>
    </row>
    <row r="6540" spans="1:11" ht="42" customHeight="1">
      <c r="A6540" s="4" t="s">
        <v>15621</v>
      </c>
      <c r="B6540" s="5" t="s">
        <v>15622</v>
      </c>
      <c r="C6540" s="5" t="s">
        <v>33</v>
      </c>
      <c r="D6540" s="5" t="s">
        <v>34</v>
      </c>
      <c r="E6540" s="5" t="s">
        <v>35</v>
      </c>
      <c r="F6540" s="9" t="s">
        <v>36</v>
      </c>
      <c r="G6540" s="9" t="s">
        <v>867</v>
      </c>
      <c r="H6540" s="5" t="s">
        <v>21</v>
      </c>
      <c r="I6540" s="5" t="s">
        <v>15623</v>
      </c>
      <c r="J6540" s="12" t="str">
        <f>HYPERLINK("https://www.boe.es/gazeta/dias/1808/04/22/pdfs/GMD-C-1808-38.pdf#page=19","Abrir facsímil")</f>
        <v>Abrir facsímil</v>
      </c>
      <c r="K6540" s="15" t="s">
        <v>23</v>
      </c>
    </row>
    <row r="6541" spans="1:11" ht="42" customHeight="1">
      <c r="A6541" s="4" t="s">
        <v>15624</v>
      </c>
      <c r="B6541" s="5" t="s">
        <v>15624</v>
      </c>
      <c r="C6541" s="5" t="s">
        <v>41</v>
      </c>
      <c r="D6541" s="5" t="s">
        <v>42</v>
      </c>
      <c r="E6541" s="5" t="s">
        <v>363</v>
      </c>
      <c r="F6541" s="9" t="s">
        <v>364</v>
      </c>
      <c r="G6541" s="9" t="s">
        <v>106</v>
      </c>
      <c r="H6541" s="5" t="s">
        <v>21</v>
      </c>
      <c r="I6541" s="5" t="s">
        <v>15625</v>
      </c>
      <c r="J6541" s="12" t="str">
        <f>HYPERLINK("https://www.boe.es/gazeta/dias/1808/09/20/pdfs/GMD-C-1808-126.pdf#page=3","Abrir facsímil")</f>
        <v>Abrir facsímil</v>
      </c>
      <c r="K6541" s="15" t="s">
        <v>23</v>
      </c>
    </row>
    <row r="6542" spans="1:11" ht="42" customHeight="1">
      <c r="A6542" s="4" t="s">
        <v>15626</v>
      </c>
      <c r="B6542" s="5" t="s">
        <v>15627</v>
      </c>
      <c r="C6542" s="5" t="s">
        <v>41</v>
      </c>
      <c r="D6542" s="5" t="s">
        <v>42</v>
      </c>
      <c r="E6542" s="5" t="s">
        <v>35</v>
      </c>
      <c r="F6542" s="9" t="s">
        <v>36</v>
      </c>
      <c r="G6542" s="9" t="s">
        <v>1075</v>
      </c>
      <c r="H6542" s="5" t="s">
        <v>21</v>
      </c>
      <c r="I6542" s="5" t="s">
        <v>15628</v>
      </c>
      <c r="J6542" s="12" t="str">
        <f>HYPERLINK("https://www.boe.es/gazeta/dias/1808/04/22/pdfs/GMD-C-1808-38.pdf#page=32","Abrir facsímil")</f>
        <v>Abrir facsímil</v>
      </c>
      <c r="K6542" s="15" t="s">
        <v>23</v>
      </c>
    </row>
    <row r="6543" spans="1:11" ht="42" customHeight="1">
      <c r="A6543" s="4" t="s">
        <v>15629</v>
      </c>
      <c r="B6543" s="5" t="s">
        <v>15629</v>
      </c>
      <c r="C6543" s="5" t="s">
        <v>17</v>
      </c>
      <c r="D6543" s="5" t="s">
        <v>18</v>
      </c>
      <c r="E6543" s="5" t="s">
        <v>15630</v>
      </c>
      <c r="F6543" s="9" t="s">
        <v>15631</v>
      </c>
      <c r="G6543" s="9">
        <v>1690</v>
      </c>
      <c r="H6543" s="5" t="s">
        <v>21</v>
      </c>
      <c r="I6543" s="5" t="s">
        <v>15632</v>
      </c>
      <c r="J6543" s="12" t="str">
        <f>HYPERLINK("https://www.boe.es/gazeta/dias/1808/12/28/pdfs/GMD-1808-168.pdf#page=4","Abrir facsímil")</f>
        <v>Abrir facsímil</v>
      </c>
      <c r="K6543" s="15" t="s">
        <v>23</v>
      </c>
    </row>
    <row r="6544" spans="1:11" ht="42" customHeight="1">
      <c r="A6544" s="4" t="s">
        <v>15633</v>
      </c>
      <c r="B6544" s="5" t="s">
        <v>15633</v>
      </c>
      <c r="C6544" s="5" t="s">
        <v>26</v>
      </c>
      <c r="D6544" s="5" t="s">
        <v>27</v>
      </c>
      <c r="E6544" s="5" t="s">
        <v>65</v>
      </c>
      <c r="F6544" s="9" t="s">
        <v>105</v>
      </c>
      <c r="G6544" s="9" t="s">
        <v>106</v>
      </c>
      <c r="H6544" s="5" t="s">
        <v>21</v>
      </c>
      <c r="I6544" s="5" t="s">
        <v>15634</v>
      </c>
      <c r="J6544" s="12" t="str">
        <f>HYPERLINK("https://www.boe.es/gazeta/dias/1808/10/18/pdfs/GMD-D-1808-135.pdf#page=3","Abrir facsímil")</f>
        <v>Abrir facsímil</v>
      </c>
      <c r="K6544" s="15" t="s">
        <v>23</v>
      </c>
    </row>
    <row r="6545" spans="1:11" ht="42" customHeight="1">
      <c r="A6545" s="4" t="s">
        <v>15635</v>
      </c>
      <c r="B6545" s="5" t="s">
        <v>15636</v>
      </c>
      <c r="C6545" s="5" t="s">
        <v>94</v>
      </c>
      <c r="D6545" s="5" t="s">
        <v>95</v>
      </c>
      <c r="E6545" s="5" t="s">
        <v>19</v>
      </c>
      <c r="F6545" s="9" t="s">
        <v>949</v>
      </c>
      <c r="G6545" s="9" t="s">
        <v>117</v>
      </c>
      <c r="H6545" s="5" t="s">
        <v>21</v>
      </c>
      <c r="I6545" s="5" t="s">
        <v>15637</v>
      </c>
      <c r="J6545" s="12" t="str">
        <f>HYPERLINK("https://www.boe.es/gazeta/dias/1808/09/30/pdfs/GMD-C-1808-130.pdf#page=1","Abrir facsímil")</f>
        <v>Abrir facsímil</v>
      </c>
      <c r="K6545" s="15" t="s">
        <v>23</v>
      </c>
    </row>
    <row r="6546" spans="1:11" ht="42" customHeight="1">
      <c r="A6546" s="4" t="s">
        <v>15638</v>
      </c>
      <c r="B6546" s="5" t="s">
        <v>15638</v>
      </c>
      <c r="C6546" s="5" t="s">
        <v>260</v>
      </c>
      <c r="D6546" s="5" t="s">
        <v>42</v>
      </c>
      <c r="E6546" s="5" t="s">
        <v>1385</v>
      </c>
      <c r="F6546" s="9" t="s">
        <v>1386</v>
      </c>
      <c r="G6546" s="9">
        <v>230</v>
      </c>
      <c r="H6546" s="5" t="s">
        <v>21</v>
      </c>
      <c r="I6546" s="5" t="s">
        <v>15639</v>
      </c>
      <c r="J6546" s="12" t="str">
        <f>HYPERLINK("https://www.boe.es/gazeta/dias/1808/03/04/pdfs/GMD-1808-19.pdf#page=8","Abrir facsímil")</f>
        <v>Abrir facsímil</v>
      </c>
      <c r="K6546" s="15" t="s">
        <v>23</v>
      </c>
    </row>
    <row r="6547" spans="1:11" ht="42" customHeight="1">
      <c r="A6547" s="4" t="s">
        <v>15640</v>
      </c>
      <c r="B6547" s="5" t="s">
        <v>15640</v>
      </c>
      <c r="C6547" s="5" t="s">
        <v>17</v>
      </c>
      <c r="D6547" s="5" t="s">
        <v>18</v>
      </c>
      <c r="E6547" s="5" t="s">
        <v>51</v>
      </c>
      <c r="F6547" s="9" t="s">
        <v>52</v>
      </c>
      <c r="G6547" s="9">
        <v>990</v>
      </c>
      <c r="H6547" s="5" t="s">
        <v>21</v>
      </c>
      <c r="I6547" s="5" t="s">
        <v>15641</v>
      </c>
      <c r="J6547" s="12" t="str">
        <f>HYPERLINK("https://www.boe.es/gazeta/dias/1808/08/09/pdfs/GMD-1808-111.pdf#page=6","Abrir facsímil")</f>
        <v>Abrir facsímil</v>
      </c>
      <c r="K6547" s="15" t="s">
        <v>23</v>
      </c>
    </row>
    <row r="6548" spans="1:11" ht="42" customHeight="1">
      <c r="A6548" s="4" t="s">
        <v>15642</v>
      </c>
      <c r="B6548" s="5" t="s">
        <v>15642</v>
      </c>
      <c r="C6548" s="5" t="s">
        <v>17</v>
      </c>
      <c r="D6548" s="5" t="s">
        <v>18</v>
      </c>
      <c r="E6548" s="5" t="s">
        <v>54</v>
      </c>
      <c r="F6548" s="9" t="s">
        <v>55</v>
      </c>
      <c r="G6548" s="9">
        <v>1079</v>
      </c>
      <c r="H6548" s="5" t="s">
        <v>21</v>
      </c>
      <c r="I6548" s="5" t="s">
        <v>15643</v>
      </c>
      <c r="J6548" s="12" t="str">
        <f>HYPERLINK("https://www.boe.es/gazeta/dias/1808/08/26/pdfs/GMD-1808-117.pdf#page=1","Abrir facsímil")</f>
        <v>Abrir facsímil</v>
      </c>
      <c r="K6548" s="15" t="s">
        <v>23</v>
      </c>
    </row>
    <row r="6549" spans="1:11" ht="42" customHeight="1">
      <c r="A6549" s="4" t="s">
        <v>15644</v>
      </c>
      <c r="B6549" s="5" t="s">
        <v>15644</v>
      </c>
      <c r="C6549" s="5" t="s">
        <v>33</v>
      </c>
      <c r="D6549" s="5" t="s">
        <v>34</v>
      </c>
      <c r="E6549" s="5" t="s">
        <v>363</v>
      </c>
      <c r="F6549" s="9" t="s">
        <v>364</v>
      </c>
      <c r="G6549" s="9" t="s">
        <v>75</v>
      </c>
      <c r="H6549" s="5" t="s">
        <v>21</v>
      </c>
      <c r="I6549" s="5" t="s">
        <v>15645</v>
      </c>
      <c r="J6549" s="12" t="str">
        <f>HYPERLINK("https://www.boe.es/gazeta/dias/1808/09/20/pdfs/GMD-C-1808-126.pdf#page=4","Abrir facsímil")</f>
        <v>Abrir facsímil</v>
      </c>
      <c r="K6549" s="15" t="s">
        <v>23</v>
      </c>
    </row>
    <row r="6550" spans="1:11" ht="42" customHeight="1">
      <c r="A6550" s="4" t="s">
        <v>15646</v>
      </c>
      <c r="B6550" s="5" t="s">
        <v>15646</v>
      </c>
      <c r="C6550" s="5" t="s">
        <v>17</v>
      </c>
      <c r="D6550" s="5" t="s">
        <v>18</v>
      </c>
      <c r="E6550" s="5" t="s">
        <v>2194</v>
      </c>
      <c r="F6550" s="9" t="s">
        <v>3881</v>
      </c>
      <c r="G6550" s="9">
        <v>339</v>
      </c>
      <c r="H6550" s="5" t="s">
        <v>21</v>
      </c>
      <c r="I6550" s="5" t="s">
        <v>15647</v>
      </c>
      <c r="J6550" s="12" t="str">
        <f>HYPERLINK("https://www.boe.es/gazeta/dias/1808/04/05/pdfs/GMD-1808-31.pdf#page=5","Abrir facsímil")</f>
        <v>Abrir facsímil</v>
      </c>
      <c r="K6550" s="15" t="s">
        <v>23</v>
      </c>
    </row>
    <row r="6551" spans="1:11" ht="42" customHeight="1">
      <c r="A6551" s="4" t="s">
        <v>15648</v>
      </c>
      <c r="B6551" s="5" t="s">
        <v>15648</v>
      </c>
      <c r="C6551" s="5" t="s">
        <v>17</v>
      </c>
      <c r="D6551" s="5" t="s">
        <v>18</v>
      </c>
      <c r="E6551" s="5" t="s">
        <v>84</v>
      </c>
      <c r="F6551" s="9" t="s">
        <v>85</v>
      </c>
      <c r="G6551" s="9">
        <v>1163</v>
      </c>
      <c r="H6551" s="5" t="s">
        <v>21</v>
      </c>
      <c r="I6551" s="5" t="s">
        <v>15649</v>
      </c>
      <c r="J6551" s="12" t="str">
        <f>HYPERLINK("https://www.boe.es/gazeta/dias/1808/09/13/pdfs/GMD-1808-123.pdf#page=11","Abrir facsímil")</f>
        <v>Abrir facsímil</v>
      </c>
      <c r="K6551" s="15" t="s">
        <v>23</v>
      </c>
    </row>
    <row r="6552" spans="1:11" ht="42" customHeight="1">
      <c r="A6552" s="4" t="s">
        <v>15650</v>
      </c>
      <c r="B6552" s="5" t="s">
        <v>15650</v>
      </c>
      <c r="C6552" s="5" t="s">
        <v>17</v>
      </c>
      <c r="D6552" s="5" t="s">
        <v>18</v>
      </c>
      <c r="E6552" s="5" t="s">
        <v>461</v>
      </c>
      <c r="F6552" s="9" t="s">
        <v>733</v>
      </c>
      <c r="G6552" s="9">
        <v>1442</v>
      </c>
      <c r="H6552" s="5" t="s">
        <v>21</v>
      </c>
      <c r="I6552" s="5" t="s">
        <v>15651</v>
      </c>
      <c r="J6552" s="12" t="str">
        <f>HYPERLINK("https://www.boe.es/gazeta/dias/1808/11/08/pdfs/GMD-1808-142.pdf#page=4","Abrir facsímil")</f>
        <v>Abrir facsímil</v>
      </c>
      <c r="K6552" s="15" t="s">
        <v>23</v>
      </c>
    </row>
    <row r="6553" spans="1:11" ht="42" customHeight="1">
      <c r="A6553" s="4" t="s">
        <v>15652</v>
      </c>
      <c r="B6553" s="5" t="s">
        <v>15653</v>
      </c>
      <c r="C6553" s="5" t="s">
        <v>17</v>
      </c>
      <c r="D6553" s="5" t="s">
        <v>18</v>
      </c>
      <c r="E6553" s="5" t="s">
        <v>3235</v>
      </c>
      <c r="F6553" s="9" t="s">
        <v>3236</v>
      </c>
      <c r="G6553" s="9">
        <v>22</v>
      </c>
      <c r="H6553" s="5" t="s">
        <v>21</v>
      </c>
      <c r="I6553" s="5" t="s">
        <v>15654</v>
      </c>
      <c r="J6553" s="12" t="str">
        <f>HYPERLINK("https://www.boe.es/gazeta/dias/1808/06/08/pdfs/GMS-1808-3.pdf#page=6","Abrir facsímil")</f>
        <v>Abrir facsímil</v>
      </c>
      <c r="K6553" s="15" t="s">
        <v>23</v>
      </c>
    </row>
    <row r="6554" spans="1:11" ht="42" customHeight="1">
      <c r="A6554" s="4" t="s">
        <v>15655</v>
      </c>
      <c r="B6554" s="5" t="s">
        <v>15655</v>
      </c>
      <c r="C6554" s="5" t="s">
        <v>33</v>
      </c>
      <c r="D6554" s="5" t="s">
        <v>34</v>
      </c>
      <c r="E6554" s="5" t="s">
        <v>197</v>
      </c>
      <c r="F6554" s="9" t="s">
        <v>198</v>
      </c>
      <c r="G6554" s="9" t="s">
        <v>75</v>
      </c>
      <c r="H6554" s="5" t="s">
        <v>21</v>
      </c>
      <c r="I6554" s="5" t="s">
        <v>15656</v>
      </c>
      <c r="J6554" s="12" t="str">
        <f>HYPERLINK("https://www.boe.es/gazeta/dias/1808/11/01/pdfs/GMD-D-1808-140.pdf#page=4","Abrir facsímil")</f>
        <v>Abrir facsímil</v>
      </c>
      <c r="K6554" s="15" t="s">
        <v>23</v>
      </c>
    </row>
    <row r="6555" spans="1:11" ht="42" customHeight="1">
      <c r="A6555" s="4" t="s">
        <v>15655</v>
      </c>
      <c r="B6555" s="5" t="s">
        <v>15655</v>
      </c>
      <c r="C6555" s="5" t="s">
        <v>33</v>
      </c>
      <c r="D6555" s="5" t="s">
        <v>34</v>
      </c>
      <c r="E6555" s="5" t="s">
        <v>461</v>
      </c>
      <c r="F6555" s="9" t="s">
        <v>462</v>
      </c>
      <c r="G6555" s="9" t="s">
        <v>75</v>
      </c>
      <c r="H6555" s="5" t="s">
        <v>21</v>
      </c>
      <c r="I6555" s="5" t="s">
        <v>15657</v>
      </c>
      <c r="J6555" s="12" t="str">
        <f>HYPERLINK("https://www.boe.es/gazeta/dias/1808/11/08/pdfs/GMD-D-1808-142.pdf#page=4","Abrir facsímil")</f>
        <v>Abrir facsímil</v>
      </c>
      <c r="K6555" s="15" t="s">
        <v>23</v>
      </c>
    </row>
    <row r="6556" spans="1:11" ht="42" customHeight="1">
      <c r="A6556" s="4" t="s">
        <v>15658</v>
      </c>
      <c r="B6556" s="5" t="s">
        <v>15658</v>
      </c>
      <c r="C6556" s="5" t="s">
        <v>41</v>
      </c>
      <c r="D6556" s="5" t="s">
        <v>42</v>
      </c>
      <c r="E6556" s="5" t="s">
        <v>264</v>
      </c>
      <c r="F6556" s="9" t="s">
        <v>318</v>
      </c>
      <c r="G6556" s="9" t="s">
        <v>106</v>
      </c>
      <c r="H6556" s="5" t="s">
        <v>21</v>
      </c>
      <c r="I6556" s="5" t="s">
        <v>15659</v>
      </c>
      <c r="J6556" s="12" t="str">
        <f>HYPERLINK("https://www.boe.es/gazeta/dias/1808/11/29/pdfs/GMD-C-1808-148.pdf#page=3","Abrir facsímil")</f>
        <v>Abrir facsímil</v>
      </c>
      <c r="K6556" s="15" t="s">
        <v>23</v>
      </c>
    </row>
    <row r="6557" spans="1:11" ht="42" customHeight="1">
      <c r="A6557" s="4" t="s">
        <v>15660</v>
      </c>
      <c r="B6557" s="5" t="s">
        <v>15660</v>
      </c>
      <c r="C6557" s="5" t="s">
        <v>41</v>
      </c>
      <c r="D6557" s="5" t="s">
        <v>42</v>
      </c>
      <c r="E6557" s="5" t="s">
        <v>264</v>
      </c>
      <c r="F6557" s="9" t="s">
        <v>318</v>
      </c>
      <c r="G6557" s="9" t="s">
        <v>106</v>
      </c>
      <c r="H6557" s="5" t="s">
        <v>21</v>
      </c>
      <c r="I6557" s="5" t="s">
        <v>15661</v>
      </c>
      <c r="J6557" s="12" t="str">
        <f>HYPERLINK("https://www.boe.es/gazeta/dias/1808/11/29/pdfs/GMD-C-1808-148.pdf#page=3","Abrir facsímil")</f>
        <v>Abrir facsímil</v>
      </c>
      <c r="K6557" s="15" t="s">
        <v>23</v>
      </c>
    </row>
    <row r="6558" spans="1:11" ht="42" customHeight="1">
      <c r="A6558" s="4" t="s">
        <v>15662</v>
      </c>
      <c r="B6558" s="5" t="s">
        <v>15662</v>
      </c>
      <c r="C6558" s="5" t="s">
        <v>33</v>
      </c>
      <c r="D6558" s="5" t="s">
        <v>34</v>
      </c>
      <c r="E6558" s="5" t="s">
        <v>456</v>
      </c>
      <c r="F6558" s="9" t="s">
        <v>748</v>
      </c>
      <c r="G6558" s="9" t="s">
        <v>117</v>
      </c>
      <c r="H6558" s="5" t="s">
        <v>21</v>
      </c>
      <c r="I6558" s="5" t="s">
        <v>15663</v>
      </c>
      <c r="J6558" s="12" t="str">
        <f>HYPERLINK("https://www.boe.es/gazeta/dias/1808/10/14/pdfs/GMD-C-1808-134.pdf#page=1","Abrir facsímil")</f>
        <v>Abrir facsímil</v>
      </c>
      <c r="K6558" s="15" t="s">
        <v>23</v>
      </c>
    </row>
    <row r="6559" spans="1:11" ht="42" customHeight="1">
      <c r="A6559" s="4" t="s">
        <v>15664</v>
      </c>
      <c r="B6559" s="5" t="s">
        <v>15664</v>
      </c>
      <c r="C6559" s="5" t="s">
        <v>94</v>
      </c>
      <c r="D6559" s="5" t="s">
        <v>95</v>
      </c>
      <c r="E6559" s="5" t="s">
        <v>1085</v>
      </c>
      <c r="F6559" s="9" t="s">
        <v>1086</v>
      </c>
      <c r="G6559" s="9">
        <v>104</v>
      </c>
      <c r="H6559" s="5" t="s">
        <v>21</v>
      </c>
      <c r="I6559" s="5" t="s">
        <v>15665</v>
      </c>
      <c r="J6559" s="12" t="str">
        <f>HYPERLINK("https://www.boe.es/gazeta/dias/1808/01/29/pdfs/GMD-1808-9.pdf#page=8","Abrir facsímil")</f>
        <v>Abrir facsímil</v>
      </c>
      <c r="K6559" s="15" t="s">
        <v>23</v>
      </c>
    </row>
    <row r="6560" spans="1:11" ht="42" customHeight="1">
      <c r="A6560" s="4" t="s">
        <v>15666</v>
      </c>
      <c r="B6560" s="5" t="s">
        <v>15666</v>
      </c>
      <c r="C6560" s="5" t="s">
        <v>17</v>
      </c>
      <c r="D6560" s="5" t="s">
        <v>18</v>
      </c>
      <c r="E6560" s="5" t="s">
        <v>2159</v>
      </c>
      <c r="F6560" s="9" t="s">
        <v>2160</v>
      </c>
      <c r="G6560" s="9">
        <v>183</v>
      </c>
      <c r="H6560" s="5" t="s">
        <v>21</v>
      </c>
      <c r="I6560" s="5" t="s">
        <v>15667</v>
      </c>
      <c r="J6560" s="12" t="str">
        <f>HYPERLINK("https://www.boe.es/gazeta/dias/1808/02/19/pdfs/GMD-1808-15.pdf#page=13","Abrir facsímil")</f>
        <v>Abrir facsímil</v>
      </c>
      <c r="K6560" s="15" t="s">
        <v>23</v>
      </c>
    </row>
    <row r="6561" spans="1:11" ht="42" customHeight="1">
      <c r="A6561" s="4" t="s">
        <v>15668</v>
      </c>
      <c r="B6561" s="5" t="s">
        <v>15668</v>
      </c>
      <c r="C6561" s="5" t="s">
        <v>33</v>
      </c>
      <c r="D6561" s="5" t="s">
        <v>34</v>
      </c>
      <c r="E6561" s="5" t="s">
        <v>264</v>
      </c>
      <c r="F6561" s="9" t="s">
        <v>318</v>
      </c>
      <c r="G6561" s="9" t="s">
        <v>106</v>
      </c>
      <c r="H6561" s="5" t="s">
        <v>21</v>
      </c>
      <c r="I6561" s="5" t="s">
        <v>15669</v>
      </c>
      <c r="J6561" s="12" t="str">
        <f>HYPERLINK("https://www.boe.es/gazeta/dias/1808/11/29/pdfs/GMD-C-1808-148.pdf#page=3","Abrir facsímil")</f>
        <v>Abrir facsímil</v>
      </c>
      <c r="K6561" s="15" t="s">
        <v>23</v>
      </c>
    </row>
    <row r="6562" spans="1:11" ht="42" customHeight="1">
      <c r="A6562" s="4" t="s">
        <v>15670</v>
      </c>
      <c r="B6562" s="5" t="s">
        <v>15671</v>
      </c>
      <c r="C6562" s="5" t="s">
        <v>389</v>
      </c>
      <c r="D6562" s="5" t="s">
        <v>390</v>
      </c>
      <c r="E6562" s="5" t="s">
        <v>139</v>
      </c>
      <c r="F6562" s="9" t="s">
        <v>1089</v>
      </c>
      <c r="G6562" s="9" t="s">
        <v>106</v>
      </c>
      <c r="H6562" s="5" t="s">
        <v>21</v>
      </c>
      <c r="I6562" s="5" t="s">
        <v>15672</v>
      </c>
      <c r="J6562" s="12" t="str">
        <f>HYPERLINK("https://www.boe.es/gazeta/dias/1808/09/23/pdfs/GMD-C-1808-127.pdf#page=3","Abrir facsímil")</f>
        <v>Abrir facsímil</v>
      </c>
      <c r="K6562" s="15" t="s">
        <v>23</v>
      </c>
    </row>
    <row r="6563" spans="1:11" ht="42" customHeight="1">
      <c r="A6563" s="4" t="s">
        <v>15673</v>
      </c>
      <c r="B6563" s="5" t="s">
        <v>15674</v>
      </c>
      <c r="C6563" s="5" t="s">
        <v>41</v>
      </c>
      <c r="D6563" s="5" t="s">
        <v>42</v>
      </c>
      <c r="E6563" s="5" t="s">
        <v>73</v>
      </c>
      <c r="F6563" s="9" t="s">
        <v>74</v>
      </c>
      <c r="G6563" s="9" t="s">
        <v>199</v>
      </c>
      <c r="H6563" s="5" t="s">
        <v>21</v>
      </c>
      <c r="I6563" s="5" t="s">
        <v>15675</v>
      </c>
      <c r="J6563" s="12" t="str">
        <f>HYPERLINK("https://www.boe.es/gazeta/dias/1808/11/11/pdfs/GMD-D-1808-143.pdf#page=2","Abrir facsímil")</f>
        <v>Abrir facsímil</v>
      </c>
      <c r="K6563" s="15" t="s">
        <v>23</v>
      </c>
    </row>
    <row r="6564" spans="1:11" ht="42" customHeight="1">
      <c r="A6564" s="4" t="s">
        <v>15676</v>
      </c>
      <c r="B6564" s="5" t="s">
        <v>15676</v>
      </c>
      <c r="C6564" s="5" t="s">
        <v>17</v>
      </c>
      <c r="D6564" s="5" t="s">
        <v>18</v>
      </c>
      <c r="E6564" s="5" t="s">
        <v>8875</v>
      </c>
      <c r="F6564" s="9" t="s">
        <v>8876</v>
      </c>
      <c r="G6564" s="9">
        <v>884</v>
      </c>
      <c r="H6564" s="5" t="s">
        <v>21</v>
      </c>
      <c r="I6564" s="5" t="s">
        <v>15677</v>
      </c>
      <c r="J6564" s="12" t="str">
        <f>HYPERLINK("https://www.boe.es/gazeta/dias/1808/07/24/pdfs/GMD-1808-96.pdf#page=6","Abrir facsímil")</f>
        <v>Abrir facsímil</v>
      </c>
      <c r="K6564" s="15" t="s">
        <v>23</v>
      </c>
    </row>
    <row r="6565" spans="1:11" ht="42" customHeight="1">
      <c r="A6565" s="4" t="s">
        <v>15678</v>
      </c>
      <c r="B6565" s="5" t="s">
        <v>15679</v>
      </c>
      <c r="C6565" s="5" t="s">
        <v>33</v>
      </c>
      <c r="D6565" s="5" t="s">
        <v>34</v>
      </c>
      <c r="E6565" s="5" t="s">
        <v>68</v>
      </c>
      <c r="F6565" s="9" t="s">
        <v>849</v>
      </c>
      <c r="G6565" s="9">
        <v>1344</v>
      </c>
      <c r="H6565" s="5" t="s">
        <v>21</v>
      </c>
      <c r="I6565" s="5" t="s">
        <v>15680</v>
      </c>
      <c r="J6565" s="12" t="str">
        <f>HYPERLINK("https://www.boe.es/gazeta/dias/1808/10/21/pdfs/GMD-C-1808-136.pdf#page=4","Abrir facsímil")</f>
        <v>Abrir facsímil</v>
      </c>
      <c r="K6565" s="15" t="s">
        <v>23</v>
      </c>
    </row>
    <row r="6566" spans="1:11" ht="42" customHeight="1">
      <c r="A6566" s="4" t="s">
        <v>15681</v>
      </c>
      <c r="B6566" s="5" t="s">
        <v>15682</v>
      </c>
      <c r="C6566" s="5" t="s">
        <v>33</v>
      </c>
      <c r="D6566" s="5" t="s">
        <v>34</v>
      </c>
      <c r="E6566" s="5" t="s">
        <v>110</v>
      </c>
      <c r="F6566" s="9" t="s">
        <v>4354</v>
      </c>
      <c r="G6566" s="9">
        <v>1393</v>
      </c>
      <c r="H6566" s="5" t="s">
        <v>21</v>
      </c>
      <c r="I6566" s="5" t="s">
        <v>15683</v>
      </c>
      <c r="J6566" s="12" t="str">
        <f>HYPERLINK("https://www.boe.es/gazeta/dias/1808/10/28/pdfs/GMD-C-1808-138.pdf#page=7","Abrir facsímil")</f>
        <v>Abrir facsímil</v>
      </c>
      <c r="K6566" s="15" t="s">
        <v>23</v>
      </c>
    </row>
    <row r="6567" spans="1:11" ht="42" customHeight="1">
      <c r="A6567" s="4" t="s">
        <v>15684</v>
      </c>
      <c r="B6567" s="5" t="s">
        <v>15685</v>
      </c>
      <c r="C6567" s="5" t="s">
        <v>17</v>
      </c>
      <c r="D6567" s="5" t="s">
        <v>18</v>
      </c>
      <c r="E6567" s="5" t="s">
        <v>218</v>
      </c>
      <c r="F6567" s="9" t="s">
        <v>219</v>
      </c>
      <c r="G6567" s="9">
        <v>331</v>
      </c>
      <c r="H6567" s="5" t="s">
        <v>21</v>
      </c>
      <c r="I6567" s="5" t="s">
        <v>15686</v>
      </c>
      <c r="J6567" s="12" t="str">
        <f>HYPERLINK("https://www.boe.es/gazeta/dias/1808/04/01/pdfs/GMD-1808-29.pdf#page=7","Abrir facsímil")</f>
        <v>Abrir facsímil</v>
      </c>
      <c r="K6567" s="15" t="s">
        <v>23</v>
      </c>
    </row>
    <row r="6568" spans="1:11" ht="42" customHeight="1">
      <c r="A6568" s="4" t="s">
        <v>15684</v>
      </c>
      <c r="B6568" s="5" t="s">
        <v>15685</v>
      </c>
      <c r="C6568" s="5" t="s">
        <v>41</v>
      </c>
      <c r="D6568" s="5" t="s">
        <v>42</v>
      </c>
      <c r="E6568" s="5" t="s">
        <v>1791</v>
      </c>
      <c r="F6568" s="9" t="s">
        <v>2814</v>
      </c>
      <c r="G6568" s="9">
        <v>930</v>
      </c>
      <c r="H6568" s="5" t="s">
        <v>21</v>
      </c>
      <c r="I6568" s="5" t="s">
        <v>15687</v>
      </c>
      <c r="J6568" s="12" t="str">
        <f>HYPERLINK("https://www.boe.es/gazeta/dias/1808/07/30/pdfs/GMD-1808-102.pdf#page=4","Abrir facsímil")</f>
        <v>Abrir facsímil</v>
      </c>
      <c r="K6568" s="15" t="s">
        <v>23</v>
      </c>
    </row>
    <row r="6569" spans="1:11" ht="42" customHeight="1">
      <c r="A6569" s="4" t="s">
        <v>15684</v>
      </c>
      <c r="B6569" s="5" t="s">
        <v>15685</v>
      </c>
      <c r="C6569" s="5" t="s">
        <v>41</v>
      </c>
      <c r="D6569" s="5" t="s">
        <v>42</v>
      </c>
      <c r="E6569" s="5" t="s">
        <v>427</v>
      </c>
      <c r="F6569" s="9" t="s">
        <v>1802</v>
      </c>
      <c r="G6569" s="9">
        <v>1526</v>
      </c>
      <c r="H6569" s="5" t="s">
        <v>21</v>
      </c>
      <c r="I6569" s="5" t="s">
        <v>15688</v>
      </c>
      <c r="J6569" s="12" t="str">
        <f>HYPERLINK("https://www.boe.es/gazeta/dias/1808/11/22/pdfs/GMD-1808-146.pdf#page=12","Abrir facsímil")</f>
        <v>Abrir facsímil</v>
      </c>
      <c r="K6569" s="15" t="s">
        <v>23</v>
      </c>
    </row>
    <row r="6570" spans="1:11" ht="42" customHeight="1">
      <c r="A6570" s="4" t="s">
        <v>15689</v>
      </c>
      <c r="B6570" s="5" t="s">
        <v>15690</v>
      </c>
      <c r="C6570" s="5" t="s">
        <v>17</v>
      </c>
      <c r="D6570" s="5" t="s">
        <v>18</v>
      </c>
      <c r="E6570" s="5" t="s">
        <v>192</v>
      </c>
      <c r="F6570" s="9" t="s">
        <v>193</v>
      </c>
      <c r="G6570" s="9">
        <v>766</v>
      </c>
      <c r="H6570" s="5" t="s">
        <v>21</v>
      </c>
      <c r="I6570" s="5" t="s">
        <v>15691</v>
      </c>
      <c r="J6570" s="12" t="str">
        <f>HYPERLINK("https://www.boe.es/gazeta/dias/1808/07/09/pdfs/GMD-1808-81.pdf#page=8","Abrir facsímil")</f>
        <v>Abrir facsímil</v>
      </c>
      <c r="K6570" s="15" t="s">
        <v>23</v>
      </c>
    </row>
    <row r="6571" spans="1:11" ht="42" customHeight="1">
      <c r="A6571" s="4" t="s">
        <v>15692</v>
      </c>
      <c r="B6571" s="5" t="s">
        <v>15693</v>
      </c>
      <c r="C6571" s="5" t="s">
        <v>389</v>
      </c>
      <c r="D6571" s="5" t="s">
        <v>390</v>
      </c>
      <c r="E6571" s="5" t="s">
        <v>120</v>
      </c>
      <c r="F6571" s="9" t="s">
        <v>121</v>
      </c>
      <c r="G6571" s="9">
        <v>316</v>
      </c>
      <c r="H6571" s="5" t="s">
        <v>21</v>
      </c>
      <c r="I6571" s="5" t="s">
        <v>15694</v>
      </c>
      <c r="J6571" s="12" t="str">
        <f>HYPERLINK("https://www.boe.es/gazeta/dias/1808/03/29/pdfs/GMD-1808-27.pdf#page=12","Abrir facsímil")</f>
        <v>Abrir facsímil</v>
      </c>
      <c r="K6571" s="15" t="s">
        <v>23</v>
      </c>
    </row>
    <row r="6572" spans="1:11" ht="42" customHeight="1">
      <c r="A6572" s="4" t="s">
        <v>15695</v>
      </c>
      <c r="B6572" s="5" t="s">
        <v>15695</v>
      </c>
      <c r="C6572" s="5" t="s">
        <v>33</v>
      </c>
      <c r="D6572" s="5" t="s">
        <v>34</v>
      </c>
      <c r="E6572" s="5" t="s">
        <v>363</v>
      </c>
      <c r="F6572" s="9" t="s">
        <v>364</v>
      </c>
      <c r="G6572" s="9" t="s">
        <v>199</v>
      </c>
      <c r="H6572" s="5" t="s">
        <v>21</v>
      </c>
      <c r="I6572" s="5" t="s">
        <v>15696</v>
      </c>
      <c r="J6572" s="12" t="str">
        <f>HYPERLINK("https://www.boe.es/gazeta/dias/1808/09/20/pdfs/GMD-C-1808-126.pdf#page=2","Abrir facsímil")</f>
        <v>Abrir facsímil</v>
      </c>
      <c r="K6572" s="15" t="s">
        <v>23</v>
      </c>
    </row>
    <row r="6573" spans="1:11" ht="42" customHeight="1">
      <c r="A6573" s="4" t="s">
        <v>15697</v>
      </c>
      <c r="B6573" s="5" t="s">
        <v>15697</v>
      </c>
      <c r="C6573" s="5" t="s">
        <v>101</v>
      </c>
      <c r="D6573" s="5" t="s">
        <v>102</v>
      </c>
      <c r="E6573" s="5" t="s">
        <v>1962</v>
      </c>
      <c r="F6573" s="9" t="s">
        <v>1963</v>
      </c>
      <c r="G6573" s="9">
        <v>729</v>
      </c>
      <c r="H6573" s="5" t="s">
        <v>21</v>
      </c>
      <c r="I6573" s="5" t="s">
        <v>15698</v>
      </c>
      <c r="J6573" s="12" t="str">
        <f>HYPERLINK("https://www.boe.es/gazeta/dias/1808/07/05/pdfs/GMD-1808-77.pdf#page=3","Abrir facsímil")</f>
        <v>Abrir facsímil</v>
      </c>
      <c r="K6573" s="15" t="s">
        <v>23</v>
      </c>
    </row>
    <row r="6574" spans="1:11" ht="42" customHeight="1">
      <c r="A6574" s="4" t="s">
        <v>15699</v>
      </c>
      <c r="B6574" s="5" t="s">
        <v>15700</v>
      </c>
      <c r="C6574" s="5" t="s">
        <v>33</v>
      </c>
      <c r="D6574" s="5" t="s">
        <v>34</v>
      </c>
      <c r="E6574" s="5" t="s">
        <v>65</v>
      </c>
      <c r="F6574" s="9" t="s">
        <v>691</v>
      </c>
      <c r="G6574" s="9">
        <v>1327</v>
      </c>
      <c r="H6574" s="5" t="s">
        <v>21</v>
      </c>
      <c r="I6574" s="5" t="s">
        <v>15701</v>
      </c>
      <c r="J6574" s="12" t="str">
        <f>HYPERLINK("https://www.boe.es/gazeta/dias/1808/10/18/pdfs/GMD-C-1808-135.pdf#page=11","Abrir facsímil")</f>
        <v>Abrir facsímil</v>
      </c>
      <c r="K6574" s="15" t="s">
        <v>23</v>
      </c>
    </row>
    <row r="6575" spans="1:11" ht="42" customHeight="1">
      <c r="A6575" s="4" t="s">
        <v>15702</v>
      </c>
      <c r="B6575" s="5" t="s">
        <v>15703</v>
      </c>
      <c r="C6575" s="5" t="s">
        <v>389</v>
      </c>
      <c r="D6575" s="5" t="s">
        <v>390</v>
      </c>
      <c r="E6575" s="5" t="s">
        <v>427</v>
      </c>
      <c r="F6575" s="9" t="s">
        <v>1802</v>
      </c>
      <c r="G6575" s="9">
        <v>1526</v>
      </c>
      <c r="H6575" s="5" t="s">
        <v>21</v>
      </c>
      <c r="I6575" s="5" t="s">
        <v>15704</v>
      </c>
      <c r="J6575" s="12" t="str">
        <f>HYPERLINK("https://www.boe.es/gazeta/dias/1808/11/22/pdfs/GMD-1808-146.pdf#page=12","Abrir facsímil")</f>
        <v>Abrir facsímil</v>
      </c>
      <c r="K6575" s="15" t="s">
        <v>23</v>
      </c>
    </row>
    <row r="6576" spans="1:11" ht="42" customHeight="1">
      <c r="A6576" s="4" t="s">
        <v>15705</v>
      </c>
      <c r="B6576" s="5" t="s">
        <v>15706</v>
      </c>
      <c r="C6576" s="5" t="s">
        <v>94</v>
      </c>
      <c r="D6576" s="5" t="s">
        <v>95</v>
      </c>
      <c r="E6576" s="5" t="s">
        <v>3365</v>
      </c>
      <c r="F6576" s="9" t="s">
        <v>3366</v>
      </c>
      <c r="G6576" s="9">
        <v>128</v>
      </c>
      <c r="H6576" s="5" t="s">
        <v>21</v>
      </c>
      <c r="I6576" s="5" t="s">
        <v>15707</v>
      </c>
      <c r="J6576" s="12" t="str">
        <f>HYPERLINK("https://www.boe.es/gazeta/dias/1808/07/23/pdfs/GMS-1808-16.pdf#page=8","Abrir facsímil")</f>
        <v>Abrir facsímil</v>
      </c>
      <c r="K6576" s="15" t="s">
        <v>23</v>
      </c>
    </row>
    <row r="6577" spans="1:11" ht="42" customHeight="1">
      <c r="A6577" s="4" t="s">
        <v>15708</v>
      </c>
      <c r="B6577" s="5" t="s">
        <v>15709</v>
      </c>
      <c r="C6577" s="5" t="s">
        <v>260</v>
      </c>
      <c r="D6577" s="5" t="s">
        <v>42</v>
      </c>
      <c r="E6577" s="5" t="s">
        <v>222</v>
      </c>
      <c r="F6577" s="9" t="s">
        <v>223</v>
      </c>
      <c r="G6577" s="9">
        <v>355</v>
      </c>
      <c r="H6577" s="5" t="s">
        <v>21</v>
      </c>
      <c r="I6577" s="5" t="s">
        <v>15710</v>
      </c>
      <c r="J6577" s="12" t="str">
        <f>HYPERLINK("https://www.boe.es/gazeta/dias/1808/04/08/pdfs/GMD-1808-32.pdf#page=9","Abrir facsímil")</f>
        <v>Abrir facsímil</v>
      </c>
      <c r="K6577" s="15" t="s">
        <v>23</v>
      </c>
    </row>
    <row r="6578" spans="1:11" ht="42" customHeight="1">
      <c r="A6578" s="4" t="s">
        <v>15711</v>
      </c>
      <c r="B6578" s="5" t="s">
        <v>15712</v>
      </c>
      <c r="C6578" s="5" t="s">
        <v>41</v>
      </c>
      <c r="D6578" s="5" t="s">
        <v>42</v>
      </c>
      <c r="E6578" s="5" t="s">
        <v>35</v>
      </c>
      <c r="F6578" s="9" t="s">
        <v>36</v>
      </c>
      <c r="G6578" s="9" t="s">
        <v>75</v>
      </c>
      <c r="H6578" s="5" t="s">
        <v>21</v>
      </c>
      <c r="I6578" s="5" t="s">
        <v>15713</v>
      </c>
      <c r="J6578" s="12" t="str">
        <f>HYPERLINK("https://www.boe.es/gazeta/dias/1808/04/22/pdfs/GMD-C-1808-38.pdf#page=4","Abrir facsímil")</f>
        <v>Abrir facsímil</v>
      </c>
      <c r="K6578" s="15" t="s">
        <v>23</v>
      </c>
    </row>
    <row r="6579" spans="1:11" ht="42" customHeight="1">
      <c r="A6579" s="4" t="s">
        <v>15714</v>
      </c>
      <c r="B6579" s="5" t="s">
        <v>15715</v>
      </c>
      <c r="C6579" s="5" t="s">
        <v>94</v>
      </c>
      <c r="D6579" s="5" t="s">
        <v>95</v>
      </c>
      <c r="E6579" s="5" t="s">
        <v>1385</v>
      </c>
      <c r="F6579" s="9" t="s">
        <v>1386</v>
      </c>
      <c r="G6579" s="9">
        <v>231</v>
      </c>
      <c r="H6579" s="5" t="s">
        <v>21</v>
      </c>
      <c r="I6579" s="5" t="s">
        <v>15716</v>
      </c>
      <c r="J6579" s="12" t="str">
        <f>HYPERLINK("https://www.boe.es/gazeta/dias/1808/03/04/pdfs/GMD-1808-19.pdf#page=9","Abrir facsímil")</f>
        <v>Abrir facsímil</v>
      </c>
      <c r="K6579" s="15" t="s">
        <v>23</v>
      </c>
    </row>
    <row r="6580" spans="1:11" ht="42" customHeight="1">
      <c r="A6580" s="4" t="s">
        <v>15717</v>
      </c>
      <c r="B6580" s="5" t="s">
        <v>15718</v>
      </c>
      <c r="C6580" s="5" t="s">
        <v>33</v>
      </c>
      <c r="D6580" s="5" t="s">
        <v>34</v>
      </c>
      <c r="E6580" s="5" t="s">
        <v>68</v>
      </c>
      <c r="F6580" s="9" t="s">
        <v>309</v>
      </c>
      <c r="G6580" s="9" t="s">
        <v>106</v>
      </c>
      <c r="H6580" s="5" t="s">
        <v>21</v>
      </c>
      <c r="I6580" s="5" t="s">
        <v>15719</v>
      </c>
      <c r="J6580" s="12" t="str">
        <f>HYPERLINK("https://www.boe.es/gazeta/dias/1808/10/21/pdfs/GMD-D-1808-136.pdf#page=3","Abrir facsímil")</f>
        <v>Abrir facsímil</v>
      </c>
      <c r="K6580" s="15" t="s">
        <v>23</v>
      </c>
    </row>
    <row r="6581" spans="1:11" ht="42" customHeight="1">
      <c r="A6581" s="4" t="s">
        <v>15720</v>
      </c>
      <c r="B6581" s="5" t="s">
        <v>15720</v>
      </c>
      <c r="C6581" s="5" t="s">
        <v>17</v>
      </c>
      <c r="D6581" s="5" t="s">
        <v>18</v>
      </c>
      <c r="E6581" s="5" t="s">
        <v>334</v>
      </c>
      <c r="F6581" s="9" t="s">
        <v>1814</v>
      </c>
      <c r="G6581" s="9">
        <v>1246</v>
      </c>
      <c r="H6581" s="5" t="s">
        <v>21</v>
      </c>
      <c r="I6581" s="5" t="s">
        <v>15721</v>
      </c>
      <c r="J6581" s="12" t="str">
        <f>HYPERLINK("https://www.boe.es/gazeta/dias/1808/10/04/pdfs/GMD-1808-131.pdf#page=14","Abrir facsímil")</f>
        <v>Abrir facsímil</v>
      </c>
      <c r="K6581" s="15" t="s">
        <v>23</v>
      </c>
    </row>
    <row r="6582" spans="1:11" ht="42" customHeight="1">
      <c r="A6582" s="4" t="s">
        <v>15722</v>
      </c>
      <c r="B6582" s="5" t="s">
        <v>15723</v>
      </c>
      <c r="C6582" s="5" t="s">
        <v>33</v>
      </c>
      <c r="D6582" s="5" t="s">
        <v>34</v>
      </c>
      <c r="E6582" s="5" t="s">
        <v>35</v>
      </c>
      <c r="F6582" s="9" t="s">
        <v>36</v>
      </c>
      <c r="G6582" s="9" t="s">
        <v>313</v>
      </c>
      <c r="H6582" s="5" t="s">
        <v>21</v>
      </c>
      <c r="I6582" s="5" t="s">
        <v>15724</v>
      </c>
      <c r="J6582" s="12" t="str">
        <f>HYPERLINK("https://www.boe.es/gazeta/dias/1808/04/22/pdfs/GMD-C-1808-38.pdf#page=29","Abrir facsímil")</f>
        <v>Abrir facsímil</v>
      </c>
      <c r="K6582" s="15" t="s">
        <v>23</v>
      </c>
    </row>
    <row r="6583" spans="1:11" ht="42" customHeight="1">
      <c r="A6583" s="4" t="s">
        <v>15725</v>
      </c>
      <c r="B6583" s="5" t="s">
        <v>15726</v>
      </c>
      <c r="C6583" s="5" t="s">
        <v>33</v>
      </c>
      <c r="D6583" s="5" t="s">
        <v>34</v>
      </c>
      <c r="E6583" s="5" t="s">
        <v>461</v>
      </c>
      <c r="F6583" s="9" t="s">
        <v>462</v>
      </c>
      <c r="G6583" s="9" t="s">
        <v>106</v>
      </c>
      <c r="H6583" s="5" t="s">
        <v>21</v>
      </c>
      <c r="I6583" s="5" t="s">
        <v>15727</v>
      </c>
      <c r="J6583" s="12" t="str">
        <f>HYPERLINK("https://www.boe.es/gazeta/dias/1808/11/08/pdfs/GMD-D-1808-142.pdf#page=3","Abrir facsímil")</f>
        <v>Abrir facsímil</v>
      </c>
      <c r="K6583" s="15" t="s">
        <v>23</v>
      </c>
    </row>
    <row r="6584" spans="1:11" ht="42" customHeight="1">
      <c r="A6584" s="4" t="s">
        <v>15728</v>
      </c>
      <c r="B6584" s="5" t="s">
        <v>15729</v>
      </c>
      <c r="C6584" s="5" t="s">
        <v>33</v>
      </c>
      <c r="D6584" s="5" t="s">
        <v>34</v>
      </c>
      <c r="E6584" s="5" t="s">
        <v>558</v>
      </c>
      <c r="F6584" s="9" t="s">
        <v>758</v>
      </c>
      <c r="G6584" s="9" t="s">
        <v>106</v>
      </c>
      <c r="H6584" s="5" t="s">
        <v>21</v>
      </c>
      <c r="I6584" s="5" t="s">
        <v>15730</v>
      </c>
      <c r="J6584" s="12" t="str">
        <f>HYPERLINK("https://www.boe.es/gazeta/dias/1808/11/25/pdfs/GMD-E-1808-147.pdf#page=3","Abrir facsímil")</f>
        <v>Abrir facsímil</v>
      </c>
      <c r="K6584" s="15" t="s">
        <v>23</v>
      </c>
    </row>
    <row r="6585" spans="1:11" ht="42" customHeight="1">
      <c r="A6585" s="4" t="s">
        <v>15731</v>
      </c>
      <c r="B6585" s="5" t="s">
        <v>15732</v>
      </c>
      <c r="C6585" s="5" t="s">
        <v>33</v>
      </c>
      <c r="D6585" s="5" t="s">
        <v>34</v>
      </c>
      <c r="E6585" s="5" t="s">
        <v>28</v>
      </c>
      <c r="F6585" s="9" t="s">
        <v>446</v>
      </c>
      <c r="G6585" s="9" t="s">
        <v>106</v>
      </c>
      <c r="H6585" s="5" t="s">
        <v>21</v>
      </c>
      <c r="I6585" s="5" t="s">
        <v>15733</v>
      </c>
      <c r="J6585" s="12" t="str">
        <f>HYPERLINK("https://www.boe.es/gazeta/dias/1808/11/04/pdfs/GMD-D-1808-141.pdf#page=3","Abrir facsímil")</f>
        <v>Abrir facsímil</v>
      </c>
      <c r="K6585" s="15" t="s">
        <v>23</v>
      </c>
    </row>
    <row r="6586" spans="1:11" ht="42" customHeight="1">
      <c r="A6586" s="4" t="s">
        <v>15734</v>
      </c>
      <c r="B6586" s="5" t="s">
        <v>15734</v>
      </c>
      <c r="C6586" s="5" t="s">
        <v>101</v>
      </c>
      <c r="D6586" s="5" t="s">
        <v>102</v>
      </c>
      <c r="E6586" s="5" t="s">
        <v>473</v>
      </c>
      <c r="F6586" s="9" t="s">
        <v>474</v>
      </c>
      <c r="G6586" s="9">
        <v>705</v>
      </c>
      <c r="H6586" s="5" t="s">
        <v>21</v>
      </c>
      <c r="I6586" s="5" t="s">
        <v>15735</v>
      </c>
      <c r="J6586" s="12" t="str">
        <f>HYPERLINK("https://www.boe.es/gazeta/dias/1808/07/02/pdfs/GMD-1808-74.pdf#page=3","Abrir facsímil")</f>
        <v>Abrir facsímil</v>
      </c>
      <c r="K6586" s="15" t="s">
        <v>23</v>
      </c>
    </row>
    <row r="6587" spans="1:11" ht="42" customHeight="1">
      <c r="A6587" s="4" t="s">
        <v>15734</v>
      </c>
      <c r="B6587" s="5" t="s">
        <v>15734</v>
      </c>
      <c r="C6587" s="5" t="s">
        <v>101</v>
      </c>
      <c r="D6587" s="5" t="s">
        <v>102</v>
      </c>
      <c r="E6587" s="5" t="s">
        <v>1893</v>
      </c>
      <c r="F6587" s="9" t="s">
        <v>1894</v>
      </c>
      <c r="G6587" s="9">
        <v>744</v>
      </c>
      <c r="H6587" s="5" t="s">
        <v>21</v>
      </c>
      <c r="I6587" s="5" t="s">
        <v>15736</v>
      </c>
      <c r="J6587" s="12" t="str">
        <f>HYPERLINK("https://www.boe.es/gazeta/dias/1808/07/07/pdfs/GMD-1808-79.pdf#page=2","Abrir facsímil")</f>
        <v>Abrir facsímil</v>
      </c>
      <c r="K6587" s="15" t="s">
        <v>23</v>
      </c>
    </row>
    <row r="6588" spans="1:11" ht="42" customHeight="1">
      <c r="A6588" s="4" t="s">
        <v>15737</v>
      </c>
      <c r="B6588" s="5" t="s">
        <v>15737</v>
      </c>
      <c r="C6588" s="5" t="s">
        <v>94</v>
      </c>
      <c r="D6588" s="5" t="s">
        <v>95</v>
      </c>
      <c r="E6588" s="5" t="s">
        <v>473</v>
      </c>
      <c r="F6588" s="9" t="s">
        <v>474</v>
      </c>
      <c r="G6588" s="9">
        <v>705</v>
      </c>
      <c r="H6588" s="5" t="s">
        <v>21</v>
      </c>
      <c r="I6588" s="5" t="s">
        <v>15738</v>
      </c>
      <c r="J6588" s="12" t="str">
        <f>HYPERLINK("https://www.boe.es/gazeta/dias/1808/07/02/pdfs/GMD-1808-74.pdf#page=3","Abrir facsímil")</f>
        <v>Abrir facsímil</v>
      </c>
      <c r="K6588" s="15" t="s">
        <v>23</v>
      </c>
    </row>
    <row r="6589" spans="1:11" ht="42" customHeight="1">
      <c r="A6589" s="4" t="s">
        <v>15737</v>
      </c>
      <c r="B6589" s="5" t="s">
        <v>15737</v>
      </c>
      <c r="C6589" s="5" t="s">
        <v>101</v>
      </c>
      <c r="D6589" s="5" t="s">
        <v>102</v>
      </c>
      <c r="E6589" s="5" t="s">
        <v>228</v>
      </c>
      <c r="F6589" s="9" t="s">
        <v>229</v>
      </c>
      <c r="G6589" s="9">
        <v>834</v>
      </c>
      <c r="H6589" s="5" t="s">
        <v>21</v>
      </c>
      <c r="I6589" s="5" t="s">
        <v>15739</v>
      </c>
      <c r="J6589" s="12" t="str">
        <f>HYPERLINK("https://www.boe.es/gazeta/dias/1808/07/18/pdfs/GMD-1808-90.pdf#page=4","Abrir facsímil")</f>
        <v>Abrir facsímil</v>
      </c>
      <c r="K6589" s="15" t="s">
        <v>23</v>
      </c>
    </row>
    <row r="6590" spans="1:11" ht="42" customHeight="1">
      <c r="A6590" s="4" t="s">
        <v>15740</v>
      </c>
      <c r="B6590" s="5" t="s">
        <v>15741</v>
      </c>
      <c r="C6590" s="5" t="s">
        <v>17</v>
      </c>
      <c r="D6590" s="5" t="s">
        <v>18</v>
      </c>
      <c r="E6590" s="5" t="s">
        <v>110</v>
      </c>
      <c r="F6590" s="9" t="s">
        <v>111</v>
      </c>
      <c r="G6590" s="9">
        <v>1384</v>
      </c>
      <c r="H6590" s="5" t="s">
        <v>21</v>
      </c>
      <c r="I6590" s="5" t="s">
        <v>15742</v>
      </c>
      <c r="J6590" s="12" t="str">
        <f>HYPERLINK("https://www.boe.es/gazeta/dias/1808/10/28/pdfs/GMD-1808-138.pdf#page=10","Abrir facsímil")</f>
        <v>Abrir facsímil</v>
      </c>
      <c r="K6590" s="15" t="s">
        <v>23</v>
      </c>
    </row>
    <row r="6591" spans="1:11" ht="42" customHeight="1">
      <c r="A6591" s="4" t="s">
        <v>15743</v>
      </c>
      <c r="B6591" s="5" t="s">
        <v>15743</v>
      </c>
      <c r="C6591" s="5" t="s">
        <v>17</v>
      </c>
      <c r="D6591" s="5" t="s">
        <v>18</v>
      </c>
      <c r="E6591" s="5" t="s">
        <v>558</v>
      </c>
      <c r="F6591" s="9" t="s">
        <v>559</v>
      </c>
      <c r="G6591" s="9">
        <v>1544</v>
      </c>
      <c r="H6591" s="5" t="s">
        <v>21</v>
      </c>
      <c r="I6591" s="5" t="s">
        <v>15744</v>
      </c>
      <c r="J6591" s="12" t="str">
        <f>HYPERLINK("https://www.boe.es/gazeta/dias/1808/11/25/pdfs/GMD-1808-147.pdf#page=10","Abrir facsímil")</f>
        <v>Abrir facsímil</v>
      </c>
      <c r="K6591" s="15" t="s">
        <v>23</v>
      </c>
    </row>
    <row r="6592" spans="1:11" ht="42" customHeight="1">
      <c r="A6592" s="4" t="s">
        <v>15745</v>
      </c>
      <c r="B6592" s="5" t="s">
        <v>15745</v>
      </c>
      <c r="C6592" s="5" t="s">
        <v>101</v>
      </c>
      <c r="D6592" s="5" t="s">
        <v>102</v>
      </c>
      <c r="E6592" s="5" t="s">
        <v>3097</v>
      </c>
      <c r="F6592" s="9" t="s">
        <v>3098</v>
      </c>
      <c r="G6592" s="9">
        <v>824</v>
      </c>
      <c r="H6592" s="5" t="s">
        <v>21</v>
      </c>
      <c r="I6592" s="5" t="s">
        <v>15746</v>
      </c>
      <c r="J6592" s="12" t="str">
        <f>HYPERLINK("https://www.boe.es/gazeta/dias/1808/07/17/pdfs/GMD-1808-89.pdf#page=2","Abrir facsímil")</f>
        <v>Abrir facsímil</v>
      </c>
      <c r="K6592" s="15" t="s">
        <v>23</v>
      </c>
    </row>
    <row r="6593" spans="1:11" ht="42" customHeight="1">
      <c r="A6593" s="4" t="s">
        <v>15747</v>
      </c>
      <c r="B6593" s="5" t="s">
        <v>15748</v>
      </c>
      <c r="C6593" s="5" t="s">
        <v>17</v>
      </c>
      <c r="D6593" s="5" t="s">
        <v>18</v>
      </c>
      <c r="E6593" s="5" t="s">
        <v>28</v>
      </c>
      <c r="F6593" s="9" t="s">
        <v>29</v>
      </c>
      <c r="G6593" s="9">
        <v>1422</v>
      </c>
      <c r="H6593" s="5" t="s">
        <v>21</v>
      </c>
      <c r="I6593" s="5" t="s">
        <v>15749</v>
      </c>
      <c r="J6593" s="12" t="str">
        <f>HYPERLINK("https://www.boe.es/gazeta/dias/1808/11/04/pdfs/GMD-1808-141.pdf#page=4","Abrir facsímil")</f>
        <v>Abrir facsímil</v>
      </c>
      <c r="K6593" s="15" t="s">
        <v>23</v>
      </c>
    </row>
    <row r="6594" spans="1:11" ht="42" customHeight="1">
      <c r="A6594" s="4" t="s">
        <v>15747</v>
      </c>
      <c r="B6594" s="5" t="s">
        <v>15748</v>
      </c>
      <c r="C6594" s="5" t="s">
        <v>17</v>
      </c>
      <c r="D6594" s="5" t="s">
        <v>18</v>
      </c>
      <c r="E6594" s="5" t="s">
        <v>28</v>
      </c>
      <c r="F6594" s="9" t="s">
        <v>9084</v>
      </c>
      <c r="G6594" s="9">
        <v>363</v>
      </c>
      <c r="H6594" s="5" t="s">
        <v>21</v>
      </c>
      <c r="I6594" s="5" t="s">
        <v>15750</v>
      </c>
      <c r="J6594" s="12" t="str">
        <f>HYPERLINK("https://www.boe.es/gazeta/dias/1808/11/04/pdfs/GMS-1808-46.pdf#page=3","Abrir facsímil")</f>
        <v>Abrir facsímil</v>
      </c>
      <c r="K6594" s="15" t="s">
        <v>23</v>
      </c>
    </row>
    <row r="6595" spans="1:11" ht="42" customHeight="1">
      <c r="A6595" s="4" t="s">
        <v>15751</v>
      </c>
      <c r="B6595" s="5" t="s">
        <v>15752</v>
      </c>
      <c r="C6595" s="5" t="s">
        <v>642</v>
      </c>
      <c r="D6595" s="5" t="s">
        <v>643</v>
      </c>
      <c r="E6595" s="5" t="s">
        <v>7774</v>
      </c>
      <c r="F6595" s="9" t="s">
        <v>7775</v>
      </c>
      <c r="G6595" s="9">
        <v>1396</v>
      </c>
      <c r="H6595" s="5" t="s">
        <v>21</v>
      </c>
      <c r="I6595" s="5" t="s">
        <v>15753</v>
      </c>
      <c r="J6595" s="12" t="str">
        <f>HYPERLINK("https://www.boe.es/gazeta/dias/1808/10/30/pdfs/GMD-1808-139E.pdf#page=2","Abrir facsímil")</f>
        <v>Abrir facsímil</v>
      </c>
      <c r="K6595" s="15" t="s">
        <v>23</v>
      </c>
    </row>
    <row r="6596" spans="1:11" ht="42" customHeight="1">
      <c r="A6596" s="4" t="s">
        <v>15754</v>
      </c>
      <c r="B6596" s="5" t="s">
        <v>15755</v>
      </c>
      <c r="C6596" s="5" t="s">
        <v>17</v>
      </c>
      <c r="D6596" s="5" t="s">
        <v>18</v>
      </c>
      <c r="E6596" s="5" t="s">
        <v>65</v>
      </c>
      <c r="F6596" s="9" t="s">
        <v>7955</v>
      </c>
      <c r="G6596" s="9">
        <v>326</v>
      </c>
      <c r="H6596" s="5" t="s">
        <v>21</v>
      </c>
      <c r="I6596" s="5" t="s">
        <v>15756</v>
      </c>
      <c r="J6596" s="12" t="str">
        <f>HYPERLINK("https://www.boe.es/gazeta/dias/1808/10/18/pdfs/GMS-1808-41.pdf#page=6","Abrir facsímil")</f>
        <v>Abrir facsímil</v>
      </c>
      <c r="K6596" s="15" t="s">
        <v>23</v>
      </c>
    </row>
    <row r="6597" spans="1:11" ht="42" customHeight="1">
      <c r="A6597" s="4" t="s">
        <v>15757</v>
      </c>
      <c r="B6597" s="5" t="s">
        <v>15758</v>
      </c>
      <c r="C6597" s="5" t="s">
        <v>94</v>
      </c>
      <c r="D6597" s="5" t="s">
        <v>95</v>
      </c>
      <c r="E6597" s="5" t="s">
        <v>65</v>
      </c>
      <c r="F6597" s="9" t="s">
        <v>7955</v>
      </c>
      <c r="G6597" s="9">
        <v>323</v>
      </c>
      <c r="H6597" s="5" t="s">
        <v>21</v>
      </c>
      <c r="I6597" s="5" t="s">
        <v>15759</v>
      </c>
      <c r="J6597" s="12" t="str">
        <f>HYPERLINK("https://www.boe.es/gazeta/dias/1808/10/18/pdfs/GMS-1808-41.pdf#page=3","Abrir facsímil")</f>
        <v>Abrir facsímil</v>
      </c>
      <c r="K6597" s="15" t="s">
        <v>23</v>
      </c>
    </row>
    <row r="6598" spans="1:11" ht="42" customHeight="1">
      <c r="A6598" s="4" t="s">
        <v>15760</v>
      </c>
      <c r="B6598" s="5" t="s">
        <v>15761</v>
      </c>
      <c r="C6598" s="5" t="s">
        <v>41</v>
      </c>
      <c r="D6598" s="5" t="s">
        <v>42</v>
      </c>
      <c r="E6598" s="5" t="s">
        <v>153</v>
      </c>
      <c r="F6598" s="9" t="s">
        <v>154</v>
      </c>
      <c r="G6598" s="9" t="s">
        <v>106</v>
      </c>
      <c r="H6598" s="5" t="s">
        <v>21</v>
      </c>
      <c r="I6598" s="5" t="s">
        <v>15762</v>
      </c>
      <c r="J6598" s="12" t="str">
        <f>HYPERLINK("https://www.boe.es/gazeta/dias/1808/09/09/pdfs/GMD-C-1808-121.pdf#page=3","Abrir facsímil")</f>
        <v>Abrir facsímil</v>
      </c>
      <c r="K6598" s="15" t="s">
        <v>23</v>
      </c>
    </row>
    <row r="6599" spans="1:11" ht="42" customHeight="1">
      <c r="A6599" s="4" t="s">
        <v>15763</v>
      </c>
      <c r="B6599" s="5" t="s">
        <v>15764</v>
      </c>
      <c r="C6599" s="5" t="s">
        <v>17</v>
      </c>
      <c r="D6599" s="5" t="s">
        <v>18</v>
      </c>
      <c r="E6599" s="5" t="s">
        <v>663</v>
      </c>
      <c r="F6599" s="9" t="s">
        <v>664</v>
      </c>
      <c r="G6599" s="9">
        <v>208</v>
      </c>
      <c r="H6599" s="5" t="s">
        <v>21</v>
      </c>
      <c r="I6599" s="5" t="s">
        <v>15765</v>
      </c>
      <c r="J6599" s="12" t="str">
        <f>HYPERLINK("https://www.boe.es/gazeta/dias/1808/02/26/pdfs/GMD-1808-17.pdf#page=10","Abrir facsímil")</f>
        <v>Abrir facsímil</v>
      </c>
      <c r="K6599" s="15" t="s">
        <v>23</v>
      </c>
    </row>
    <row r="6600" spans="1:11" ht="42" customHeight="1">
      <c r="A6600" s="4" t="s">
        <v>15766</v>
      </c>
      <c r="B6600" s="5" t="s">
        <v>15767</v>
      </c>
      <c r="C6600" s="5" t="s">
        <v>94</v>
      </c>
      <c r="D6600" s="5" t="s">
        <v>95</v>
      </c>
      <c r="E6600" s="5" t="s">
        <v>35</v>
      </c>
      <c r="F6600" s="9" t="s">
        <v>36</v>
      </c>
      <c r="G6600" s="9" t="s">
        <v>279</v>
      </c>
      <c r="H6600" s="5" t="s">
        <v>21</v>
      </c>
      <c r="I6600" s="5" t="s">
        <v>15768</v>
      </c>
      <c r="J6600" s="12" t="str">
        <f>HYPERLINK("https://www.boe.es/gazeta/dias/1808/04/22/pdfs/GMD-C-1808-38.pdf#page=44","Abrir facsímil")</f>
        <v>Abrir facsímil</v>
      </c>
      <c r="K6600" s="15" t="s">
        <v>23</v>
      </c>
    </row>
    <row r="6601" spans="1:11" ht="42" customHeight="1">
      <c r="A6601" s="4" t="s">
        <v>15769</v>
      </c>
      <c r="B6601" s="5" t="s">
        <v>15770</v>
      </c>
      <c r="C6601" s="5" t="s">
        <v>33</v>
      </c>
      <c r="D6601" s="5" t="s">
        <v>34</v>
      </c>
      <c r="E6601" s="5" t="s">
        <v>35</v>
      </c>
      <c r="F6601" s="9" t="s">
        <v>36</v>
      </c>
      <c r="G6601" s="9" t="s">
        <v>501</v>
      </c>
      <c r="H6601" s="5" t="s">
        <v>21</v>
      </c>
      <c r="I6601" s="5" t="s">
        <v>15771</v>
      </c>
      <c r="J6601" s="12" t="str">
        <f>HYPERLINK("https://www.boe.es/gazeta/dias/1808/04/22/pdfs/GMD-C-1808-38.pdf#page=5","Abrir facsímil")</f>
        <v>Abrir facsímil</v>
      </c>
      <c r="K6601" s="15" t="s">
        <v>23</v>
      </c>
    </row>
    <row r="6602" spans="1:11" ht="42" customHeight="1">
      <c r="A6602" s="4" t="s">
        <v>15772</v>
      </c>
      <c r="B6602" s="5" t="s">
        <v>15773</v>
      </c>
      <c r="C6602" s="5" t="s">
        <v>33</v>
      </c>
      <c r="D6602" s="5" t="s">
        <v>34</v>
      </c>
      <c r="E6602" s="5" t="s">
        <v>461</v>
      </c>
      <c r="F6602" s="9" t="s">
        <v>462</v>
      </c>
      <c r="G6602" s="9" t="s">
        <v>106</v>
      </c>
      <c r="H6602" s="5" t="s">
        <v>21</v>
      </c>
      <c r="I6602" s="5" t="s">
        <v>15774</v>
      </c>
      <c r="J6602" s="12" t="str">
        <f>HYPERLINK("https://www.boe.es/gazeta/dias/1808/11/08/pdfs/GMD-D-1808-142.pdf#page=3","Abrir facsímil")</f>
        <v>Abrir facsímil</v>
      </c>
      <c r="K6602" s="15" t="s">
        <v>23</v>
      </c>
    </row>
    <row r="6603" spans="1:11" ht="42" customHeight="1">
      <c r="A6603" s="4" t="s">
        <v>15775</v>
      </c>
      <c r="B6603" s="5" t="s">
        <v>15776</v>
      </c>
      <c r="C6603" s="5" t="s">
        <v>33</v>
      </c>
      <c r="D6603" s="5" t="s">
        <v>34</v>
      </c>
      <c r="E6603" s="5" t="s">
        <v>35</v>
      </c>
      <c r="F6603" s="9" t="s">
        <v>36</v>
      </c>
      <c r="G6603" s="9" t="s">
        <v>47</v>
      </c>
      <c r="H6603" s="5" t="s">
        <v>21</v>
      </c>
      <c r="I6603" s="5" t="s">
        <v>15777</v>
      </c>
      <c r="J6603" s="12" t="str">
        <f>HYPERLINK("https://www.boe.es/gazeta/dias/1808/04/22/pdfs/GMD-C-1808-38.pdf#page=13","Abrir facsímil")</f>
        <v>Abrir facsímil</v>
      </c>
      <c r="K6603" s="15" t="s">
        <v>23</v>
      </c>
    </row>
    <row r="6604" spans="1:11" ht="42" customHeight="1">
      <c r="A6604" s="4" t="s">
        <v>15778</v>
      </c>
      <c r="B6604" s="5" t="s">
        <v>15779</v>
      </c>
      <c r="C6604" s="5" t="s">
        <v>33</v>
      </c>
      <c r="D6604" s="5" t="s">
        <v>34</v>
      </c>
      <c r="E6604" s="5" t="s">
        <v>139</v>
      </c>
      <c r="F6604" s="9" t="s">
        <v>1089</v>
      </c>
      <c r="G6604" s="9" t="s">
        <v>75</v>
      </c>
      <c r="H6604" s="5" t="s">
        <v>21</v>
      </c>
      <c r="I6604" s="5" t="s">
        <v>15780</v>
      </c>
      <c r="J6604" s="12" t="str">
        <f>HYPERLINK("https://www.boe.es/gazeta/dias/1808/09/23/pdfs/GMD-C-1808-127.pdf#page=4","Abrir facsímil")</f>
        <v>Abrir facsímil</v>
      </c>
      <c r="K6604" s="15" t="s">
        <v>23</v>
      </c>
    </row>
    <row r="6605" spans="1:11" ht="42" customHeight="1">
      <c r="A6605" s="4" t="s">
        <v>15781</v>
      </c>
      <c r="B6605" s="5" t="s">
        <v>15782</v>
      </c>
      <c r="C6605" s="5" t="s">
        <v>94</v>
      </c>
      <c r="D6605" s="5" t="s">
        <v>95</v>
      </c>
      <c r="E6605" s="5" t="s">
        <v>54</v>
      </c>
      <c r="F6605" s="9" t="s">
        <v>55</v>
      </c>
      <c r="G6605" s="9">
        <v>1089</v>
      </c>
      <c r="H6605" s="5" t="s">
        <v>21</v>
      </c>
      <c r="I6605" s="5" t="s">
        <v>15783</v>
      </c>
      <c r="J6605" s="12" t="str">
        <f>HYPERLINK("https://www.boe.es/gazeta/dias/1808/08/26/pdfs/GMD-1808-117.pdf#page=11","Abrir facsímil")</f>
        <v>Abrir facsímil</v>
      </c>
      <c r="K6605" s="15" t="s">
        <v>23</v>
      </c>
    </row>
    <row r="6606" spans="1:11" ht="42" customHeight="1">
      <c r="A6606" s="4" t="s">
        <v>15784</v>
      </c>
      <c r="B6606" s="5" t="s">
        <v>15785</v>
      </c>
      <c r="C6606" s="5" t="s">
        <v>17</v>
      </c>
      <c r="D6606" s="5" t="s">
        <v>18</v>
      </c>
      <c r="E6606" s="5" t="s">
        <v>207</v>
      </c>
      <c r="F6606" s="9" t="s">
        <v>208</v>
      </c>
      <c r="G6606" s="9">
        <v>197</v>
      </c>
      <c r="H6606" s="5" t="s">
        <v>21</v>
      </c>
      <c r="I6606" s="5" t="s">
        <v>15786</v>
      </c>
      <c r="J6606" s="12" t="str">
        <f>HYPERLINK("https://www.boe.es/gazeta/dias/1808/02/23/pdfs/GMD-1808-16.pdf#page=11","Abrir facsímil")</f>
        <v>Abrir facsímil</v>
      </c>
      <c r="K6606" s="15" t="s">
        <v>23</v>
      </c>
    </row>
    <row r="6607" spans="1:11" ht="42" customHeight="1">
      <c r="A6607" s="4" t="s">
        <v>15787</v>
      </c>
      <c r="B6607" s="5" t="s">
        <v>15788</v>
      </c>
      <c r="C6607" s="5" t="s">
        <v>94</v>
      </c>
      <c r="D6607" s="5" t="s">
        <v>95</v>
      </c>
      <c r="E6607" s="5" t="s">
        <v>1085</v>
      </c>
      <c r="F6607" s="9" t="s">
        <v>1086</v>
      </c>
      <c r="G6607" s="9">
        <v>104</v>
      </c>
      <c r="H6607" s="5" t="s">
        <v>21</v>
      </c>
      <c r="I6607" s="5" t="s">
        <v>15789</v>
      </c>
      <c r="J6607" s="12" t="str">
        <f>HYPERLINK("https://www.boe.es/gazeta/dias/1808/01/29/pdfs/GMD-1808-9.pdf#page=8","Abrir facsímil")</f>
        <v>Abrir facsímil</v>
      </c>
      <c r="K6607" s="15" t="s">
        <v>23</v>
      </c>
    </row>
    <row r="6608" spans="1:11" ht="42" customHeight="1">
      <c r="A6608" s="4" t="s">
        <v>15790</v>
      </c>
      <c r="B6608" s="5" t="s">
        <v>15791</v>
      </c>
      <c r="C6608" s="5" t="s">
        <v>33</v>
      </c>
      <c r="D6608" s="5" t="s">
        <v>34</v>
      </c>
      <c r="E6608" s="5" t="s">
        <v>461</v>
      </c>
      <c r="F6608" s="9" t="s">
        <v>462</v>
      </c>
      <c r="G6608" s="9" t="s">
        <v>117</v>
      </c>
      <c r="H6608" s="5" t="s">
        <v>21</v>
      </c>
      <c r="I6608" s="5" t="s">
        <v>15792</v>
      </c>
      <c r="J6608" s="12" t="str">
        <f>HYPERLINK("https://www.boe.es/gazeta/dias/1808/11/08/pdfs/GMD-D-1808-142.pdf#page=1","Abrir facsímil")</f>
        <v>Abrir facsímil</v>
      </c>
      <c r="K6608" s="15" t="s">
        <v>23</v>
      </c>
    </row>
    <row r="6609" spans="1:11" ht="42" customHeight="1">
      <c r="A6609" s="4" t="s">
        <v>15793</v>
      </c>
      <c r="B6609" s="5" t="s">
        <v>15794</v>
      </c>
      <c r="C6609" s="5" t="s">
        <v>17</v>
      </c>
      <c r="D6609" s="5" t="s">
        <v>18</v>
      </c>
      <c r="E6609" s="5" t="s">
        <v>130</v>
      </c>
      <c r="F6609" s="9" t="s">
        <v>131</v>
      </c>
      <c r="G6609" s="9">
        <v>1602</v>
      </c>
      <c r="H6609" s="5" t="s">
        <v>21</v>
      </c>
      <c r="I6609" s="5" t="s">
        <v>15795</v>
      </c>
      <c r="J6609" s="12" t="str">
        <f>HYPERLINK("https://www.boe.es/gazeta/dias/1808/12/15/pdfs/GMD-1808-155.pdf#page=6","Abrir facsímil")</f>
        <v>Abrir facsímil</v>
      </c>
      <c r="K6609" s="15" t="s">
        <v>23</v>
      </c>
    </row>
    <row r="6610" spans="1:11" ht="42" customHeight="1">
      <c r="A6610" s="4" t="s">
        <v>15796</v>
      </c>
      <c r="B6610" s="5" t="s">
        <v>15797</v>
      </c>
      <c r="C6610" s="5" t="s">
        <v>41</v>
      </c>
      <c r="D6610" s="5" t="s">
        <v>42</v>
      </c>
      <c r="E6610" s="5" t="s">
        <v>65</v>
      </c>
      <c r="F6610" s="9" t="s">
        <v>66</v>
      </c>
      <c r="G6610" s="9">
        <v>1312</v>
      </c>
      <c r="H6610" s="5" t="s">
        <v>21</v>
      </c>
      <c r="I6610" s="5" t="s">
        <v>15798</v>
      </c>
      <c r="J6610" s="12" t="str">
        <f>HYPERLINK("https://www.boe.es/gazeta/dias/1808/10/18/pdfs/GMD-1808-135.pdf#page=12","Abrir facsímil")</f>
        <v>Abrir facsímil</v>
      </c>
      <c r="K6610" s="15" t="s">
        <v>23</v>
      </c>
    </row>
    <row r="6611" spans="1:11" ht="42" customHeight="1">
      <c r="A6611" s="4" t="s">
        <v>15799</v>
      </c>
      <c r="B6611" s="5" t="s">
        <v>15800</v>
      </c>
      <c r="C6611" s="5" t="s">
        <v>17</v>
      </c>
      <c r="D6611" s="5" t="s">
        <v>18</v>
      </c>
      <c r="E6611" s="5" t="s">
        <v>522</v>
      </c>
      <c r="F6611" s="9" t="s">
        <v>523</v>
      </c>
      <c r="G6611" s="9">
        <v>984</v>
      </c>
      <c r="H6611" s="5" t="s">
        <v>21</v>
      </c>
      <c r="I6611" s="5" t="s">
        <v>15801</v>
      </c>
      <c r="J6611" s="12" t="str">
        <f>HYPERLINK("https://www.boe.es/gazeta/dias/1808/08/07/pdfs/GMD-1808-110.pdf#page=6","Abrir facsímil")</f>
        <v>Abrir facsímil</v>
      </c>
      <c r="K6611" s="15" t="s">
        <v>23</v>
      </c>
    </row>
    <row r="6612" spans="1:11" ht="42" customHeight="1">
      <c r="A6612" s="4" t="s">
        <v>15799</v>
      </c>
      <c r="B6612" s="5" t="s">
        <v>15800</v>
      </c>
      <c r="C6612" s="5" t="s">
        <v>41</v>
      </c>
      <c r="D6612" s="5" t="s">
        <v>42</v>
      </c>
      <c r="E6612" s="5" t="s">
        <v>89</v>
      </c>
      <c r="F6612" s="9" t="s">
        <v>90</v>
      </c>
      <c r="G6612" s="9">
        <v>1363</v>
      </c>
      <c r="H6612" s="5" t="s">
        <v>21</v>
      </c>
      <c r="I6612" s="5" t="s">
        <v>15802</v>
      </c>
      <c r="J6612" s="12" t="str">
        <f>HYPERLINK("https://www.boe.es/gazeta/dias/1808/10/25/pdfs/GMD-1808-137.pdf#page=11","Abrir facsímil")</f>
        <v>Abrir facsímil</v>
      </c>
      <c r="K6612" s="15" t="s">
        <v>23</v>
      </c>
    </row>
    <row r="6613" spans="1:11" ht="42" customHeight="1">
      <c r="A6613" s="4" t="s">
        <v>15803</v>
      </c>
      <c r="B6613" s="5" t="s">
        <v>15804</v>
      </c>
      <c r="C6613" s="5" t="s">
        <v>33</v>
      </c>
      <c r="D6613" s="5" t="s">
        <v>34</v>
      </c>
      <c r="E6613" s="5" t="s">
        <v>65</v>
      </c>
      <c r="F6613" s="9" t="s">
        <v>105</v>
      </c>
      <c r="G6613" s="9" t="s">
        <v>199</v>
      </c>
      <c r="H6613" s="5" t="s">
        <v>21</v>
      </c>
      <c r="I6613" s="5" t="s">
        <v>15805</v>
      </c>
      <c r="J6613" s="12" t="str">
        <f>HYPERLINK("https://www.boe.es/gazeta/dias/1808/10/18/pdfs/GMD-D-1808-135.pdf#page=2","Abrir facsímil")</f>
        <v>Abrir facsímil</v>
      </c>
      <c r="K6613" s="15" t="s">
        <v>23</v>
      </c>
    </row>
    <row r="6614" spans="1:11" ht="42" customHeight="1">
      <c r="A6614" s="4" t="s">
        <v>15806</v>
      </c>
      <c r="B6614" s="5" t="s">
        <v>15807</v>
      </c>
      <c r="C6614" s="5" t="s">
        <v>94</v>
      </c>
      <c r="D6614" s="5" t="s">
        <v>95</v>
      </c>
      <c r="E6614" s="5" t="s">
        <v>65</v>
      </c>
      <c r="F6614" s="9" t="s">
        <v>66</v>
      </c>
      <c r="G6614" s="9">
        <v>1307</v>
      </c>
      <c r="H6614" s="5" t="s">
        <v>21</v>
      </c>
      <c r="I6614" s="5" t="s">
        <v>15808</v>
      </c>
      <c r="J6614" s="12" t="str">
        <f>HYPERLINK("https://www.boe.es/gazeta/dias/1808/10/18/pdfs/GMD-1808-135.pdf#page=7","Abrir facsímil")</f>
        <v>Abrir facsímil</v>
      </c>
      <c r="K6614" s="15" t="s">
        <v>23</v>
      </c>
    </row>
    <row r="6615" spans="1:11" ht="42" customHeight="1">
      <c r="A6615" s="4" t="s">
        <v>15809</v>
      </c>
      <c r="B6615" s="5" t="s">
        <v>15810</v>
      </c>
      <c r="C6615" s="5" t="s">
        <v>33</v>
      </c>
      <c r="D6615" s="5" t="s">
        <v>34</v>
      </c>
      <c r="E6615" s="5" t="s">
        <v>35</v>
      </c>
      <c r="F6615" s="9" t="s">
        <v>36</v>
      </c>
      <c r="G6615" s="9" t="s">
        <v>324</v>
      </c>
      <c r="H6615" s="5" t="s">
        <v>21</v>
      </c>
      <c r="I6615" s="5" t="s">
        <v>15811</v>
      </c>
      <c r="J6615" s="12" t="str">
        <f>HYPERLINK("https://www.boe.es/gazeta/dias/1808/04/22/pdfs/GMD-C-1808-38.pdf#page=24","Abrir facsímil")</f>
        <v>Abrir facsímil</v>
      </c>
      <c r="K6615" s="15" t="s">
        <v>23</v>
      </c>
    </row>
    <row r="6616" spans="1:11" ht="42" customHeight="1">
      <c r="A6616" s="4" t="s">
        <v>15812</v>
      </c>
      <c r="B6616" s="5" t="s">
        <v>15813</v>
      </c>
      <c r="C6616" s="5" t="s">
        <v>17</v>
      </c>
      <c r="D6616" s="5" t="s">
        <v>18</v>
      </c>
      <c r="E6616" s="5" t="s">
        <v>1085</v>
      </c>
      <c r="F6616" s="9" t="s">
        <v>1086</v>
      </c>
      <c r="G6616" s="9">
        <v>106</v>
      </c>
      <c r="H6616" s="5" t="s">
        <v>21</v>
      </c>
      <c r="I6616" s="5" t="s">
        <v>15814</v>
      </c>
      <c r="J6616" s="12" t="str">
        <f>HYPERLINK("https://www.boe.es/gazeta/dias/1808/01/29/pdfs/GMD-1808-9.pdf#page=10","Abrir facsímil")</f>
        <v>Abrir facsímil</v>
      </c>
      <c r="K6616" s="15" t="s">
        <v>23</v>
      </c>
    </row>
    <row r="6617" spans="1:11" ht="42" customHeight="1">
      <c r="A6617" s="4" t="s">
        <v>15815</v>
      </c>
      <c r="B6617" s="5" t="s">
        <v>15816</v>
      </c>
      <c r="C6617" s="5" t="s">
        <v>260</v>
      </c>
      <c r="D6617" s="5" t="s">
        <v>42</v>
      </c>
      <c r="E6617" s="5" t="s">
        <v>96</v>
      </c>
      <c r="F6617" s="9" t="s">
        <v>97</v>
      </c>
      <c r="G6617" s="9">
        <v>265</v>
      </c>
      <c r="H6617" s="5" t="s">
        <v>21</v>
      </c>
      <c r="I6617" s="5" t="s">
        <v>15817</v>
      </c>
      <c r="J6617" s="12" t="str">
        <f>HYPERLINK("https://www.boe.es/gazeta/dias/1808/03/15/pdfs/GMD-1808-22.pdf#page=7","Abrir facsímil")</f>
        <v>Abrir facsímil</v>
      </c>
      <c r="K6617" s="15" t="s">
        <v>23</v>
      </c>
    </row>
    <row r="6618" spans="1:11" ht="42" customHeight="1">
      <c r="A6618" s="4" t="s">
        <v>15818</v>
      </c>
      <c r="B6618" s="5" t="s">
        <v>15819</v>
      </c>
      <c r="C6618" s="5" t="s">
        <v>17</v>
      </c>
      <c r="D6618" s="5" t="s">
        <v>18</v>
      </c>
      <c r="E6618" s="5" t="s">
        <v>461</v>
      </c>
      <c r="F6618" s="9" t="s">
        <v>733</v>
      </c>
      <c r="G6618" s="9">
        <v>1447</v>
      </c>
      <c r="H6618" s="5" t="s">
        <v>21</v>
      </c>
      <c r="I6618" s="5" t="s">
        <v>15820</v>
      </c>
      <c r="J6618" s="12" t="str">
        <f>HYPERLINK("https://www.boe.es/gazeta/dias/1808/11/08/pdfs/GMD-1808-142.pdf#page=9","Abrir facsímil")</f>
        <v>Abrir facsímil</v>
      </c>
      <c r="K6618" s="15" t="s">
        <v>23</v>
      </c>
    </row>
    <row r="6619" spans="1:11" ht="42" customHeight="1">
      <c r="A6619" s="4" t="s">
        <v>15821</v>
      </c>
      <c r="B6619" s="5" t="s">
        <v>15822</v>
      </c>
      <c r="C6619" s="5" t="s">
        <v>94</v>
      </c>
      <c r="D6619" s="5" t="s">
        <v>95</v>
      </c>
      <c r="E6619" s="5" t="s">
        <v>363</v>
      </c>
      <c r="F6619" s="9" t="s">
        <v>364</v>
      </c>
      <c r="G6619" s="9" t="s">
        <v>199</v>
      </c>
      <c r="H6619" s="5" t="s">
        <v>21</v>
      </c>
      <c r="I6619" s="5" t="s">
        <v>15823</v>
      </c>
      <c r="J6619" s="12" t="str">
        <f>HYPERLINK("https://www.boe.es/gazeta/dias/1808/09/20/pdfs/GMD-C-1808-126.pdf#page=2","Abrir facsímil")</f>
        <v>Abrir facsímil</v>
      </c>
      <c r="K6619" s="15" t="s">
        <v>23</v>
      </c>
    </row>
    <row r="6620" spans="1:11" ht="42" customHeight="1">
      <c r="A6620" s="4" t="s">
        <v>15824</v>
      </c>
      <c r="B6620" s="5" t="s">
        <v>15825</v>
      </c>
      <c r="C6620" s="5" t="s">
        <v>17</v>
      </c>
      <c r="D6620" s="5" t="s">
        <v>18</v>
      </c>
      <c r="E6620" s="5" t="s">
        <v>242</v>
      </c>
      <c r="F6620" s="9" t="s">
        <v>243</v>
      </c>
      <c r="G6620" s="9">
        <v>9</v>
      </c>
      <c r="H6620" s="5" t="s">
        <v>21</v>
      </c>
      <c r="I6620" s="5" t="s">
        <v>15826</v>
      </c>
      <c r="J6620" s="12" t="str">
        <f>HYPERLINK("https://www.boe.es/gazeta/dias/1808/01/01/pdfs/GMD-1808-1.pdf#page=9","Abrir facsímil")</f>
        <v>Abrir facsímil</v>
      </c>
      <c r="K6620" s="15" t="s">
        <v>23</v>
      </c>
    </row>
    <row r="6621" spans="1:11" ht="42" customHeight="1">
      <c r="A6621" s="4" t="s">
        <v>15827</v>
      </c>
      <c r="B6621" s="5" t="s">
        <v>15828</v>
      </c>
      <c r="C6621" s="5" t="s">
        <v>17</v>
      </c>
      <c r="D6621" s="5" t="s">
        <v>18</v>
      </c>
      <c r="E6621" s="5" t="s">
        <v>28</v>
      </c>
      <c r="F6621" s="9" t="s">
        <v>29</v>
      </c>
      <c r="G6621" s="9">
        <v>1428</v>
      </c>
      <c r="H6621" s="5" t="s">
        <v>21</v>
      </c>
      <c r="I6621" s="5" t="s">
        <v>15829</v>
      </c>
      <c r="J6621" s="12" t="str">
        <f>HYPERLINK("https://www.boe.es/gazeta/dias/1808/11/04/pdfs/GMD-1808-141.pdf#page=10","Abrir facsímil")</f>
        <v>Abrir facsímil</v>
      </c>
      <c r="K6621" s="15" t="s">
        <v>23</v>
      </c>
    </row>
    <row r="6622" spans="1:11" ht="42" customHeight="1">
      <c r="A6622" s="4" t="s">
        <v>15830</v>
      </c>
      <c r="B6622" s="5" t="s">
        <v>15831</v>
      </c>
      <c r="C6622" s="5" t="s">
        <v>33</v>
      </c>
      <c r="D6622" s="5" t="s">
        <v>34</v>
      </c>
      <c r="E6622" s="5" t="s">
        <v>35</v>
      </c>
      <c r="F6622" s="9" t="s">
        <v>36</v>
      </c>
      <c r="G6622" s="9" t="s">
        <v>80</v>
      </c>
      <c r="H6622" s="5" t="s">
        <v>21</v>
      </c>
      <c r="I6622" s="5" t="s">
        <v>15832</v>
      </c>
      <c r="J6622" s="12" t="str">
        <f>HYPERLINK("https://www.boe.es/gazeta/dias/1808/04/22/pdfs/GMD-C-1808-38.pdf#page=18","Abrir facsímil")</f>
        <v>Abrir facsímil</v>
      </c>
      <c r="K6622" s="15" t="s">
        <v>23</v>
      </c>
    </row>
    <row r="6623" spans="1:11" ht="42" customHeight="1">
      <c r="A6623" s="4" t="s">
        <v>15833</v>
      </c>
      <c r="B6623" s="5" t="s">
        <v>15834</v>
      </c>
      <c r="C6623" s="5" t="s">
        <v>33</v>
      </c>
      <c r="D6623" s="5" t="s">
        <v>34</v>
      </c>
      <c r="E6623" s="5" t="s">
        <v>35</v>
      </c>
      <c r="F6623" s="9" t="s">
        <v>36</v>
      </c>
      <c r="G6623" s="9" t="s">
        <v>299</v>
      </c>
      <c r="H6623" s="5" t="s">
        <v>21</v>
      </c>
      <c r="I6623" s="5" t="s">
        <v>15835</v>
      </c>
      <c r="J6623" s="12" t="str">
        <f>HYPERLINK("https://www.boe.es/gazeta/dias/1808/04/22/pdfs/GMD-C-1808-38.pdf#page=14","Abrir facsímil")</f>
        <v>Abrir facsímil</v>
      </c>
      <c r="K6623" s="15" t="s">
        <v>23</v>
      </c>
    </row>
    <row r="6624" spans="1:11" ht="42" customHeight="1">
      <c r="A6624" s="4" t="s">
        <v>15836</v>
      </c>
      <c r="B6624" s="5" t="s">
        <v>15837</v>
      </c>
      <c r="C6624" s="5" t="s">
        <v>33</v>
      </c>
      <c r="D6624" s="5" t="s">
        <v>34</v>
      </c>
      <c r="E6624" s="5" t="s">
        <v>334</v>
      </c>
      <c r="F6624" s="9" t="s">
        <v>335</v>
      </c>
      <c r="G6624" s="9">
        <v>1259</v>
      </c>
      <c r="H6624" s="5" t="s">
        <v>21</v>
      </c>
      <c r="I6624" s="5" t="s">
        <v>15838</v>
      </c>
      <c r="J6624" s="12" t="str">
        <f>HYPERLINK("https://www.boe.es/gazeta/dias/1808/10/04/pdfs/GMD-C-1808-131.pdf#page=11","Abrir facsímil")</f>
        <v>Abrir facsímil</v>
      </c>
      <c r="K6624" s="15" t="s">
        <v>23</v>
      </c>
    </row>
    <row r="6625" spans="1:11" ht="42" customHeight="1">
      <c r="A6625" s="4" t="s">
        <v>15839</v>
      </c>
      <c r="B6625" s="5" t="s">
        <v>15840</v>
      </c>
      <c r="C6625" s="5" t="s">
        <v>33</v>
      </c>
      <c r="D6625" s="5" t="s">
        <v>34</v>
      </c>
      <c r="E6625" s="5" t="s">
        <v>35</v>
      </c>
      <c r="F6625" s="9" t="s">
        <v>36</v>
      </c>
      <c r="G6625" s="9" t="s">
        <v>148</v>
      </c>
      <c r="H6625" s="5" t="s">
        <v>21</v>
      </c>
      <c r="I6625" s="5" t="s">
        <v>15841</v>
      </c>
      <c r="J6625" s="12" t="str">
        <f>HYPERLINK("https://www.boe.es/gazeta/dias/1808/04/22/pdfs/GMD-C-1808-38.pdf#page=38","Abrir facsímil")</f>
        <v>Abrir facsímil</v>
      </c>
      <c r="K6625" s="15" t="s">
        <v>23</v>
      </c>
    </row>
    <row r="6626" spans="1:11" ht="42" customHeight="1">
      <c r="A6626" s="4" t="s">
        <v>15842</v>
      </c>
      <c r="B6626" s="5" t="s">
        <v>15843</v>
      </c>
      <c r="C6626" s="5" t="s">
        <v>41</v>
      </c>
      <c r="D6626" s="5" t="s">
        <v>42</v>
      </c>
      <c r="E6626" s="5" t="s">
        <v>461</v>
      </c>
      <c r="F6626" s="9" t="s">
        <v>733</v>
      </c>
      <c r="G6626" s="9">
        <v>1447</v>
      </c>
      <c r="H6626" s="5" t="s">
        <v>21</v>
      </c>
      <c r="I6626" s="5" t="s">
        <v>15844</v>
      </c>
      <c r="J6626" s="12" t="str">
        <f>HYPERLINK("https://www.boe.es/gazeta/dias/1808/11/08/pdfs/GMD-1808-142.pdf#page=9","Abrir facsímil")</f>
        <v>Abrir facsímil</v>
      </c>
      <c r="K6626" s="15" t="s">
        <v>23</v>
      </c>
    </row>
    <row r="6627" spans="1:11" ht="42" customHeight="1">
      <c r="A6627" s="4" t="s">
        <v>15845</v>
      </c>
      <c r="B6627" s="5" t="s">
        <v>15846</v>
      </c>
      <c r="C6627" s="5" t="s">
        <v>17</v>
      </c>
      <c r="D6627" s="5" t="s">
        <v>18</v>
      </c>
      <c r="E6627" s="5" t="s">
        <v>130</v>
      </c>
      <c r="F6627" s="9" t="s">
        <v>131</v>
      </c>
      <c r="G6627" s="9">
        <v>1604</v>
      </c>
      <c r="H6627" s="5" t="s">
        <v>21</v>
      </c>
      <c r="I6627" s="5" t="s">
        <v>15847</v>
      </c>
      <c r="J6627" s="12" t="str">
        <f>HYPERLINK("https://www.boe.es/gazeta/dias/1808/12/15/pdfs/GMD-1808-155.pdf#page=8","Abrir facsímil")</f>
        <v>Abrir facsímil</v>
      </c>
      <c r="K6627" s="15" t="s">
        <v>23</v>
      </c>
    </row>
    <row r="6628" spans="1:11" ht="42" customHeight="1">
      <c r="A6628" s="4" t="s">
        <v>15848</v>
      </c>
      <c r="B6628" s="5" t="s">
        <v>15849</v>
      </c>
      <c r="C6628" s="5" t="s">
        <v>33</v>
      </c>
      <c r="D6628" s="5" t="s">
        <v>34</v>
      </c>
      <c r="E6628" s="5" t="s">
        <v>19</v>
      </c>
      <c r="F6628" s="9" t="s">
        <v>949</v>
      </c>
      <c r="G6628" s="9" t="s">
        <v>117</v>
      </c>
      <c r="H6628" s="5" t="s">
        <v>21</v>
      </c>
      <c r="I6628" s="5" t="s">
        <v>15850</v>
      </c>
      <c r="J6628" s="12" t="str">
        <f>HYPERLINK("https://www.boe.es/gazeta/dias/1808/09/30/pdfs/GMD-C-1808-130.pdf#page=1","Abrir facsímil")</f>
        <v>Abrir facsímil</v>
      </c>
      <c r="K6628" s="15" t="s">
        <v>23</v>
      </c>
    </row>
    <row r="6629" spans="1:11" ht="42" customHeight="1">
      <c r="A6629" s="4" t="s">
        <v>15851</v>
      </c>
      <c r="B6629" s="5" t="s">
        <v>15852</v>
      </c>
      <c r="C6629" s="5" t="s">
        <v>17</v>
      </c>
      <c r="D6629" s="5" t="s">
        <v>18</v>
      </c>
      <c r="E6629" s="5" t="s">
        <v>19</v>
      </c>
      <c r="F6629" s="9" t="s">
        <v>59</v>
      </c>
      <c r="G6629" s="9">
        <v>1229</v>
      </c>
      <c r="H6629" s="5" t="s">
        <v>21</v>
      </c>
      <c r="I6629" s="5" t="s">
        <v>15853</v>
      </c>
      <c r="J6629" s="12" t="str">
        <f>HYPERLINK("https://www.boe.es/gazeta/dias/1808/09/30/pdfs/GMD-1808-130.pdf#page=9","Abrir facsímil")</f>
        <v>Abrir facsímil</v>
      </c>
      <c r="K6629" s="15" t="s">
        <v>23</v>
      </c>
    </row>
    <row r="6630" spans="1:11" ht="42" customHeight="1">
      <c r="A6630" s="4" t="s">
        <v>15851</v>
      </c>
      <c r="B6630" s="5" t="s">
        <v>15852</v>
      </c>
      <c r="C6630" s="5" t="s">
        <v>17</v>
      </c>
      <c r="D6630" s="5" t="s">
        <v>18</v>
      </c>
      <c r="E6630" s="5" t="s">
        <v>130</v>
      </c>
      <c r="F6630" s="9" t="s">
        <v>131</v>
      </c>
      <c r="G6630" s="9">
        <v>1602</v>
      </c>
      <c r="H6630" s="5" t="s">
        <v>21</v>
      </c>
      <c r="I6630" s="5" t="s">
        <v>15854</v>
      </c>
      <c r="J6630" s="12" t="str">
        <f>HYPERLINK("https://www.boe.es/gazeta/dias/1808/12/15/pdfs/GMD-1808-155.pdf#page=6","Abrir facsímil")</f>
        <v>Abrir facsímil</v>
      </c>
      <c r="K6630" s="15" t="s">
        <v>23</v>
      </c>
    </row>
    <row r="6631" spans="1:11" ht="42" customHeight="1">
      <c r="A6631" s="4" t="s">
        <v>15855</v>
      </c>
      <c r="B6631" s="5" t="s">
        <v>15856</v>
      </c>
      <c r="C6631" s="5" t="s">
        <v>94</v>
      </c>
      <c r="D6631" s="5" t="s">
        <v>95</v>
      </c>
      <c r="E6631" s="5" t="s">
        <v>493</v>
      </c>
      <c r="F6631" s="9" t="s">
        <v>494</v>
      </c>
      <c r="G6631" s="9">
        <v>46</v>
      </c>
      <c r="H6631" s="5" t="s">
        <v>21</v>
      </c>
      <c r="I6631" s="5" t="s">
        <v>15857</v>
      </c>
      <c r="J6631" s="12" t="str">
        <f>HYPERLINK("https://www.boe.es/gazeta/dias/1808/01/12/pdfs/GMD-1808-4.pdf#page=10","Abrir facsímil")</f>
        <v>Abrir facsímil</v>
      </c>
      <c r="K6631" s="15" t="s">
        <v>23</v>
      </c>
    </row>
    <row r="6632" spans="1:11" ht="42" customHeight="1">
      <c r="A6632" s="4" t="s">
        <v>15855</v>
      </c>
      <c r="B6632" s="5" t="s">
        <v>15856</v>
      </c>
      <c r="C6632" s="5" t="s">
        <v>94</v>
      </c>
      <c r="D6632" s="5" t="s">
        <v>95</v>
      </c>
      <c r="E6632" s="5" t="s">
        <v>210</v>
      </c>
      <c r="F6632" s="9" t="s">
        <v>211</v>
      </c>
      <c r="G6632" s="9">
        <v>254</v>
      </c>
      <c r="H6632" s="5" t="s">
        <v>21</v>
      </c>
      <c r="I6632" s="5" t="s">
        <v>15858</v>
      </c>
      <c r="J6632" s="12" t="str">
        <f>HYPERLINK("https://www.boe.es/gazeta/dias/1808/03/11/pdfs/GMD-1808-21.pdf#page=8","Abrir facsímil")</f>
        <v>Abrir facsímil</v>
      </c>
      <c r="K6632" s="15" t="s">
        <v>23</v>
      </c>
    </row>
    <row r="6633" spans="1:11" ht="42" customHeight="1">
      <c r="A6633" s="4" t="s">
        <v>15859</v>
      </c>
      <c r="B6633" s="5" t="s">
        <v>15860</v>
      </c>
      <c r="C6633" s="5" t="s">
        <v>33</v>
      </c>
      <c r="D6633" s="5" t="s">
        <v>34</v>
      </c>
      <c r="E6633" s="5" t="s">
        <v>558</v>
      </c>
      <c r="F6633" s="9" t="s">
        <v>758</v>
      </c>
      <c r="G6633" s="9" t="s">
        <v>106</v>
      </c>
      <c r="H6633" s="5" t="s">
        <v>21</v>
      </c>
      <c r="I6633" s="5" t="s">
        <v>15861</v>
      </c>
      <c r="J6633" s="12" t="str">
        <f>HYPERLINK("https://www.boe.es/gazeta/dias/1808/11/25/pdfs/GMD-E-1808-147.pdf#page=3","Abrir facsímil")</f>
        <v>Abrir facsímil</v>
      </c>
      <c r="K6633" s="15" t="s">
        <v>23</v>
      </c>
    </row>
    <row r="6634" spans="1:11" ht="42" customHeight="1">
      <c r="A6634" s="4" t="s">
        <v>15862</v>
      </c>
      <c r="B6634" s="5" t="s">
        <v>15863</v>
      </c>
      <c r="C6634" s="5" t="s">
        <v>33</v>
      </c>
      <c r="D6634" s="5" t="s">
        <v>34</v>
      </c>
      <c r="E6634" s="5" t="s">
        <v>35</v>
      </c>
      <c r="F6634" s="9" t="s">
        <v>36</v>
      </c>
      <c r="G6634" s="9" t="s">
        <v>144</v>
      </c>
      <c r="H6634" s="5" t="s">
        <v>21</v>
      </c>
      <c r="I6634" s="5" t="s">
        <v>15864</v>
      </c>
      <c r="J6634" s="12" t="str">
        <f>HYPERLINK("https://www.boe.es/gazeta/dias/1808/04/22/pdfs/GMD-C-1808-38.pdf#page=40","Abrir facsímil")</f>
        <v>Abrir facsímil</v>
      </c>
      <c r="K6634" s="15" t="s">
        <v>23</v>
      </c>
    </row>
    <row r="6635" spans="1:11" ht="42" customHeight="1">
      <c r="A6635" s="4" t="s">
        <v>15865</v>
      </c>
      <c r="B6635" s="5" t="s">
        <v>15866</v>
      </c>
      <c r="C6635" s="5" t="s">
        <v>94</v>
      </c>
      <c r="D6635" s="5" t="s">
        <v>95</v>
      </c>
      <c r="E6635" s="5" t="s">
        <v>974</v>
      </c>
      <c r="F6635" s="9" t="s">
        <v>975</v>
      </c>
      <c r="G6635" s="9">
        <v>391</v>
      </c>
      <c r="H6635" s="5" t="s">
        <v>21</v>
      </c>
      <c r="I6635" s="5" t="s">
        <v>15867</v>
      </c>
      <c r="J6635" s="12" t="str">
        <f>HYPERLINK("https://www.boe.es/gazeta/dias/1808/04/19/pdfs/GMD-1808-37.pdf#page=7","Abrir facsímil")</f>
        <v>Abrir facsímil</v>
      </c>
      <c r="K6635" s="15" t="s">
        <v>23</v>
      </c>
    </row>
    <row r="6636" spans="1:11" ht="42" customHeight="1">
      <c r="A6636" s="4" t="s">
        <v>15865</v>
      </c>
      <c r="B6636" s="5" t="s">
        <v>15866</v>
      </c>
      <c r="C6636" s="5" t="s">
        <v>33</v>
      </c>
      <c r="D6636" s="5" t="s">
        <v>34</v>
      </c>
      <c r="E6636" s="5" t="s">
        <v>456</v>
      </c>
      <c r="F6636" s="9" t="s">
        <v>748</v>
      </c>
      <c r="G6636" s="9" t="s">
        <v>106</v>
      </c>
      <c r="H6636" s="5" t="s">
        <v>21</v>
      </c>
      <c r="I6636" s="5" t="s">
        <v>15868</v>
      </c>
      <c r="J6636" s="12" t="str">
        <f>HYPERLINK("https://www.boe.es/gazeta/dias/1808/10/14/pdfs/GMD-C-1808-134.pdf#page=3","Abrir facsímil")</f>
        <v>Abrir facsímil</v>
      </c>
      <c r="K6636" s="15" t="s">
        <v>23</v>
      </c>
    </row>
    <row r="6637" spans="1:11" ht="42" customHeight="1">
      <c r="A6637" s="4" t="s">
        <v>15869</v>
      </c>
      <c r="B6637" s="5" t="s">
        <v>15870</v>
      </c>
      <c r="C6637" s="5" t="s">
        <v>41</v>
      </c>
      <c r="D6637" s="5" t="s">
        <v>42</v>
      </c>
      <c r="E6637" s="5" t="s">
        <v>125</v>
      </c>
      <c r="F6637" s="9" t="s">
        <v>126</v>
      </c>
      <c r="G6637" s="9" t="s">
        <v>75</v>
      </c>
      <c r="H6637" s="5" t="s">
        <v>21</v>
      </c>
      <c r="I6637" s="5" t="s">
        <v>15871</v>
      </c>
      <c r="J6637" s="12" t="str">
        <f>HYPERLINK("https://www.boe.es/gazeta/dias/1808/10/07/pdfs/GMD-C-1808-132.pdf#page=4","Abrir facsímil")</f>
        <v>Abrir facsímil</v>
      </c>
      <c r="K6637" s="15" t="s">
        <v>23</v>
      </c>
    </row>
    <row r="6638" spans="1:11" ht="42" customHeight="1">
      <c r="A6638" s="4" t="s">
        <v>15872</v>
      </c>
      <c r="B6638" s="5" t="s">
        <v>15873</v>
      </c>
      <c r="C6638" s="5" t="s">
        <v>260</v>
      </c>
      <c r="D6638" s="5" t="s">
        <v>42</v>
      </c>
      <c r="E6638" s="5" t="s">
        <v>61</v>
      </c>
      <c r="F6638" s="9" t="s">
        <v>62</v>
      </c>
      <c r="G6638" s="9">
        <v>1287</v>
      </c>
      <c r="H6638" s="5" t="s">
        <v>21</v>
      </c>
      <c r="I6638" s="5" t="s">
        <v>15874</v>
      </c>
      <c r="J6638" s="12" t="str">
        <f>HYPERLINK("https://www.boe.es/gazeta/dias/1808/10/11/pdfs/GMD-1808-133.pdf#page=15","Abrir facsímil")</f>
        <v>Abrir facsímil</v>
      </c>
      <c r="K6638" s="15" t="s">
        <v>23</v>
      </c>
    </row>
    <row r="6639" spans="1:11" ht="42" customHeight="1">
      <c r="A6639" s="4" t="s">
        <v>15872</v>
      </c>
      <c r="B6639" s="5" t="s">
        <v>15873</v>
      </c>
      <c r="C6639" s="5" t="s">
        <v>17</v>
      </c>
      <c r="D6639" s="5" t="s">
        <v>18</v>
      </c>
      <c r="E6639" s="5" t="s">
        <v>130</v>
      </c>
      <c r="F6639" s="9" t="s">
        <v>131</v>
      </c>
      <c r="G6639" s="9">
        <v>1604</v>
      </c>
      <c r="H6639" s="5" t="s">
        <v>21</v>
      </c>
      <c r="I6639" s="5" t="s">
        <v>15875</v>
      </c>
      <c r="J6639" s="12" t="str">
        <f>HYPERLINK("https://www.boe.es/gazeta/dias/1808/12/15/pdfs/GMD-1808-155.pdf#page=8","Abrir facsímil")</f>
        <v>Abrir facsímil</v>
      </c>
      <c r="K6639" s="15" t="s">
        <v>23</v>
      </c>
    </row>
    <row r="6640" spans="1:11" ht="42" customHeight="1">
      <c r="A6640" s="4" t="s">
        <v>15876</v>
      </c>
      <c r="B6640" s="5" t="s">
        <v>15877</v>
      </c>
      <c r="C6640" s="5" t="s">
        <v>33</v>
      </c>
      <c r="D6640" s="5" t="s">
        <v>34</v>
      </c>
      <c r="E6640" s="5" t="s">
        <v>35</v>
      </c>
      <c r="F6640" s="9" t="s">
        <v>36</v>
      </c>
      <c r="G6640" s="9" t="s">
        <v>144</v>
      </c>
      <c r="H6640" s="5" t="s">
        <v>21</v>
      </c>
      <c r="I6640" s="5" t="s">
        <v>15878</v>
      </c>
      <c r="J6640" s="12" t="str">
        <f>HYPERLINK("https://www.boe.es/gazeta/dias/1808/04/22/pdfs/GMD-C-1808-38.pdf#page=40","Abrir facsímil")</f>
        <v>Abrir facsímil</v>
      </c>
      <c r="K6640" s="15" t="s">
        <v>23</v>
      </c>
    </row>
    <row r="6641" spans="1:11" ht="42" customHeight="1">
      <c r="A6641" s="4" t="s">
        <v>15879</v>
      </c>
      <c r="B6641" s="5" t="s">
        <v>15880</v>
      </c>
      <c r="C6641" s="5" t="s">
        <v>33</v>
      </c>
      <c r="D6641" s="5" t="s">
        <v>34</v>
      </c>
      <c r="E6641" s="5" t="s">
        <v>115</v>
      </c>
      <c r="F6641" s="9" t="s">
        <v>116</v>
      </c>
      <c r="G6641" s="9" t="s">
        <v>117</v>
      </c>
      <c r="H6641" s="5" t="s">
        <v>21</v>
      </c>
      <c r="I6641" s="5" t="s">
        <v>15881</v>
      </c>
      <c r="J6641" s="12" t="str">
        <f>HYPERLINK("https://www.boe.es/gazeta/dias/1808/09/16/pdfs/GMD-C-1808-125.pdf#page=1","Abrir facsímil")</f>
        <v>Abrir facsímil</v>
      </c>
      <c r="K6641" s="15" t="s">
        <v>23</v>
      </c>
    </row>
    <row r="6642" spans="1:11" ht="42" customHeight="1">
      <c r="A6642" s="4" t="s">
        <v>15882</v>
      </c>
      <c r="B6642" s="5" t="s">
        <v>15883</v>
      </c>
      <c r="C6642" s="5" t="s">
        <v>33</v>
      </c>
      <c r="D6642" s="5" t="s">
        <v>34</v>
      </c>
      <c r="E6642" s="5" t="s">
        <v>73</v>
      </c>
      <c r="F6642" s="9" t="s">
        <v>74</v>
      </c>
      <c r="G6642" s="9" t="s">
        <v>75</v>
      </c>
      <c r="H6642" s="5" t="s">
        <v>21</v>
      </c>
      <c r="I6642" s="5" t="s">
        <v>15884</v>
      </c>
      <c r="J6642" s="12" t="str">
        <f>HYPERLINK("https://www.boe.es/gazeta/dias/1808/11/11/pdfs/GMD-D-1808-143.pdf#page=4","Abrir facsímil")</f>
        <v>Abrir facsímil</v>
      </c>
      <c r="K6642" s="15" t="s">
        <v>23</v>
      </c>
    </row>
    <row r="6643" spans="1:11" ht="42" customHeight="1">
      <c r="A6643" s="4" t="s">
        <v>15885</v>
      </c>
      <c r="B6643" s="5" t="s">
        <v>15886</v>
      </c>
      <c r="C6643" s="5" t="s">
        <v>33</v>
      </c>
      <c r="D6643" s="5" t="s">
        <v>34</v>
      </c>
      <c r="E6643" s="5" t="s">
        <v>391</v>
      </c>
      <c r="F6643" s="9" t="s">
        <v>588</v>
      </c>
      <c r="G6643" s="9" t="s">
        <v>75</v>
      </c>
      <c r="H6643" s="5" t="s">
        <v>21</v>
      </c>
      <c r="I6643" s="5" t="s">
        <v>15887</v>
      </c>
      <c r="J6643" s="12" t="str">
        <f>HYPERLINK("https://www.boe.es/gazeta/dias/1808/09/27/pdfs/GMD-C-1808-128.pdf#page=4","Abrir facsímil")</f>
        <v>Abrir facsímil</v>
      </c>
      <c r="K6643" s="15" t="s">
        <v>23</v>
      </c>
    </row>
    <row r="6644" spans="1:11" ht="42" customHeight="1">
      <c r="A6644" s="4" t="s">
        <v>15885</v>
      </c>
      <c r="B6644" s="5" t="s">
        <v>15886</v>
      </c>
      <c r="C6644" s="5" t="s">
        <v>17</v>
      </c>
      <c r="D6644" s="5" t="s">
        <v>18</v>
      </c>
      <c r="E6644" s="5" t="s">
        <v>61</v>
      </c>
      <c r="F6644" s="9" t="s">
        <v>62</v>
      </c>
      <c r="G6644" s="9">
        <v>1286</v>
      </c>
      <c r="H6644" s="5" t="s">
        <v>21</v>
      </c>
      <c r="I6644" s="5" t="s">
        <v>15888</v>
      </c>
      <c r="J6644" s="12" t="str">
        <f>HYPERLINK("https://www.boe.es/gazeta/dias/1808/10/11/pdfs/GMD-1808-133.pdf#page=14","Abrir facsímil")</f>
        <v>Abrir facsímil</v>
      </c>
      <c r="K6644" s="15" t="s">
        <v>23</v>
      </c>
    </row>
    <row r="6645" spans="1:11" ht="42" customHeight="1">
      <c r="A6645" s="4" t="s">
        <v>15885</v>
      </c>
      <c r="B6645" s="5" t="s">
        <v>15886</v>
      </c>
      <c r="C6645" s="5" t="s">
        <v>33</v>
      </c>
      <c r="D6645" s="5" t="s">
        <v>34</v>
      </c>
      <c r="E6645" s="5" t="s">
        <v>89</v>
      </c>
      <c r="F6645" s="9" t="s">
        <v>563</v>
      </c>
      <c r="G6645" s="9" t="s">
        <v>117</v>
      </c>
      <c r="H6645" s="5" t="s">
        <v>21</v>
      </c>
      <c r="I6645" s="5" t="s">
        <v>15889</v>
      </c>
      <c r="J6645" s="12" t="str">
        <f>HYPERLINK("https://www.boe.es/gazeta/dias/1808/10/25/pdfs/GMD-D-1808-137.pdf#page=1","Abrir facsímil")</f>
        <v>Abrir facsímil</v>
      </c>
      <c r="K6645" s="15" t="s">
        <v>23</v>
      </c>
    </row>
    <row r="6646" spans="1:11" ht="42" customHeight="1">
      <c r="A6646" s="4" t="s">
        <v>15885</v>
      </c>
      <c r="B6646" s="5" t="s">
        <v>15886</v>
      </c>
      <c r="C6646" s="5" t="s">
        <v>33</v>
      </c>
      <c r="D6646" s="5" t="s">
        <v>34</v>
      </c>
      <c r="E6646" s="5" t="s">
        <v>264</v>
      </c>
      <c r="F6646" s="9" t="s">
        <v>318</v>
      </c>
      <c r="G6646" s="9" t="s">
        <v>117</v>
      </c>
      <c r="H6646" s="5" t="s">
        <v>21</v>
      </c>
      <c r="I6646" s="5" t="s">
        <v>15890</v>
      </c>
      <c r="J6646" s="12" t="str">
        <f>HYPERLINK("https://www.boe.es/gazeta/dias/1808/11/29/pdfs/GMD-C-1808-148.pdf#page=1","Abrir facsímil")</f>
        <v>Abrir facsímil</v>
      </c>
      <c r="K6646" s="15" t="s">
        <v>23</v>
      </c>
    </row>
    <row r="6647" spans="1:11" ht="42" customHeight="1">
      <c r="A6647" s="4" t="s">
        <v>15891</v>
      </c>
      <c r="B6647" s="5" t="s">
        <v>15892</v>
      </c>
      <c r="C6647" s="5" t="s">
        <v>17</v>
      </c>
      <c r="D6647" s="5" t="s">
        <v>18</v>
      </c>
      <c r="E6647" s="5" t="s">
        <v>558</v>
      </c>
      <c r="F6647" s="9" t="s">
        <v>559</v>
      </c>
      <c r="G6647" s="9">
        <v>1544</v>
      </c>
      <c r="H6647" s="5" t="s">
        <v>21</v>
      </c>
      <c r="I6647" s="5" t="s">
        <v>15893</v>
      </c>
      <c r="J6647" s="12" t="str">
        <f>HYPERLINK("https://www.boe.es/gazeta/dias/1808/11/25/pdfs/GMD-1808-147.pdf#page=10","Abrir facsímil")</f>
        <v>Abrir facsímil</v>
      </c>
      <c r="K6647" s="15" t="s">
        <v>23</v>
      </c>
    </row>
    <row r="6648" spans="1:11" ht="42" customHeight="1">
      <c r="A6648" s="4" t="s">
        <v>15894</v>
      </c>
      <c r="B6648" s="5" t="s">
        <v>15895</v>
      </c>
      <c r="C6648" s="5" t="s">
        <v>33</v>
      </c>
      <c r="D6648" s="5" t="s">
        <v>34</v>
      </c>
      <c r="E6648" s="5" t="s">
        <v>35</v>
      </c>
      <c r="F6648" s="9" t="s">
        <v>36</v>
      </c>
      <c r="G6648" s="9" t="s">
        <v>985</v>
      </c>
      <c r="H6648" s="5" t="s">
        <v>21</v>
      </c>
      <c r="I6648" s="5" t="s">
        <v>15896</v>
      </c>
      <c r="J6648" s="12" t="str">
        <f>HYPERLINK("https://www.boe.es/gazeta/dias/1808/04/22/pdfs/GMD-C-1808-38.pdf#page=39","Abrir facsímil")</f>
        <v>Abrir facsímil</v>
      </c>
      <c r="K6648" s="15" t="s">
        <v>23</v>
      </c>
    </row>
    <row r="6649" spans="1:11" ht="42" customHeight="1">
      <c r="A6649" s="4" t="s">
        <v>15897</v>
      </c>
      <c r="B6649" s="5" t="s">
        <v>15898</v>
      </c>
      <c r="C6649" s="5" t="s">
        <v>17</v>
      </c>
      <c r="D6649" s="5" t="s">
        <v>18</v>
      </c>
      <c r="E6649" s="5" t="s">
        <v>68</v>
      </c>
      <c r="F6649" s="9" t="s">
        <v>69</v>
      </c>
      <c r="G6649" s="9">
        <v>1337</v>
      </c>
      <c r="H6649" s="5" t="s">
        <v>21</v>
      </c>
      <c r="I6649" s="5" t="s">
        <v>15899</v>
      </c>
      <c r="J6649" s="12" t="str">
        <f>HYPERLINK("https://www.boe.es/gazeta/dias/1808/10/21/pdfs/GMD-1808-136.pdf#page=9","Abrir facsímil")</f>
        <v>Abrir facsímil</v>
      </c>
      <c r="K6649" s="15" t="s">
        <v>23</v>
      </c>
    </row>
    <row r="6650" spans="1:11" ht="42" customHeight="1">
      <c r="A6650" s="4" t="s">
        <v>15900</v>
      </c>
      <c r="B6650" s="5" t="s">
        <v>15901</v>
      </c>
      <c r="C6650" s="5" t="s">
        <v>17</v>
      </c>
      <c r="D6650" s="5" t="s">
        <v>18</v>
      </c>
      <c r="E6650" s="5" t="s">
        <v>130</v>
      </c>
      <c r="F6650" s="9" t="s">
        <v>131</v>
      </c>
      <c r="G6650" s="9">
        <v>1602</v>
      </c>
      <c r="H6650" s="5" t="s">
        <v>21</v>
      </c>
      <c r="I6650" s="5" t="s">
        <v>15902</v>
      </c>
      <c r="J6650" s="12" t="str">
        <f>HYPERLINK("https://www.boe.es/gazeta/dias/1808/12/15/pdfs/GMD-1808-155.pdf#page=6","Abrir facsímil")</f>
        <v>Abrir facsímil</v>
      </c>
      <c r="K6650" s="15" t="s">
        <v>23</v>
      </c>
    </row>
    <row r="6651" spans="1:11" ht="42" customHeight="1">
      <c r="A6651" s="4" t="s">
        <v>15903</v>
      </c>
      <c r="B6651" s="5" t="s">
        <v>15904</v>
      </c>
      <c r="C6651" s="5" t="s">
        <v>17</v>
      </c>
      <c r="D6651" s="5" t="s">
        <v>18</v>
      </c>
      <c r="E6651" s="5" t="s">
        <v>1258</v>
      </c>
      <c r="F6651" s="9" t="s">
        <v>1259</v>
      </c>
      <c r="G6651" s="9">
        <v>894</v>
      </c>
      <c r="H6651" s="5" t="s">
        <v>21</v>
      </c>
      <c r="I6651" s="5" t="s">
        <v>15905</v>
      </c>
      <c r="J6651" s="12" t="str">
        <f>HYPERLINK("https://www.boe.es/gazeta/dias/1808/07/25/pdfs/GMD-1808-97.pdf#page=8","Abrir facsímil")</f>
        <v>Abrir facsímil</v>
      </c>
      <c r="K6651" s="15" t="s">
        <v>23</v>
      </c>
    </row>
    <row r="6652" spans="1:11" ht="42" customHeight="1">
      <c r="A6652" s="4" t="s">
        <v>15906</v>
      </c>
      <c r="B6652" s="5" t="s">
        <v>15907</v>
      </c>
      <c r="C6652" s="5" t="s">
        <v>33</v>
      </c>
      <c r="D6652" s="5" t="s">
        <v>34</v>
      </c>
      <c r="E6652" s="5" t="s">
        <v>197</v>
      </c>
      <c r="F6652" s="9" t="s">
        <v>198</v>
      </c>
      <c r="G6652" s="9" t="s">
        <v>75</v>
      </c>
      <c r="H6652" s="5" t="s">
        <v>21</v>
      </c>
      <c r="I6652" s="5" t="s">
        <v>15908</v>
      </c>
      <c r="J6652" s="12" t="str">
        <f>HYPERLINK("https://www.boe.es/gazeta/dias/1808/11/01/pdfs/GMD-D-1808-140.pdf#page=4","Abrir facsímil")</f>
        <v>Abrir facsímil</v>
      </c>
      <c r="K6652" s="15" t="s">
        <v>23</v>
      </c>
    </row>
    <row r="6653" spans="1:11" ht="42" customHeight="1">
      <c r="A6653" s="4" t="s">
        <v>15909</v>
      </c>
      <c r="B6653" s="5" t="s">
        <v>15910</v>
      </c>
      <c r="C6653" s="5" t="s">
        <v>41</v>
      </c>
      <c r="D6653" s="5" t="s">
        <v>42</v>
      </c>
      <c r="E6653" s="5" t="s">
        <v>28</v>
      </c>
      <c r="F6653" s="9" t="s">
        <v>446</v>
      </c>
      <c r="G6653" s="9" t="s">
        <v>106</v>
      </c>
      <c r="H6653" s="5" t="s">
        <v>21</v>
      </c>
      <c r="I6653" s="5" t="s">
        <v>15911</v>
      </c>
      <c r="J6653" s="12" t="str">
        <f>HYPERLINK("https://www.boe.es/gazeta/dias/1808/11/04/pdfs/GMD-D-1808-141.pdf#page=3","Abrir facsímil")</f>
        <v>Abrir facsímil</v>
      </c>
      <c r="K6653" s="15" t="s">
        <v>23</v>
      </c>
    </row>
    <row r="6654" spans="1:11" ht="42" customHeight="1">
      <c r="A6654" s="4" t="s">
        <v>15912</v>
      </c>
      <c r="B6654" s="5" t="s">
        <v>15913</v>
      </c>
      <c r="C6654" s="5" t="s">
        <v>33</v>
      </c>
      <c r="D6654" s="5" t="s">
        <v>34</v>
      </c>
      <c r="E6654" s="5" t="s">
        <v>115</v>
      </c>
      <c r="F6654" s="9" t="s">
        <v>116</v>
      </c>
      <c r="G6654" s="9" t="s">
        <v>199</v>
      </c>
      <c r="H6654" s="5" t="s">
        <v>21</v>
      </c>
      <c r="I6654" s="5" t="s">
        <v>15914</v>
      </c>
      <c r="J6654" s="12" t="str">
        <f>HYPERLINK("https://www.boe.es/gazeta/dias/1808/09/16/pdfs/GMD-C-1808-125.pdf#page=2","Abrir facsímil")</f>
        <v>Abrir facsímil</v>
      </c>
      <c r="K6654" s="15" t="s">
        <v>23</v>
      </c>
    </row>
    <row r="6655" spans="1:11" ht="42" customHeight="1">
      <c r="A6655" s="4" t="s">
        <v>15915</v>
      </c>
      <c r="B6655" s="5" t="s">
        <v>15916</v>
      </c>
      <c r="C6655" s="5" t="s">
        <v>17</v>
      </c>
      <c r="D6655" s="5" t="s">
        <v>18</v>
      </c>
      <c r="E6655" s="5" t="s">
        <v>115</v>
      </c>
      <c r="F6655" s="9" t="s">
        <v>1650</v>
      </c>
      <c r="G6655" s="9">
        <v>1177</v>
      </c>
      <c r="H6655" s="5" t="s">
        <v>21</v>
      </c>
      <c r="I6655" s="5" t="s">
        <v>15917</v>
      </c>
      <c r="J6655" s="12" t="str">
        <f>HYPERLINK("https://www.boe.es/gazeta/dias/1808/09/16/pdfs/GMD-1808-125.pdf#page=9","Abrir facsímil")</f>
        <v>Abrir facsímil</v>
      </c>
      <c r="K6655" s="15" t="s">
        <v>23</v>
      </c>
    </row>
    <row r="6656" spans="1:11" ht="42" customHeight="1">
      <c r="A6656" s="4" t="s">
        <v>15918</v>
      </c>
      <c r="B6656" s="5" t="s">
        <v>15919</v>
      </c>
      <c r="C6656" s="5" t="s">
        <v>41</v>
      </c>
      <c r="D6656" s="5" t="s">
        <v>42</v>
      </c>
      <c r="E6656" s="5" t="s">
        <v>115</v>
      </c>
      <c r="F6656" s="9" t="s">
        <v>116</v>
      </c>
      <c r="G6656" s="9" t="s">
        <v>199</v>
      </c>
      <c r="H6656" s="5" t="s">
        <v>21</v>
      </c>
      <c r="I6656" s="5" t="s">
        <v>15920</v>
      </c>
      <c r="J6656" s="12" t="str">
        <f>HYPERLINK("https://www.boe.es/gazeta/dias/1808/09/16/pdfs/GMD-C-1808-125.pdf#page=2","Abrir facsímil")</f>
        <v>Abrir facsímil</v>
      </c>
      <c r="K6656" s="15" t="s">
        <v>23</v>
      </c>
    </row>
    <row r="6657" spans="1:11" ht="42" customHeight="1">
      <c r="A6657" s="4" t="s">
        <v>15918</v>
      </c>
      <c r="B6657" s="5" t="s">
        <v>15919</v>
      </c>
      <c r="C6657" s="5" t="s">
        <v>26</v>
      </c>
      <c r="D6657" s="5" t="s">
        <v>27</v>
      </c>
      <c r="E6657" s="5" t="s">
        <v>334</v>
      </c>
      <c r="F6657" s="9" t="s">
        <v>1814</v>
      </c>
      <c r="G6657" s="9">
        <v>1246</v>
      </c>
      <c r="H6657" s="5" t="s">
        <v>21</v>
      </c>
      <c r="I6657" s="5" t="s">
        <v>15921</v>
      </c>
      <c r="J6657" s="12" t="str">
        <f>HYPERLINK("https://www.boe.es/gazeta/dias/1808/10/04/pdfs/GMD-1808-131.pdf#page=14","Abrir facsímil")</f>
        <v>Abrir facsímil</v>
      </c>
      <c r="K6657" s="15" t="s">
        <v>23</v>
      </c>
    </row>
    <row r="6658" spans="1:11" ht="42" customHeight="1">
      <c r="A6658" s="4" t="s">
        <v>15922</v>
      </c>
      <c r="B6658" s="5" t="s">
        <v>15923</v>
      </c>
      <c r="C6658" s="5" t="s">
        <v>41</v>
      </c>
      <c r="D6658" s="5" t="s">
        <v>42</v>
      </c>
      <c r="E6658" s="5" t="s">
        <v>125</v>
      </c>
      <c r="F6658" s="9" t="s">
        <v>126</v>
      </c>
      <c r="G6658" s="9" t="s">
        <v>199</v>
      </c>
      <c r="H6658" s="5" t="s">
        <v>21</v>
      </c>
      <c r="I6658" s="5" t="s">
        <v>15924</v>
      </c>
      <c r="J6658" s="12" t="str">
        <f>HYPERLINK("https://www.boe.es/gazeta/dias/1808/10/07/pdfs/GMD-C-1808-132.pdf#page=2","Abrir facsímil")</f>
        <v>Abrir facsímil</v>
      </c>
      <c r="K6658" s="15" t="s">
        <v>23</v>
      </c>
    </row>
    <row r="6659" spans="1:11" ht="42" customHeight="1">
      <c r="A6659" s="4" t="s">
        <v>15925</v>
      </c>
      <c r="B6659" s="5" t="s">
        <v>15925</v>
      </c>
      <c r="C6659" s="5" t="s">
        <v>17</v>
      </c>
      <c r="D6659" s="5" t="s">
        <v>18</v>
      </c>
      <c r="E6659" s="5" t="s">
        <v>1361</v>
      </c>
      <c r="F6659" s="9" t="s">
        <v>1362</v>
      </c>
      <c r="G6659" s="9">
        <v>471</v>
      </c>
      <c r="H6659" s="5" t="s">
        <v>21</v>
      </c>
      <c r="I6659" s="5" t="s">
        <v>15926</v>
      </c>
      <c r="J6659" s="12" t="str">
        <f>HYPERLINK("https://www.boe.es/gazeta/dias/1808/05/17/pdfs/GMD-1808-47.pdf#page=11","Abrir facsímil")</f>
        <v>Abrir facsímil</v>
      </c>
      <c r="K6659" s="15" t="s">
        <v>23</v>
      </c>
    </row>
    <row r="6660" spans="1:11" ht="42" customHeight="1">
      <c r="A6660" s="4" t="s">
        <v>15925</v>
      </c>
      <c r="B6660" s="5" t="s">
        <v>15925</v>
      </c>
      <c r="C6660" s="5" t="s">
        <v>94</v>
      </c>
      <c r="D6660" s="5" t="s">
        <v>95</v>
      </c>
      <c r="E6660" s="5" t="s">
        <v>3313</v>
      </c>
      <c r="F6660" s="9" t="s">
        <v>3314</v>
      </c>
      <c r="G6660" s="9">
        <v>808</v>
      </c>
      <c r="H6660" s="5" t="s">
        <v>21</v>
      </c>
      <c r="I6660" s="5" t="s">
        <v>15927</v>
      </c>
      <c r="J6660" s="12" t="str">
        <f>HYPERLINK("https://www.boe.es/gazeta/dias/1808/07/15/pdfs/GMD-1808-87.pdf#page=2","Abrir facsímil")</f>
        <v>Abrir facsímil</v>
      </c>
      <c r="K6660" s="15" t="s">
        <v>23</v>
      </c>
    </row>
    <row r="6661" spans="1:11" ht="42" customHeight="1">
      <c r="A6661" s="4" t="s">
        <v>15928</v>
      </c>
      <c r="B6661" s="5" t="s">
        <v>15929</v>
      </c>
      <c r="C6661" s="5" t="s">
        <v>41</v>
      </c>
      <c r="D6661" s="5" t="s">
        <v>42</v>
      </c>
      <c r="E6661" s="5" t="s">
        <v>84</v>
      </c>
      <c r="F6661" s="9" t="s">
        <v>85</v>
      </c>
      <c r="G6661" s="9">
        <v>1162</v>
      </c>
      <c r="H6661" s="5" t="s">
        <v>21</v>
      </c>
      <c r="I6661" s="5" t="s">
        <v>15930</v>
      </c>
      <c r="J6661" s="12" t="str">
        <f>HYPERLINK("https://www.boe.es/gazeta/dias/1808/09/13/pdfs/GMD-1808-123.pdf#page=10","Abrir facsímil")</f>
        <v>Abrir facsímil</v>
      </c>
      <c r="K6661" s="15" t="s">
        <v>23</v>
      </c>
    </row>
    <row r="6662" spans="1:11" ht="42" customHeight="1">
      <c r="A6662" s="4" t="s">
        <v>15931</v>
      </c>
      <c r="B6662" s="5" t="s">
        <v>15931</v>
      </c>
      <c r="C6662" s="5" t="s">
        <v>41</v>
      </c>
      <c r="D6662" s="5" t="s">
        <v>42</v>
      </c>
      <c r="E6662" s="5" t="s">
        <v>28</v>
      </c>
      <c r="F6662" s="9" t="s">
        <v>29</v>
      </c>
      <c r="G6662" s="9">
        <v>1429</v>
      </c>
      <c r="H6662" s="5" t="s">
        <v>21</v>
      </c>
      <c r="I6662" s="5" t="s">
        <v>15932</v>
      </c>
      <c r="J6662" s="12" t="str">
        <f>HYPERLINK("https://www.boe.es/gazeta/dias/1808/11/04/pdfs/GMD-1808-141.pdf#page=11","Abrir facsímil")</f>
        <v>Abrir facsímil</v>
      </c>
      <c r="K6662" s="15" t="s">
        <v>23</v>
      </c>
    </row>
    <row r="6663" spans="1:11" ht="42" customHeight="1">
      <c r="A6663" s="4" t="s">
        <v>15933</v>
      </c>
      <c r="B6663" s="5" t="s">
        <v>15933</v>
      </c>
      <c r="C6663" s="5" t="s">
        <v>33</v>
      </c>
      <c r="D6663" s="5" t="s">
        <v>34</v>
      </c>
      <c r="E6663" s="5" t="s">
        <v>35</v>
      </c>
      <c r="F6663" s="9" t="s">
        <v>36</v>
      </c>
      <c r="G6663" s="9" t="s">
        <v>414</v>
      </c>
      <c r="H6663" s="5" t="s">
        <v>21</v>
      </c>
      <c r="I6663" s="5" t="s">
        <v>15934</v>
      </c>
      <c r="J6663" s="12" t="str">
        <f>HYPERLINK("https://www.boe.es/gazeta/dias/1808/04/22/pdfs/GMD-C-1808-38.pdf#page=20","Abrir facsímil")</f>
        <v>Abrir facsímil</v>
      </c>
      <c r="K6663" s="15" t="s">
        <v>23</v>
      </c>
    </row>
    <row r="6664" spans="1:11" ht="42" customHeight="1">
      <c r="A6664" s="4" t="s">
        <v>15935</v>
      </c>
      <c r="B6664" s="5" t="s">
        <v>15936</v>
      </c>
      <c r="C6664" s="5" t="s">
        <v>101</v>
      </c>
      <c r="D6664" s="5" t="s">
        <v>102</v>
      </c>
      <c r="E6664" s="5" t="s">
        <v>991</v>
      </c>
      <c r="F6664" s="9" t="s">
        <v>992</v>
      </c>
      <c r="G6664" s="9">
        <v>215</v>
      </c>
      <c r="H6664" s="5" t="s">
        <v>21</v>
      </c>
      <c r="I6664" s="5" t="s">
        <v>15937</v>
      </c>
      <c r="J6664" s="12" t="str">
        <f>HYPERLINK("https://www.boe.es/gazeta/dias/1808/03/01/pdfs/GMD-1808-18.pdf#page=5","Abrir facsímil")</f>
        <v>Abrir facsímil</v>
      </c>
      <c r="K6664" s="15" t="s">
        <v>23</v>
      </c>
    </row>
    <row r="6665" spans="1:11" ht="42" customHeight="1">
      <c r="A6665" s="4" t="s">
        <v>15938</v>
      </c>
      <c r="B6665" s="5" t="s">
        <v>15939</v>
      </c>
      <c r="C6665" s="5" t="s">
        <v>33</v>
      </c>
      <c r="D6665" s="5" t="s">
        <v>34</v>
      </c>
      <c r="E6665" s="5" t="s">
        <v>35</v>
      </c>
      <c r="F6665" s="9" t="s">
        <v>36</v>
      </c>
      <c r="G6665" s="9" t="s">
        <v>162</v>
      </c>
      <c r="H6665" s="5" t="s">
        <v>21</v>
      </c>
      <c r="I6665" s="5" t="s">
        <v>15940</v>
      </c>
      <c r="J6665" s="12" t="str">
        <f>HYPERLINK("https://www.boe.es/gazeta/dias/1808/04/22/pdfs/GMD-C-1808-38.pdf#page=31","Abrir facsímil")</f>
        <v>Abrir facsímil</v>
      </c>
      <c r="K6665" s="15" t="s">
        <v>23</v>
      </c>
    </row>
    <row r="6666" spans="1:11" ht="42" customHeight="1">
      <c r="A6666" s="4" t="s">
        <v>15941</v>
      </c>
      <c r="B6666" s="5" t="s">
        <v>15942</v>
      </c>
      <c r="C6666" s="5" t="s">
        <v>33</v>
      </c>
      <c r="D6666" s="5" t="s">
        <v>34</v>
      </c>
      <c r="E6666" s="5" t="s">
        <v>35</v>
      </c>
      <c r="F6666" s="9" t="s">
        <v>36</v>
      </c>
      <c r="G6666" s="9" t="s">
        <v>162</v>
      </c>
      <c r="H6666" s="5" t="s">
        <v>21</v>
      </c>
      <c r="I6666" s="5" t="s">
        <v>15943</v>
      </c>
      <c r="J6666" s="12" t="str">
        <f>HYPERLINK("https://www.boe.es/gazeta/dias/1808/04/22/pdfs/GMD-C-1808-38.pdf#page=31","Abrir facsímil")</f>
        <v>Abrir facsímil</v>
      </c>
      <c r="K6666" s="15" t="s">
        <v>23</v>
      </c>
    </row>
    <row r="6667" spans="1:11" ht="42" customHeight="1">
      <c r="A6667" s="4" t="s">
        <v>15941</v>
      </c>
      <c r="B6667" s="5" t="s">
        <v>15942</v>
      </c>
      <c r="C6667" s="5" t="s">
        <v>33</v>
      </c>
      <c r="D6667" s="5" t="s">
        <v>34</v>
      </c>
      <c r="E6667" s="5" t="s">
        <v>35</v>
      </c>
      <c r="F6667" s="9" t="s">
        <v>36</v>
      </c>
      <c r="G6667" s="9" t="s">
        <v>277</v>
      </c>
      <c r="H6667" s="5" t="s">
        <v>21</v>
      </c>
      <c r="I6667" s="5" t="s">
        <v>15944</v>
      </c>
      <c r="J6667" s="12" t="str">
        <f>HYPERLINK("https://www.boe.es/gazeta/dias/1808/04/22/pdfs/GMD-C-1808-38.pdf#page=34","Abrir facsímil")</f>
        <v>Abrir facsímil</v>
      </c>
      <c r="K6667" s="15" t="s">
        <v>23</v>
      </c>
    </row>
    <row r="6668" spans="1:11" ht="42" customHeight="1">
      <c r="A6668" s="4" t="s">
        <v>15945</v>
      </c>
      <c r="B6668" s="5" t="s">
        <v>15946</v>
      </c>
      <c r="C6668" s="5" t="s">
        <v>33</v>
      </c>
      <c r="D6668" s="5" t="s">
        <v>34</v>
      </c>
      <c r="E6668" s="5" t="s">
        <v>166</v>
      </c>
      <c r="F6668" s="9" t="s">
        <v>400</v>
      </c>
      <c r="G6668" s="9" t="s">
        <v>117</v>
      </c>
      <c r="H6668" s="5" t="s">
        <v>21</v>
      </c>
      <c r="I6668" s="5" t="s">
        <v>15947</v>
      </c>
      <c r="J6668" s="12" t="str">
        <f>HYPERLINK("https://www.boe.es/gazeta/dias/1808/11/18/pdfs/D00069-00072.pdf#page=1","Abrir facsímil")</f>
        <v>Abrir facsímil</v>
      </c>
      <c r="K6668" s="15" t="s">
        <v>23</v>
      </c>
    </row>
    <row r="6669" spans="1:11" ht="42" customHeight="1">
      <c r="A6669" s="4" t="s">
        <v>15948</v>
      </c>
      <c r="B6669" s="5" t="s">
        <v>15948</v>
      </c>
      <c r="C6669" s="5" t="s">
        <v>94</v>
      </c>
      <c r="D6669" s="5" t="s">
        <v>95</v>
      </c>
      <c r="E6669" s="5" t="s">
        <v>2598</v>
      </c>
      <c r="F6669" s="9" t="s">
        <v>2599</v>
      </c>
      <c r="G6669" s="9">
        <v>946</v>
      </c>
      <c r="H6669" s="5" t="s">
        <v>21</v>
      </c>
      <c r="I6669" s="5" t="s">
        <v>15949</v>
      </c>
      <c r="J6669" s="12" t="str">
        <f>HYPERLINK("https://www.boe.es/gazeta/dias/1808/08/01/pdfs/GMD-1808-104.pdf#page=4","Abrir facsímil")</f>
        <v>Abrir facsímil</v>
      </c>
      <c r="K6669" s="15" t="s">
        <v>23</v>
      </c>
    </row>
    <row r="6670" spans="1:11" ht="42" customHeight="1">
      <c r="A6670" s="4" t="s">
        <v>15950</v>
      </c>
      <c r="B6670" s="5" t="s">
        <v>15951</v>
      </c>
      <c r="C6670" s="5" t="s">
        <v>33</v>
      </c>
      <c r="D6670" s="5" t="s">
        <v>34</v>
      </c>
      <c r="E6670" s="5" t="s">
        <v>35</v>
      </c>
      <c r="F6670" s="9" t="s">
        <v>36</v>
      </c>
      <c r="G6670" s="9" t="s">
        <v>135</v>
      </c>
      <c r="H6670" s="5" t="s">
        <v>21</v>
      </c>
      <c r="I6670" s="5" t="s">
        <v>15952</v>
      </c>
      <c r="J6670" s="12" t="str">
        <f>HYPERLINK("https://www.boe.es/gazeta/dias/1808/04/22/pdfs/GMD-C-1808-38.pdf#page=26","Abrir facsímil")</f>
        <v>Abrir facsímil</v>
      </c>
      <c r="K6670" s="15" t="s">
        <v>23</v>
      </c>
    </row>
    <row r="6671" spans="1:11" ht="42" customHeight="1">
      <c r="A6671" s="4" t="s">
        <v>15953</v>
      </c>
      <c r="B6671" s="5" t="s">
        <v>15954</v>
      </c>
      <c r="C6671" s="5" t="s">
        <v>33</v>
      </c>
      <c r="D6671" s="5" t="s">
        <v>34</v>
      </c>
      <c r="E6671" s="5" t="s">
        <v>35</v>
      </c>
      <c r="F6671" s="9" t="s">
        <v>36</v>
      </c>
      <c r="G6671" s="9" t="s">
        <v>1128</v>
      </c>
      <c r="H6671" s="5" t="s">
        <v>21</v>
      </c>
      <c r="I6671" s="5" t="s">
        <v>15955</v>
      </c>
      <c r="J6671" s="12" t="str">
        <f>HYPERLINK("https://www.boe.es/gazeta/dias/1808/04/22/pdfs/GMD-C-1808-38.pdf#page=11","Abrir facsímil")</f>
        <v>Abrir facsímil</v>
      </c>
      <c r="K6671" s="15" t="s">
        <v>23</v>
      </c>
    </row>
    <row r="6672" spans="1:11" ht="42" customHeight="1">
      <c r="A6672" s="4" t="s">
        <v>15956</v>
      </c>
      <c r="B6672" s="5" t="s">
        <v>15957</v>
      </c>
      <c r="C6672" s="5" t="s">
        <v>17</v>
      </c>
      <c r="D6672" s="5" t="s">
        <v>18</v>
      </c>
      <c r="E6672" s="5" t="s">
        <v>218</v>
      </c>
      <c r="F6672" s="9" t="s">
        <v>219</v>
      </c>
      <c r="G6672" s="9">
        <v>331</v>
      </c>
      <c r="H6672" s="5" t="s">
        <v>21</v>
      </c>
      <c r="I6672" s="5" t="s">
        <v>15958</v>
      </c>
      <c r="J6672" s="12" t="str">
        <f>HYPERLINK("https://www.boe.es/gazeta/dias/1808/04/01/pdfs/GMD-1808-29.pdf#page=7","Abrir facsímil")</f>
        <v>Abrir facsímil</v>
      </c>
      <c r="K6672" s="15" t="s">
        <v>23</v>
      </c>
    </row>
    <row r="6673" spans="1:11" ht="42" customHeight="1">
      <c r="A6673" s="4" t="s">
        <v>15956</v>
      </c>
      <c r="B6673" s="5" t="s">
        <v>15957</v>
      </c>
      <c r="C6673" s="5" t="s">
        <v>17</v>
      </c>
      <c r="D6673" s="5" t="s">
        <v>18</v>
      </c>
      <c r="E6673" s="5" t="s">
        <v>1791</v>
      </c>
      <c r="F6673" s="9" t="s">
        <v>2814</v>
      </c>
      <c r="G6673" s="9">
        <v>930</v>
      </c>
      <c r="H6673" s="5" t="s">
        <v>21</v>
      </c>
      <c r="I6673" s="5" t="s">
        <v>15959</v>
      </c>
      <c r="J6673" s="12" t="str">
        <f>HYPERLINK("https://www.boe.es/gazeta/dias/1808/07/30/pdfs/GMD-1808-102.pdf#page=4","Abrir facsímil")</f>
        <v>Abrir facsímil</v>
      </c>
      <c r="K6673" s="15" t="s">
        <v>23</v>
      </c>
    </row>
    <row r="6674" spans="1:11" ht="42" customHeight="1">
      <c r="A6674" s="4" t="s">
        <v>15956</v>
      </c>
      <c r="B6674" s="5" t="s">
        <v>15957</v>
      </c>
      <c r="C6674" s="5" t="s">
        <v>17</v>
      </c>
      <c r="D6674" s="5" t="s">
        <v>18</v>
      </c>
      <c r="E6674" s="5" t="s">
        <v>427</v>
      </c>
      <c r="F6674" s="9" t="s">
        <v>1802</v>
      </c>
      <c r="G6674" s="9">
        <v>1526</v>
      </c>
      <c r="H6674" s="5" t="s">
        <v>21</v>
      </c>
      <c r="I6674" s="5" t="s">
        <v>15960</v>
      </c>
      <c r="J6674" s="12" t="str">
        <f>HYPERLINK("https://www.boe.es/gazeta/dias/1808/11/22/pdfs/GMD-1808-146.pdf#page=12","Abrir facsímil")</f>
        <v>Abrir facsímil</v>
      </c>
      <c r="K6674" s="15" t="s">
        <v>23</v>
      </c>
    </row>
    <row r="6675" spans="1:11" ht="42" customHeight="1">
      <c r="A6675" s="4" t="s">
        <v>15961</v>
      </c>
      <c r="B6675" s="5" t="s">
        <v>15961</v>
      </c>
      <c r="C6675" s="5" t="s">
        <v>41</v>
      </c>
      <c r="D6675" s="5" t="s">
        <v>42</v>
      </c>
      <c r="E6675" s="5" t="s">
        <v>493</v>
      </c>
      <c r="F6675" s="9" t="s">
        <v>494</v>
      </c>
      <c r="G6675" s="9">
        <v>46</v>
      </c>
      <c r="H6675" s="5" t="s">
        <v>21</v>
      </c>
      <c r="I6675" s="5" t="s">
        <v>15962</v>
      </c>
      <c r="J6675" s="12" t="str">
        <f>HYPERLINK("https://www.boe.es/gazeta/dias/1808/01/12/pdfs/GMD-1808-4.pdf#page=10","Abrir facsímil")</f>
        <v>Abrir facsímil</v>
      </c>
      <c r="K6675" s="15" t="s">
        <v>23</v>
      </c>
    </row>
    <row r="6676" spans="1:11" ht="42" customHeight="1">
      <c r="A6676" s="4" t="s">
        <v>15963</v>
      </c>
      <c r="B6676" s="5" t="s">
        <v>15964</v>
      </c>
      <c r="C6676" s="5" t="s">
        <v>26</v>
      </c>
      <c r="D6676" s="5" t="s">
        <v>27</v>
      </c>
      <c r="E6676" s="5" t="s">
        <v>461</v>
      </c>
      <c r="F6676" s="9" t="s">
        <v>733</v>
      </c>
      <c r="G6676" s="9">
        <v>1448</v>
      </c>
      <c r="H6676" s="5" t="s">
        <v>21</v>
      </c>
      <c r="I6676" s="5" t="s">
        <v>15965</v>
      </c>
      <c r="J6676" s="12" t="str">
        <f>HYPERLINK("https://www.boe.es/gazeta/dias/1808/11/08/pdfs/GMD-1808-142.pdf#page=10","Abrir facsímil")</f>
        <v>Abrir facsímil</v>
      </c>
      <c r="K6676" s="15" t="s">
        <v>23</v>
      </c>
    </row>
    <row r="6677" spans="1:11" ht="42" customHeight="1">
      <c r="A6677" s="4" t="s">
        <v>15966</v>
      </c>
      <c r="B6677" s="5" t="s">
        <v>15967</v>
      </c>
      <c r="C6677" s="5" t="s">
        <v>17</v>
      </c>
      <c r="D6677" s="5" t="s">
        <v>18</v>
      </c>
      <c r="E6677" s="5" t="s">
        <v>461</v>
      </c>
      <c r="F6677" s="9" t="s">
        <v>733</v>
      </c>
      <c r="G6677" s="9">
        <v>1448</v>
      </c>
      <c r="H6677" s="5" t="s">
        <v>21</v>
      </c>
      <c r="I6677" s="5" t="s">
        <v>15968</v>
      </c>
      <c r="J6677" s="12" t="str">
        <f>HYPERLINK("https://www.boe.es/gazeta/dias/1808/11/08/pdfs/GMD-1808-142.pdf#page=10","Abrir facsímil")</f>
        <v>Abrir facsímil</v>
      </c>
      <c r="K6677" s="15" t="s">
        <v>23</v>
      </c>
    </row>
    <row r="6678" spans="1:11" ht="42" customHeight="1">
      <c r="A6678" s="4" t="s">
        <v>15969</v>
      </c>
      <c r="B6678" s="5" t="s">
        <v>15970</v>
      </c>
      <c r="C6678" s="5" t="s">
        <v>33</v>
      </c>
      <c r="D6678" s="5" t="s">
        <v>34</v>
      </c>
      <c r="E6678" s="5" t="s">
        <v>110</v>
      </c>
      <c r="F6678" s="9" t="s">
        <v>828</v>
      </c>
      <c r="G6678" s="9" t="s">
        <v>117</v>
      </c>
      <c r="H6678" s="5" t="s">
        <v>21</v>
      </c>
      <c r="I6678" s="5" t="s">
        <v>15971</v>
      </c>
      <c r="J6678" s="12" t="str">
        <f>HYPERLINK("https://www.boe.es/gazeta/dias/1808/10/28/pdfs/GMD-D-1808-138.pdf#page=1","Abrir facsímil")</f>
        <v>Abrir facsímil</v>
      </c>
      <c r="K6678" s="15" t="s">
        <v>23</v>
      </c>
    </row>
    <row r="6679" spans="1:11" ht="42" customHeight="1">
      <c r="A6679" s="4" t="s">
        <v>15972</v>
      </c>
      <c r="B6679" s="5" t="s">
        <v>15973</v>
      </c>
      <c r="C6679" s="5" t="s">
        <v>94</v>
      </c>
      <c r="D6679" s="5" t="s">
        <v>95</v>
      </c>
      <c r="E6679" s="5" t="s">
        <v>539</v>
      </c>
      <c r="F6679" s="9" t="s">
        <v>540</v>
      </c>
      <c r="G6679" s="9">
        <v>1114</v>
      </c>
      <c r="H6679" s="5" t="s">
        <v>21</v>
      </c>
      <c r="I6679" s="5" t="s">
        <v>15974</v>
      </c>
      <c r="J6679" s="12" t="str">
        <f>HYPERLINK("https://www.boe.es/gazeta/dias/1808/09/02/pdfs/GMD-1808-119.pdf#page=8","Abrir facsímil")</f>
        <v>Abrir facsímil</v>
      </c>
      <c r="K6679" s="15" t="s">
        <v>23</v>
      </c>
    </row>
    <row r="6680" spans="1:11" ht="42" customHeight="1">
      <c r="A6680" s="4" t="s">
        <v>15975</v>
      </c>
      <c r="B6680" s="5" t="s">
        <v>15976</v>
      </c>
      <c r="C6680" s="5" t="s">
        <v>101</v>
      </c>
      <c r="D6680" s="5" t="s">
        <v>102</v>
      </c>
      <c r="E6680" s="5" t="s">
        <v>3361</v>
      </c>
      <c r="F6680" s="9" t="s">
        <v>3362</v>
      </c>
      <c r="G6680" s="9">
        <v>1640</v>
      </c>
      <c r="H6680" s="5" t="s">
        <v>21</v>
      </c>
      <c r="I6680" s="5" t="s">
        <v>15977</v>
      </c>
      <c r="J6680" s="12" t="str">
        <f>HYPERLINK("https://www.boe.es/gazeta/dias/1808/12/19/pdfs/GMD-1808-159.pdf#page=2","Abrir facsímil")</f>
        <v>Abrir facsímil</v>
      </c>
      <c r="K6680" s="15" t="s">
        <v>23</v>
      </c>
    </row>
    <row r="6681" spans="1:11" ht="42" customHeight="1">
      <c r="A6681" s="4" t="s">
        <v>15978</v>
      </c>
      <c r="B6681" s="5" t="s">
        <v>15979</v>
      </c>
      <c r="C6681" s="5" t="s">
        <v>33</v>
      </c>
      <c r="D6681" s="5" t="s">
        <v>34</v>
      </c>
      <c r="E6681" s="5" t="s">
        <v>35</v>
      </c>
      <c r="F6681" s="9" t="s">
        <v>36</v>
      </c>
      <c r="G6681" s="9" t="s">
        <v>867</v>
      </c>
      <c r="H6681" s="5" t="s">
        <v>21</v>
      </c>
      <c r="I6681" s="5" t="s">
        <v>15980</v>
      </c>
      <c r="J6681" s="12" t="str">
        <f>HYPERLINK("https://www.boe.es/gazeta/dias/1808/04/22/pdfs/GMD-C-1808-38.pdf#page=19","Abrir facsímil")</f>
        <v>Abrir facsímil</v>
      </c>
      <c r="K6681" s="15" t="s">
        <v>23</v>
      </c>
    </row>
    <row r="6682" spans="1:11" ht="42" customHeight="1">
      <c r="A6682" s="4" t="s">
        <v>15981</v>
      </c>
      <c r="B6682" s="5" t="s">
        <v>15981</v>
      </c>
      <c r="C6682" s="5" t="s">
        <v>94</v>
      </c>
      <c r="D6682" s="5" t="s">
        <v>95</v>
      </c>
      <c r="E6682" s="5" t="s">
        <v>1361</v>
      </c>
      <c r="F6682" s="9" t="s">
        <v>1362</v>
      </c>
      <c r="G6682" s="9">
        <v>465</v>
      </c>
      <c r="H6682" s="5" t="s">
        <v>21</v>
      </c>
      <c r="I6682" s="5" t="s">
        <v>15982</v>
      </c>
      <c r="J6682" s="12" t="str">
        <f>HYPERLINK("https://www.boe.es/gazeta/dias/1808/05/17/pdfs/GMD-1808-47.pdf#page=5","Abrir facsímil")</f>
        <v>Abrir facsímil</v>
      </c>
      <c r="K6682" s="15" t="s">
        <v>23</v>
      </c>
    </row>
    <row r="6683" spans="1:11" ht="42" customHeight="1">
      <c r="A6683" s="4" t="s">
        <v>15983</v>
      </c>
      <c r="B6683" s="5" t="s">
        <v>15984</v>
      </c>
      <c r="C6683" s="5" t="s">
        <v>17</v>
      </c>
      <c r="D6683" s="5" t="s">
        <v>18</v>
      </c>
      <c r="E6683" s="5" t="s">
        <v>130</v>
      </c>
      <c r="F6683" s="9" t="s">
        <v>131</v>
      </c>
      <c r="G6683" s="9">
        <v>1603</v>
      </c>
      <c r="H6683" s="5" t="s">
        <v>21</v>
      </c>
      <c r="I6683" s="5" t="s">
        <v>15985</v>
      </c>
      <c r="J6683" s="12" t="str">
        <f>HYPERLINK("https://www.boe.es/gazeta/dias/1808/12/15/pdfs/GMD-1808-155.pdf#page=7","Abrir facsímil")</f>
        <v>Abrir facsímil</v>
      </c>
      <c r="K6683" s="15" t="s">
        <v>23</v>
      </c>
    </row>
    <row r="6684" spans="1:11" ht="42" customHeight="1">
      <c r="A6684" s="4" t="s">
        <v>15986</v>
      </c>
      <c r="B6684" s="5" t="s">
        <v>15987</v>
      </c>
      <c r="C6684" s="5" t="s">
        <v>33</v>
      </c>
      <c r="D6684" s="5" t="s">
        <v>34</v>
      </c>
      <c r="E6684" s="5" t="s">
        <v>363</v>
      </c>
      <c r="F6684" s="9" t="s">
        <v>364</v>
      </c>
      <c r="G6684" s="9" t="s">
        <v>106</v>
      </c>
      <c r="H6684" s="5" t="s">
        <v>21</v>
      </c>
      <c r="I6684" s="5" t="s">
        <v>15988</v>
      </c>
      <c r="J6684" s="12" t="str">
        <f>HYPERLINK("https://www.boe.es/gazeta/dias/1808/09/20/pdfs/GMD-C-1808-126.pdf#page=3","Abrir facsímil")</f>
        <v>Abrir facsímil</v>
      </c>
      <c r="K6684" s="15" t="s">
        <v>23</v>
      </c>
    </row>
    <row r="6685" spans="1:11" ht="42" customHeight="1">
      <c r="A6685" s="4" t="s">
        <v>15989</v>
      </c>
      <c r="B6685" s="5" t="s">
        <v>15990</v>
      </c>
      <c r="C6685" s="5" t="s">
        <v>41</v>
      </c>
      <c r="D6685" s="5" t="s">
        <v>42</v>
      </c>
      <c r="E6685" s="5" t="s">
        <v>166</v>
      </c>
      <c r="F6685" s="9" t="s">
        <v>400</v>
      </c>
      <c r="G6685" s="9" t="s">
        <v>117</v>
      </c>
      <c r="H6685" s="5" t="s">
        <v>21</v>
      </c>
      <c r="I6685" s="5" t="s">
        <v>15991</v>
      </c>
      <c r="J6685" s="12" t="str">
        <f>HYPERLINK("https://www.boe.es/gazeta/dias/1808/11/18/pdfs/D00069-00072.pdf#page=1","Abrir facsímil")</f>
        <v>Abrir facsímil</v>
      </c>
      <c r="K6685" s="15" t="s">
        <v>23</v>
      </c>
    </row>
    <row r="6686" spans="1:11" ht="42" customHeight="1">
      <c r="A6686" s="4" t="s">
        <v>15992</v>
      </c>
      <c r="B6686" s="5" t="s">
        <v>15992</v>
      </c>
      <c r="C6686" s="5" t="s">
        <v>101</v>
      </c>
      <c r="D6686" s="5" t="s">
        <v>102</v>
      </c>
      <c r="E6686" s="5" t="s">
        <v>1484</v>
      </c>
      <c r="F6686" s="9" t="s">
        <v>1485</v>
      </c>
      <c r="G6686" s="9">
        <v>674</v>
      </c>
      <c r="H6686" s="5" t="s">
        <v>21</v>
      </c>
      <c r="I6686" s="5" t="s">
        <v>15993</v>
      </c>
      <c r="J6686" s="12" t="str">
        <f>HYPERLINK("https://www.boe.es/gazeta/dias/1808/06/28/pdfs/GMD-1808-70.pdf#page=4","Abrir facsímil")</f>
        <v>Abrir facsímil</v>
      </c>
      <c r="K6686" s="15" t="s">
        <v>23</v>
      </c>
    </row>
    <row r="6687" spans="1:11" ht="42" customHeight="1">
      <c r="A6687" s="4" t="s">
        <v>15994</v>
      </c>
      <c r="B6687" s="5" t="s">
        <v>15994</v>
      </c>
      <c r="C6687" s="5" t="s">
        <v>101</v>
      </c>
      <c r="D6687" s="5" t="s">
        <v>102</v>
      </c>
      <c r="E6687" s="5" t="s">
        <v>1484</v>
      </c>
      <c r="F6687" s="9" t="s">
        <v>1485</v>
      </c>
      <c r="G6687" s="9">
        <v>673</v>
      </c>
      <c r="H6687" s="5" t="s">
        <v>21</v>
      </c>
      <c r="I6687" s="5" t="s">
        <v>15995</v>
      </c>
      <c r="J6687" s="12" t="str">
        <f>HYPERLINK("https://www.boe.es/gazeta/dias/1808/06/28/pdfs/GMD-1808-70.pdf#page=3","Abrir facsímil")</f>
        <v>Abrir facsímil</v>
      </c>
      <c r="K6687" s="15" t="s">
        <v>23</v>
      </c>
    </row>
    <row r="6688" spans="1:11" ht="42" customHeight="1">
      <c r="A6688" s="4" t="s">
        <v>15996</v>
      </c>
      <c r="B6688" s="5" t="s">
        <v>15996</v>
      </c>
      <c r="C6688" s="5" t="s">
        <v>101</v>
      </c>
      <c r="D6688" s="5" t="s">
        <v>102</v>
      </c>
      <c r="E6688" s="5" t="s">
        <v>1676</v>
      </c>
      <c r="F6688" s="9" t="s">
        <v>1677</v>
      </c>
      <c r="G6688" s="9">
        <v>552</v>
      </c>
      <c r="H6688" s="5" t="s">
        <v>21</v>
      </c>
      <c r="I6688" s="5" t="s">
        <v>15997</v>
      </c>
      <c r="J6688" s="12" t="str">
        <f>HYPERLINK("https://www.boe.es/gazeta/dias/1808/06/10/pdfs/GMD-1808-55.pdf#page=6","Abrir facsímil")</f>
        <v>Abrir facsímil</v>
      </c>
      <c r="K6688" s="15" t="s">
        <v>23</v>
      </c>
    </row>
    <row r="6689" spans="1:11" ht="42" customHeight="1">
      <c r="A6689" s="4" t="s">
        <v>15998</v>
      </c>
      <c r="B6689" s="5" t="s">
        <v>15999</v>
      </c>
      <c r="C6689" s="5" t="s">
        <v>94</v>
      </c>
      <c r="D6689" s="5" t="s">
        <v>95</v>
      </c>
      <c r="E6689" s="5" t="s">
        <v>203</v>
      </c>
      <c r="F6689" s="9" t="s">
        <v>204</v>
      </c>
      <c r="G6689" s="9">
        <v>141</v>
      </c>
      <c r="H6689" s="5" t="s">
        <v>21</v>
      </c>
      <c r="I6689" s="5" t="s">
        <v>16000</v>
      </c>
      <c r="J6689" s="12" t="str">
        <f>HYPERLINK("https://www.boe.es/gazeta/dias/1808/02/09/pdfs/GMD-1808-12.pdf#page=9","Abrir facsímil")</f>
        <v>Abrir facsímil</v>
      </c>
      <c r="K6689" s="15" t="s">
        <v>23</v>
      </c>
    </row>
    <row r="6690" spans="1:11" ht="42" customHeight="1">
      <c r="A6690" s="4" t="s">
        <v>16001</v>
      </c>
      <c r="B6690" s="5" t="s">
        <v>16002</v>
      </c>
      <c r="C6690" s="5" t="s">
        <v>94</v>
      </c>
      <c r="D6690" s="5" t="s">
        <v>95</v>
      </c>
      <c r="E6690" s="5" t="s">
        <v>974</v>
      </c>
      <c r="F6690" s="9" t="s">
        <v>975</v>
      </c>
      <c r="G6690" s="9">
        <v>390</v>
      </c>
      <c r="H6690" s="5" t="s">
        <v>21</v>
      </c>
      <c r="I6690" s="5" t="s">
        <v>16003</v>
      </c>
      <c r="J6690" s="12" t="str">
        <f>HYPERLINK("https://www.boe.es/gazeta/dias/1808/04/19/pdfs/GMD-1808-37.pdf#page=6","Abrir facsímil")</f>
        <v>Abrir facsímil</v>
      </c>
      <c r="K6690" s="15" t="s">
        <v>23</v>
      </c>
    </row>
    <row r="6691" spans="1:11" ht="42" customHeight="1">
      <c r="A6691" s="4" t="s">
        <v>16004</v>
      </c>
      <c r="B6691" s="5" t="s">
        <v>16005</v>
      </c>
      <c r="C6691" s="5" t="s">
        <v>41</v>
      </c>
      <c r="D6691" s="5" t="s">
        <v>42</v>
      </c>
      <c r="E6691" s="5" t="s">
        <v>35</v>
      </c>
      <c r="F6691" s="9" t="s">
        <v>36</v>
      </c>
      <c r="G6691" s="9" t="s">
        <v>277</v>
      </c>
      <c r="H6691" s="5" t="s">
        <v>21</v>
      </c>
      <c r="I6691" s="5" t="s">
        <v>16006</v>
      </c>
      <c r="J6691" s="12" t="str">
        <f>HYPERLINK("https://www.boe.es/gazeta/dias/1808/04/22/pdfs/GMD-C-1808-38.pdf#page=34","Abrir facsímil")</f>
        <v>Abrir facsímil</v>
      </c>
      <c r="K6691" s="15" t="s">
        <v>23</v>
      </c>
    </row>
    <row r="6692" spans="1:11" ht="42" customHeight="1">
      <c r="A6692" s="4" t="s">
        <v>16007</v>
      </c>
      <c r="B6692" s="5" t="s">
        <v>16008</v>
      </c>
      <c r="C6692" s="5" t="s">
        <v>94</v>
      </c>
      <c r="D6692" s="5" t="s">
        <v>95</v>
      </c>
      <c r="E6692" s="5" t="s">
        <v>96</v>
      </c>
      <c r="F6692" s="9" t="s">
        <v>97</v>
      </c>
      <c r="G6692" s="9">
        <v>265</v>
      </c>
      <c r="H6692" s="5" t="s">
        <v>21</v>
      </c>
      <c r="I6692" s="5" t="s">
        <v>16009</v>
      </c>
      <c r="J6692" s="12" t="str">
        <f>HYPERLINK("https://www.boe.es/gazeta/dias/1808/03/15/pdfs/GMD-1808-22.pdf#page=7","Abrir facsímil")</f>
        <v>Abrir facsímil</v>
      </c>
      <c r="K6692" s="15" t="s">
        <v>23</v>
      </c>
    </row>
    <row r="6693" spans="1:11" ht="42" customHeight="1">
      <c r="A6693" s="4" t="s">
        <v>16007</v>
      </c>
      <c r="B6693" s="5" t="s">
        <v>16008</v>
      </c>
      <c r="C6693" s="5" t="s">
        <v>642</v>
      </c>
      <c r="D6693" s="5" t="s">
        <v>643</v>
      </c>
      <c r="E6693" s="5" t="s">
        <v>16010</v>
      </c>
      <c r="F6693" s="9" t="s">
        <v>16011</v>
      </c>
      <c r="G6693" s="9">
        <v>359</v>
      </c>
      <c r="H6693" s="5" t="s">
        <v>21</v>
      </c>
      <c r="I6693" s="5" t="s">
        <v>16012</v>
      </c>
      <c r="J6693" s="12" t="str">
        <f>HYPERLINK("https://www.boe.es/gazeta/dias/1808/04/09/pdfs/GMD-1808-33E.pdf#page=1","Abrir facsímil")</f>
        <v>Abrir facsímil</v>
      </c>
      <c r="K6693" s="15" t="s">
        <v>23</v>
      </c>
    </row>
    <row r="6694" spans="1:11" ht="42" customHeight="1">
      <c r="A6694" s="4" t="s">
        <v>16007</v>
      </c>
      <c r="B6694" s="5" t="s">
        <v>16008</v>
      </c>
      <c r="C6694" s="5" t="s">
        <v>17</v>
      </c>
      <c r="D6694" s="5" t="s">
        <v>18</v>
      </c>
      <c r="E6694" s="5" t="s">
        <v>1210</v>
      </c>
      <c r="F6694" s="9" t="s">
        <v>1211</v>
      </c>
      <c r="G6694" s="9">
        <v>458</v>
      </c>
      <c r="H6694" s="5" t="s">
        <v>21</v>
      </c>
      <c r="I6694" s="5" t="s">
        <v>16013</v>
      </c>
      <c r="J6694" s="12" t="str">
        <f>HYPERLINK("https://www.boe.es/gazeta/dias/1808/05/13/pdfs/GMD-1808-46.pdf#page=10","Abrir facsímil")</f>
        <v>Abrir facsímil</v>
      </c>
      <c r="K6694" s="15" t="s">
        <v>23</v>
      </c>
    </row>
    <row r="6695" spans="1:11" ht="42" customHeight="1">
      <c r="A6695" s="4" t="s">
        <v>16007</v>
      </c>
      <c r="B6695" s="5" t="s">
        <v>16008</v>
      </c>
      <c r="C6695" s="5" t="s">
        <v>17</v>
      </c>
      <c r="D6695" s="5" t="s">
        <v>18</v>
      </c>
      <c r="E6695" s="5" t="s">
        <v>919</v>
      </c>
      <c r="F6695" s="9" t="s">
        <v>920</v>
      </c>
      <c r="G6695" s="9">
        <v>491</v>
      </c>
      <c r="H6695" s="5" t="s">
        <v>21</v>
      </c>
      <c r="I6695" s="5" t="s">
        <v>16014</v>
      </c>
      <c r="J6695" s="12" t="str">
        <f>HYPERLINK("https://www.boe.es/gazeta/dias/1808/05/24/pdfs/GMD-1808-49.pdf#page=7","Abrir facsímil")</f>
        <v>Abrir facsímil</v>
      </c>
      <c r="K6695" s="15" t="s">
        <v>23</v>
      </c>
    </row>
    <row r="6696" spans="1:11" ht="42" customHeight="1">
      <c r="A6696" s="4" t="s">
        <v>16007</v>
      </c>
      <c r="B6696" s="5" t="s">
        <v>16008</v>
      </c>
      <c r="C6696" s="5" t="s">
        <v>94</v>
      </c>
      <c r="D6696" s="5" t="s">
        <v>95</v>
      </c>
      <c r="E6696" s="5" t="s">
        <v>256</v>
      </c>
      <c r="F6696" s="9" t="s">
        <v>257</v>
      </c>
      <c r="G6696" s="9">
        <v>528</v>
      </c>
      <c r="H6696" s="5" t="s">
        <v>21</v>
      </c>
      <c r="I6696" s="5" t="s">
        <v>16015</v>
      </c>
      <c r="J6696" s="12" t="str">
        <f>HYPERLINK("https://www.boe.es/gazeta/dias/1808/06/03/pdfs/GMD-1808-53.pdf#page=6","Abrir facsímil")</f>
        <v>Abrir facsímil</v>
      </c>
      <c r="K6696" s="15" t="s">
        <v>23</v>
      </c>
    </row>
    <row r="6697" spans="1:11" ht="42" customHeight="1">
      <c r="A6697" s="4" t="s">
        <v>16007</v>
      </c>
      <c r="B6697" s="5" t="s">
        <v>16008</v>
      </c>
      <c r="C6697" s="5" t="s">
        <v>17</v>
      </c>
      <c r="D6697" s="5" t="s">
        <v>18</v>
      </c>
      <c r="E6697" s="5" t="s">
        <v>245</v>
      </c>
      <c r="F6697" s="9" t="s">
        <v>246</v>
      </c>
      <c r="G6697" s="9">
        <v>541</v>
      </c>
      <c r="H6697" s="5" t="s">
        <v>21</v>
      </c>
      <c r="I6697" s="5" t="s">
        <v>16016</v>
      </c>
      <c r="J6697" s="12" t="str">
        <f>HYPERLINK("https://www.boe.es/gazeta/dias/1808/06/07/pdfs/GMD-1808-54.pdf#page=7","Abrir facsímil")</f>
        <v>Abrir facsímil</v>
      </c>
      <c r="K6697" s="15" t="s">
        <v>23</v>
      </c>
    </row>
    <row r="6698" spans="1:11" ht="42" customHeight="1">
      <c r="A6698" s="4" t="s">
        <v>16007</v>
      </c>
      <c r="B6698" s="5" t="s">
        <v>16008</v>
      </c>
      <c r="C6698" s="5" t="s">
        <v>17</v>
      </c>
      <c r="D6698" s="5" t="s">
        <v>18</v>
      </c>
      <c r="E6698" s="5" t="s">
        <v>1676</v>
      </c>
      <c r="F6698" s="9" t="s">
        <v>1677</v>
      </c>
      <c r="G6698" s="9">
        <v>556</v>
      </c>
      <c r="H6698" s="5" t="s">
        <v>21</v>
      </c>
      <c r="I6698" s="5" t="s">
        <v>16017</v>
      </c>
      <c r="J6698" s="12" t="str">
        <f>HYPERLINK("https://www.boe.es/gazeta/dias/1808/06/10/pdfs/GMD-1808-55.pdf#page=10","Abrir facsímil")</f>
        <v>Abrir facsímil</v>
      </c>
      <c r="K6698" s="15" t="s">
        <v>23</v>
      </c>
    </row>
    <row r="6699" spans="1:11" ht="42" customHeight="1">
      <c r="A6699" s="4" t="s">
        <v>16007</v>
      </c>
      <c r="B6699" s="5" t="s">
        <v>16008</v>
      </c>
      <c r="C6699" s="5" t="s">
        <v>94</v>
      </c>
      <c r="D6699" s="5" t="s">
        <v>95</v>
      </c>
      <c r="E6699" s="5" t="s">
        <v>516</v>
      </c>
      <c r="F6699" s="9" t="s">
        <v>517</v>
      </c>
      <c r="G6699" s="9">
        <v>601</v>
      </c>
      <c r="H6699" s="5" t="s">
        <v>21</v>
      </c>
      <c r="I6699" s="5" t="s">
        <v>16018</v>
      </c>
      <c r="J6699" s="12" t="str">
        <f>HYPERLINK("https://www.boe.es/gazeta/dias/1808/06/19/pdfs/GMD-1808-61.pdf#page=7","Abrir facsímil")</f>
        <v>Abrir facsímil</v>
      </c>
      <c r="K6699" s="15" t="s">
        <v>23</v>
      </c>
    </row>
    <row r="6700" spans="1:11" ht="42" customHeight="1">
      <c r="A6700" s="4" t="s">
        <v>16007</v>
      </c>
      <c r="B6700" s="5" t="s">
        <v>16008</v>
      </c>
      <c r="C6700" s="5" t="s">
        <v>94</v>
      </c>
      <c r="D6700" s="5" t="s">
        <v>95</v>
      </c>
      <c r="E6700" s="5" t="s">
        <v>1702</v>
      </c>
      <c r="F6700" s="9" t="s">
        <v>3079</v>
      </c>
      <c r="G6700" s="9">
        <v>797</v>
      </c>
      <c r="H6700" s="5" t="s">
        <v>21</v>
      </c>
      <c r="I6700" s="5" t="s">
        <v>16019</v>
      </c>
      <c r="J6700" s="12" t="str">
        <f>HYPERLINK("https://www.boe.es/gazeta/dias/1808/07/13/pdfs/GMD-1808-85.pdf#page=7","Abrir facsímil")</f>
        <v>Abrir facsímil</v>
      </c>
      <c r="K6700" s="15" t="s">
        <v>23</v>
      </c>
    </row>
    <row r="6701" spans="1:11" ht="42" customHeight="1">
      <c r="A6701" s="4" t="s">
        <v>16007</v>
      </c>
      <c r="B6701" s="5" t="s">
        <v>16008</v>
      </c>
      <c r="C6701" s="5" t="s">
        <v>17</v>
      </c>
      <c r="D6701" s="5" t="s">
        <v>18</v>
      </c>
      <c r="E6701" s="5" t="s">
        <v>553</v>
      </c>
      <c r="F6701" s="9" t="s">
        <v>554</v>
      </c>
      <c r="G6701" s="9">
        <v>906</v>
      </c>
      <c r="H6701" s="5" t="s">
        <v>21</v>
      </c>
      <c r="I6701" s="5" t="s">
        <v>16020</v>
      </c>
      <c r="J6701" s="12" t="str">
        <f>HYPERLINK("https://www.boe.es/gazeta/dias/1808/07/27/pdfs/GMD-1808-99.pdf#page=4","Abrir facsímil")</f>
        <v>Abrir facsímil</v>
      </c>
      <c r="K6701" s="15" t="s">
        <v>23</v>
      </c>
    </row>
    <row r="6702" spans="1:11" ht="42" customHeight="1">
      <c r="A6702" s="4" t="s">
        <v>16007</v>
      </c>
      <c r="B6702" s="5" t="s">
        <v>16008</v>
      </c>
      <c r="C6702" s="5" t="s">
        <v>94</v>
      </c>
      <c r="D6702" s="5" t="s">
        <v>95</v>
      </c>
      <c r="E6702" s="5" t="s">
        <v>508</v>
      </c>
      <c r="F6702" s="9" t="s">
        <v>509</v>
      </c>
      <c r="G6702" s="9">
        <v>1012</v>
      </c>
      <c r="H6702" s="5" t="s">
        <v>21</v>
      </c>
      <c r="I6702" s="5" t="s">
        <v>16021</v>
      </c>
      <c r="J6702" s="12" t="str">
        <f>HYPERLINK("https://www.boe.es/gazeta/dias/1808/08/16/pdfs/GMD-1808-113.pdf#page=4","Abrir facsímil")</f>
        <v>Abrir facsímil</v>
      </c>
      <c r="K6702" s="15" t="s">
        <v>23</v>
      </c>
    </row>
    <row r="6703" spans="1:11" ht="42" customHeight="1">
      <c r="A6703" s="4" t="s">
        <v>16007</v>
      </c>
      <c r="B6703" s="5" t="s">
        <v>16008</v>
      </c>
      <c r="C6703" s="5" t="s">
        <v>94</v>
      </c>
      <c r="D6703" s="5" t="s">
        <v>95</v>
      </c>
      <c r="E6703" s="5" t="s">
        <v>290</v>
      </c>
      <c r="F6703" s="9" t="s">
        <v>291</v>
      </c>
      <c r="G6703" s="9">
        <v>1058</v>
      </c>
      <c r="H6703" s="5" t="s">
        <v>21</v>
      </c>
      <c r="I6703" s="5" t="s">
        <v>16022</v>
      </c>
      <c r="J6703" s="12" t="str">
        <f>HYPERLINK("https://www.boe.es/gazeta/dias/1808/08/23/pdfs/GMD-1808-116.pdf#page=4","Abrir facsímil")</f>
        <v>Abrir facsímil</v>
      </c>
      <c r="K6703" s="15" t="s">
        <v>23</v>
      </c>
    </row>
    <row r="6704" spans="1:11" ht="42" customHeight="1">
      <c r="A6704" s="4" t="s">
        <v>16007</v>
      </c>
      <c r="B6704" s="5" t="s">
        <v>16008</v>
      </c>
      <c r="C6704" s="5" t="s">
        <v>17</v>
      </c>
      <c r="D6704" s="5" t="s">
        <v>18</v>
      </c>
      <c r="E6704" s="5" t="s">
        <v>153</v>
      </c>
      <c r="F6704" s="9" t="s">
        <v>1185</v>
      </c>
      <c r="G6704" s="9">
        <v>1149</v>
      </c>
      <c r="H6704" s="5" t="s">
        <v>21</v>
      </c>
      <c r="I6704" s="5" t="s">
        <v>16023</v>
      </c>
      <c r="J6704" s="12" t="str">
        <f>HYPERLINK("https://www.boe.es/gazeta/dias/1808/09/09/pdfs/GMD-1808-121.pdf#page=7","Abrir facsímil")</f>
        <v>Abrir facsímil</v>
      </c>
      <c r="K6704" s="15" t="s">
        <v>23</v>
      </c>
    </row>
    <row r="6705" spans="1:11" ht="42" customHeight="1">
      <c r="A6705" s="4" t="s">
        <v>16024</v>
      </c>
      <c r="B6705" s="5" t="s">
        <v>16024</v>
      </c>
      <c r="C6705" s="5" t="s">
        <v>33</v>
      </c>
      <c r="D6705" s="5" t="s">
        <v>34</v>
      </c>
      <c r="E6705" s="5" t="s">
        <v>197</v>
      </c>
      <c r="F6705" s="9" t="s">
        <v>198</v>
      </c>
      <c r="G6705" s="9" t="s">
        <v>75</v>
      </c>
      <c r="H6705" s="5" t="s">
        <v>21</v>
      </c>
      <c r="I6705" s="5" t="s">
        <v>16025</v>
      </c>
      <c r="J6705" s="12" t="str">
        <f>HYPERLINK("https://www.boe.es/gazeta/dias/1808/11/01/pdfs/GMD-D-1808-140.pdf#page=4","Abrir facsímil")</f>
        <v>Abrir facsímil</v>
      </c>
      <c r="K6705" s="15" t="s">
        <v>23</v>
      </c>
    </row>
    <row r="6706" spans="1:11" ht="42" customHeight="1">
      <c r="A6706" s="4" t="s">
        <v>16026</v>
      </c>
      <c r="B6706" s="5" t="s">
        <v>16027</v>
      </c>
      <c r="C6706" s="5" t="s">
        <v>17</v>
      </c>
      <c r="D6706" s="5" t="s">
        <v>18</v>
      </c>
      <c r="E6706" s="5" t="s">
        <v>427</v>
      </c>
      <c r="F6706" s="9" t="s">
        <v>1802</v>
      </c>
      <c r="G6706" s="9">
        <v>1526</v>
      </c>
      <c r="H6706" s="5" t="s">
        <v>21</v>
      </c>
      <c r="I6706" s="5" t="s">
        <v>16028</v>
      </c>
      <c r="J6706" s="12" t="str">
        <f>HYPERLINK("https://www.boe.es/gazeta/dias/1808/11/22/pdfs/GMD-1808-146.pdf#page=12","Abrir facsímil")</f>
        <v>Abrir facsímil</v>
      </c>
      <c r="K6706" s="15" t="s">
        <v>23</v>
      </c>
    </row>
    <row r="6707" spans="1:11" ht="42" customHeight="1">
      <c r="A6707" s="4" t="s">
        <v>16029</v>
      </c>
      <c r="B6707" s="5" t="s">
        <v>16030</v>
      </c>
      <c r="C6707" s="5" t="s">
        <v>41</v>
      </c>
      <c r="D6707" s="5" t="s">
        <v>42</v>
      </c>
      <c r="E6707" s="5" t="s">
        <v>73</v>
      </c>
      <c r="F6707" s="9" t="s">
        <v>74</v>
      </c>
      <c r="G6707" s="9" t="s">
        <v>106</v>
      </c>
      <c r="H6707" s="5" t="s">
        <v>21</v>
      </c>
      <c r="I6707" s="5" t="s">
        <v>16031</v>
      </c>
      <c r="J6707" s="12" t="str">
        <f>HYPERLINK("https://www.boe.es/gazeta/dias/1808/11/11/pdfs/GMD-D-1808-143.pdf#page=3","Abrir facsímil")</f>
        <v>Abrir facsímil</v>
      </c>
      <c r="K6707" s="15" t="s">
        <v>23</v>
      </c>
    </row>
    <row r="6708" spans="1:11" ht="42" customHeight="1">
      <c r="A6708" s="4" t="s">
        <v>16032</v>
      </c>
      <c r="B6708" s="5" t="s">
        <v>16033</v>
      </c>
      <c r="C6708" s="5" t="s">
        <v>17</v>
      </c>
      <c r="D6708" s="5" t="s">
        <v>18</v>
      </c>
      <c r="E6708" s="5" t="s">
        <v>351</v>
      </c>
      <c r="F6708" s="9" t="s">
        <v>352</v>
      </c>
      <c r="G6708" s="9">
        <v>27</v>
      </c>
      <c r="H6708" s="5" t="s">
        <v>21</v>
      </c>
      <c r="I6708" s="5" t="s">
        <v>16034</v>
      </c>
      <c r="J6708" s="12" t="str">
        <f>HYPERLINK("https://www.boe.es/gazeta/dias/1808/06/11/pdfs/GMS-1808-4.pdf#page=3","Abrir facsímil")</f>
        <v>Abrir facsímil</v>
      </c>
      <c r="K6708" s="15" t="s">
        <v>23</v>
      </c>
    </row>
    <row r="6709" spans="1:11" ht="42" customHeight="1">
      <c r="A6709" s="4" t="s">
        <v>16032</v>
      </c>
      <c r="B6709" s="5" t="s">
        <v>16033</v>
      </c>
      <c r="C6709" s="5" t="s">
        <v>41</v>
      </c>
      <c r="D6709" s="5" t="s">
        <v>42</v>
      </c>
      <c r="E6709" s="5" t="s">
        <v>61</v>
      </c>
      <c r="F6709" s="9" t="s">
        <v>62</v>
      </c>
      <c r="G6709" s="9">
        <v>1281</v>
      </c>
      <c r="H6709" s="5" t="s">
        <v>21</v>
      </c>
      <c r="I6709" s="5" t="s">
        <v>16035</v>
      </c>
      <c r="J6709" s="12" t="str">
        <f>HYPERLINK("https://www.boe.es/gazeta/dias/1808/10/11/pdfs/GMD-1808-133.pdf#page=9","Abrir facsímil")</f>
        <v>Abrir facsímil</v>
      </c>
      <c r="K6709" s="15" t="s">
        <v>23</v>
      </c>
    </row>
    <row r="6710" spans="1:11" ht="42" customHeight="1">
      <c r="A6710" s="4" t="s">
        <v>16032</v>
      </c>
      <c r="B6710" s="5" t="s">
        <v>16033</v>
      </c>
      <c r="C6710" s="5" t="s">
        <v>33</v>
      </c>
      <c r="D6710" s="5" t="s">
        <v>34</v>
      </c>
      <c r="E6710" s="5" t="s">
        <v>197</v>
      </c>
      <c r="F6710" s="9" t="s">
        <v>2269</v>
      </c>
      <c r="G6710" s="9">
        <v>1415</v>
      </c>
      <c r="H6710" s="5" t="s">
        <v>21</v>
      </c>
      <c r="I6710" s="5" t="s">
        <v>16036</v>
      </c>
      <c r="J6710" s="12" t="str">
        <f>HYPERLINK("https://www.boe.es/gazeta/dias/1808/11/01/pdfs/GMD-C-1808-140.pdf#page=5","Abrir facsímil")</f>
        <v>Abrir facsímil</v>
      </c>
      <c r="K6710" s="15" t="s">
        <v>23</v>
      </c>
    </row>
    <row r="6711" spans="1:11" ht="42" customHeight="1">
      <c r="A6711" s="4" t="s">
        <v>16037</v>
      </c>
      <c r="B6711" s="5" t="s">
        <v>16038</v>
      </c>
      <c r="C6711" s="5" t="s">
        <v>389</v>
      </c>
      <c r="D6711" s="5" t="s">
        <v>390</v>
      </c>
      <c r="E6711" s="5" t="s">
        <v>84</v>
      </c>
      <c r="F6711" s="9" t="s">
        <v>85</v>
      </c>
      <c r="G6711" s="9">
        <v>1164</v>
      </c>
      <c r="H6711" s="5" t="s">
        <v>21</v>
      </c>
      <c r="I6711" s="5" t="s">
        <v>16039</v>
      </c>
      <c r="J6711" s="12" t="str">
        <f>HYPERLINK("https://www.boe.es/gazeta/dias/1808/09/13/pdfs/GMD-1808-123.pdf#page=12","Abrir facsímil")</f>
        <v>Abrir facsímil</v>
      </c>
      <c r="K6711" s="15" t="s">
        <v>23</v>
      </c>
    </row>
    <row r="6712" spans="1:11" ht="42" customHeight="1">
      <c r="A6712" s="4" t="s">
        <v>16040</v>
      </c>
      <c r="B6712" s="5" t="s">
        <v>16041</v>
      </c>
      <c r="C6712" s="5" t="s">
        <v>17</v>
      </c>
      <c r="D6712" s="5" t="s">
        <v>18</v>
      </c>
      <c r="E6712" s="5" t="s">
        <v>478</v>
      </c>
      <c r="F6712" s="9" t="s">
        <v>479</v>
      </c>
      <c r="G6712" s="9">
        <v>246</v>
      </c>
      <c r="H6712" s="5" t="s">
        <v>21</v>
      </c>
      <c r="I6712" s="5" t="s">
        <v>16042</v>
      </c>
      <c r="J6712" s="12" t="str">
        <f>HYPERLINK("https://www.boe.es/gazeta/dias/1808/03/08/pdfs/GMD-1808-20.pdf#page=12","Abrir facsímil")</f>
        <v>Abrir facsímil</v>
      </c>
      <c r="K6712" s="15" t="s">
        <v>23</v>
      </c>
    </row>
    <row r="6713" spans="1:11" ht="42" customHeight="1">
      <c r="A6713" s="4" t="s">
        <v>16043</v>
      </c>
      <c r="B6713" s="5" t="s">
        <v>16044</v>
      </c>
      <c r="C6713" s="5" t="s">
        <v>17</v>
      </c>
      <c r="D6713" s="5" t="s">
        <v>18</v>
      </c>
      <c r="E6713" s="5" t="s">
        <v>28</v>
      </c>
      <c r="F6713" s="9" t="s">
        <v>29</v>
      </c>
      <c r="G6713" s="9">
        <v>1428</v>
      </c>
      <c r="H6713" s="5" t="s">
        <v>21</v>
      </c>
      <c r="I6713" s="5" t="s">
        <v>16045</v>
      </c>
      <c r="J6713" s="12" t="str">
        <f>HYPERLINK("https://www.boe.es/gazeta/dias/1808/11/04/pdfs/GMD-1808-141.pdf#page=10","Abrir facsímil")</f>
        <v>Abrir facsímil</v>
      </c>
      <c r="K6713" s="15" t="s">
        <v>23</v>
      </c>
    </row>
    <row r="6714" spans="1:11" ht="42" customHeight="1">
      <c r="A6714" s="4" t="s">
        <v>16046</v>
      </c>
      <c r="B6714" s="5" t="s">
        <v>16047</v>
      </c>
      <c r="C6714" s="5" t="s">
        <v>17</v>
      </c>
      <c r="D6714" s="5" t="s">
        <v>18</v>
      </c>
      <c r="E6714" s="5" t="s">
        <v>991</v>
      </c>
      <c r="F6714" s="9" t="s">
        <v>992</v>
      </c>
      <c r="G6714" s="9">
        <v>220</v>
      </c>
      <c r="H6714" s="5" t="s">
        <v>21</v>
      </c>
      <c r="I6714" s="5" t="s">
        <v>16048</v>
      </c>
      <c r="J6714" s="12" t="str">
        <f>HYPERLINK("https://www.boe.es/gazeta/dias/1808/03/01/pdfs/GMD-1808-18.pdf#page=10","Abrir facsímil")</f>
        <v>Abrir facsímil</v>
      </c>
      <c r="K6714" s="15" t="s">
        <v>23</v>
      </c>
    </row>
    <row r="6715" spans="1:11" ht="42" customHeight="1">
      <c r="A6715" s="4" t="s">
        <v>16049</v>
      </c>
      <c r="B6715" s="5" t="s">
        <v>16050</v>
      </c>
      <c r="C6715" s="5" t="s">
        <v>33</v>
      </c>
      <c r="D6715" s="5" t="s">
        <v>34</v>
      </c>
      <c r="E6715" s="5" t="s">
        <v>197</v>
      </c>
      <c r="F6715" s="9" t="s">
        <v>198</v>
      </c>
      <c r="G6715" s="9" t="s">
        <v>117</v>
      </c>
      <c r="H6715" s="5" t="s">
        <v>21</v>
      </c>
      <c r="I6715" s="5" t="s">
        <v>16051</v>
      </c>
      <c r="J6715" s="12" t="str">
        <f>HYPERLINK("https://www.boe.es/gazeta/dias/1808/11/01/pdfs/GMD-D-1808-140.pdf#page=1","Abrir facsímil")</f>
        <v>Abrir facsímil</v>
      </c>
      <c r="K6715" s="15" t="s">
        <v>23</v>
      </c>
    </row>
    <row r="6716" spans="1:11" ht="42" customHeight="1">
      <c r="A6716" s="4" t="s">
        <v>16052</v>
      </c>
      <c r="B6716" s="5" t="s">
        <v>16052</v>
      </c>
      <c r="C6716" s="5" t="s">
        <v>94</v>
      </c>
      <c r="D6716" s="5" t="s">
        <v>95</v>
      </c>
      <c r="E6716" s="5" t="s">
        <v>2171</v>
      </c>
      <c r="F6716" s="9" t="s">
        <v>2172</v>
      </c>
      <c r="G6716" s="9">
        <v>769</v>
      </c>
      <c r="H6716" s="5" t="s">
        <v>21</v>
      </c>
      <c r="I6716" s="5" t="s">
        <v>16053</v>
      </c>
      <c r="J6716" s="12" t="str">
        <f>HYPERLINK("https://www.boe.es/gazeta/dias/1808/07/10/pdfs/GMD-1808-82.pdf#page=3","Abrir facsímil")</f>
        <v>Abrir facsímil</v>
      </c>
      <c r="K6716" s="15" t="s">
        <v>23</v>
      </c>
    </row>
    <row r="6717" spans="1:11" ht="42" customHeight="1">
      <c r="A6717" s="4" t="s">
        <v>16054</v>
      </c>
      <c r="B6717" s="5" t="s">
        <v>16054</v>
      </c>
      <c r="C6717" s="5" t="s">
        <v>101</v>
      </c>
      <c r="D6717" s="5" t="s">
        <v>102</v>
      </c>
      <c r="E6717" s="5" t="s">
        <v>2171</v>
      </c>
      <c r="F6717" s="9" t="s">
        <v>2172</v>
      </c>
      <c r="G6717" s="9">
        <v>770</v>
      </c>
      <c r="H6717" s="5" t="s">
        <v>21</v>
      </c>
      <c r="I6717" s="5" t="s">
        <v>16055</v>
      </c>
      <c r="J6717" s="12" t="str">
        <f>HYPERLINK("https://www.boe.es/gazeta/dias/1808/07/10/pdfs/GMD-1808-82.pdf#page=4","Abrir facsímil")</f>
        <v>Abrir facsímil</v>
      </c>
      <c r="K6717" s="15" t="s">
        <v>23</v>
      </c>
    </row>
    <row r="6718" spans="1:11" ht="42" customHeight="1">
      <c r="A6718" s="4" t="s">
        <v>16056</v>
      </c>
      <c r="B6718" s="5" t="s">
        <v>16057</v>
      </c>
      <c r="C6718" s="5" t="s">
        <v>94</v>
      </c>
      <c r="D6718" s="5" t="s">
        <v>95</v>
      </c>
      <c r="E6718" s="5" t="s">
        <v>456</v>
      </c>
      <c r="F6718" s="9" t="s">
        <v>457</v>
      </c>
      <c r="G6718" s="9">
        <v>1297</v>
      </c>
      <c r="H6718" s="5" t="s">
        <v>21</v>
      </c>
      <c r="I6718" s="5" t="s">
        <v>16058</v>
      </c>
      <c r="J6718" s="12" t="str">
        <f>HYPERLINK("https://www.boe.es/gazeta/dias/1808/10/14/pdfs/GMD-1808-134.pdf#page=9","Abrir facsímil")</f>
        <v>Abrir facsímil</v>
      </c>
      <c r="K6718" s="15" t="s">
        <v>23</v>
      </c>
    </row>
    <row r="6719" spans="1:11" ht="42" customHeight="1">
      <c r="A6719" s="4" t="s">
        <v>16059</v>
      </c>
      <c r="B6719" s="5" t="s">
        <v>16060</v>
      </c>
      <c r="C6719" s="5" t="s">
        <v>17</v>
      </c>
      <c r="D6719" s="5" t="s">
        <v>18</v>
      </c>
      <c r="E6719" s="5" t="s">
        <v>89</v>
      </c>
      <c r="F6719" s="9" t="s">
        <v>90</v>
      </c>
      <c r="G6719" s="9">
        <v>1363</v>
      </c>
      <c r="H6719" s="5" t="s">
        <v>21</v>
      </c>
      <c r="I6719" s="5" t="s">
        <v>16061</v>
      </c>
      <c r="J6719" s="12" t="str">
        <f>HYPERLINK("https://www.boe.es/gazeta/dias/1808/10/25/pdfs/GMD-1808-137.pdf#page=11","Abrir facsímil")</f>
        <v>Abrir facsímil</v>
      </c>
      <c r="K6719" s="15" t="s">
        <v>23</v>
      </c>
    </row>
    <row r="6720" spans="1:11" ht="42" customHeight="1">
      <c r="A6720" s="4" t="s">
        <v>16062</v>
      </c>
      <c r="B6720" s="5" t="s">
        <v>16062</v>
      </c>
      <c r="C6720" s="5" t="s">
        <v>33</v>
      </c>
      <c r="D6720" s="5" t="s">
        <v>34</v>
      </c>
      <c r="E6720" s="5" t="s">
        <v>456</v>
      </c>
      <c r="F6720" s="9" t="s">
        <v>748</v>
      </c>
      <c r="G6720" s="9" t="s">
        <v>199</v>
      </c>
      <c r="H6720" s="5" t="s">
        <v>21</v>
      </c>
      <c r="I6720" s="5" t="s">
        <v>16063</v>
      </c>
      <c r="J6720" s="12" t="str">
        <f>HYPERLINK("https://www.boe.es/gazeta/dias/1808/10/14/pdfs/GMD-C-1808-134.pdf#page=2","Abrir facsímil")</f>
        <v>Abrir facsímil</v>
      </c>
      <c r="K6720" s="15" t="s">
        <v>23</v>
      </c>
    </row>
    <row r="6721" spans="1:11" ht="42" customHeight="1">
      <c r="A6721" s="4" t="s">
        <v>16064</v>
      </c>
      <c r="B6721" s="5" t="s">
        <v>16064</v>
      </c>
      <c r="C6721" s="5" t="s">
        <v>94</v>
      </c>
      <c r="D6721" s="5" t="s">
        <v>95</v>
      </c>
      <c r="E6721" s="5" t="s">
        <v>1385</v>
      </c>
      <c r="F6721" s="9" t="s">
        <v>1386</v>
      </c>
      <c r="G6721" s="9">
        <v>231</v>
      </c>
      <c r="H6721" s="5" t="s">
        <v>21</v>
      </c>
      <c r="I6721" s="5" t="s">
        <v>16065</v>
      </c>
      <c r="J6721" s="12" t="str">
        <f>HYPERLINK("https://www.boe.es/gazeta/dias/1808/03/04/pdfs/GMD-1808-19.pdf#page=9","Abrir facsímil")</f>
        <v>Abrir facsímil</v>
      </c>
      <c r="K6721" s="15" t="s">
        <v>23</v>
      </c>
    </row>
    <row r="6722" spans="1:11" ht="42" customHeight="1">
      <c r="A6722" s="4" t="s">
        <v>16066</v>
      </c>
      <c r="B6722" s="5" t="s">
        <v>16067</v>
      </c>
      <c r="C6722" s="5" t="s">
        <v>33</v>
      </c>
      <c r="D6722" s="5" t="s">
        <v>34</v>
      </c>
      <c r="E6722" s="5" t="s">
        <v>89</v>
      </c>
      <c r="F6722" s="9" t="s">
        <v>563</v>
      </c>
      <c r="G6722" s="9" t="s">
        <v>117</v>
      </c>
      <c r="H6722" s="5" t="s">
        <v>21</v>
      </c>
      <c r="I6722" s="5" t="s">
        <v>16068</v>
      </c>
      <c r="J6722" s="12" t="str">
        <f>HYPERLINK("https://www.boe.es/gazeta/dias/1808/10/25/pdfs/GMD-D-1808-137.pdf#page=1","Abrir facsímil")</f>
        <v>Abrir facsímil</v>
      </c>
      <c r="K6722" s="15" t="s">
        <v>23</v>
      </c>
    </row>
    <row r="6723" spans="1:11" ht="42" customHeight="1">
      <c r="A6723" s="4" t="s">
        <v>16069</v>
      </c>
      <c r="B6723" s="5" t="s">
        <v>16069</v>
      </c>
      <c r="C6723" s="5" t="s">
        <v>17</v>
      </c>
      <c r="D6723" s="5" t="s">
        <v>18</v>
      </c>
      <c r="E6723" s="5" t="s">
        <v>558</v>
      </c>
      <c r="F6723" s="9" t="s">
        <v>559</v>
      </c>
      <c r="G6723" s="9">
        <v>1544</v>
      </c>
      <c r="H6723" s="5" t="s">
        <v>21</v>
      </c>
      <c r="I6723" s="5" t="s">
        <v>16070</v>
      </c>
      <c r="J6723" s="12" t="str">
        <f>HYPERLINK("https://www.boe.es/gazeta/dias/1808/11/25/pdfs/GMD-1808-147.pdf#page=10","Abrir facsímil")</f>
        <v>Abrir facsímil</v>
      </c>
      <c r="K6723" s="15" t="s">
        <v>23</v>
      </c>
    </row>
    <row r="6724" spans="1:11" ht="42" customHeight="1">
      <c r="A6724" s="4" t="s">
        <v>16071</v>
      </c>
      <c r="B6724" s="5" t="s">
        <v>16071</v>
      </c>
      <c r="C6724" s="5" t="s">
        <v>33</v>
      </c>
      <c r="D6724" s="5" t="s">
        <v>34</v>
      </c>
      <c r="E6724" s="5" t="s">
        <v>35</v>
      </c>
      <c r="F6724" s="9" t="s">
        <v>36</v>
      </c>
      <c r="G6724" s="9" t="s">
        <v>313</v>
      </c>
      <c r="H6724" s="5" t="s">
        <v>21</v>
      </c>
      <c r="I6724" s="5" t="s">
        <v>16072</v>
      </c>
      <c r="J6724" s="12" t="str">
        <f>HYPERLINK("https://www.boe.es/gazeta/dias/1808/04/22/pdfs/GMD-C-1808-38.pdf#page=29","Abrir facsímil")</f>
        <v>Abrir facsímil</v>
      </c>
      <c r="K6724" s="15" t="s">
        <v>23</v>
      </c>
    </row>
    <row r="6725" spans="1:11" ht="42" customHeight="1">
      <c r="A6725" s="4" t="s">
        <v>16073</v>
      </c>
      <c r="B6725" s="5" t="s">
        <v>16074</v>
      </c>
      <c r="C6725" s="5" t="s">
        <v>17</v>
      </c>
      <c r="D6725" s="5" t="s">
        <v>18</v>
      </c>
      <c r="E6725" s="5" t="s">
        <v>130</v>
      </c>
      <c r="F6725" s="9" t="s">
        <v>131</v>
      </c>
      <c r="G6725" s="9">
        <v>1604</v>
      </c>
      <c r="H6725" s="5" t="s">
        <v>21</v>
      </c>
      <c r="I6725" s="5" t="s">
        <v>16075</v>
      </c>
      <c r="J6725" s="12" t="str">
        <f>HYPERLINK("https://www.boe.es/gazeta/dias/1808/12/15/pdfs/GMD-1808-155.pdf#page=8","Abrir facsímil")</f>
        <v>Abrir facsímil</v>
      </c>
      <c r="K6725" s="15" t="s">
        <v>23</v>
      </c>
    </row>
    <row r="6726" spans="1:11" ht="42" customHeight="1">
      <c r="A6726" s="4" t="s">
        <v>16076</v>
      </c>
      <c r="B6726" s="5" t="s">
        <v>16077</v>
      </c>
      <c r="C6726" s="5" t="s">
        <v>17</v>
      </c>
      <c r="D6726" s="5" t="s">
        <v>18</v>
      </c>
      <c r="E6726" s="5" t="s">
        <v>558</v>
      </c>
      <c r="F6726" s="9" t="s">
        <v>559</v>
      </c>
      <c r="G6726" s="9">
        <v>1544</v>
      </c>
      <c r="H6726" s="5" t="s">
        <v>21</v>
      </c>
      <c r="I6726" s="5" t="s">
        <v>16078</v>
      </c>
      <c r="J6726" s="12" t="str">
        <f>HYPERLINK("https://www.boe.es/gazeta/dias/1808/11/25/pdfs/GMD-1808-147.pdf#page=10","Abrir facsímil")</f>
        <v>Abrir facsímil</v>
      </c>
      <c r="K6726" s="15" t="s">
        <v>23</v>
      </c>
    </row>
    <row r="6727" spans="1:11" ht="42" customHeight="1">
      <c r="A6727" s="4" t="s">
        <v>16079</v>
      </c>
      <c r="B6727" s="5" t="s">
        <v>16080</v>
      </c>
      <c r="C6727" s="5" t="s">
        <v>41</v>
      </c>
      <c r="D6727" s="5" t="s">
        <v>42</v>
      </c>
      <c r="E6727" s="5" t="s">
        <v>89</v>
      </c>
      <c r="F6727" s="9" t="s">
        <v>563</v>
      </c>
      <c r="G6727" s="9" t="s">
        <v>75</v>
      </c>
      <c r="H6727" s="5" t="s">
        <v>21</v>
      </c>
      <c r="I6727" s="5" t="s">
        <v>16081</v>
      </c>
      <c r="J6727" s="12" t="str">
        <f>HYPERLINK("https://www.boe.es/gazeta/dias/1808/10/25/pdfs/GMD-D-1808-137.pdf#page=4","Abrir facsímil")</f>
        <v>Abrir facsímil</v>
      </c>
      <c r="K6727" s="15" t="s">
        <v>23</v>
      </c>
    </row>
    <row r="6728" spans="1:11" ht="42" customHeight="1">
      <c r="A6728" s="4" t="s">
        <v>16082</v>
      </c>
      <c r="B6728" s="5" t="s">
        <v>16082</v>
      </c>
      <c r="C6728" s="5" t="s">
        <v>94</v>
      </c>
      <c r="D6728" s="5" t="s">
        <v>95</v>
      </c>
      <c r="E6728" s="5" t="s">
        <v>974</v>
      </c>
      <c r="F6728" s="9" t="s">
        <v>975</v>
      </c>
      <c r="G6728" s="9">
        <v>391</v>
      </c>
      <c r="H6728" s="5" t="s">
        <v>21</v>
      </c>
      <c r="I6728" s="5" t="s">
        <v>16083</v>
      </c>
      <c r="J6728" s="12" t="str">
        <f>HYPERLINK("https://www.boe.es/gazeta/dias/1808/04/19/pdfs/GMD-1808-37.pdf#page=7","Abrir facsímil")</f>
        <v>Abrir facsímil</v>
      </c>
      <c r="K6728" s="15" t="s">
        <v>23</v>
      </c>
    </row>
    <row r="6729" spans="1:11" ht="42" customHeight="1">
      <c r="A6729" s="4" t="s">
        <v>16084</v>
      </c>
      <c r="B6729" s="5" t="s">
        <v>16085</v>
      </c>
      <c r="C6729" s="5" t="s">
        <v>33</v>
      </c>
      <c r="D6729" s="5" t="s">
        <v>34</v>
      </c>
      <c r="E6729" s="5" t="s">
        <v>35</v>
      </c>
      <c r="F6729" s="9" t="s">
        <v>36</v>
      </c>
      <c r="G6729" s="9" t="s">
        <v>144</v>
      </c>
      <c r="H6729" s="5" t="s">
        <v>21</v>
      </c>
      <c r="I6729" s="5" t="s">
        <v>16086</v>
      </c>
      <c r="J6729" s="12" t="str">
        <f>HYPERLINK("https://www.boe.es/gazeta/dias/1808/04/22/pdfs/GMD-C-1808-38.pdf#page=40","Abrir facsímil")</f>
        <v>Abrir facsímil</v>
      </c>
      <c r="K6729" s="15" t="s">
        <v>23</v>
      </c>
    </row>
    <row r="6730" spans="1:11" ht="42" customHeight="1">
      <c r="A6730" s="4" t="s">
        <v>16087</v>
      </c>
      <c r="B6730" s="5" t="s">
        <v>16087</v>
      </c>
      <c r="C6730" s="5" t="s">
        <v>33</v>
      </c>
      <c r="D6730" s="5" t="s">
        <v>34</v>
      </c>
      <c r="E6730" s="5" t="s">
        <v>65</v>
      </c>
      <c r="F6730" s="9" t="s">
        <v>691</v>
      </c>
      <c r="G6730" s="9">
        <v>1327</v>
      </c>
      <c r="H6730" s="5" t="s">
        <v>21</v>
      </c>
      <c r="I6730" s="5" t="s">
        <v>16088</v>
      </c>
      <c r="J6730" s="12" t="str">
        <f>HYPERLINK("https://www.boe.es/gazeta/dias/1808/10/18/pdfs/GMD-C-1808-135.pdf#page=11","Abrir facsímil")</f>
        <v>Abrir facsímil</v>
      </c>
      <c r="K6730" s="15" t="s">
        <v>23</v>
      </c>
    </row>
    <row r="6731" spans="1:11" ht="42" customHeight="1">
      <c r="A6731" s="4" t="s">
        <v>16089</v>
      </c>
      <c r="B6731" s="5" t="s">
        <v>16090</v>
      </c>
      <c r="C6731" s="5" t="s">
        <v>33</v>
      </c>
      <c r="D6731" s="5" t="s">
        <v>34</v>
      </c>
      <c r="E6731" s="5" t="s">
        <v>363</v>
      </c>
      <c r="F6731" s="9" t="s">
        <v>364</v>
      </c>
      <c r="G6731" s="9" t="s">
        <v>75</v>
      </c>
      <c r="H6731" s="5" t="s">
        <v>21</v>
      </c>
      <c r="I6731" s="5" t="s">
        <v>16091</v>
      </c>
      <c r="J6731" s="12" t="str">
        <f>HYPERLINK("https://www.boe.es/gazeta/dias/1808/09/20/pdfs/GMD-C-1808-126.pdf#page=4","Abrir facsímil")</f>
        <v>Abrir facsímil</v>
      </c>
      <c r="K6731" s="15" t="s">
        <v>23</v>
      </c>
    </row>
    <row r="6732" spans="1:11" ht="42" customHeight="1">
      <c r="A6732" s="4" t="s">
        <v>16092</v>
      </c>
      <c r="B6732" s="5" t="s">
        <v>16093</v>
      </c>
      <c r="C6732" s="5" t="s">
        <v>33</v>
      </c>
      <c r="D6732" s="5" t="s">
        <v>34</v>
      </c>
      <c r="E6732" s="5" t="s">
        <v>35</v>
      </c>
      <c r="F6732" s="9" t="s">
        <v>36</v>
      </c>
      <c r="G6732" s="9" t="s">
        <v>924</v>
      </c>
      <c r="H6732" s="5" t="s">
        <v>21</v>
      </c>
      <c r="I6732" s="5" t="s">
        <v>16094</v>
      </c>
      <c r="J6732" s="12" t="str">
        <f>HYPERLINK("https://www.boe.es/gazeta/dias/1808/04/22/pdfs/GMD-C-1808-38.pdf#page=27","Abrir facsímil")</f>
        <v>Abrir facsímil</v>
      </c>
      <c r="K6732" s="15" t="s">
        <v>23</v>
      </c>
    </row>
    <row r="6733" spans="1:11" ht="42" customHeight="1">
      <c r="A6733" s="4" t="s">
        <v>16095</v>
      </c>
      <c r="B6733" s="5" t="s">
        <v>16096</v>
      </c>
      <c r="C6733" s="5" t="s">
        <v>33</v>
      </c>
      <c r="D6733" s="5" t="s">
        <v>34</v>
      </c>
      <c r="E6733" s="5" t="s">
        <v>363</v>
      </c>
      <c r="F6733" s="9" t="s">
        <v>364</v>
      </c>
      <c r="G6733" s="9" t="s">
        <v>199</v>
      </c>
      <c r="H6733" s="5" t="s">
        <v>21</v>
      </c>
      <c r="I6733" s="5" t="s">
        <v>16097</v>
      </c>
      <c r="J6733" s="12" t="str">
        <f>HYPERLINK("https://www.boe.es/gazeta/dias/1808/09/20/pdfs/GMD-C-1808-126.pdf#page=2","Abrir facsímil")</f>
        <v>Abrir facsímil</v>
      </c>
      <c r="K6733" s="15" t="s">
        <v>23</v>
      </c>
    </row>
    <row r="6734" spans="1:11" ht="42" customHeight="1">
      <c r="A6734" s="4" t="s">
        <v>16098</v>
      </c>
      <c r="B6734" s="5" t="s">
        <v>16099</v>
      </c>
      <c r="C6734" s="5" t="s">
        <v>33</v>
      </c>
      <c r="D6734" s="5" t="s">
        <v>34</v>
      </c>
      <c r="E6734" s="5" t="s">
        <v>89</v>
      </c>
      <c r="F6734" s="9" t="s">
        <v>563</v>
      </c>
      <c r="G6734" s="9" t="s">
        <v>199</v>
      </c>
      <c r="H6734" s="5" t="s">
        <v>21</v>
      </c>
      <c r="I6734" s="5" t="s">
        <v>16100</v>
      </c>
      <c r="J6734" s="12" t="str">
        <f>HYPERLINK("https://www.boe.es/gazeta/dias/1808/10/25/pdfs/GMD-D-1808-137.pdf#page=2","Abrir facsímil")</f>
        <v>Abrir facsímil</v>
      </c>
      <c r="K6734" s="15" t="s">
        <v>23</v>
      </c>
    </row>
    <row r="6735" spans="1:11" ht="42" customHeight="1">
      <c r="A6735" s="4" t="s">
        <v>16101</v>
      </c>
      <c r="B6735" s="5" t="s">
        <v>16102</v>
      </c>
      <c r="C6735" s="5" t="s">
        <v>33</v>
      </c>
      <c r="D6735" s="5" t="s">
        <v>34</v>
      </c>
      <c r="E6735" s="5" t="s">
        <v>461</v>
      </c>
      <c r="F6735" s="9" t="s">
        <v>462</v>
      </c>
      <c r="G6735" s="9" t="s">
        <v>106</v>
      </c>
      <c r="H6735" s="5" t="s">
        <v>21</v>
      </c>
      <c r="I6735" s="5" t="s">
        <v>16103</v>
      </c>
      <c r="J6735" s="12" t="str">
        <f>HYPERLINK("https://www.boe.es/gazeta/dias/1808/11/08/pdfs/GMD-D-1808-142.pdf#page=3","Abrir facsímil")</f>
        <v>Abrir facsímil</v>
      </c>
      <c r="K6735" s="15" t="s">
        <v>23</v>
      </c>
    </row>
    <row r="6736" spans="1:11" ht="42" customHeight="1">
      <c r="A6736" s="4" t="s">
        <v>16104</v>
      </c>
      <c r="B6736" s="5" t="s">
        <v>16105</v>
      </c>
      <c r="C6736" s="5" t="s">
        <v>41</v>
      </c>
      <c r="D6736" s="5" t="s">
        <v>42</v>
      </c>
      <c r="E6736" s="5" t="s">
        <v>290</v>
      </c>
      <c r="F6736" s="9" t="s">
        <v>291</v>
      </c>
      <c r="G6736" s="9">
        <v>1065</v>
      </c>
      <c r="H6736" s="5" t="s">
        <v>21</v>
      </c>
      <c r="I6736" s="5" t="s">
        <v>16106</v>
      </c>
      <c r="J6736" s="12" t="str">
        <f>HYPERLINK("https://www.boe.es/gazeta/dias/1808/08/23/pdfs/GMD-1808-116.pdf#page=11","Abrir facsímil")</f>
        <v>Abrir facsímil</v>
      </c>
      <c r="K6736" s="15" t="s">
        <v>23</v>
      </c>
    </row>
    <row r="6737" spans="1:11" ht="42" customHeight="1">
      <c r="A6737" s="4" t="s">
        <v>16107</v>
      </c>
      <c r="B6737" s="5" t="s">
        <v>16108</v>
      </c>
      <c r="C6737" s="5" t="s">
        <v>101</v>
      </c>
      <c r="D6737" s="5" t="s">
        <v>102</v>
      </c>
      <c r="E6737" s="5" t="s">
        <v>663</v>
      </c>
      <c r="F6737" s="9" t="s">
        <v>664</v>
      </c>
      <c r="G6737" s="9">
        <v>204</v>
      </c>
      <c r="H6737" s="5" t="s">
        <v>21</v>
      </c>
      <c r="I6737" s="5" t="s">
        <v>16109</v>
      </c>
      <c r="J6737" s="12" t="str">
        <f>HYPERLINK("https://www.boe.es/gazeta/dias/1808/02/26/pdfs/GMD-1808-17.pdf#page=6","Abrir facsímil")</f>
        <v>Abrir facsímil</v>
      </c>
      <c r="K6737" s="15" t="s">
        <v>23</v>
      </c>
    </row>
    <row r="6738" spans="1:11" ht="42" customHeight="1">
      <c r="A6738" s="4" t="s">
        <v>16110</v>
      </c>
      <c r="B6738" s="5" t="s">
        <v>16111</v>
      </c>
      <c r="C6738" s="5" t="s">
        <v>101</v>
      </c>
      <c r="D6738" s="5" t="s">
        <v>102</v>
      </c>
      <c r="E6738" s="5" t="s">
        <v>1466</v>
      </c>
      <c r="F6738" s="9" t="s">
        <v>1467</v>
      </c>
      <c r="G6738" s="9">
        <v>51</v>
      </c>
      <c r="H6738" s="5" t="s">
        <v>21</v>
      </c>
      <c r="I6738" s="5" t="s">
        <v>16112</v>
      </c>
      <c r="J6738" s="12" t="str">
        <f>HYPERLINK("https://www.boe.es/gazeta/dias/1808/01/15/pdfs/GMD-1808-5.pdf#page=3","Abrir facsímil")</f>
        <v>Abrir facsímil</v>
      </c>
      <c r="K6738" s="15" t="s">
        <v>23</v>
      </c>
    </row>
    <row r="6739" spans="1:11" ht="42" customHeight="1">
      <c r="A6739" s="4" t="s">
        <v>16113</v>
      </c>
      <c r="B6739" s="5" t="s">
        <v>16113</v>
      </c>
      <c r="C6739" s="5" t="s">
        <v>17</v>
      </c>
      <c r="D6739" s="5" t="s">
        <v>18</v>
      </c>
      <c r="E6739" s="5" t="s">
        <v>2281</v>
      </c>
      <c r="F6739" s="9" t="s">
        <v>2282</v>
      </c>
      <c r="G6739" s="9">
        <v>419</v>
      </c>
      <c r="H6739" s="5" t="s">
        <v>21</v>
      </c>
      <c r="I6739" s="5" t="s">
        <v>16114</v>
      </c>
      <c r="J6739" s="12" t="str">
        <f>HYPERLINK("https://www.boe.es/gazeta/dias/1808/04/29/pdfs/GMD-1808-42.pdf#page=3","Abrir facsímil")</f>
        <v>Abrir facsímil</v>
      </c>
      <c r="K6739" s="15" t="s">
        <v>23</v>
      </c>
    </row>
    <row r="6740" spans="1:11" ht="42" customHeight="1">
      <c r="A6740" s="4" t="s">
        <v>16113</v>
      </c>
      <c r="B6740" s="5" t="s">
        <v>16113</v>
      </c>
      <c r="C6740" s="5" t="s">
        <v>17</v>
      </c>
      <c r="D6740" s="5" t="s">
        <v>18</v>
      </c>
      <c r="E6740" s="5" t="s">
        <v>714</v>
      </c>
      <c r="F6740" s="9" t="s">
        <v>2736</v>
      </c>
      <c r="G6740" s="9">
        <v>818</v>
      </c>
      <c r="H6740" s="5" t="s">
        <v>21</v>
      </c>
      <c r="I6740" s="5" t="s">
        <v>16115</v>
      </c>
      <c r="J6740" s="12" t="str">
        <f>HYPERLINK("https://www.boe.es/gazeta/dias/1808/07/16/pdfs/GMD-1808-88.pdf#page=4","Abrir facsímil")</f>
        <v>Abrir facsímil</v>
      </c>
      <c r="K6740" s="15" t="s">
        <v>23</v>
      </c>
    </row>
    <row r="6741" spans="1:11" ht="42" customHeight="1">
      <c r="A6741" s="4" t="s">
        <v>16116</v>
      </c>
      <c r="B6741" s="5" t="s">
        <v>16117</v>
      </c>
      <c r="C6741" s="5" t="s">
        <v>94</v>
      </c>
      <c r="D6741" s="5" t="s">
        <v>95</v>
      </c>
      <c r="E6741" s="5" t="s">
        <v>210</v>
      </c>
      <c r="F6741" s="9" t="s">
        <v>211</v>
      </c>
      <c r="G6741" s="9">
        <v>254</v>
      </c>
      <c r="H6741" s="5" t="s">
        <v>21</v>
      </c>
      <c r="I6741" s="5" t="s">
        <v>16118</v>
      </c>
      <c r="J6741" s="12" t="str">
        <f>HYPERLINK("https://www.boe.es/gazeta/dias/1808/03/11/pdfs/GMD-1808-21.pdf#page=8","Abrir facsímil")</f>
        <v>Abrir facsímil</v>
      </c>
      <c r="K6741" s="15" t="s">
        <v>23</v>
      </c>
    </row>
    <row r="6742" spans="1:11" ht="42" customHeight="1">
      <c r="A6742" s="4" t="s">
        <v>16119</v>
      </c>
      <c r="B6742" s="5" t="s">
        <v>16120</v>
      </c>
      <c r="C6742" s="5" t="s">
        <v>33</v>
      </c>
      <c r="D6742" s="5" t="s">
        <v>34</v>
      </c>
      <c r="E6742" s="5" t="s">
        <v>35</v>
      </c>
      <c r="F6742" s="9" t="s">
        <v>36</v>
      </c>
      <c r="G6742" s="9" t="s">
        <v>443</v>
      </c>
      <c r="H6742" s="5" t="s">
        <v>21</v>
      </c>
      <c r="I6742" s="5" t="s">
        <v>16121</v>
      </c>
      <c r="J6742" s="12" t="str">
        <f>HYPERLINK("https://www.boe.es/gazeta/dias/1808/04/22/pdfs/GMD-C-1808-38.pdf#page=16","Abrir facsímil")</f>
        <v>Abrir facsímil</v>
      </c>
      <c r="K6742" s="15" t="s">
        <v>23</v>
      </c>
    </row>
    <row r="6743" spans="1:11" ht="42" customHeight="1">
      <c r="A6743" s="4" t="s">
        <v>16122</v>
      </c>
      <c r="B6743" s="5" t="s">
        <v>16122</v>
      </c>
      <c r="C6743" s="5" t="s">
        <v>94</v>
      </c>
      <c r="D6743" s="5" t="s">
        <v>95</v>
      </c>
      <c r="E6743" s="5" t="s">
        <v>1415</v>
      </c>
      <c r="F6743" s="9" t="s">
        <v>1416</v>
      </c>
      <c r="G6743" s="9">
        <v>411</v>
      </c>
      <c r="H6743" s="5" t="s">
        <v>21</v>
      </c>
      <c r="I6743" s="5" t="s">
        <v>16123</v>
      </c>
      <c r="J6743" s="12" t="str">
        <f>HYPERLINK("https://www.boe.es/gazeta/dias/1808/04/26/pdfs/GMD-1808-41.pdf#page=3","Abrir facsímil")</f>
        <v>Abrir facsímil</v>
      </c>
      <c r="K6743" s="15" t="s">
        <v>23</v>
      </c>
    </row>
    <row r="6744" spans="1:11" ht="42" customHeight="1">
      <c r="A6744" s="4" t="s">
        <v>16122</v>
      </c>
      <c r="B6744" s="5" t="s">
        <v>16122</v>
      </c>
      <c r="C6744" s="5" t="s">
        <v>101</v>
      </c>
      <c r="D6744" s="5" t="s">
        <v>102</v>
      </c>
      <c r="E6744" s="5" t="s">
        <v>1361</v>
      </c>
      <c r="F6744" s="9" t="s">
        <v>1362</v>
      </c>
      <c r="G6744" s="9">
        <v>467</v>
      </c>
      <c r="H6744" s="5" t="s">
        <v>21</v>
      </c>
      <c r="I6744" s="5" t="s">
        <v>16124</v>
      </c>
      <c r="J6744" s="12" t="str">
        <f>HYPERLINK("https://www.boe.es/gazeta/dias/1808/05/17/pdfs/GMD-1808-47.pdf#page=7","Abrir facsímil")</f>
        <v>Abrir facsímil</v>
      </c>
      <c r="K6744" s="15" t="s">
        <v>23</v>
      </c>
    </row>
    <row r="6745" spans="1:11" ht="42" customHeight="1">
      <c r="A6745" s="4" t="s">
        <v>16125</v>
      </c>
      <c r="B6745" s="5" t="s">
        <v>16125</v>
      </c>
      <c r="C6745" s="5" t="s">
        <v>101</v>
      </c>
      <c r="D6745" s="5" t="s">
        <v>102</v>
      </c>
      <c r="E6745" s="5" t="s">
        <v>919</v>
      </c>
      <c r="F6745" s="9" t="s">
        <v>920</v>
      </c>
      <c r="G6745" s="9">
        <v>488</v>
      </c>
      <c r="H6745" s="5" t="s">
        <v>21</v>
      </c>
      <c r="I6745" s="5" t="s">
        <v>16126</v>
      </c>
      <c r="J6745" s="12" t="str">
        <f>HYPERLINK("https://www.boe.es/gazeta/dias/1808/05/24/pdfs/GMD-1808-49.pdf#page=4","Abrir facsímil")</f>
        <v>Abrir facsímil</v>
      </c>
      <c r="K6745" s="15" t="s">
        <v>23</v>
      </c>
    </row>
    <row r="6746" spans="1:11" ht="42" customHeight="1">
      <c r="A6746" s="4" t="s">
        <v>16127</v>
      </c>
      <c r="B6746" s="5" t="s">
        <v>16128</v>
      </c>
      <c r="C6746" s="5" t="s">
        <v>33</v>
      </c>
      <c r="D6746" s="5" t="s">
        <v>34</v>
      </c>
      <c r="E6746" s="5" t="s">
        <v>391</v>
      </c>
      <c r="F6746" s="9" t="s">
        <v>588</v>
      </c>
      <c r="G6746" s="9" t="s">
        <v>106</v>
      </c>
      <c r="H6746" s="5" t="s">
        <v>21</v>
      </c>
      <c r="I6746" s="5" t="s">
        <v>16129</v>
      </c>
      <c r="J6746" s="12" t="str">
        <f>HYPERLINK("https://www.boe.es/gazeta/dias/1808/09/27/pdfs/GMD-C-1808-128.pdf#page=3","Abrir facsímil")</f>
        <v>Abrir facsímil</v>
      </c>
      <c r="K6746" s="15" t="s">
        <v>23</v>
      </c>
    </row>
    <row r="6747" spans="1:11" ht="42" customHeight="1">
      <c r="A6747" s="4" t="s">
        <v>16130</v>
      </c>
      <c r="B6747" s="5" t="s">
        <v>16131</v>
      </c>
      <c r="C6747" s="5" t="s">
        <v>101</v>
      </c>
      <c r="D6747" s="5" t="s">
        <v>102</v>
      </c>
      <c r="E6747" s="5" t="s">
        <v>1676</v>
      </c>
      <c r="F6747" s="9" t="s">
        <v>1677</v>
      </c>
      <c r="G6747" s="9">
        <v>552</v>
      </c>
      <c r="H6747" s="5" t="s">
        <v>21</v>
      </c>
      <c r="I6747" s="5" t="s">
        <v>16132</v>
      </c>
      <c r="J6747" s="12" t="str">
        <f>HYPERLINK("https://www.boe.es/gazeta/dias/1808/06/10/pdfs/GMD-1808-55.pdf#page=6","Abrir facsímil")</f>
        <v>Abrir facsímil</v>
      </c>
      <c r="K6747" s="15" t="s">
        <v>23</v>
      </c>
    </row>
    <row r="6748" spans="1:11" ht="42" customHeight="1">
      <c r="A6748" s="4" t="s">
        <v>16133</v>
      </c>
      <c r="B6748" s="5" t="s">
        <v>16134</v>
      </c>
      <c r="C6748" s="5" t="s">
        <v>41</v>
      </c>
      <c r="D6748" s="5" t="s">
        <v>42</v>
      </c>
      <c r="E6748" s="5" t="s">
        <v>8875</v>
      </c>
      <c r="F6748" s="9" t="s">
        <v>8876</v>
      </c>
      <c r="G6748" s="9">
        <v>882</v>
      </c>
      <c r="H6748" s="5" t="s">
        <v>21</v>
      </c>
      <c r="I6748" s="5" t="s">
        <v>16135</v>
      </c>
      <c r="J6748" s="12" t="str">
        <f>HYPERLINK("https://www.boe.es/gazeta/dias/1808/07/24/pdfs/GMD-1808-96.pdf#page=4","Abrir facsímil")</f>
        <v>Abrir facsímil</v>
      </c>
      <c r="K6748" s="15" t="s">
        <v>23</v>
      </c>
    </row>
    <row r="6749" spans="1:11" ht="42" customHeight="1">
      <c r="A6749" s="4" t="s">
        <v>16136</v>
      </c>
      <c r="B6749" s="5" t="s">
        <v>16137</v>
      </c>
      <c r="C6749" s="5" t="s">
        <v>17</v>
      </c>
      <c r="D6749" s="5" t="s">
        <v>18</v>
      </c>
      <c r="E6749" s="5" t="s">
        <v>68</v>
      </c>
      <c r="F6749" s="9" t="s">
        <v>69</v>
      </c>
      <c r="G6749" s="9">
        <v>1338</v>
      </c>
      <c r="H6749" s="5" t="s">
        <v>21</v>
      </c>
      <c r="I6749" s="5" t="s">
        <v>16138</v>
      </c>
      <c r="J6749" s="12" t="str">
        <f>HYPERLINK("https://www.boe.es/gazeta/dias/1808/10/21/pdfs/GMD-1808-136.pdf#page=10","Abrir facsímil")</f>
        <v>Abrir facsímil</v>
      </c>
      <c r="K6749" s="15" t="s">
        <v>23</v>
      </c>
    </row>
    <row r="6750" spans="1:11" ht="42" customHeight="1">
      <c r="A6750" s="4" t="s">
        <v>16139</v>
      </c>
      <c r="B6750" s="5" t="s">
        <v>16140</v>
      </c>
      <c r="C6750" s="5" t="s">
        <v>17</v>
      </c>
      <c r="D6750" s="5" t="s">
        <v>18</v>
      </c>
      <c r="E6750" s="5" t="s">
        <v>166</v>
      </c>
      <c r="F6750" s="9" t="s">
        <v>356</v>
      </c>
      <c r="G6750" s="9">
        <v>1509</v>
      </c>
      <c r="H6750" s="5" t="s">
        <v>21</v>
      </c>
      <c r="I6750" s="5" t="s">
        <v>16141</v>
      </c>
      <c r="J6750" s="12" t="str">
        <f>HYPERLINK("https://www.boe.es/gazeta/dias/1808/11/18/pdfs/GMD-1808-145.pdf#page=7","Abrir facsímil")</f>
        <v>Abrir facsímil</v>
      </c>
      <c r="K6750" s="15" t="s">
        <v>23</v>
      </c>
    </row>
    <row r="6751" spans="1:11" ht="42" customHeight="1">
      <c r="A6751" s="4" t="s">
        <v>16142</v>
      </c>
      <c r="B6751" s="5" t="s">
        <v>16143</v>
      </c>
      <c r="C6751" s="5" t="s">
        <v>33</v>
      </c>
      <c r="D6751" s="5" t="s">
        <v>34</v>
      </c>
      <c r="E6751" s="5" t="s">
        <v>180</v>
      </c>
      <c r="F6751" s="9" t="s">
        <v>181</v>
      </c>
      <c r="G6751" s="9">
        <v>1500</v>
      </c>
      <c r="H6751" s="5" t="s">
        <v>21</v>
      </c>
      <c r="I6751" s="5" t="s">
        <v>16144</v>
      </c>
      <c r="J6751" s="12" t="str">
        <f>HYPERLINK("https://www.boe.es/gazeta/dias/1808/11/15/pdfs/GMD-C-1808-144.pdf#page=2","Abrir facsímil")</f>
        <v>Abrir facsímil</v>
      </c>
      <c r="K6751" s="15" t="s">
        <v>23</v>
      </c>
    </row>
    <row r="6752" spans="1:11" ht="42" customHeight="1">
      <c r="A6752" s="4" t="s">
        <v>16145</v>
      </c>
      <c r="B6752" s="5" t="s">
        <v>16145</v>
      </c>
      <c r="C6752" s="5" t="s">
        <v>260</v>
      </c>
      <c r="D6752" s="5" t="s">
        <v>42</v>
      </c>
      <c r="E6752" s="5" t="s">
        <v>269</v>
      </c>
      <c r="F6752" s="9" t="s">
        <v>270</v>
      </c>
      <c r="G6752" s="9">
        <v>68</v>
      </c>
      <c r="H6752" s="5" t="s">
        <v>21</v>
      </c>
      <c r="I6752" s="5" t="s">
        <v>16146</v>
      </c>
      <c r="J6752" s="12" t="str">
        <f>HYPERLINK("https://www.boe.es/gazeta/dias/1808/01/19/pdfs/GMD-1808-6.pdf#page=8","Abrir facsímil")</f>
        <v>Abrir facsímil</v>
      </c>
      <c r="K6752" s="15" t="s">
        <v>23</v>
      </c>
    </row>
    <row r="6753" spans="1:11" ht="42" customHeight="1">
      <c r="A6753" s="4" t="s">
        <v>16147</v>
      </c>
      <c r="B6753" s="5" t="s">
        <v>16147</v>
      </c>
      <c r="C6753" s="5" t="s">
        <v>17</v>
      </c>
      <c r="D6753" s="5" t="s">
        <v>18</v>
      </c>
      <c r="E6753" s="5" t="s">
        <v>334</v>
      </c>
      <c r="F6753" s="9" t="s">
        <v>10165</v>
      </c>
      <c r="G6753" s="9">
        <v>293</v>
      </c>
      <c r="H6753" s="5" t="s">
        <v>21</v>
      </c>
      <c r="I6753" s="5" t="s">
        <v>16148</v>
      </c>
      <c r="J6753" s="12" t="str">
        <f>HYPERLINK("https://www.boe.es/gazeta/dias/1808/10/04/pdfs/GMS-1808-37.pdf#page=5","Abrir facsímil")</f>
        <v>Abrir facsímil</v>
      </c>
      <c r="K6753" s="15" t="s">
        <v>23</v>
      </c>
    </row>
    <row r="6754" spans="1:11" ht="42" customHeight="1">
      <c r="A6754" s="4" t="s">
        <v>16149</v>
      </c>
      <c r="B6754" s="5" t="s">
        <v>16150</v>
      </c>
      <c r="C6754" s="5" t="s">
        <v>94</v>
      </c>
      <c r="D6754" s="5" t="s">
        <v>95</v>
      </c>
      <c r="E6754" s="5" t="s">
        <v>35</v>
      </c>
      <c r="F6754" s="9" t="s">
        <v>36</v>
      </c>
      <c r="G6754" s="9" t="s">
        <v>135</v>
      </c>
      <c r="H6754" s="5" t="s">
        <v>21</v>
      </c>
      <c r="I6754" s="5" t="s">
        <v>16151</v>
      </c>
      <c r="J6754" s="12" t="str">
        <f>HYPERLINK("https://www.boe.es/gazeta/dias/1808/04/22/pdfs/GMD-C-1808-38.pdf#page=26","Abrir facsímil")</f>
        <v>Abrir facsímil</v>
      </c>
      <c r="K6754" s="15" t="s">
        <v>23</v>
      </c>
    </row>
    <row r="6755" spans="1:11" ht="42" customHeight="1">
      <c r="A6755" s="4" t="s">
        <v>16152</v>
      </c>
      <c r="B6755" s="5" t="s">
        <v>16152</v>
      </c>
      <c r="C6755" s="5" t="s">
        <v>389</v>
      </c>
      <c r="D6755" s="5" t="s">
        <v>390</v>
      </c>
      <c r="E6755" s="5" t="s">
        <v>6898</v>
      </c>
      <c r="F6755" s="9" t="s">
        <v>6899</v>
      </c>
      <c r="G6755" s="9">
        <v>714</v>
      </c>
      <c r="H6755" s="5" t="s">
        <v>21</v>
      </c>
      <c r="I6755" s="5" t="s">
        <v>16153</v>
      </c>
      <c r="J6755" s="12" t="str">
        <f>HYPERLINK("https://www.boe.es/gazeta/dias/1808/07/03/pdfs/GMD-1808-75.pdf#page=4","Abrir facsímil")</f>
        <v>Abrir facsímil</v>
      </c>
      <c r="K6755" s="15" t="s">
        <v>23</v>
      </c>
    </row>
    <row r="6756" spans="1:11" ht="42" customHeight="1">
      <c r="A6756" s="4" t="s">
        <v>16154</v>
      </c>
      <c r="B6756" s="5" t="s">
        <v>16154</v>
      </c>
      <c r="C6756" s="5" t="s">
        <v>101</v>
      </c>
      <c r="D6756" s="5" t="s">
        <v>102</v>
      </c>
      <c r="E6756" s="5" t="s">
        <v>2598</v>
      </c>
      <c r="F6756" s="9" t="s">
        <v>2599</v>
      </c>
      <c r="G6756" s="9">
        <v>947</v>
      </c>
      <c r="H6756" s="5" t="s">
        <v>21</v>
      </c>
      <c r="I6756" s="5" t="s">
        <v>16155</v>
      </c>
      <c r="J6756" s="12" t="str">
        <f>HYPERLINK("https://www.boe.es/gazeta/dias/1808/08/01/pdfs/GMD-1808-104.pdf#page=5","Abrir facsímil")</f>
        <v>Abrir facsímil</v>
      </c>
      <c r="K6756" s="15" t="s">
        <v>23</v>
      </c>
    </row>
    <row r="6757" spans="1:11" ht="42" customHeight="1">
      <c r="A6757" s="4" t="s">
        <v>16156</v>
      </c>
      <c r="B6757" s="5" t="s">
        <v>16157</v>
      </c>
      <c r="C6757" s="5" t="s">
        <v>389</v>
      </c>
      <c r="D6757" s="5" t="s">
        <v>390</v>
      </c>
      <c r="E6757" s="5" t="s">
        <v>245</v>
      </c>
      <c r="F6757" s="9" t="s">
        <v>246</v>
      </c>
      <c r="G6757" s="9">
        <v>546</v>
      </c>
      <c r="H6757" s="5" t="s">
        <v>21</v>
      </c>
      <c r="I6757" s="5" t="s">
        <v>16158</v>
      </c>
      <c r="J6757" s="12" t="str">
        <f>HYPERLINK("https://www.boe.es/gazeta/dias/1808/06/07/pdfs/GMD-1808-54.pdf#page=12","Abrir facsímil")</f>
        <v>Abrir facsímil</v>
      </c>
      <c r="K6757" s="15" t="s">
        <v>23</v>
      </c>
    </row>
    <row r="6758" spans="1:11" ht="42" customHeight="1">
      <c r="A6758" s="4" t="s">
        <v>16159</v>
      </c>
      <c r="B6758" s="5" t="s">
        <v>16160</v>
      </c>
      <c r="C6758" s="5" t="s">
        <v>94</v>
      </c>
      <c r="D6758" s="5" t="s">
        <v>95</v>
      </c>
      <c r="E6758" s="5" t="s">
        <v>54</v>
      </c>
      <c r="F6758" s="9" t="s">
        <v>55</v>
      </c>
      <c r="G6758" s="9">
        <v>1083</v>
      </c>
      <c r="H6758" s="5" t="s">
        <v>21</v>
      </c>
      <c r="I6758" s="5" t="s">
        <v>16161</v>
      </c>
      <c r="J6758" s="12" t="str">
        <f>HYPERLINK("https://www.boe.es/gazeta/dias/1808/08/26/pdfs/GMD-1808-117.pdf#page=5","Abrir facsímil")</f>
        <v>Abrir facsímil</v>
      </c>
      <c r="K6758" s="15" t="s">
        <v>23</v>
      </c>
    </row>
    <row r="6759" spans="1:11" ht="42" customHeight="1">
      <c r="A6759" s="4" t="s">
        <v>16162</v>
      </c>
      <c r="B6759" s="5" t="s">
        <v>16163</v>
      </c>
      <c r="C6759" s="5" t="s">
        <v>41</v>
      </c>
      <c r="D6759" s="5" t="s">
        <v>42</v>
      </c>
      <c r="E6759" s="5" t="s">
        <v>35</v>
      </c>
      <c r="F6759" s="9" t="s">
        <v>36</v>
      </c>
      <c r="G6759" s="9" t="s">
        <v>281</v>
      </c>
      <c r="H6759" s="5" t="s">
        <v>21</v>
      </c>
      <c r="I6759" s="5" t="s">
        <v>16164</v>
      </c>
      <c r="J6759" s="12" t="str">
        <f>HYPERLINK("https://www.boe.es/gazeta/dias/1808/04/22/pdfs/GMD-C-1808-38.pdf#page=47","Abrir facsímil")</f>
        <v>Abrir facsímil</v>
      </c>
      <c r="K6759" s="15" t="s">
        <v>23</v>
      </c>
    </row>
    <row r="6760" spans="1:11" ht="42" customHeight="1">
      <c r="A6760" s="4" t="s">
        <v>16165</v>
      </c>
      <c r="B6760" s="5" t="s">
        <v>16165</v>
      </c>
      <c r="C6760" s="5" t="s">
        <v>94</v>
      </c>
      <c r="D6760" s="5" t="s">
        <v>95</v>
      </c>
      <c r="E6760" s="5" t="s">
        <v>68</v>
      </c>
      <c r="F6760" s="9" t="s">
        <v>849</v>
      </c>
      <c r="G6760" s="9">
        <v>1344</v>
      </c>
      <c r="H6760" s="5" t="s">
        <v>21</v>
      </c>
      <c r="I6760" s="5" t="s">
        <v>16166</v>
      </c>
      <c r="J6760" s="12" t="str">
        <f>HYPERLINK("https://www.boe.es/gazeta/dias/1808/10/21/pdfs/GMD-C-1808-136.pdf#page=4","Abrir facsímil")</f>
        <v>Abrir facsímil</v>
      </c>
      <c r="K6760" s="15" t="s">
        <v>23</v>
      </c>
    </row>
    <row r="6761" spans="1:11" ht="42" customHeight="1">
      <c r="A6761" s="4" t="s">
        <v>16167</v>
      </c>
      <c r="B6761" s="5" t="s">
        <v>16168</v>
      </c>
      <c r="C6761" s="5" t="s">
        <v>94</v>
      </c>
      <c r="D6761" s="5" t="s">
        <v>95</v>
      </c>
      <c r="E6761" s="5" t="s">
        <v>130</v>
      </c>
      <c r="F6761" s="9" t="s">
        <v>131</v>
      </c>
      <c r="G6761" s="9">
        <v>1603</v>
      </c>
      <c r="H6761" s="5" t="s">
        <v>21</v>
      </c>
      <c r="I6761" s="5" t="s">
        <v>16169</v>
      </c>
      <c r="J6761" s="12" t="str">
        <f>HYPERLINK("https://www.boe.es/gazeta/dias/1808/12/15/pdfs/GMD-1808-155.pdf#page=7","Abrir facsímil")</f>
        <v>Abrir facsímil</v>
      </c>
      <c r="K6761" s="15" t="s">
        <v>23</v>
      </c>
    </row>
    <row r="6762" spans="1:11" ht="42" customHeight="1">
      <c r="A6762" s="4" t="s">
        <v>16170</v>
      </c>
      <c r="B6762" s="5" t="s">
        <v>16171</v>
      </c>
      <c r="C6762" s="5" t="s">
        <v>94</v>
      </c>
      <c r="D6762" s="5" t="s">
        <v>95</v>
      </c>
      <c r="E6762" s="5" t="s">
        <v>51</v>
      </c>
      <c r="F6762" s="9" t="s">
        <v>52</v>
      </c>
      <c r="G6762" s="9">
        <v>990</v>
      </c>
      <c r="H6762" s="5" t="s">
        <v>21</v>
      </c>
      <c r="I6762" s="5" t="s">
        <v>16172</v>
      </c>
      <c r="J6762" s="12" t="str">
        <f>HYPERLINK("https://www.boe.es/gazeta/dias/1808/08/09/pdfs/GMD-1808-111.pdf#page=6","Abrir facsímil")</f>
        <v>Abrir facsímil</v>
      </c>
      <c r="K6762" s="15" t="s">
        <v>23</v>
      </c>
    </row>
    <row r="6763" spans="1:11" ht="42" customHeight="1">
      <c r="A6763" s="4" t="s">
        <v>16173</v>
      </c>
      <c r="B6763" s="5" t="s">
        <v>16174</v>
      </c>
      <c r="C6763" s="5" t="s">
        <v>33</v>
      </c>
      <c r="D6763" s="5" t="s">
        <v>34</v>
      </c>
      <c r="E6763" s="5" t="s">
        <v>35</v>
      </c>
      <c r="F6763" s="9" t="s">
        <v>36</v>
      </c>
      <c r="G6763" s="9" t="s">
        <v>443</v>
      </c>
      <c r="H6763" s="5" t="s">
        <v>21</v>
      </c>
      <c r="I6763" s="5" t="s">
        <v>16175</v>
      </c>
      <c r="J6763" s="12" t="str">
        <f>HYPERLINK("https://www.boe.es/gazeta/dias/1808/04/22/pdfs/GMD-C-1808-38.pdf#page=16","Abrir facsímil")</f>
        <v>Abrir facsímil</v>
      </c>
      <c r="K6763" s="15" t="s">
        <v>23</v>
      </c>
    </row>
    <row r="6764" spans="1:11" ht="42" customHeight="1">
      <c r="A6764" s="4" t="s">
        <v>16176</v>
      </c>
      <c r="B6764" s="5" t="s">
        <v>16176</v>
      </c>
      <c r="C6764" s="5" t="s">
        <v>94</v>
      </c>
      <c r="D6764" s="5" t="s">
        <v>95</v>
      </c>
      <c r="E6764" s="5" t="s">
        <v>469</v>
      </c>
      <c r="F6764" s="9" t="s">
        <v>470</v>
      </c>
      <c r="G6764" s="9">
        <v>146</v>
      </c>
      <c r="H6764" s="5" t="s">
        <v>21</v>
      </c>
      <c r="I6764" s="5" t="s">
        <v>16177</v>
      </c>
      <c r="J6764" s="12" t="str">
        <f>HYPERLINK("https://www.boe.es/gazeta/dias/1808/02/12/pdfs/GMD-1808-13.pdf#page=2","Abrir facsímil")</f>
        <v>Abrir facsímil</v>
      </c>
      <c r="K6764" s="15" t="s">
        <v>23</v>
      </c>
    </row>
    <row r="6765" spans="1:11" ht="42" customHeight="1">
      <c r="A6765" s="4" t="s">
        <v>16178</v>
      </c>
      <c r="B6765" s="5" t="s">
        <v>16178</v>
      </c>
      <c r="C6765" s="5" t="s">
        <v>260</v>
      </c>
      <c r="D6765" s="5" t="s">
        <v>42</v>
      </c>
      <c r="E6765" s="5" t="s">
        <v>469</v>
      </c>
      <c r="F6765" s="9" t="s">
        <v>470</v>
      </c>
      <c r="G6765" s="9">
        <v>151</v>
      </c>
      <c r="H6765" s="5" t="s">
        <v>21</v>
      </c>
      <c r="I6765" s="5" t="s">
        <v>16179</v>
      </c>
      <c r="J6765" s="12" t="str">
        <f>HYPERLINK("https://www.boe.es/gazeta/dias/1808/02/12/pdfs/GMD-1808-13.pdf#page=7","Abrir facsímil")</f>
        <v>Abrir facsímil</v>
      </c>
      <c r="K6765" s="15" t="s">
        <v>23</v>
      </c>
    </row>
    <row r="6766" spans="1:11" ht="42" customHeight="1">
      <c r="A6766" s="4" t="s">
        <v>16180</v>
      </c>
      <c r="B6766" s="5" t="s">
        <v>16180</v>
      </c>
      <c r="C6766" s="5" t="s">
        <v>101</v>
      </c>
      <c r="D6766" s="5" t="s">
        <v>102</v>
      </c>
      <c r="E6766" s="5" t="s">
        <v>368</v>
      </c>
      <c r="F6766" s="9" t="s">
        <v>369</v>
      </c>
      <c r="G6766" s="9">
        <v>159</v>
      </c>
      <c r="H6766" s="5" t="s">
        <v>21</v>
      </c>
      <c r="I6766" s="5" t="s">
        <v>16181</v>
      </c>
      <c r="J6766" s="12" t="str">
        <f>HYPERLINK("https://www.boe.es/gazeta/dias/1808/02/16/pdfs/GMD-1808-14.pdf#page=1","Abrir facsímil")</f>
        <v>Abrir facsímil</v>
      </c>
      <c r="K6766" s="15" t="s">
        <v>23</v>
      </c>
    </row>
    <row r="6767" spans="1:11" ht="42" customHeight="1">
      <c r="A6767" s="4" t="s">
        <v>16180</v>
      </c>
      <c r="B6767" s="5" t="s">
        <v>16180</v>
      </c>
      <c r="C6767" s="5" t="s">
        <v>101</v>
      </c>
      <c r="D6767" s="5" t="s">
        <v>102</v>
      </c>
      <c r="E6767" s="5" t="s">
        <v>96</v>
      </c>
      <c r="F6767" s="9" t="s">
        <v>97</v>
      </c>
      <c r="G6767" s="9">
        <v>259</v>
      </c>
      <c r="H6767" s="5" t="s">
        <v>21</v>
      </c>
      <c r="I6767" s="5" t="s">
        <v>16182</v>
      </c>
      <c r="J6767" s="12" t="str">
        <f>HYPERLINK("https://www.boe.es/gazeta/dias/1808/03/15/pdfs/GMD-1808-22.pdf#page=1","Abrir facsímil")</f>
        <v>Abrir facsímil</v>
      </c>
      <c r="K6767" s="15" t="s">
        <v>23</v>
      </c>
    </row>
    <row r="6768" spans="1:11" ht="42" customHeight="1">
      <c r="A6768" s="4" t="s">
        <v>16180</v>
      </c>
      <c r="B6768" s="5" t="s">
        <v>16180</v>
      </c>
      <c r="C6768" s="5" t="s">
        <v>101</v>
      </c>
      <c r="D6768" s="5" t="s">
        <v>102</v>
      </c>
      <c r="E6768" s="5" t="s">
        <v>256</v>
      </c>
      <c r="F6768" s="9" t="s">
        <v>257</v>
      </c>
      <c r="G6768" s="9">
        <v>523</v>
      </c>
      <c r="H6768" s="5" t="s">
        <v>21</v>
      </c>
      <c r="I6768" s="5" t="s">
        <v>16183</v>
      </c>
      <c r="J6768" s="12" t="str">
        <f>HYPERLINK("https://www.boe.es/gazeta/dias/1808/06/03/pdfs/GMD-1808-53.pdf#page=1","Abrir facsímil")</f>
        <v>Abrir facsímil</v>
      </c>
      <c r="K6768" s="15" t="s">
        <v>23</v>
      </c>
    </row>
    <row r="6769" spans="1:11" ht="42" customHeight="1">
      <c r="A6769" s="4" t="s">
        <v>16184</v>
      </c>
      <c r="B6769" s="5" t="s">
        <v>16184</v>
      </c>
      <c r="C6769" s="5" t="s">
        <v>101</v>
      </c>
      <c r="D6769" s="5" t="s">
        <v>102</v>
      </c>
      <c r="E6769" s="5" t="s">
        <v>14716</v>
      </c>
      <c r="F6769" s="9" t="s">
        <v>14717</v>
      </c>
      <c r="G6769" s="9">
        <v>784</v>
      </c>
      <c r="H6769" s="5" t="s">
        <v>21</v>
      </c>
      <c r="I6769" s="5" t="s">
        <v>16185</v>
      </c>
      <c r="J6769" s="12" t="str">
        <f>HYPERLINK("https://www.boe.es/gazeta/dias/1808/07/12/pdfs/GMD-1808-84.pdf#page=2","Abrir facsímil")</f>
        <v>Abrir facsímil</v>
      </c>
      <c r="K6769" s="15" t="s">
        <v>23</v>
      </c>
    </row>
    <row r="6770" spans="1:11" ht="42" customHeight="1">
      <c r="A6770" s="4" t="s">
        <v>16186</v>
      </c>
      <c r="B6770" s="5" t="s">
        <v>16187</v>
      </c>
      <c r="C6770" s="5" t="s">
        <v>33</v>
      </c>
      <c r="D6770" s="5" t="s">
        <v>34</v>
      </c>
      <c r="E6770" s="5" t="s">
        <v>68</v>
      </c>
      <c r="F6770" s="9" t="s">
        <v>309</v>
      </c>
      <c r="G6770" s="9" t="s">
        <v>117</v>
      </c>
      <c r="H6770" s="5" t="s">
        <v>21</v>
      </c>
      <c r="I6770" s="5" t="s">
        <v>16188</v>
      </c>
      <c r="J6770" s="12" t="str">
        <f>HYPERLINK("https://www.boe.es/gazeta/dias/1808/10/21/pdfs/GMD-D-1808-136.pdf#page=1","Abrir facsímil")</f>
        <v>Abrir facsímil</v>
      </c>
      <c r="K6770" s="15" t="s">
        <v>23</v>
      </c>
    </row>
    <row r="6771" spans="1:11" ht="42" customHeight="1">
      <c r="A6771" s="4" t="s">
        <v>16189</v>
      </c>
      <c r="B6771" s="5" t="s">
        <v>16190</v>
      </c>
      <c r="C6771" s="5" t="s">
        <v>33</v>
      </c>
      <c r="D6771" s="5" t="s">
        <v>34</v>
      </c>
      <c r="E6771" s="5" t="s">
        <v>68</v>
      </c>
      <c r="F6771" s="9" t="s">
        <v>309</v>
      </c>
      <c r="G6771" s="9" t="s">
        <v>75</v>
      </c>
      <c r="H6771" s="5" t="s">
        <v>21</v>
      </c>
      <c r="I6771" s="5" t="s">
        <v>16191</v>
      </c>
      <c r="J6771" s="12" t="str">
        <f>HYPERLINK("https://www.boe.es/gazeta/dias/1808/10/21/pdfs/GMD-D-1808-136.pdf#page=4","Abrir facsímil")</f>
        <v>Abrir facsímil</v>
      </c>
      <c r="K6771" s="15" t="s">
        <v>23</v>
      </c>
    </row>
    <row r="6772" spans="1:11" ht="42" customHeight="1">
      <c r="A6772" s="4" t="s">
        <v>16192</v>
      </c>
      <c r="B6772" s="5" t="s">
        <v>16193</v>
      </c>
      <c r="C6772" s="5" t="s">
        <v>33</v>
      </c>
      <c r="D6772" s="5" t="s">
        <v>34</v>
      </c>
      <c r="E6772" s="5" t="s">
        <v>197</v>
      </c>
      <c r="F6772" s="9" t="s">
        <v>198</v>
      </c>
      <c r="G6772" s="9" t="s">
        <v>117</v>
      </c>
      <c r="H6772" s="5" t="s">
        <v>21</v>
      </c>
      <c r="I6772" s="5" t="s">
        <v>16194</v>
      </c>
      <c r="J6772" s="12" t="str">
        <f>HYPERLINK("https://www.boe.es/gazeta/dias/1808/11/01/pdfs/GMD-D-1808-140.pdf#page=1","Abrir facsímil")</f>
        <v>Abrir facsímil</v>
      </c>
      <c r="K6772" s="15" t="s">
        <v>23</v>
      </c>
    </row>
    <row r="6773" spans="1:11" ht="42" customHeight="1">
      <c r="A6773" s="4" t="s">
        <v>16195</v>
      </c>
      <c r="B6773" s="5" t="s">
        <v>16196</v>
      </c>
      <c r="C6773" s="5" t="s">
        <v>17</v>
      </c>
      <c r="D6773" s="5" t="s">
        <v>18</v>
      </c>
      <c r="E6773" s="5" t="s">
        <v>228</v>
      </c>
      <c r="F6773" s="9" t="s">
        <v>229</v>
      </c>
      <c r="G6773" s="9">
        <v>837</v>
      </c>
      <c r="H6773" s="5" t="s">
        <v>21</v>
      </c>
      <c r="I6773" s="5" t="s">
        <v>16197</v>
      </c>
      <c r="J6773" s="12" t="str">
        <f>HYPERLINK("https://www.boe.es/gazeta/dias/1808/07/18/pdfs/GMD-1808-90.pdf#page=7","Abrir facsímil")</f>
        <v>Abrir facsímil</v>
      </c>
      <c r="K6773" s="15" t="s">
        <v>23</v>
      </c>
    </row>
    <row r="6774" spans="1:11" ht="42" customHeight="1">
      <c r="A6774" s="4" t="s">
        <v>16195</v>
      </c>
      <c r="B6774" s="5" t="s">
        <v>16196</v>
      </c>
      <c r="C6774" s="5" t="s">
        <v>101</v>
      </c>
      <c r="D6774" s="5" t="s">
        <v>102</v>
      </c>
      <c r="E6774" s="5" t="s">
        <v>3439</v>
      </c>
      <c r="F6774" s="9" t="s">
        <v>3440</v>
      </c>
      <c r="G6774" s="9">
        <v>937</v>
      </c>
      <c r="H6774" s="5" t="s">
        <v>21</v>
      </c>
      <c r="I6774" s="5" t="s">
        <v>16198</v>
      </c>
      <c r="J6774" s="12" t="str">
        <f>HYPERLINK("https://www.boe.es/gazeta/dias/1808/07/31/pdfs/GMD-1808-103.pdf#page=3","Abrir facsímil")</f>
        <v>Abrir facsímil</v>
      </c>
      <c r="K6774" s="15" t="s">
        <v>23</v>
      </c>
    </row>
    <row r="6775" spans="1:11" ht="42" customHeight="1">
      <c r="A6775" s="4" t="s">
        <v>16199</v>
      </c>
      <c r="B6775" s="5" t="s">
        <v>16200</v>
      </c>
      <c r="C6775" s="5" t="s">
        <v>33</v>
      </c>
      <c r="D6775" s="5" t="s">
        <v>34</v>
      </c>
      <c r="E6775" s="5" t="s">
        <v>35</v>
      </c>
      <c r="F6775" s="9" t="s">
        <v>36</v>
      </c>
      <c r="G6775" s="9" t="s">
        <v>148</v>
      </c>
      <c r="H6775" s="5" t="s">
        <v>21</v>
      </c>
      <c r="I6775" s="5" t="s">
        <v>16201</v>
      </c>
      <c r="J6775" s="12" t="str">
        <f>HYPERLINK("https://www.boe.es/gazeta/dias/1808/04/22/pdfs/GMD-C-1808-38.pdf#page=38","Abrir facsímil")</f>
        <v>Abrir facsímil</v>
      </c>
      <c r="K6775" s="15" t="s">
        <v>23</v>
      </c>
    </row>
    <row r="6776" spans="1:11" ht="42" customHeight="1">
      <c r="A6776" s="4" t="s">
        <v>16202</v>
      </c>
      <c r="B6776" s="5" t="s">
        <v>16203</v>
      </c>
      <c r="C6776" s="5" t="s">
        <v>94</v>
      </c>
      <c r="D6776" s="5" t="s">
        <v>95</v>
      </c>
      <c r="E6776" s="5" t="s">
        <v>548</v>
      </c>
      <c r="F6776" s="9" t="s">
        <v>549</v>
      </c>
      <c r="G6776" s="9">
        <v>276</v>
      </c>
      <c r="H6776" s="5" t="s">
        <v>21</v>
      </c>
      <c r="I6776" s="5" t="s">
        <v>16204</v>
      </c>
      <c r="J6776" s="12" t="str">
        <f>HYPERLINK("https://www.boe.es/gazeta/dias/1808/03/18/pdfs/GMD-1808-23.pdf#page=6","Abrir facsímil")</f>
        <v>Abrir facsímil</v>
      </c>
      <c r="K6776" s="15" t="s">
        <v>23</v>
      </c>
    </row>
    <row r="6777" spans="1:11" ht="42" customHeight="1">
      <c r="A6777" s="4" t="s">
        <v>16205</v>
      </c>
      <c r="B6777" s="5" t="s">
        <v>16206</v>
      </c>
      <c r="C6777" s="5" t="s">
        <v>17</v>
      </c>
      <c r="D6777" s="5" t="s">
        <v>18</v>
      </c>
      <c r="E6777" s="5" t="s">
        <v>269</v>
      </c>
      <c r="F6777" s="9" t="s">
        <v>270</v>
      </c>
      <c r="G6777" s="9">
        <v>64</v>
      </c>
      <c r="H6777" s="5" t="s">
        <v>21</v>
      </c>
      <c r="I6777" s="5" t="s">
        <v>16207</v>
      </c>
      <c r="J6777" s="12" t="str">
        <f>HYPERLINK("https://www.boe.es/gazeta/dias/1808/01/19/pdfs/GMD-1808-6.pdf#page=4","Abrir facsímil")</f>
        <v>Abrir facsímil</v>
      </c>
      <c r="K6777" s="15" t="s">
        <v>23</v>
      </c>
    </row>
    <row r="6778" spans="1:11" ht="42" customHeight="1">
      <c r="A6778" s="4" t="s">
        <v>16205</v>
      </c>
      <c r="B6778" s="5" t="s">
        <v>16206</v>
      </c>
      <c r="C6778" s="5" t="s">
        <v>101</v>
      </c>
      <c r="D6778" s="5" t="s">
        <v>102</v>
      </c>
      <c r="E6778" s="5" t="s">
        <v>991</v>
      </c>
      <c r="F6778" s="9" t="s">
        <v>992</v>
      </c>
      <c r="G6778" s="9">
        <v>212</v>
      </c>
      <c r="H6778" s="5" t="s">
        <v>21</v>
      </c>
      <c r="I6778" s="5" t="s">
        <v>16208</v>
      </c>
      <c r="J6778" s="12" t="str">
        <f>HYPERLINK("https://www.boe.es/gazeta/dias/1808/03/01/pdfs/GMD-1808-18.pdf#page=2","Abrir facsímil")</f>
        <v>Abrir facsímil</v>
      </c>
      <c r="K6778" s="15" t="s">
        <v>23</v>
      </c>
    </row>
    <row r="6779" spans="1:11" ht="42" customHeight="1">
      <c r="A6779" s="4" t="s">
        <v>16209</v>
      </c>
      <c r="B6779" s="5" t="s">
        <v>16210</v>
      </c>
      <c r="C6779" s="5" t="s">
        <v>389</v>
      </c>
      <c r="D6779" s="5" t="s">
        <v>390</v>
      </c>
      <c r="E6779" s="5" t="s">
        <v>6282</v>
      </c>
      <c r="F6779" s="9" t="s">
        <v>6283</v>
      </c>
      <c r="G6779" s="9">
        <v>649</v>
      </c>
      <c r="H6779" s="5" t="s">
        <v>21</v>
      </c>
      <c r="I6779" s="5" t="s">
        <v>16211</v>
      </c>
      <c r="J6779" s="12" t="str">
        <f>HYPERLINK("https://www.boe.es/gazeta/dias/1808/06/25/pdfs/GMD-1808-67.pdf#page=3","Abrir facsímil")</f>
        <v>Abrir facsímil</v>
      </c>
      <c r="K6779" s="15" t="s">
        <v>23</v>
      </c>
    </row>
    <row r="6780" spans="1:11" ht="42" customHeight="1">
      <c r="A6780" s="4" t="s">
        <v>16212</v>
      </c>
      <c r="B6780" s="5" t="s">
        <v>16212</v>
      </c>
      <c r="C6780" s="5" t="s">
        <v>41</v>
      </c>
      <c r="D6780" s="5" t="s">
        <v>42</v>
      </c>
      <c r="E6780" s="5" t="s">
        <v>65</v>
      </c>
      <c r="F6780" s="9" t="s">
        <v>105</v>
      </c>
      <c r="G6780" s="9" t="s">
        <v>75</v>
      </c>
      <c r="H6780" s="5" t="s">
        <v>21</v>
      </c>
      <c r="I6780" s="5" t="s">
        <v>16213</v>
      </c>
      <c r="J6780" s="12" t="str">
        <f>HYPERLINK("https://www.boe.es/gazeta/dias/1808/10/18/pdfs/GMD-D-1808-135.pdf#page=4","Abrir facsímil")</f>
        <v>Abrir facsímil</v>
      </c>
      <c r="K6780" s="15" t="s">
        <v>23</v>
      </c>
    </row>
    <row r="6781" spans="1:11" ht="42" customHeight="1">
      <c r="A6781" s="4" t="s">
        <v>16214</v>
      </c>
      <c r="B6781" s="5" t="s">
        <v>16215</v>
      </c>
      <c r="C6781" s="5" t="s">
        <v>17</v>
      </c>
      <c r="D6781" s="5" t="s">
        <v>18</v>
      </c>
      <c r="E6781" s="5" t="s">
        <v>3485</v>
      </c>
      <c r="F6781" s="9" t="s">
        <v>3486</v>
      </c>
      <c r="G6781" s="9">
        <v>699</v>
      </c>
      <c r="H6781" s="5" t="s">
        <v>21</v>
      </c>
      <c r="I6781" s="5" t="s">
        <v>16216</v>
      </c>
      <c r="J6781" s="12" t="str">
        <f>HYPERLINK("https://www.boe.es/gazeta/dias/1808/07/01/pdfs/GMD-1808-73.pdf#page=5","Abrir facsímil")</f>
        <v>Abrir facsímil</v>
      </c>
      <c r="K6781" s="15" t="s">
        <v>23</v>
      </c>
    </row>
    <row r="6782" spans="1:11" ht="42" customHeight="1">
      <c r="A6782" s="4" t="s">
        <v>16217</v>
      </c>
      <c r="B6782" s="5" t="s">
        <v>16218</v>
      </c>
      <c r="C6782" s="5" t="s">
        <v>33</v>
      </c>
      <c r="D6782" s="5" t="s">
        <v>34</v>
      </c>
      <c r="E6782" s="5" t="s">
        <v>35</v>
      </c>
      <c r="F6782" s="9" t="s">
        <v>36</v>
      </c>
      <c r="G6782" s="9" t="s">
        <v>43</v>
      </c>
      <c r="H6782" s="5" t="s">
        <v>21</v>
      </c>
      <c r="I6782" s="5" t="s">
        <v>16219</v>
      </c>
      <c r="J6782" s="12" t="str">
        <f>HYPERLINK("https://www.boe.es/gazeta/dias/1808/04/22/pdfs/GMD-C-1808-38.pdf#page=30","Abrir facsímil")</f>
        <v>Abrir facsímil</v>
      </c>
      <c r="K6782" s="15" t="s">
        <v>23</v>
      </c>
    </row>
    <row r="6783" spans="1:11" ht="42" customHeight="1">
      <c r="A6783" s="4" t="s">
        <v>16220</v>
      </c>
      <c r="B6783" s="5" t="s">
        <v>16221</v>
      </c>
      <c r="C6783" s="5" t="s">
        <v>33</v>
      </c>
      <c r="D6783" s="5" t="s">
        <v>34</v>
      </c>
      <c r="E6783" s="5" t="s">
        <v>35</v>
      </c>
      <c r="F6783" s="9" t="s">
        <v>36</v>
      </c>
      <c r="G6783" s="9" t="s">
        <v>43</v>
      </c>
      <c r="H6783" s="5" t="s">
        <v>21</v>
      </c>
      <c r="I6783" s="5" t="s">
        <v>16222</v>
      </c>
      <c r="J6783" s="12" t="str">
        <f>HYPERLINK("https://www.boe.es/gazeta/dias/1808/04/22/pdfs/GMD-C-1808-38.pdf#page=30","Abrir facsímil")</f>
        <v>Abrir facsímil</v>
      </c>
      <c r="K6783" s="15" t="s">
        <v>23</v>
      </c>
    </row>
    <row r="6784" spans="1:11" ht="42" customHeight="1">
      <c r="A6784" s="4" t="s">
        <v>16223</v>
      </c>
      <c r="B6784" s="5" t="s">
        <v>16223</v>
      </c>
      <c r="C6784" s="5" t="s">
        <v>33</v>
      </c>
      <c r="D6784" s="5" t="s">
        <v>34</v>
      </c>
      <c r="E6784" s="5" t="s">
        <v>35</v>
      </c>
      <c r="F6784" s="9" t="s">
        <v>36</v>
      </c>
      <c r="G6784" s="9" t="s">
        <v>501</v>
      </c>
      <c r="H6784" s="5" t="s">
        <v>21</v>
      </c>
      <c r="I6784" s="5" t="s">
        <v>16224</v>
      </c>
      <c r="J6784" s="12" t="str">
        <f>HYPERLINK("https://www.boe.es/gazeta/dias/1808/04/22/pdfs/GMD-C-1808-38.pdf#page=5","Abrir facsímil")</f>
        <v>Abrir facsímil</v>
      </c>
      <c r="K6784" s="15" t="s">
        <v>23</v>
      </c>
    </row>
    <row r="6785" spans="1:11" ht="42" customHeight="1">
      <c r="A6785" s="4" t="s">
        <v>16225</v>
      </c>
      <c r="B6785" s="5" t="s">
        <v>16225</v>
      </c>
      <c r="C6785" s="5" t="s">
        <v>17</v>
      </c>
      <c r="D6785" s="5" t="s">
        <v>18</v>
      </c>
      <c r="E6785" s="5" t="s">
        <v>110</v>
      </c>
      <c r="F6785" s="9" t="s">
        <v>111</v>
      </c>
      <c r="G6785" s="9">
        <v>1384</v>
      </c>
      <c r="H6785" s="5" t="s">
        <v>21</v>
      </c>
      <c r="I6785" s="5" t="s">
        <v>16226</v>
      </c>
      <c r="J6785" s="12" t="str">
        <f>HYPERLINK("https://www.boe.es/gazeta/dias/1808/10/28/pdfs/GMD-1808-138.pdf#page=10","Abrir facsímil")</f>
        <v>Abrir facsímil</v>
      </c>
      <c r="K6785" s="15" t="s">
        <v>23</v>
      </c>
    </row>
    <row r="6786" spans="1:11" ht="42" customHeight="1">
      <c r="A6786" s="4" t="s">
        <v>16227</v>
      </c>
      <c r="B6786" s="5" t="s">
        <v>16227</v>
      </c>
      <c r="C6786" s="5" t="s">
        <v>33</v>
      </c>
      <c r="D6786" s="5" t="s">
        <v>34</v>
      </c>
      <c r="E6786" s="5" t="s">
        <v>35</v>
      </c>
      <c r="F6786" s="9" t="s">
        <v>36</v>
      </c>
      <c r="G6786" s="9" t="s">
        <v>284</v>
      </c>
      <c r="H6786" s="5" t="s">
        <v>21</v>
      </c>
      <c r="I6786" s="5" t="s">
        <v>16228</v>
      </c>
      <c r="J6786" s="12" t="str">
        <f>HYPERLINK("https://www.boe.es/gazeta/dias/1808/04/22/pdfs/GMD-C-1808-38.pdf#page=35","Abrir facsímil")</f>
        <v>Abrir facsímil</v>
      </c>
      <c r="K6786" s="15" t="s">
        <v>23</v>
      </c>
    </row>
    <row r="6787" spans="1:11" ht="42" customHeight="1">
      <c r="A6787" s="4" t="s">
        <v>16229</v>
      </c>
      <c r="B6787" s="5" t="s">
        <v>16229</v>
      </c>
      <c r="C6787" s="5" t="s">
        <v>94</v>
      </c>
      <c r="D6787" s="5" t="s">
        <v>95</v>
      </c>
      <c r="E6787" s="5" t="s">
        <v>225</v>
      </c>
      <c r="F6787" s="9" t="s">
        <v>226</v>
      </c>
      <c r="G6787" s="9">
        <v>607</v>
      </c>
      <c r="H6787" s="5" t="s">
        <v>21</v>
      </c>
      <c r="I6787" s="5" t="s">
        <v>16230</v>
      </c>
      <c r="J6787" s="12" t="str">
        <f>HYPERLINK("https://www.boe.es/gazeta/dias/1808/06/20/pdfs/GMD-1808-62.pdf#page=5","Abrir facsímil")</f>
        <v>Abrir facsímil</v>
      </c>
      <c r="K6787" s="15" t="s">
        <v>23</v>
      </c>
    </row>
    <row r="6788" spans="1:11" ht="42" customHeight="1">
      <c r="A6788" s="4" t="s">
        <v>16231</v>
      </c>
      <c r="B6788" s="5" t="s">
        <v>16231</v>
      </c>
      <c r="C6788" s="5" t="s">
        <v>41</v>
      </c>
      <c r="D6788" s="5" t="s">
        <v>42</v>
      </c>
      <c r="E6788" s="5" t="s">
        <v>35</v>
      </c>
      <c r="F6788" s="9" t="s">
        <v>36</v>
      </c>
      <c r="G6788" s="9" t="s">
        <v>199</v>
      </c>
      <c r="H6788" s="5" t="s">
        <v>21</v>
      </c>
      <c r="I6788" s="5" t="s">
        <v>16232</v>
      </c>
      <c r="J6788" s="12" t="str">
        <f>HYPERLINK("https://www.boe.es/gazeta/dias/1808/04/22/pdfs/GMD-C-1808-38.pdf#page=2","Abrir facsímil")</f>
        <v>Abrir facsímil</v>
      </c>
      <c r="K6788" s="15" t="s">
        <v>23</v>
      </c>
    </row>
    <row r="6789" spans="1:11" ht="42" customHeight="1">
      <c r="A6789" s="4" t="s">
        <v>16233</v>
      </c>
      <c r="B6789" s="5" t="s">
        <v>16234</v>
      </c>
      <c r="C6789" s="5" t="s">
        <v>41</v>
      </c>
      <c r="D6789" s="5" t="s">
        <v>42</v>
      </c>
      <c r="E6789" s="5" t="s">
        <v>363</v>
      </c>
      <c r="F6789" s="9" t="s">
        <v>3718</v>
      </c>
      <c r="G6789" s="9">
        <v>264</v>
      </c>
      <c r="H6789" s="5" t="s">
        <v>21</v>
      </c>
      <c r="I6789" s="5" t="s">
        <v>16235</v>
      </c>
      <c r="J6789" s="12" t="str">
        <f>HYPERLINK("https://www.boe.es/gazeta/dias/1808/09/20/pdfs/GMS-1808-33.pdf#page=8","Abrir facsímil")</f>
        <v>Abrir facsímil</v>
      </c>
      <c r="K6789" s="15" t="s">
        <v>23</v>
      </c>
    </row>
    <row r="6790" spans="1:11" ht="42" customHeight="1">
      <c r="A6790" s="4" t="s">
        <v>16236</v>
      </c>
      <c r="B6790" s="5" t="s">
        <v>16237</v>
      </c>
      <c r="C6790" s="5" t="s">
        <v>17</v>
      </c>
      <c r="D6790" s="5" t="s">
        <v>18</v>
      </c>
      <c r="E6790" s="5" t="s">
        <v>242</v>
      </c>
      <c r="F6790" s="9" t="s">
        <v>243</v>
      </c>
      <c r="G6790" s="9">
        <v>12</v>
      </c>
      <c r="H6790" s="5" t="s">
        <v>21</v>
      </c>
      <c r="I6790" s="5" t="s">
        <v>16238</v>
      </c>
      <c r="J6790" s="12" t="str">
        <f>HYPERLINK("https://www.boe.es/gazeta/dias/1808/01/01/pdfs/GMD-1808-1.pdf#page=12","Abrir facsímil")</f>
        <v>Abrir facsímil</v>
      </c>
      <c r="K6790" s="15" t="s">
        <v>23</v>
      </c>
    </row>
    <row r="6791" spans="1:11" ht="42" customHeight="1">
      <c r="A6791" s="4" t="s">
        <v>16239</v>
      </c>
      <c r="B6791" s="5" t="s">
        <v>16239</v>
      </c>
      <c r="C6791" s="5" t="s">
        <v>17</v>
      </c>
      <c r="D6791" s="5" t="s">
        <v>18</v>
      </c>
      <c r="E6791" s="5" t="s">
        <v>418</v>
      </c>
      <c r="F6791" s="9" t="s">
        <v>3832</v>
      </c>
      <c r="G6791" s="9">
        <v>232</v>
      </c>
      <c r="H6791" s="5" t="s">
        <v>21</v>
      </c>
      <c r="I6791" s="5" t="s">
        <v>16240</v>
      </c>
      <c r="J6791" s="12" t="str">
        <f>HYPERLINK("https://www.boe.es/gazeta/dias/1808/09/06/pdfs/GMS-1808-29.pdf#page=8","Abrir facsímil")</f>
        <v>Abrir facsímil</v>
      </c>
      <c r="K6791" s="15" t="s">
        <v>23</v>
      </c>
    </row>
    <row r="6792" spans="1:11" ht="42" customHeight="1">
      <c r="A6792" s="4" t="s">
        <v>16241</v>
      </c>
      <c r="B6792" s="5" t="s">
        <v>16242</v>
      </c>
      <c r="C6792" s="5" t="s">
        <v>33</v>
      </c>
      <c r="D6792" s="5" t="s">
        <v>34</v>
      </c>
      <c r="E6792" s="5" t="s">
        <v>115</v>
      </c>
      <c r="F6792" s="9" t="s">
        <v>116</v>
      </c>
      <c r="G6792" s="9" t="s">
        <v>199</v>
      </c>
      <c r="H6792" s="5" t="s">
        <v>21</v>
      </c>
      <c r="I6792" s="5" t="s">
        <v>16243</v>
      </c>
      <c r="J6792" s="12" t="str">
        <f>HYPERLINK("https://www.boe.es/gazeta/dias/1808/09/16/pdfs/GMD-C-1808-125.pdf#page=2","Abrir facsímil")</f>
        <v>Abrir facsímil</v>
      </c>
      <c r="K6792" s="15" t="s">
        <v>23</v>
      </c>
    </row>
    <row r="6793" spans="1:11" ht="42" customHeight="1">
      <c r="A6793" s="4" t="s">
        <v>16244</v>
      </c>
      <c r="B6793" s="5" t="s">
        <v>16245</v>
      </c>
      <c r="C6793" s="5" t="s">
        <v>33</v>
      </c>
      <c r="D6793" s="5" t="s">
        <v>34</v>
      </c>
      <c r="E6793" s="5" t="s">
        <v>35</v>
      </c>
      <c r="F6793" s="9" t="s">
        <v>36</v>
      </c>
      <c r="G6793" s="9" t="s">
        <v>818</v>
      </c>
      <c r="H6793" s="5" t="s">
        <v>21</v>
      </c>
      <c r="I6793" s="5" t="s">
        <v>16246</v>
      </c>
      <c r="J6793" s="12" t="str">
        <f>HYPERLINK("https://www.boe.es/gazeta/dias/1808/04/22/pdfs/GMD-C-1808-38.pdf#page=7","Abrir facsímil")</f>
        <v>Abrir facsímil</v>
      </c>
      <c r="K6793" s="15" t="s">
        <v>23</v>
      </c>
    </row>
    <row r="6794" spans="1:11" ht="42" customHeight="1">
      <c r="A6794" s="4" t="s">
        <v>16247</v>
      </c>
      <c r="B6794" s="5" t="s">
        <v>16248</v>
      </c>
      <c r="C6794" s="5" t="s">
        <v>33</v>
      </c>
      <c r="D6794" s="5" t="s">
        <v>34</v>
      </c>
      <c r="E6794" s="5" t="s">
        <v>110</v>
      </c>
      <c r="F6794" s="9" t="s">
        <v>828</v>
      </c>
      <c r="G6794" s="9" t="s">
        <v>199</v>
      </c>
      <c r="H6794" s="5" t="s">
        <v>21</v>
      </c>
      <c r="I6794" s="5" t="s">
        <v>16249</v>
      </c>
      <c r="J6794" s="12" t="str">
        <f>HYPERLINK("https://www.boe.es/gazeta/dias/1808/10/28/pdfs/GMD-D-1808-138.pdf#page=2","Abrir facsímil")</f>
        <v>Abrir facsímil</v>
      </c>
      <c r="K6794" s="15" t="s">
        <v>23</v>
      </c>
    </row>
    <row r="6795" spans="1:11" ht="42" customHeight="1">
      <c r="A6795" s="4" t="s">
        <v>16250</v>
      </c>
      <c r="B6795" s="5" t="s">
        <v>16251</v>
      </c>
      <c r="C6795" s="5" t="s">
        <v>94</v>
      </c>
      <c r="D6795" s="5" t="s">
        <v>95</v>
      </c>
      <c r="E6795" s="5" t="s">
        <v>456</v>
      </c>
      <c r="F6795" s="9" t="s">
        <v>457</v>
      </c>
      <c r="G6795" s="9">
        <v>1297</v>
      </c>
      <c r="H6795" s="5" t="s">
        <v>21</v>
      </c>
      <c r="I6795" s="5" t="s">
        <v>16252</v>
      </c>
      <c r="J6795" s="12" t="str">
        <f>HYPERLINK("https://www.boe.es/gazeta/dias/1808/10/14/pdfs/GMD-1808-134.pdf#page=9","Abrir facsímil")</f>
        <v>Abrir facsímil</v>
      </c>
      <c r="K6795" s="15" t="s">
        <v>23</v>
      </c>
    </row>
    <row r="6796" spans="1:11" ht="42" customHeight="1">
      <c r="A6796" s="4" t="s">
        <v>16253</v>
      </c>
      <c r="B6796" s="5" t="s">
        <v>16254</v>
      </c>
      <c r="C6796" s="5" t="s">
        <v>41</v>
      </c>
      <c r="D6796" s="5" t="s">
        <v>42</v>
      </c>
      <c r="E6796" s="5" t="s">
        <v>84</v>
      </c>
      <c r="F6796" s="9" t="s">
        <v>1381</v>
      </c>
      <c r="G6796" s="9">
        <v>248</v>
      </c>
      <c r="H6796" s="5" t="s">
        <v>21</v>
      </c>
      <c r="I6796" s="5" t="s">
        <v>16255</v>
      </c>
      <c r="J6796" s="12" t="str">
        <f>HYPERLINK("https://www.boe.es/gazeta/dias/1808/09/13/pdfs/GMS-1808-31.pdf#page=8","Abrir facsímil")</f>
        <v>Abrir facsímil</v>
      </c>
      <c r="K6796" s="15" t="s">
        <v>23</v>
      </c>
    </row>
    <row r="6797" spans="1:11" ht="42" customHeight="1">
      <c r="A6797" s="4" t="s">
        <v>16256</v>
      </c>
      <c r="B6797" s="5" t="s">
        <v>16257</v>
      </c>
      <c r="C6797" s="5" t="s">
        <v>33</v>
      </c>
      <c r="D6797" s="5" t="s">
        <v>34</v>
      </c>
      <c r="E6797" s="5" t="s">
        <v>427</v>
      </c>
      <c r="F6797" s="9" t="s">
        <v>428</v>
      </c>
      <c r="G6797" s="9" t="s">
        <v>199</v>
      </c>
      <c r="H6797" s="5" t="s">
        <v>21</v>
      </c>
      <c r="I6797" s="5" t="s">
        <v>16258</v>
      </c>
      <c r="J6797" s="12" t="str">
        <f>HYPERLINK("https://www.boe.es/gazeta/dias/1808/11/22/pdfs/GMD-D-1808-146.pdf#page=2","Abrir facsímil")</f>
        <v>Abrir facsímil</v>
      </c>
      <c r="K6797" s="15" t="s">
        <v>23</v>
      </c>
    </row>
    <row r="6798" spans="1:11" ht="42" customHeight="1">
      <c r="A6798" s="4" t="s">
        <v>16259</v>
      </c>
      <c r="B6798" s="5" t="s">
        <v>16259</v>
      </c>
      <c r="C6798" s="5" t="s">
        <v>94</v>
      </c>
      <c r="D6798" s="5" t="s">
        <v>95</v>
      </c>
      <c r="E6798" s="5" t="s">
        <v>6961</v>
      </c>
      <c r="F6798" s="9" t="s">
        <v>6962</v>
      </c>
      <c r="G6798" s="9">
        <v>953</v>
      </c>
      <c r="H6798" s="5" t="s">
        <v>21</v>
      </c>
      <c r="I6798" s="5" t="s">
        <v>16260</v>
      </c>
      <c r="J6798" s="12" t="str">
        <f>HYPERLINK("https://www.boe.es/gazeta/dias/1808/08/02/pdfs/GMD-1808-105.pdf#page=3","Abrir facsímil")</f>
        <v>Abrir facsímil</v>
      </c>
      <c r="K6798" s="15" t="s">
        <v>23</v>
      </c>
    </row>
    <row r="6799" spans="1:11" ht="42" customHeight="1">
      <c r="A6799" s="4" t="s">
        <v>16261</v>
      </c>
      <c r="B6799" s="5" t="s">
        <v>16261</v>
      </c>
      <c r="C6799" s="5" t="s">
        <v>94</v>
      </c>
      <c r="D6799" s="5" t="s">
        <v>95</v>
      </c>
      <c r="E6799" s="5" t="s">
        <v>1962</v>
      </c>
      <c r="F6799" s="9" t="s">
        <v>1963</v>
      </c>
      <c r="G6799" s="9">
        <v>729</v>
      </c>
      <c r="H6799" s="5" t="s">
        <v>21</v>
      </c>
      <c r="I6799" s="5" t="s">
        <v>16262</v>
      </c>
      <c r="J6799" s="12" t="str">
        <f>HYPERLINK("https://www.boe.es/gazeta/dias/1808/07/05/pdfs/GMD-1808-77.pdf#page=3","Abrir facsímil")</f>
        <v>Abrir facsímil</v>
      </c>
      <c r="K6799" s="15" t="s">
        <v>23</v>
      </c>
    </row>
    <row r="6800" spans="1:11" ht="42" customHeight="1">
      <c r="A6800" s="4" t="s">
        <v>16263</v>
      </c>
      <c r="B6800" s="5" t="s">
        <v>16264</v>
      </c>
      <c r="C6800" s="5" t="s">
        <v>94</v>
      </c>
      <c r="D6800" s="5" t="s">
        <v>95</v>
      </c>
      <c r="E6800" s="5" t="s">
        <v>68</v>
      </c>
      <c r="F6800" s="9" t="s">
        <v>849</v>
      </c>
      <c r="G6800" s="9">
        <v>1349</v>
      </c>
      <c r="H6800" s="5" t="s">
        <v>21</v>
      </c>
      <c r="I6800" s="5" t="s">
        <v>16265</v>
      </c>
      <c r="J6800" s="12" t="str">
        <f>HYPERLINK("https://www.boe.es/gazeta/dias/1808/10/21/pdfs/GMD-C-1808-136.pdf#page=9","Abrir facsímil")</f>
        <v>Abrir facsímil</v>
      </c>
      <c r="K6800" s="15" t="s">
        <v>23</v>
      </c>
    </row>
    <row r="6801" spans="1:11" ht="42" customHeight="1">
      <c r="A6801" s="4" t="s">
        <v>16266</v>
      </c>
      <c r="B6801" s="5" t="s">
        <v>16267</v>
      </c>
      <c r="C6801" s="5" t="s">
        <v>33</v>
      </c>
      <c r="D6801" s="5" t="s">
        <v>34</v>
      </c>
      <c r="E6801" s="5" t="s">
        <v>115</v>
      </c>
      <c r="F6801" s="9" t="s">
        <v>116</v>
      </c>
      <c r="G6801" s="9" t="s">
        <v>75</v>
      </c>
      <c r="H6801" s="5" t="s">
        <v>21</v>
      </c>
      <c r="I6801" s="5" t="s">
        <v>16268</v>
      </c>
      <c r="J6801" s="12" t="str">
        <f>HYPERLINK("https://www.boe.es/gazeta/dias/1808/09/16/pdfs/GMD-C-1808-125.pdf#page=4","Abrir facsímil")</f>
        <v>Abrir facsímil</v>
      </c>
      <c r="K6801" s="15" t="s">
        <v>23</v>
      </c>
    </row>
    <row r="6802" spans="1:11" ht="42" customHeight="1">
      <c r="A6802" s="4" t="s">
        <v>16269</v>
      </c>
      <c r="B6802" s="5" t="s">
        <v>16270</v>
      </c>
      <c r="C6802" s="5" t="s">
        <v>17</v>
      </c>
      <c r="D6802" s="5" t="s">
        <v>18</v>
      </c>
      <c r="E6802" s="5" t="s">
        <v>130</v>
      </c>
      <c r="F6802" s="9" t="s">
        <v>131</v>
      </c>
      <c r="G6802" s="9">
        <v>1602</v>
      </c>
      <c r="H6802" s="5" t="s">
        <v>21</v>
      </c>
      <c r="I6802" s="5" t="s">
        <v>16271</v>
      </c>
      <c r="J6802" s="12" t="str">
        <f>HYPERLINK("https://www.boe.es/gazeta/dias/1808/12/15/pdfs/GMD-1808-155.pdf#page=6","Abrir facsímil")</f>
        <v>Abrir facsímil</v>
      </c>
      <c r="K6802" s="15" t="s">
        <v>23</v>
      </c>
    </row>
    <row r="6803" spans="1:11" ht="42" customHeight="1">
      <c r="A6803" s="4" t="s">
        <v>16272</v>
      </c>
      <c r="B6803" s="5" t="s">
        <v>16273</v>
      </c>
      <c r="C6803" s="5" t="s">
        <v>33</v>
      </c>
      <c r="D6803" s="5" t="s">
        <v>34</v>
      </c>
      <c r="E6803" s="5" t="s">
        <v>166</v>
      </c>
      <c r="F6803" s="9" t="s">
        <v>400</v>
      </c>
      <c r="G6803" s="9" t="s">
        <v>75</v>
      </c>
      <c r="H6803" s="5" t="s">
        <v>21</v>
      </c>
      <c r="I6803" s="5" t="s">
        <v>16274</v>
      </c>
      <c r="J6803" s="12" t="str">
        <f>HYPERLINK("https://www.boe.es/gazeta/dias/1808/11/18/pdfs/D00069-00072.pdf#page=4","Abrir facsímil")</f>
        <v>Abrir facsímil</v>
      </c>
      <c r="K6803" s="15" t="s">
        <v>23</v>
      </c>
    </row>
    <row r="6804" spans="1:11" ht="42" customHeight="1">
      <c r="A6804" s="4" t="s">
        <v>16275</v>
      </c>
      <c r="B6804" s="5" t="s">
        <v>16276</v>
      </c>
      <c r="C6804" s="5" t="s">
        <v>41</v>
      </c>
      <c r="D6804" s="5" t="s">
        <v>42</v>
      </c>
      <c r="E6804" s="5" t="s">
        <v>180</v>
      </c>
      <c r="F6804" s="9" t="s">
        <v>768</v>
      </c>
      <c r="G6804" s="9" t="s">
        <v>106</v>
      </c>
      <c r="H6804" s="5" t="s">
        <v>21</v>
      </c>
      <c r="I6804" s="5" t="s">
        <v>16277</v>
      </c>
      <c r="J6804" s="12" t="str">
        <f>HYPERLINK("https://www.boe.es/gazeta/dias/1808/11/15/pdfs/GMD-D-1808-144.pdf#page=3","Abrir facsímil")</f>
        <v>Abrir facsímil</v>
      </c>
      <c r="K6804" s="15" t="s">
        <v>23</v>
      </c>
    </row>
    <row r="6805" spans="1:11" ht="42" customHeight="1">
      <c r="A6805" s="4" t="s">
        <v>16278</v>
      </c>
      <c r="B6805" s="5" t="s">
        <v>16279</v>
      </c>
      <c r="C6805" s="5" t="s">
        <v>33</v>
      </c>
      <c r="D6805" s="5" t="s">
        <v>34</v>
      </c>
      <c r="E6805" s="5" t="s">
        <v>110</v>
      </c>
      <c r="F6805" s="9" t="s">
        <v>828</v>
      </c>
      <c r="G6805" s="9" t="s">
        <v>199</v>
      </c>
      <c r="H6805" s="5" t="s">
        <v>21</v>
      </c>
      <c r="I6805" s="5" t="s">
        <v>16280</v>
      </c>
      <c r="J6805" s="12" t="str">
        <f>HYPERLINK("https://www.boe.es/gazeta/dias/1808/10/28/pdfs/GMD-D-1808-138.pdf#page=2","Abrir facsímil")</f>
        <v>Abrir facsímil</v>
      </c>
      <c r="K6805" s="15" t="s">
        <v>23</v>
      </c>
    </row>
    <row r="6806" spans="1:11" ht="42" customHeight="1">
      <c r="A6806" s="4" t="s">
        <v>16281</v>
      </c>
      <c r="B6806" s="5" t="s">
        <v>16282</v>
      </c>
      <c r="C6806" s="5" t="s">
        <v>33</v>
      </c>
      <c r="D6806" s="5" t="s">
        <v>34</v>
      </c>
      <c r="E6806" s="5" t="s">
        <v>197</v>
      </c>
      <c r="F6806" s="9" t="s">
        <v>198</v>
      </c>
      <c r="G6806" s="9" t="s">
        <v>106</v>
      </c>
      <c r="H6806" s="5" t="s">
        <v>21</v>
      </c>
      <c r="I6806" s="5" t="s">
        <v>16283</v>
      </c>
      <c r="J6806" s="12" t="str">
        <f>HYPERLINK("https://www.boe.es/gazeta/dias/1808/11/01/pdfs/GMD-D-1808-140.pdf#page=3","Abrir facsímil")</f>
        <v>Abrir facsímil</v>
      </c>
      <c r="K6806" s="15" t="s">
        <v>23</v>
      </c>
    </row>
    <row r="6807" spans="1:11" ht="42" customHeight="1">
      <c r="A6807" s="4" t="s">
        <v>16284</v>
      </c>
      <c r="B6807" s="5" t="s">
        <v>16285</v>
      </c>
      <c r="C6807" s="5" t="s">
        <v>17</v>
      </c>
      <c r="D6807" s="5" t="s">
        <v>18</v>
      </c>
      <c r="E6807" s="5" t="s">
        <v>28</v>
      </c>
      <c r="F6807" s="9" t="s">
        <v>29</v>
      </c>
      <c r="G6807" s="9">
        <v>1427</v>
      </c>
      <c r="H6807" s="5" t="s">
        <v>21</v>
      </c>
      <c r="I6807" s="5" t="s">
        <v>16286</v>
      </c>
      <c r="J6807" s="12" t="str">
        <f>HYPERLINK("https://www.boe.es/gazeta/dias/1808/11/04/pdfs/GMD-1808-141.pdf#page=9","Abrir facsímil")</f>
        <v>Abrir facsímil</v>
      </c>
      <c r="K6807" s="15" t="s">
        <v>23</v>
      </c>
    </row>
    <row r="6808" spans="1:11" ht="42" customHeight="1">
      <c r="A6808" s="4" t="s">
        <v>16287</v>
      </c>
      <c r="B6808" s="5" t="s">
        <v>16288</v>
      </c>
      <c r="C6808" s="5" t="s">
        <v>33</v>
      </c>
      <c r="D6808" s="5" t="s">
        <v>34</v>
      </c>
      <c r="E6808" s="5" t="s">
        <v>125</v>
      </c>
      <c r="F6808" s="9" t="s">
        <v>126</v>
      </c>
      <c r="G6808" s="9" t="s">
        <v>199</v>
      </c>
      <c r="H6808" s="5" t="s">
        <v>21</v>
      </c>
      <c r="I6808" s="5" t="s">
        <v>16289</v>
      </c>
      <c r="J6808" s="12" t="str">
        <f>HYPERLINK("https://www.boe.es/gazeta/dias/1808/10/07/pdfs/GMD-C-1808-132.pdf#page=2","Abrir facsímil")</f>
        <v>Abrir facsímil</v>
      </c>
      <c r="K6808" s="15" t="s">
        <v>23</v>
      </c>
    </row>
    <row r="6809" spans="1:11" ht="42" customHeight="1">
      <c r="A6809" s="4" t="s">
        <v>16290</v>
      </c>
      <c r="B6809" s="5" t="s">
        <v>16291</v>
      </c>
      <c r="C6809" s="5" t="s">
        <v>17</v>
      </c>
      <c r="D6809" s="5" t="s">
        <v>18</v>
      </c>
      <c r="E6809" s="5" t="s">
        <v>215</v>
      </c>
      <c r="F6809" s="9" t="s">
        <v>216</v>
      </c>
      <c r="G6809" s="9">
        <v>297</v>
      </c>
      <c r="H6809" s="5" t="s">
        <v>21</v>
      </c>
      <c r="I6809" s="5" t="s">
        <v>16292</v>
      </c>
      <c r="J6809" s="12" t="str">
        <f>HYPERLINK("https://www.boe.es/gazeta/dias/1808/03/25/pdfs/GMD-1808-25.pdf#page=7","Abrir facsímil")</f>
        <v>Abrir facsímil</v>
      </c>
      <c r="K6809" s="15" t="s">
        <v>23</v>
      </c>
    </row>
    <row r="6810" spans="1:11" ht="42" customHeight="1">
      <c r="A6810" s="4" t="s">
        <v>16293</v>
      </c>
      <c r="B6810" s="5" t="s">
        <v>16294</v>
      </c>
      <c r="C6810" s="5" t="s">
        <v>33</v>
      </c>
      <c r="D6810" s="5" t="s">
        <v>34</v>
      </c>
      <c r="E6810" s="5" t="s">
        <v>197</v>
      </c>
      <c r="F6810" s="9" t="s">
        <v>198</v>
      </c>
      <c r="G6810" s="9" t="s">
        <v>117</v>
      </c>
      <c r="H6810" s="5" t="s">
        <v>21</v>
      </c>
      <c r="I6810" s="5" t="s">
        <v>16295</v>
      </c>
      <c r="J6810" s="12" t="str">
        <f>HYPERLINK("https://www.boe.es/gazeta/dias/1808/11/01/pdfs/GMD-D-1808-140.pdf#page=1","Abrir facsímil")</f>
        <v>Abrir facsímil</v>
      </c>
      <c r="K6810" s="15" t="s">
        <v>23</v>
      </c>
    </row>
    <row r="6811" spans="1:11" ht="42" customHeight="1">
      <c r="A6811" s="4" t="s">
        <v>16296</v>
      </c>
      <c r="B6811" s="5" t="s">
        <v>16297</v>
      </c>
      <c r="C6811" s="5" t="s">
        <v>33</v>
      </c>
      <c r="D6811" s="5" t="s">
        <v>34</v>
      </c>
      <c r="E6811" s="5" t="s">
        <v>139</v>
      </c>
      <c r="F6811" s="9" t="s">
        <v>1089</v>
      </c>
      <c r="G6811" s="9" t="s">
        <v>117</v>
      </c>
      <c r="H6811" s="5" t="s">
        <v>21</v>
      </c>
      <c r="I6811" s="5" t="s">
        <v>16298</v>
      </c>
      <c r="J6811" s="12" t="str">
        <f>HYPERLINK("https://www.boe.es/gazeta/dias/1808/09/23/pdfs/GMD-C-1808-127.pdf#page=1","Abrir facsímil")</f>
        <v>Abrir facsímil</v>
      </c>
      <c r="K6811" s="15" t="s">
        <v>23</v>
      </c>
    </row>
    <row r="6812" spans="1:11" ht="42" customHeight="1">
      <c r="A6812" s="4" t="s">
        <v>16299</v>
      </c>
      <c r="B6812" s="5" t="s">
        <v>16300</v>
      </c>
      <c r="C6812" s="5" t="s">
        <v>17</v>
      </c>
      <c r="D6812" s="5" t="s">
        <v>18</v>
      </c>
      <c r="E6812" s="5" t="s">
        <v>719</v>
      </c>
      <c r="F6812" s="9" t="s">
        <v>720</v>
      </c>
      <c r="G6812" s="9">
        <v>1609</v>
      </c>
      <c r="H6812" s="5" t="s">
        <v>21</v>
      </c>
      <c r="I6812" s="5" t="s">
        <v>16301</v>
      </c>
      <c r="J6812" s="12" t="str">
        <f>HYPERLINK("https://www.boe.es/gazeta/dias/1808/12/16/pdfs/GMD-1808-156.pdf#page=1","Abrir facsímil")</f>
        <v>Abrir facsímil</v>
      </c>
      <c r="K6812" s="15" t="s">
        <v>23</v>
      </c>
    </row>
    <row r="6813" spans="1:11" ht="42" customHeight="1">
      <c r="A6813" s="4" t="s">
        <v>16302</v>
      </c>
      <c r="B6813" s="5" t="s">
        <v>16303</v>
      </c>
      <c r="C6813" s="5" t="s">
        <v>33</v>
      </c>
      <c r="D6813" s="5" t="s">
        <v>34</v>
      </c>
      <c r="E6813" s="5" t="s">
        <v>334</v>
      </c>
      <c r="F6813" s="9" t="s">
        <v>335</v>
      </c>
      <c r="G6813" s="9">
        <v>1258</v>
      </c>
      <c r="H6813" s="5" t="s">
        <v>21</v>
      </c>
      <c r="I6813" s="5" t="s">
        <v>16304</v>
      </c>
      <c r="J6813" s="12" t="str">
        <f>HYPERLINK("https://www.boe.es/gazeta/dias/1808/10/04/pdfs/GMD-C-1808-131.pdf#page=10","Abrir facsímil")</f>
        <v>Abrir facsímil</v>
      </c>
      <c r="K6813" s="15" t="s">
        <v>23</v>
      </c>
    </row>
    <row r="6814" spans="1:11" ht="42" customHeight="1">
      <c r="A6814" s="4" t="s">
        <v>16305</v>
      </c>
      <c r="B6814" s="5" t="s">
        <v>16306</v>
      </c>
      <c r="C6814" s="5" t="s">
        <v>17</v>
      </c>
      <c r="D6814" s="5" t="s">
        <v>18</v>
      </c>
      <c r="E6814" s="5" t="s">
        <v>130</v>
      </c>
      <c r="F6814" s="9" t="s">
        <v>131</v>
      </c>
      <c r="G6814" s="9">
        <v>1603</v>
      </c>
      <c r="H6814" s="5" t="s">
        <v>21</v>
      </c>
      <c r="I6814" s="5" t="s">
        <v>16307</v>
      </c>
      <c r="J6814" s="12" t="str">
        <f>HYPERLINK("https://www.boe.es/gazeta/dias/1808/12/15/pdfs/GMD-1808-155.pdf#page=7","Abrir facsímil")</f>
        <v>Abrir facsímil</v>
      </c>
      <c r="K6814" s="15" t="s">
        <v>23</v>
      </c>
    </row>
    <row r="6815" spans="1:11" ht="42" customHeight="1">
      <c r="A6815" s="4" t="s">
        <v>16308</v>
      </c>
      <c r="B6815" s="5" t="s">
        <v>16309</v>
      </c>
      <c r="C6815" s="5" t="s">
        <v>94</v>
      </c>
      <c r="D6815" s="5" t="s">
        <v>95</v>
      </c>
      <c r="E6815" s="5" t="s">
        <v>493</v>
      </c>
      <c r="F6815" s="9" t="s">
        <v>494</v>
      </c>
      <c r="G6815" s="9">
        <v>45</v>
      </c>
      <c r="H6815" s="5" t="s">
        <v>21</v>
      </c>
      <c r="I6815" s="5" t="s">
        <v>16310</v>
      </c>
      <c r="J6815" s="12" t="str">
        <f>HYPERLINK("https://www.boe.es/gazeta/dias/1808/01/12/pdfs/GMD-1808-4.pdf#page=9","Abrir facsímil")</f>
        <v>Abrir facsímil</v>
      </c>
      <c r="K6815" s="15" t="s">
        <v>23</v>
      </c>
    </row>
    <row r="6816" spans="1:11" ht="42" customHeight="1">
      <c r="A6816" s="4" t="s">
        <v>16311</v>
      </c>
      <c r="B6816" s="5" t="s">
        <v>16312</v>
      </c>
      <c r="C6816" s="5" t="s">
        <v>17</v>
      </c>
      <c r="D6816" s="5" t="s">
        <v>18</v>
      </c>
      <c r="E6816" s="5" t="s">
        <v>264</v>
      </c>
      <c r="F6816" s="9" t="s">
        <v>2256</v>
      </c>
      <c r="G6816" s="9">
        <v>1565</v>
      </c>
      <c r="H6816" s="5" t="s">
        <v>21</v>
      </c>
      <c r="I6816" s="5" t="s">
        <v>16313</v>
      </c>
      <c r="J6816" s="12" t="str">
        <f>HYPERLINK("https://www.boe.es/gazeta/dias/1808/11/29/pdfs/GMD-1808-148.pdf#page=11","Abrir facsímil")</f>
        <v>Abrir facsímil</v>
      </c>
      <c r="K6816" s="15" t="s">
        <v>23</v>
      </c>
    </row>
    <row r="6817" spans="1:11" ht="42" customHeight="1">
      <c r="A6817" s="4" t="s">
        <v>16314</v>
      </c>
      <c r="B6817" s="5" t="s">
        <v>16315</v>
      </c>
      <c r="C6817" s="5" t="s">
        <v>41</v>
      </c>
      <c r="D6817" s="5" t="s">
        <v>42</v>
      </c>
      <c r="E6817" s="5" t="s">
        <v>35</v>
      </c>
      <c r="F6817" s="9" t="s">
        <v>36</v>
      </c>
      <c r="G6817" s="9" t="s">
        <v>162</v>
      </c>
      <c r="H6817" s="5" t="s">
        <v>21</v>
      </c>
      <c r="I6817" s="5" t="s">
        <v>16316</v>
      </c>
      <c r="J6817" s="12" t="str">
        <f>HYPERLINK("https://www.boe.es/gazeta/dias/1808/04/22/pdfs/GMD-C-1808-38.pdf#page=31","Abrir facsímil")</f>
        <v>Abrir facsímil</v>
      </c>
      <c r="K6817" s="15" t="s">
        <v>23</v>
      </c>
    </row>
    <row r="6818" spans="1:11" ht="42" customHeight="1">
      <c r="A6818" s="4" t="s">
        <v>16317</v>
      </c>
      <c r="B6818" s="5" t="s">
        <v>16318</v>
      </c>
      <c r="C6818" s="5" t="s">
        <v>33</v>
      </c>
      <c r="D6818" s="5" t="s">
        <v>34</v>
      </c>
      <c r="E6818" s="5" t="s">
        <v>35</v>
      </c>
      <c r="F6818" s="9" t="s">
        <v>36</v>
      </c>
      <c r="G6818" s="9" t="s">
        <v>75</v>
      </c>
      <c r="H6818" s="5" t="s">
        <v>21</v>
      </c>
      <c r="I6818" s="5" t="s">
        <v>16319</v>
      </c>
      <c r="J6818" s="12" t="str">
        <f>HYPERLINK("https://www.boe.es/gazeta/dias/1808/04/22/pdfs/GMD-C-1808-38.pdf#page=4","Abrir facsímil")</f>
        <v>Abrir facsímil</v>
      </c>
      <c r="K6818" s="15" t="s">
        <v>23</v>
      </c>
    </row>
    <row r="6819" spans="1:11" ht="42" customHeight="1">
      <c r="A6819" s="4" t="s">
        <v>16320</v>
      </c>
      <c r="B6819" s="5" t="s">
        <v>16321</v>
      </c>
      <c r="C6819" s="5" t="s">
        <v>94</v>
      </c>
      <c r="D6819" s="5" t="s">
        <v>95</v>
      </c>
      <c r="E6819" s="5" t="s">
        <v>508</v>
      </c>
      <c r="F6819" s="9" t="s">
        <v>509</v>
      </c>
      <c r="G6819" s="9">
        <v>1010</v>
      </c>
      <c r="H6819" s="5" t="s">
        <v>21</v>
      </c>
      <c r="I6819" s="5" t="s">
        <v>16322</v>
      </c>
      <c r="J6819" s="12" t="str">
        <f>HYPERLINK("https://www.boe.es/gazeta/dias/1808/08/16/pdfs/GMD-1808-113.pdf#page=2","Abrir facsímil")</f>
        <v>Abrir facsímil</v>
      </c>
      <c r="K6819" s="15" t="s">
        <v>23</v>
      </c>
    </row>
    <row r="6820" spans="1:11" ht="42" customHeight="1">
      <c r="A6820" s="4" t="s">
        <v>16323</v>
      </c>
      <c r="B6820" s="5" t="s">
        <v>16324</v>
      </c>
      <c r="C6820" s="5" t="s">
        <v>17</v>
      </c>
      <c r="D6820" s="5" t="s">
        <v>18</v>
      </c>
      <c r="E6820" s="5" t="s">
        <v>96</v>
      </c>
      <c r="F6820" s="9" t="s">
        <v>97</v>
      </c>
      <c r="G6820" s="9">
        <v>268</v>
      </c>
      <c r="H6820" s="5" t="s">
        <v>21</v>
      </c>
      <c r="I6820" s="5" t="s">
        <v>16325</v>
      </c>
      <c r="J6820" s="12" t="str">
        <f>HYPERLINK("https://www.boe.es/gazeta/dias/1808/03/15/pdfs/GMD-1808-22.pdf#page=10","Abrir facsímil")</f>
        <v>Abrir facsímil</v>
      </c>
      <c r="K6820" s="15" t="s">
        <v>23</v>
      </c>
    </row>
    <row r="6821" spans="1:11" ht="42" customHeight="1">
      <c r="A6821" s="4" t="s">
        <v>16326</v>
      </c>
      <c r="B6821" s="5" t="s">
        <v>16327</v>
      </c>
      <c r="C6821" s="5" t="s">
        <v>33</v>
      </c>
      <c r="D6821" s="5" t="s">
        <v>34</v>
      </c>
      <c r="E6821" s="5" t="s">
        <v>166</v>
      </c>
      <c r="F6821" s="9" t="s">
        <v>400</v>
      </c>
      <c r="G6821" s="9" t="s">
        <v>199</v>
      </c>
      <c r="H6821" s="5" t="s">
        <v>21</v>
      </c>
      <c r="I6821" s="5" t="s">
        <v>16328</v>
      </c>
      <c r="J6821" s="12" t="str">
        <f>HYPERLINK("https://www.boe.es/gazeta/dias/1808/11/18/pdfs/D00069-00072.pdf#page=2","Abrir facsímil")</f>
        <v>Abrir facsímil</v>
      </c>
      <c r="K6821" s="15" t="s">
        <v>23</v>
      </c>
    </row>
    <row r="6822" spans="1:11" ht="42" customHeight="1">
      <c r="A6822" s="4" t="s">
        <v>16329</v>
      </c>
      <c r="B6822" s="5" t="s">
        <v>16330</v>
      </c>
      <c r="C6822" s="5" t="s">
        <v>33</v>
      </c>
      <c r="D6822" s="5" t="s">
        <v>34</v>
      </c>
      <c r="E6822" s="5" t="s">
        <v>35</v>
      </c>
      <c r="F6822" s="9" t="s">
        <v>36</v>
      </c>
      <c r="G6822" s="9" t="s">
        <v>655</v>
      </c>
      <c r="H6822" s="5" t="s">
        <v>21</v>
      </c>
      <c r="I6822" s="5" t="s">
        <v>16331</v>
      </c>
      <c r="J6822" s="12" t="str">
        <f>HYPERLINK("https://www.boe.es/gazeta/dias/1808/04/22/pdfs/GMD-C-1808-38.pdf#page=43","Abrir facsímil")</f>
        <v>Abrir facsímil</v>
      </c>
      <c r="K6822" s="15" t="s">
        <v>23</v>
      </c>
    </row>
    <row r="6823" spans="1:11" ht="42" customHeight="1">
      <c r="A6823" s="4" t="s">
        <v>16332</v>
      </c>
      <c r="B6823" s="5" t="s">
        <v>16332</v>
      </c>
      <c r="C6823" s="5" t="s">
        <v>33</v>
      </c>
      <c r="D6823" s="5" t="s">
        <v>34</v>
      </c>
      <c r="E6823" s="5" t="s">
        <v>68</v>
      </c>
      <c r="F6823" s="9" t="s">
        <v>309</v>
      </c>
      <c r="G6823" s="9" t="s">
        <v>117</v>
      </c>
      <c r="H6823" s="5" t="s">
        <v>21</v>
      </c>
      <c r="I6823" s="5" t="s">
        <v>16333</v>
      </c>
      <c r="J6823" s="12" t="str">
        <f>HYPERLINK("https://www.boe.es/gazeta/dias/1808/10/21/pdfs/GMD-D-1808-136.pdf#page=1","Abrir facsímil")</f>
        <v>Abrir facsímil</v>
      </c>
      <c r="K6823" s="15" t="s">
        <v>23</v>
      </c>
    </row>
    <row r="6824" spans="1:11" ht="42" customHeight="1">
      <c r="A6824" s="4" t="s">
        <v>16334</v>
      </c>
      <c r="B6824" s="5" t="s">
        <v>16334</v>
      </c>
      <c r="C6824" s="5" t="s">
        <v>33</v>
      </c>
      <c r="D6824" s="5" t="s">
        <v>34</v>
      </c>
      <c r="E6824" s="5" t="s">
        <v>35</v>
      </c>
      <c r="F6824" s="9" t="s">
        <v>36</v>
      </c>
      <c r="G6824" s="9" t="s">
        <v>313</v>
      </c>
      <c r="H6824" s="5" t="s">
        <v>21</v>
      </c>
      <c r="I6824" s="5" t="s">
        <v>16335</v>
      </c>
      <c r="J6824" s="12" t="str">
        <f>HYPERLINK("https://www.boe.es/gazeta/dias/1808/04/22/pdfs/GMD-C-1808-38.pdf#page=29","Abrir facsímil")</f>
        <v>Abrir facsímil</v>
      </c>
      <c r="K6824" s="15" t="s">
        <v>23</v>
      </c>
    </row>
    <row r="6825" spans="1:11" ht="42" customHeight="1">
      <c r="A6825" s="4" t="s">
        <v>16336</v>
      </c>
      <c r="B6825" s="5" t="s">
        <v>16337</v>
      </c>
      <c r="C6825" s="5" t="s">
        <v>33</v>
      </c>
      <c r="D6825" s="5" t="s">
        <v>34</v>
      </c>
      <c r="E6825" s="5" t="s">
        <v>391</v>
      </c>
      <c r="F6825" s="9" t="s">
        <v>588</v>
      </c>
      <c r="G6825" s="9" t="s">
        <v>75</v>
      </c>
      <c r="H6825" s="5" t="s">
        <v>21</v>
      </c>
      <c r="I6825" s="5" t="s">
        <v>16338</v>
      </c>
      <c r="J6825" s="12" t="str">
        <f>HYPERLINK("https://www.boe.es/gazeta/dias/1808/09/27/pdfs/GMD-C-1808-128.pdf#page=4","Abrir facsímil")</f>
        <v>Abrir facsímil</v>
      </c>
      <c r="K6825" s="15" t="s">
        <v>23</v>
      </c>
    </row>
    <row r="6826" spans="1:11" ht="42" customHeight="1">
      <c r="A6826" s="4" t="s">
        <v>16339</v>
      </c>
      <c r="B6826" s="5" t="s">
        <v>16340</v>
      </c>
      <c r="C6826" s="5" t="s">
        <v>33</v>
      </c>
      <c r="D6826" s="5" t="s">
        <v>34</v>
      </c>
      <c r="E6826" s="5" t="s">
        <v>166</v>
      </c>
      <c r="F6826" s="9" t="s">
        <v>167</v>
      </c>
      <c r="G6826" s="9">
        <v>1511</v>
      </c>
      <c r="H6826" s="5" t="s">
        <v>21</v>
      </c>
      <c r="I6826" s="5" t="s">
        <v>16341</v>
      </c>
      <c r="J6826" s="12" t="str">
        <f>HYPERLINK("https://www.boe.es/gazeta/dias/1808/11/18/pdfs/GMD-C-1808-145.pdf#page=1","Abrir facsímil")</f>
        <v>Abrir facsímil</v>
      </c>
      <c r="K6826" s="15" t="s">
        <v>23</v>
      </c>
    </row>
    <row r="6827" spans="1:11" ht="42" customHeight="1">
      <c r="A6827" s="4" t="s">
        <v>16342</v>
      </c>
      <c r="B6827" s="5" t="s">
        <v>16342</v>
      </c>
      <c r="C6827" s="5" t="s">
        <v>94</v>
      </c>
      <c r="D6827" s="5" t="s">
        <v>95</v>
      </c>
      <c r="E6827" s="5" t="s">
        <v>1258</v>
      </c>
      <c r="F6827" s="9" t="s">
        <v>1259</v>
      </c>
      <c r="G6827" s="9">
        <v>894</v>
      </c>
      <c r="H6827" s="5" t="s">
        <v>21</v>
      </c>
      <c r="I6827" s="5" t="s">
        <v>16343</v>
      </c>
      <c r="J6827" s="12" t="str">
        <f>HYPERLINK("https://www.boe.es/gazeta/dias/1808/07/25/pdfs/GMD-1808-97.pdf#page=8","Abrir facsímil")</f>
        <v>Abrir facsímil</v>
      </c>
      <c r="K6827" s="15" t="s">
        <v>23</v>
      </c>
    </row>
    <row r="6828" spans="1:11" ht="42" customHeight="1">
      <c r="A6828" s="4" t="s">
        <v>16344</v>
      </c>
      <c r="B6828" s="5" t="s">
        <v>16344</v>
      </c>
      <c r="C6828" s="5" t="s">
        <v>389</v>
      </c>
      <c r="D6828" s="5" t="s">
        <v>390</v>
      </c>
      <c r="E6828" s="5" t="s">
        <v>225</v>
      </c>
      <c r="F6828" s="9" t="s">
        <v>226</v>
      </c>
      <c r="G6828" s="9">
        <v>605</v>
      </c>
      <c r="H6828" s="5" t="s">
        <v>21</v>
      </c>
      <c r="I6828" s="5" t="s">
        <v>16345</v>
      </c>
      <c r="J6828" s="12" t="str">
        <f>HYPERLINK("https://www.boe.es/gazeta/dias/1808/06/20/pdfs/GMD-1808-62.pdf#page=3","Abrir facsímil")</f>
        <v>Abrir facsímil</v>
      </c>
      <c r="K6828" s="15" t="s">
        <v>23</v>
      </c>
    </row>
    <row r="6829" spans="1:11" ht="42" customHeight="1">
      <c r="A6829" s="4" t="s">
        <v>16344</v>
      </c>
      <c r="B6829" s="5" t="s">
        <v>16344</v>
      </c>
      <c r="C6829" s="5" t="s">
        <v>17</v>
      </c>
      <c r="D6829" s="5" t="s">
        <v>18</v>
      </c>
      <c r="E6829" s="5" t="s">
        <v>1484</v>
      </c>
      <c r="F6829" s="9" t="s">
        <v>1485</v>
      </c>
      <c r="G6829" s="9">
        <v>677</v>
      </c>
      <c r="H6829" s="5" t="s">
        <v>21</v>
      </c>
      <c r="I6829" s="5" t="s">
        <v>16346</v>
      </c>
      <c r="J6829" s="12" t="str">
        <f>HYPERLINK("https://www.boe.es/gazeta/dias/1808/06/28/pdfs/GMD-1808-70.pdf#page=7","Abrir facsímil")</f>
        <v>Abrir facsímil</v>
      </c>
      <c r="K6829" s="15" t="s">
        <v>23</v>
      </c>
    </row>
    <row r="6830" spans="1:11" ht="42" customHeight="1">
      <c r="A6830" s="4" t="s">
        <v>16344</v>
      </c>
      <c r="B6830" s="5" t="s">
        <v>16344</v>
      </c>
      <c r="C6830" s="5" t="s">
        <v>17</v>
      </c>
      <c r="D6830" s="5" t="s">
        <v>18</v>
      </c>
      <c r="E6830" s="5" t="s">
        <v>8875</v>
      </c>
      <c r="F6830" s="9" t="s">
        <v>8876</v>
      </c>
      <c r="G6830" s="9">
        <v>886</v>
      </c>
      <c r="H6830" s="5" t="s">
        <v>21</v>
      </c>
      <c r="I6830" s="5" t="s">
        <v>16347</v>
      </c>
      <c r="J6830" s="12" t="str">
        <f>HYPERLINK("https://www.boe.es/gazeta/dias/1808/07/24/pdfs/GMD-1808-96.pdf#page=8","Abrir facsímil")</f>
        <v>Abrir facsímil</v>
      </c>
      <c r="K6830" s="15" t="s">
        <v>23</v>
      </c>
    </row>
    <row r="6831" spans="1:11" ht="42" customHeight="1">
      <c r="A6831" s="4" t="s">
        <v>16348</v>
      </c>
      <c r="B6831" s="5" t="s">
        <v>16348</v>
      </c>
      <c r="C6831" s="5" t="s">
        <v>17</v>
      </c>
      <c r="D6831" s="5" t="s">
        <v>18</v>
      </c>
      <c r="E6831" s="5" t="s">
        <v>1484</v>
      </c>
      <c r="F6831" s="9" t="s">
        <v>1485</v>
      </c>
      <c r="G6831" s="9">
        <v>677</v>
      </c>
      <c r="H6831" s="5" t="s">
        <v>21</v>
      </c>
      <c r="I6831" s="5" t="s">
        <v>16349</v>
      </c>
      <c r="J6831" s="12" t="str">
        <f>HYPERLINK("https://www.boe.es/gazeta/dias/1808/06/28/pdfs/GMD-1808-70.pdf#page=7","Abrir facsímil")</f>
        <v>Abrir facsímil</v>
      </c>
      <c r="K6831" s="15" t="s">
        <v>23</v>
      </c>
    </row>
    <row r="6832" spans="1:11" ht="42" customHeight="1">
      <c r="A6832" s="4" t="s">
        <v>16350</v>
      </c>
      <c r="B6832" s="5" t="s">
        <v>16351</v>
      </c>
      <c r="C6832" s="5" t="s">
        <v>17</v>
      </c>
      <c r="D6832" s="5" t="s">
        <v>18</v>
      </c>
      <c r="E6832" s="5" t="s">
        <v>203</v>
      </c>
      <c r="F6832" s="9" t="s">
        <v>204</v>
      </c>
      <c r="G6832" s="9">
        <v>140</v>
      </c>
      <c r="H6832" s="5" t="s">
        <v>21</v>
      </c>
      <c r="I6832" s="5" t="s">
        <v>16352</v>
      </c>
      <c r="J6832" s="12" t="str">
        <f>HYPERLINK("https://www.boe.es/gazeta/dias/1808/02/09/pdfs/GMD-1808-12.pdf#page=8","Abrir facsímil")</f>
        <v>Abrir facsímil</v>
      </c>
      <c r="K6832" s="15" t="s">
        <v>23</v>
      </c>
    </row>
    <row r="6833" spans="1:11" ht="42" customHeight="1">
      <c r="A6833" s="4" t="s">
        <v>16353</v>
      </c>
      <c r="B6833" s="5" t="s">
        <v>16353</v>
      </c>
      <c r="C6833" s="5" t="s">
        <v>101</v>
      </c>
      <c r="D6833" s="5" t="s">
        <v>102</v>
      </c>
      <c r="E6833" s="5" t="s">
        <v>1821</v>
      </c>
      <c r="F6833" s="9" t="s">
        <v>1874</v>
      </c>
      <c r="G6833" s="9">
        <v>623</v>
      </c>
      <c r="H6833" s="5" t="s">
        <v>21</v>
      </c>
      <c r="I6833" s="5" t="s">
        <v>16354</v>
      </c>
      <c r="J6833" s="12" t="str">
        <f>HYPERLINK("https://www.boe.es/gazeta/dias/1808/06/22/pdfs/GMD-1808-64.pdf#page=1","Abrir facsímil")</f>
        <v>Abrir facsímil</v>
      </c>
      <c r="K6833" s="15" t="s">
        <v>23</v>
      </c>
    </row>
    <row r="6834" spans="1:11" ht="42" customHeight="1">
      <c r="A6834" s="4" t="s">
        <v>16355</v>
      </c>
      <c r="B6834" s="5" t="s">
        <v>16356</v>
      </c>
      <c r="C6834" s="5" t="s">
        <v>17</v>
      </c>
      <c r="D6834" s="5" t="s">
        <v>18</v>
      </c>
      <c r="E6834" s="5" t="s">
        <v>203</v>
      </c>
      <c r="F6834" s="9" t="s">
        <v>204</v>
      </c>
      <c r="G6834" s="9">
        <v>140</v>
      </c>
      <c r="H6834" s="5" t="s">
        <v>21</v>
      </c>
      <c r="I6834" s="5" t="s">
        <v>16357</v>
      </c>
      <c r="J6834" s="12" t="str">
        <f>HYPERLINK("https://www.boe.es/gazeta/dias/1808/02/09/pdfs/GMD-1808-12.pdf#page=8","Abrir facsímil")</f>
        <v>Abrir facsímil</v>
      </c>
      <c r="K6834" s="15" t="s">
        <v>23</v>
      </c>
    </row>
    <row r="6835" spans="1:11" ht="42" customHeight="1">
      <c r="A6835" s="4" t="s">
        <v>16358</v>
      </c>
      <c r="B6835" s="5" t="s">
        <v>16359</v>
      </c>
      <c r="C6835" s="5" t="s">
        <v>33</v>
      </c>
      <c r="D6835" s="5" t="s">
        <v>34</v>
      </c>
      <c r="E6835" s="5" t="s">
        <v>65</v>
      </c>
      <c r="F6835" s="9" t="s">
        <v>105</v>
      </c>
      <c r="G6835" s="9" t="s">
        <v>199</v>
      </c>
      <c r="H6835" s="5" t="s">
        <v>21</v>
      </c>
      <c r="I6835" s="5" t="s">
        <v>16360</v>
      </c>
      <c r="J6835" s="12" t="str">
        <f>HYPERLINK("https://www.boe.es/gazeta/dias/1808/10/18/pdfs/GMD-D-1808-135.pdf#page=2","Abrir facsímil")</f>
        <v>Abrir facsímil</v>
      </c>
      <c r="K6835" s="15" t="s">
        <v>23</v>
      </c>
    </row>
    <row r="6836" spans="1:11" ht="42" customHeight="1">
      <c r="A6836" s="4" t="s">
        <v>16361</v>
      </c>
      <c r="B6836" s="5" t="s">
        <v>16362</v>
      </c>
      <c r="C6836" s="5" t="s">
        <v>94</v>
      </c>
      <c r="D6836" s="5" t="s">
        <v>95</v>
      </c>
      <c r="E6836" s="5" t="s">
        <v>203</v>
      </c>
      <c r="F6836" s="9" t="s">
        <v>204</v>
      </c>
      <c r="G6836" s="9">
        <v>142</v>
      </c>
      <c r="H6836" s="5" t="s">
        <v>21</v>
      </c>
      <c r="I6836" s="5" t="s">
        <v>16363</v>
      </c>
      <c r="J6836" s="12" t="str">
        <f>HYPERLINK("https://www.boe.es/gazeta/dias/1808/02/09/pdfs/GMD-1808-12.pdf#page=10","Abrir facsímil")</f>
        <v>Abrir facsímil</v>
      </c>
      <c r="K6836" s="15" t="s">
        <v>23</v>
      </c>
    </row>
    <row r="6837" spans="1:11" ht="42" customHeight="1">
      <c r="A6837" s="4" t="s">
        <v>16364</v>
      </c>
      <c r="B6837" s="5" t="s">
        <v>16365</v>
      </c>
      <c r="C6837" s="5" t="s">
        <v>33</v>
      </c>
      <c r="D6837" s="5" t="s">
        <v>34</v>
      </c>
      <c r="E6837" s="5" t="s">
        <v>89</v>
      </c>
      <c r="F6837" s="9" t="s">
        <v>563</v>
      </c>
      <c r="G6837" s="9" t="s">
        <v>75</v>
      </c>
      <c r="H6837" s="5" t="s">
        <v>21</v>
      </c>
      <c r="I6837" s="5" t="s">
        <v>16366</v>
      </c>
      <c r="J6837" s="12" t="str">
        <f>HYPERLINK("https://www.boe.es/gazeta/dias/1808/10/25/pdfs/GMD-D-1808-137.pdf#page=4","Abrir facsímil")</f>
        <v>Abrir facsímil</v>
      </c>
      <c r="K6837" s="15" t="s">
        <v>23</v>
      </c>
    </row>
    <row r="6838" spans="1:11" ht="42" customHeight="1">
      <c r="A6838" s="4" t="s">
        <v>16367</v>
      </c>
      <c r="B6838" s="5" t="s">
        <v>16368</v>
      </c>
      <c r="C6838" s="5" t="s">
        <v>17</v>
      </c>
      <c r="D6838" s="5" t="s">
        <v>18</v>
      </c>
      <c r="E6838" s="5" t="s">
        <v>197</v>
      </c>
      <c r="F6838" s="9" t="s">
        <v>857</v>
      </c>
      <c r="G6838" s="9">
        <v>356</v>
      </c>
      <c r="H6838" s="5" t="s">
        <v>21</v>
      </c>
      <c r="I6838" s="5" t="s">
        <v>16369</v>
      </c>
      <c r="J6838" s="12" t="str">
        <f>HYPERLINK("https://www.boe.es/gazeta/dias/1808/11/01/pdfs/GMS-1808-45.pdf#page=4","Abrir facsímil")</f>
        <v>Abrir facsímil</v>
      </c>
      <c r="K6838" s="15" t="s">
        <v>23</v>
      </c>
    </row>
    <row r="6839" spans="1:11" ht="42" customHeight="1">
      <c r="A6839" s="4" t="s">
        <v>16370</v>
      </c>
      <c r="B6839" s="5" t="s">
        <v>16371</v>
      </c>
      <c r="C6839" s="5" t="s">
        <v>17</v>
      </c>
      <c r="D6839" s="5" t="s">
        <v>18</v>
      </c>
      <c r="E6839" s="5" t="s">
        <v>166</v>
      </c>
      <c r="F6839" s="9" t="s">
        <v>356</v>
      </c>
      <c r="G6839" s="9">
        <v>1509</v>
      </c>
      <c r="H6839" s="5" t="s">
        <v>21</v>
      </c>
      <c r="I6839" s="5" t="s">
        <v>16372</v>
      </c>
      <c r="J6839" s="12" t="str">
        <f>HYPERLINK("https://www.boe.es/gazeta/dias/1808/11/18/pdfs/GMD-1808-145.pdf#page=7","Abrir facsímil")</f>
        <v>Abrir facsímil</v>
      </c>
      <c r="K6839" s="15" t="s">
        <v>23</v>
      </c>
    </row>
    <row r="6840" spans="1:11" ht="42" customHeight="1">
      <c r="A6840" s="4" t="s">
        <v>16373</v>
      </c>
      <c r="B6840" s="5" t="s">
        <v>16373</v>
      </c>
      <c r="C6840" s="5" t="s">
        <v>33</v>
      </c>
      <c r="D6840" s="5" t="s">
        <v>34</v>
      </c>
      <c r="E6840" s="5" t="s">
        <v>35</v>
      </c>
      <c r="F6840" s="9" t="s">
        <v>36</v>
      </c>
      <c r="G6840" s="9" t="s">
        <v>106</v>
      </c>
      <c r="H6840" s="5" t="s">
        <v>21</v>
      </c>
      <c r="I6840" s="5" t="s">
        <v>16374</v>
      </c>
      <c r="J6840" s="12" t="str">
        <f>HYPERLINK("https://www.boe.es/gazeta/dias/1808/04/22/pdfs/GMD-C-1808-38.pdf#page=3","Abrir facsímil")</f>
        <v>Abrir facsímil</v>
      </c>
      <c r="K6840" s="15" t="s">
        <v>23</v>
      </c>
    </row>
    <row r="6841" spans="1:11" ht="42" customHeight="1">
      <c r="A6841" s="4" t="s">
        <v>16375</v>
      </c>
      <c r="B6841" s="5" t="s">
        <v>16375</v>
      </c>
      <c r="C6841" s="5" t="s">
        <v>17</v>
      </c>
      <c r="D6841" s="5" t="s">
        <v>18</v>
      </c>
      <c r="E6841" s="5" t="s">
        <v>28</v>
      </c>
      <c r="F6841" s="9" t="s">
        <v>29</v>
      </c>
      <c r="G6841" s="9">
        <v>1428</v>
      </c>
      <c r="H6841" s="5" t="s">
        <v>21</v>
      </c>
      <c r="I6841" s="5" t="s">
        <v>16376</v>
      </c>
      <c r="J6841" s="12" t="str">
        <f>HYPERLINK("https://www.boe.es/gazeta/dias/1808/11/04/pdfs/GMD-1808-141.pdf#page=10","Abrir facsímil")</f>
        <v>Abrir facsímil</v>
      </c>
      <c r="K6841" s="15" t="s">
        <v>23</v>
      </c>
    </row>
    <row r="6842" spans="1:11" ht="42" customHeight="1">
      <c r="A6842" s="4" t="s">
        <v>16377</v>
      </c>
      <c r="B6842" s="5" t="s">
        <v>16377</v>
      </c>
      <c r="C6842" s="5" t="s">
        <v>17</v>
      </c>
      <c r="D6842" s="5" t="s">
        <v>18</v>
      </c>
      <c r="E6842" s="5" t="s">
        <v>61</v>
      </c>
      <c r="F6842" s="9" t="s">
        <v>62</v>
      </c>
      <c r="G6842" s="9">
        <v>1286</v>
      </c>
      <c r="H6842" s="5" t="s">
        <v>21</v>
      </c>
      <c r="I6842" s="5" t="s">
        <v>16378</v>
      </c>
      <c r="J6842" s="12" t="str">
        <f>HYPERLINK("https://www.boe.es/gazeta/dias/1808/10/11/pdfs/GMD-1808-133.pdf#page=14","Abrir facsímil")</f>
        <v>Abrir facsímil</v>
      </c>
      <c r="K6842" s="15" t="s">
        <v>23</v>
      </c>
    </row>
    <row r="6843" spans="1:11" ht="42" customHeight="1">
      <c r="A6843" s="4" t="s">
        <v>16379</v>
      </c>
      <c r="B6843" s="5" t="s">
        <v>16379</v>
      </c>
      <c r="C6843" s="5" t="s">
        <v>41</v>
      </c>
      <c r="D6843" s="5" t="s">
        <v>42</v>
      </c>
      <c r="E6843" s="5" t="s">
        <v>461</v>
      </c>
      <c r="F6843" s="9" t="s">
        <v>733</v>
      </c>
      <c r="G6843" s="9">
        <v>1447</v>
      </c>
      <c r="H6843" s="5" t="s">
        <v>21</v>
      </c>
      <c r="I6843" s="5" t="s">
        <v>16380</v>
      </c>
      <c r="J6843" s="12" t="str">
        <f>HYPERLINK("https://www.boe.es/gazeta/dias/1808/11/08/pdfs/GMD-1808-142.pdf#page=9","Abrir facsímil")</f>
        <v>Abrir facsímil</v>
      </c>
      <c r="K6843" s="15" t="s">
        <v>23</v>
      </c>
    </row>
    <row r="6844" spans="1:11" ht="42" customHeight="1">
      <c r="A6844" s="4" t="s">
        <v>16381</v>
      </c>
      <c r="B6844" s="5" t="s">
        <v>16381</v>
      </c>
      <c r="C6844" s="5" t="s">
        <v>389</v>
      </c>
      <c r="D6844" s="5" t="s">
        <v>390</v>
      </c>
      <c r="E6844" s="5" t="s">
        <v>180</v>
      </c>
      <c r="F6844" s="9" t="s">
        <v>768</v>
      </c>
      <c r="G6844" s="9" t="s">
        <v>117</v>
      </c>
      <c r="H6844" s="5" t="s">
        <v>21</v>
      </c>
      <c r="I6844" s="5" t="s">
        <v>16382</v>
      </c>
      <c r="J6844" s="12" t="str">
        <f>HYPERLINK("https://www.boe.es/gazeta/dias/1808/11/15/pdfs/GMD-D-1808-144.pdf#page=1","Abrir facsímil")</f>
        <v>Abrir facsímil</v>
      </c>
      <c r="K6844" s="15" t="s">
        <v>23</v>
      </c>
    </row>
    <row r="6845" spans="1:11" ht="42" customHeight="1">
      <c r="A6845" s="4" t="s">
        <v>16383</v>
      </c>
      <c r="B6845" s="5" t="s">
        <v>16383</v>
      </c>
      <c r="C6845" s="5" t="s">
        <v>17</v>
      </c>
      <c r="D6845" s="5" t="s">
        <v>18</v>
      </c>
      <c r="E6845" s="5" t="s">
        <v>130</v>
      </c>
      <c r="F6845" s="9" t="s">
        <v>131</v>
      </c>
      <c r="G6845" s="9">
        <v>1602</v>
      </c>
      <c r="H6845" s="5" t="s">
        <v>21</v>
      </c>
      <c r="I6845" s="5" t="s">
        <v>16384</v>
      </c>
      <c r="J6845" s="12" t="str">
        <f>HYPERLINK("https://www.boe.es/gazeta/dias/1808/12/15/pdfs/GMD-1808-155.pdf#page=6","Abrir facsímil")</f>
        <v>Abrir facsímil</v>
      </c>
      <c r="K6845" s="15" t="s">
        <v>23</v>
      </c>
    </row>
    <row r="6846" spans="1:11" ht="42" customHeight="1">
      <c r="A6846" s="4" t="s">
        <v>16385</v>
      </c>
      <c r="B6846" s="5" t="s">
        <v>16386</v>
      </c>
      <c r="C6846" s="5" t="s">
        <v>260</v>
      </c>
      <c r="D6846" s="5" t="s">
        <v>42</v>
      </c>
      <c r="E6846" s="5" t="s">
        <v>663</v>
      </c>
      <c r="F6846" s="9" t="s">
        <v>664</v>
      </c>
      <c r="G6846" s="9">
        <v>208</v>
      </c>
      <c r="H6846" s="5" t="s">
        <v>21</v>
      </c>
      <c r="I6846" s="5" t="s">
        <v>16387</v>
      </c>
      <c r="J6846" s="12" t="str">
        <f>HYPERLINK("https://www.boe.es/gazeta/dias/1808/02/26/pdfs/GMD-1808-17.pdf#page=10","Abrir facsímil")</f>
        <v>Abrir facsímil</v>
      </c>
      <c r="K6846" s="15" t="s">
        <v>23</v>
      </c>
    </row>
    <row r="6847" spans="1:11" ht="42" customHeight="1">
      <c r="A6847" s="4" t="s">
        <v>16388</v>
      </c>
      <c r="B6847" s="5" t="s">
        <v>16388</v>
      </c>
      <c r="C6847" s="5" t="s">
        <v>642</v>
      </c>
      <c r="D6847" s="5" t="s">
        <v>643</v>
      </c>
      <c r="E6847" s="5" t="s">
        <v>3160</v>
      </c>
      <c r="F6847" s="9" t="s">
        <v>16389</v>
      </c>
      <c r="G6847" s="9">
        <v>578</v>
      </c>
      <c r="H6847" s="5" t="s">
        <v>21</v>
      </c>
      <c r="I6847" s="5" t="s">
        <v>16390</v>
      </c>
      <c r="J6847" s="12" t="str">
        <f>HYPERLINK("https://www.boe.es/gazeta/dias/1808/06/14/pdfs/GMD-1808-58E.pdf#page=4","Abrir facsímil")</f>
        <v>Abrir facsímil</v>
      </c>
      <c r="K6847" s="15" t="s">
        <v>23</v>
      </c>
    </row>
    <row r="6848" spans="1:11" ht="42" customHeight="1">
      <c r="A6848" s="4" t="s">
        <v>16391</v>
      </c>
      <c r="B6848" s="5" t="s">
        <v>16391</v>
      </c>
      <c r="C6848" s="5" t="s">
        <v>17</v>
      </c>
      <c r="D6848" s="5" t="s">
        <v>18</v>
      </c>
      <c r="E6848" s="5" t="s">
        <v>19</v>
      </c>
      <c r="F6848" s="9" t="s">
        <v>59</v>
      </c>
      <c r="G6848" s="9">
        <v>1228</v>
      </c>
      <c r="H6848" s="5" t="s">
        <v>21</v>
      </c>
      <c r="I6848" s="5" t="s">
        <v>16392</v>
      </c>
      <c r="J6848" s="12" t="str">
        <f>HYPERLINK("https://www.boe.es/gazeta/dias/1808/09/30/pdfs/GMD-1808-130.pdf#page=8","Abrir facsímil")</f>
        <v>Abrir facsímil</v>
      </c>
      <c r="K6848" s="15" t="s">
        <v>23</v>
      </c>
    </row>
    <row r="6849" spans="1:11" ht="42" customHeight="1">
      <c r="A6849" s="4" t="s">
        <v>16393</v>
      </c>
      <c r="B6849" s="5" t="s">
        <v>16393</v>
      </c>
      <c r="C6849" s="5" t="s">
        <v>94</v>
      </c>
      <c r="D6849" s="5" t="s">
        <v>95</v>
      </c>
      <c r="E6849" s="5" t="s">
        <v>974</v>
      </c>
      <c r="F6849" s="9" t="s">
        <v>975</v>
      </c>
      <c r="G6849" s="9">
        <v>391</v>
      </c>
      <c r="H6849" s="5" t="s">
        <v>21</v>
      </c>
      <c r="I6849" s="5" t="s">
        <v>16394</v>
      </c>
      <c r="J6849" s="12" t="str">
        <f>HYPERLINK("https://www.boe.es/gazeta/dias/1808/04/19/pdfs/GMD-1808-37.pdf#page=7","Abrir facsímil")</f>
        <v>Abrir facsímil</v>
      </c>
      <c r="K6849" s="15" t="s">
        <v>23</v>
      </c>
    </row>
    <row r="6850" spans="1:11" ht="42" customHeight="1">
      <c r="A6850" s="4" t="s">
        <v>16395</v>
      </c>
      <c r="B6850" s="5" t="s">
        <v>16395</v>
      </c>
      <c r="C6850" s="5" t="s">
        <v>33</v>
      </c>
      <c r="D6850" s="5" t="s">
        <v>34</v>
      </c>
      <c r="E6850" s="5" t="s">
        <v>139</v>
      </c>
      <c r="F6850" s="9" t="s">
        <v>1089</v>
      </c>
      <c r="G6850" s="9" t="s">
        <v>199</v>
      </c>
      <c r="H6850" s="5" t="s">
        <v>21</v>
      </c>
      <c r="I6850" s="5" t="s">
        <v>16396</v>
      </c>
      <c r="J6850" s="12" t="str">
        <f>HYPERLINK("https://www.boe.es/gazeta/dias/1808/09/23/pdfs/GMD-C-1808-127.pdf#page=2","Abrir facsímil")</f>
        <v>Abrir facsímil</v>
      </c>
      <c r="K6850" s="15" t="s">
        <v>23</v>
      </c>
    </row>
    <row r="6851" spans="1:11" ht="42" customHeight="1">
      <c r="A6851" s="4" t="s">
        <v>16397</v>
      </c>
      <c r="B6851" s="5" t="s">
        <v>16397</v>
      </c>
      <c r="C6851" s="5" t="s">
        <v>33</v>
      </c>
      <c r="D6851" s="5" t="s">
        <v>34</v>
      </c>
      <c r="E6851" s="5" t="s">
        <v>391</v>
      </c>
      <c r="F6851" s="9" t="s">
        <v>588</v>
      </c>
      <c r="G6851" s="9" t="s">
        <v>75</v>
      </c>
      <c r="H6851" s="5" t="s">
        <v>21</v>
      </c>
      <c r="I6851" s="5" t="s">
        <v>16398</v>
      </c>
      <c r="J6851" s="12" t="str">
        <f>HYPERLINK("https://www.boe.es/gazeta/dias/1808/09/27/pdfs/GMD-C-1808-128.pdf#page=4","Abrir facsímil")</f>
        <v>Abrir facsímil</v>
      </c>
      <c r="K6851" s="15" t="s">
        <v>23</v>
      </c>
    </row>
    <row r="6852" spans="1:11" ht="42" customHeight="1">
      <c r="A6852" s="4" t="s">
        <v>16399</v>
      </c>
      <c r="B6852" s="5" t="s">
        <v>16400</v>
      </c>
      <c r="C6852" s="5" t="s">
        <v>17</v>
      </c>
      <c r="D6852" s="5" t="s">
        <v>18</v>
      </c>
      <c r="E6852" s="5" t="s">
        <v>166</v>
      </c>
      <c r="F6852" s="9" t="s">
        <v>356</v>
      </c>
      <c r="G6852" s="9">
        <v>1510</v>
      </c>
      <c r="H6852" s="5" t="s">
        <v>21</v>
      </c>
      <c r="I6852" s="5" t="s">
        <v>16401</v>
      </c>
      <c r="J6852" s="12" t="str">
        <f>HYPERLINK("https://www.boe.es/gazeta/dias/1808/11/18/pdfs/GMD-1808-145.pdf#page=8","Abrir facsímil")</f>
        <v>Abrir facsímil</v>
      </c>
      <c r="K6852" s="15" t="s">
        <v>23</v>
      </c>
    </row>
    <row r="6853" spans="1:11" ht="42" customHeight="1">
      <c r="A6853" s="4" t="s">
        <v>16402</v>
      </c>
      <c r="B6853" s="5" t="s">
        <v>16402</v>
      </c>
      <c r="C6853" s="5" t="s">
        <v>33</v>
      </c>
      <c r="D6853" s="5" t="s">
        <v>34</v>
      </c>
      <c r="E6853" s="5" t="s">
        <v>456</v>
      </c>
      <c r="F6853" s="9" t="s">
        <v>748</v>
      </c>
      <c r="G6853" s="9" t="s">
        <v>199</v>
      </c>
      <c r="H6853" s="5" t="s">
        <v>21</v>
      </c>
      <c r="I6853" s="5" t="s">
        <v>16403</v>
      </c>
      <c r="J6853" s="12" t="str">
        <f>HYPERLINK("https://www.boe.es/gazeta/dias/1808/10/14/pdfs/GMD-C-1808-134.pdf#page=2","Abrir facsímil")</f>
        <v>Abrir facsímil</v>
      </c>
      <c r="K6853" s="15" t="s">
        <v>23</v>
      </c>
    </row>
    <row r="6854" spans="1:11" ht="42" customHeight="1">
      <c r="A6854" s="4" t="s">
        <v>16404</v>
      </c>
      <c r="B6854" s="5" t="s">
        <v>16405</v>
      </c>
      <c r="C6854" s="5" t="s">
        <v>17</v>
      </c>
      <c r="D6854" s="5" t="s">
        <v>18</v>
      </c>
      <c r="E6854" s="5" t="s">
        <v>461</v>
      </c>
      <c r="F6854" s="9" t="s">
        <v>6965</v>
      </c>
      <c r="G6854" s="9">
        <v>373</v>
      </c>
      <c r="H6854" s="5" t="s">
        <v>21</v>
      </c>
      <c r="I6854" s="5" t="s">
        <v>16406</v>
      </c>
      <c r="J6854" s="12" t="str">
        <f>HYPERLINK("https://www.boe.es/gazeta/dias/1808/11/08/pdfs/GMS-1808-47.pdf#page=5","Abrir facsímil")</f>
        <v>Abrir facsímil</v>
      </c>
      <c r="K6854" s="15" t="s">
        <v>23</v>
      </c>
    </row>
    <row r="6855" spans="1:11" ht="42" customHeight="1">
      <c r="A6855" s="4" t="s">
        <v>16407</v>
      </c>
      <c r="B6855" s="5" t="s">
        <v>16407</v>
      </c>
      <c r="C6855" s="5" t="s">
        <v>94</v>
      </c>
      <c r="D6855" s="5" t="s">
        <v>95</v>
      </c>
      <c r="E6855" s="5" t="s">
        <v>368</v>
      </c>
      <c r="F6855" s="9" t="s">
        <v>369</v>
      </c>
      <c r="G6855" s="9">
        <v>167</v>
      </c>
      <c r="H6855" s="5" t="s">
        <v>21</v>
      </c>
      <c r="I6855" s="5" t="s">
        <v>16408</v>
      </c>
      <c r="J6855" s="12" t="str">
        <f>HYPERLINK("https://www.boe.es/gazeta/dias/1808/02/16/pdfs/GMD-1808-14.pdf#page=9","Abrir facsímil")</f>
        <v>Abrir facsímil</v>
      </c>
      <c r="K6855" s="15" t="s">
        <v>23</v>
      </c>
    </row>
    <row r="6856" spans="1:11" ht="42" customHeight="1">
      <c r="A6856" s="4" t="s">
        <v>16409</v>
      </c>
      <c r="B6856" s="5" t="s">
        <v>16410</v>
      </c>
      <c r="C6856" s="5" t="s">
        <v>33</v>
      </c>
      <c r="D6856" s="5" t="s">
        <v>34</v>
      </c>
      <c r="E6856" s="5" t="s">
        <v>35</v>
      </c>
      <c r="F6856" s="9" t="s">
        <v>36</v>
      </c>
      <c r="G6856" s="9" t="s">
        <v>299</v>
      </c>
      <c r="H6856" s="5" t="s">
        <v>21</v>
      </c>
      <c r="I6856" s="5" t="s">
        <v>16411</v>
      </c>
      <c r="J6856" s="12" t="str">
        <f>HYPERLINK("https://www.boe.es/gazeta/dias/1808/04/22/pdfs/GMD-C-1808-38.pdf#page=14","Abrir facsímil")</f>
        <v>Abrir facsímil</v>
      </c>
      <c r="K6856" s="15" t="s">
        <v>23</v>
      </c>
    </row>
    <row r="6857" spans="1:11" ht="42" customHeight="1">
      <c r="A6857" s="4" t="s">
        <v>16412</v>
      </c>
      <c r="B6857" s="5" t="s">
        <v>16413</v>
      </c>
      <c r="C6857" s="5" t="s">
        <v>389</v>
      </c>
      <c r="D6857" s="5" t="s">
        <v>390</v>
      </c>
      <c r="E6857" s="5" t="s">
        <v>558</v>
      </c>
      <c r="F6857" s="9" t="s">
        <v>758</v>
      </c>
      <c r="G6857" s="9" t="s">
        <v>117</v>
      </c>
      <c r="H6857" s="5" t="s">
        <v>21</v>
      </c>
      <c r="I6857" s="5" t="s">
        <v>16414</v>
      </c>
      <c r="J6857" s="12" t="str">
        <f>HYPERLINK("https://www.boe.es/gazeta/dias/1808/11/25/pdfs/GMD-E-1808-147.pdf#page=1","Abrir facsímil")</f>
        <v>Abrir facsímil</v>
      </c>
      <c r="K6857" s="15" t="s">
        <v>23</v>
      </c>
    </row>
    <row r="6858" spans="1:11" ht="42" customHeight="1">
      <c r="A6858" s="4" t="s">
        <v>16415</v>
      </c>
      <c r="B6858" s="5" t="s">
        <v>16416</v>
      </c>
      <c r="C6858" s="5" t="s">
        <v>33</v>
      </c>
      <c r="D6858" s="5" t="s">
        <v>34</v>
      </c>
      <c r="E6858" s="5" t="s">
        <v>35</v>
      </c>
      <c r="F6858" s="9" t="s">
        <v>36</v>
      </c>
      <c r="G6858" s="9" t="s">
        <v>47</v>
      </c>
      <c r="H6858" s="5" t="s">
        <v>21</v>
      </c>
      <c r="I6858" s="5" t="s">
        <v>16417</v>
      </c>
      <c r="J6858" s="12" t="str">
        <f>HYPERLINK("https://www.boe.es/gazeta/dias/1808/04/22/pdfs/GMD-C-1808-38.pdf#page=13","Abrir facsímil")</f>
        <v>Abrir facsímil</v>
      </c>
      <c r="K6858" s="15" t="s">
        <v>23</v>
      </c>
    </row>
    <row r="6859" spans="1:11" ht="42" customHeight="1">
      <c r="A6859" s="4" t="s">
        <v>16418</v>
      </c>
      <c r="B6859" s="5" t="s">
        <v>16419</v>
      </c>
      <c r="C6859" s="5" t="s">
        <v>41</v>
      </c>
      <c r="D6859" s="5" t="s">
        <v>42</v>
      </c>
      <c r="E6859" s="5" t="s">
        <v>991</v>
      </c>
      <c r="F6859" s="9" t="s">
        <v>992</v>
      </c>
      <c r="G6859" s="9">
        <v>220</v>
      </c>
      <c r="H6859" s="5" t="s">
        <v>21</v>
      </c>
      <c r="I6859" s="5" t="s">
        <v>16420</v>
      </c>
      <c r="J6859" s="12" t="str">
        <f>HYPERLINK("https://www.boe.es/gazeta/dias/1808/03/01/pdfs/GMD-1808-18.pdf#page=10","Abrir facsímil")</f>
        <v>Abrir facsímil</v>
      </c>
      <c r="K6859" s="15" t="s">
        <v>23</v>
      </c>
    </row>
    <row r="6860" spans="1:11" ht="42" customHeight="1">
      <c r="A6860" s="4" t="s">
        <v>16421</v>
      </c>
      <c r="B6860" s="5" t="s">
        <v>16422</v>
      </c>
      <c r="C6860" s="5" t="s">
        <v>33</v>
      </c>
      <c r="D6860" s="5" t="s">
        <v>34</v>
      </c>
      <c r="E6860" s="5" t="s">
        <v>35</v>
      </c>
      <c r="F6860" s="9" t="s">
        <v>36</v>
      </c>
      <c r="G6860" s="9" t="s">
        <v>956</v>
      </c>
      <c r="H6860" s="5" t="s">
        <v>21</v>
      </c>
      <c r="I6860" s="5" t="s">
        <v>16423</v>
      </c>
      <c r="J6860" s="12" t="str">
        <f>HYPERLINK("https://www.boe.es/gazeta/dias/1808/04/22/pdfs/GMD-C-1808-38.pdf#page=41","Abrir facsímil")</f>
        <v>Abrir facsímil</v>
      </c>
      <c r="K6860" s="15" t="s">
        <v>23</v>
      </c>
    </row>
    <row r="6861" spans="1:11" ht="42" customHeight="1">
      <c r="A6861" s="4" t="s">
        <v>16424</v>
      </c>
      <c r="B6861" s="5" t="s">
        <v>16425</v>
      </c>
      <c r="C6861" s="5" t="s">
        <v>389</v>
      </c>
      <c r="D6861" s="5" t="s">
        <v>390</v>
      </c>
      <c r="E6861" s="5" t="s">
        <v>2555</v>
      </c>
      <c r="F6861" s="9" t="s">
        <v>2556</v>
      </c>
      <c r="G6861" s="9">
        <v>132</v>
      </c>
      <c r="H6861" s="5" t="s">
        <v>21</v>
      </c>
      <c r="I6861" s="5" t="s">
        <v>16426</v>
      </c>
      <c r="J6861" s="12" t="str">
        <f>HYPERLINK("https://www.boe.es/gazeta/dias/1808/02/05/pdfs/GMD-1808-11.pdf#page=12","Abrir facsímil")</f>
        <v>Abrir facsímil</v>
      </c>
      <c r="K6861" s="15" t="s">
        <v>23</v>
      </c>
    </row>
    <row r="6862" spans="1:11" ht="42" customHeight="1">
      <c r="A6862" s="4" t="s">
        <v>16427</v>
      </c>
      <c r="B6862" s="5" t="s">
        <v>16428</v>
      </c>
      <c r="C6862" s="5" t="s">
        <v>17</v>
      </c>
      <c r="D6862" s="5" t="s">
        <v>18</v>
      </c>
      <c r="E6862" s="5" t="s">
        <v>3235</v>
      </c>
      <c r="F6862" s="9" t="s">
        <v>3236</v>
      </c>
      <c r="G6862" s="9">
        <v>22</v>
      </c>
      <c r="H6862" s="5" t="s">
        <v>21</v>
      </c>
      <c r="I6862" s="5" t="s">
        <v>16429</v>
      </c>
      <c r="J6862" s="12" t="str">
        <f>HYPERLINK("https://www.boe.es/gazeta/dias/1808/06/08/pdfs/GMS-1808-3.pdf#page=6","Abrir facsímil")</f>
        <v>Abrir facsímil</v>
      </c>
      <c r="K6862" s="15" t="s">
        <v>23</v>
      </c>
    </row>
    <row r="6863" spans="1:11" ht="42" customHeight="1">
      <c r="A6863" s="4" t="s">
        <v>16430</v>
      </c>
      <c r="B6863" s="5" t="s">
        <v>16431</v>
      </c>
      <c r="C6863" s="5" t="s">
        <v>389</v>
      </c>
      <c r="D6863" s="5" t="s">
        <v>390</v>
      </c>
      <c r="E6863" s="5" t="s">
        <v>222</v>
      </c>
      <c r="F6863" s="9" t="s">
        <v>223</v>
      </c>
      <c r="G6863" s="9">
        <v>358</v>
      </c>
      <c r="H6863" s="5" t="s">
        <v>21</v>
      </c>
      <c r="I6863" s="5" t="s">
        <v>16432</v>
      </c>
      <c r="J6863" s="12" t="str">
        <f>HYPERLINK("https://www.boe.es/gazeta/dias/1808/04/08/pdfs/GMD-1808-32.pdf#page=12","Abrir facsímil")</f>
        <v>Abrir facsímil</v>
      </c>
      <c r="K6863" s="15" t="s">
        <v>23</v>
      </c>
    </row>
    <row r="6864" spans="1:11" ht="42" customHeight="1">
      <c r="A6864" s="4" t="s">
        <v>16433</v>
      </c>
      <c r="B6864" s="5" t="s">
        <v>16434</v>
      </c>
      <c r="C6864" s="5" t="s">
        <v>33</v>
      </c>
      <c r="D6864" s="5" t="s">
        <v>34</v>
      </c>
      <c r="E6864" s="5" t="s">
        <v>35</v>
      </c>
      <c r="F6864" s="9" t="s">
        <v>36</v>
      </c>
      <c r="G6864" s="9" t="s">
        <v>277</v>
      </c>
      <c r="H6864" s="5" t="s">
        <v>21</v>
      </c>
      <c r="I6864" s="5" t="s">
        <v>16435</v>
      </c>
      <c r="J6864" s="12" t="str">
        <f>HYPERLINK("https://www.boe.es/gazeta/dias/1808/04/22/pdfs/GMD-C-1808-38.pdf#page=34","Abrir facsímil")</f>
        <v>Abrir facsímil</v>
      </c>
      <c r="K6864" s="15" t="s">
        <v>23</v>
      </c>
    </row>
    <row r="6865" spans="1:11" ht="42" customHeight="1">
      <c r="A6865" s="4" t="s">
        <v>16436</v>
      </c>
      <c r="B6865" s="5" t="s">
        <v>16437</v>
      </c>
      <c r="C6865" s="5" t="s">
        <v>26</v>
      </c>
      <c r="D6865" s="5" t="s">
        <v>27</v>
      </c>
      <c r="E6865" s="5" t="s">
        <v>363</v>
      </c>
      <c r="F6865" s="9" t="s">
        <v>364</v>
      </c>
      <c r="G6865" s="9" t="s">
        <v>117</v>
      </c>
      <c r="H6865" s="5" t="s">
        <v>21</v>
      </c>
      <c r="I6865" s="5" t="s">
        <v>16438</v>
      </c>
      <c r="J6865" s="12" t="str">
        <f>HYPERLINK("https://www.boe.es/gazeta/dias/1808/09/20/pdfs/GMD-C-1808-126.pdf#page=1","Abrir facsímil")</f>
        <v>Abrir facsímil</v>
      </c>
      <c r="K6865" s="15" t="s">
        <v>23</v>
      </c>
    </row>
    <row r="6866" spans="1:11" ht="42" customHeight="1">
      <c r="A6866" s="4" t="s">
        <v>16436</v>
      </c>
      <c r="B6866" s="5" t="s">
        <v>16437</v>
      </c>
      <c r="C6866" s="5" t="s">
        <v>17</v>
      </c>
      <c r="D6866" s="5" t="s">
        <v>18</v>
      </c>
      <c r="E6866" s="5" t="s">
        <v>19</v>
      </c>
      <c r="F6866" s="9" t="s">
        <v>59</v>
      </c>
      <c r="G6866" s="9">
        <v>1229</v>
      </c>
      <c r="H6866" s="5" t="s">
        <v>21</v>
      </c>
      <c r="I6866" s="5" t="s">
        <v>16439</v>
      </c>
      <c r="J6866" s="12" t="str">
        <f>HYPERLINK("https://www.boe.es/gazeta/dias/1808/09/30/pdfs/GMD-1808-130.pdf#page=9","Abrir facsímil")</f>
        <v>Abrir facsímil</v>
      </c>
      <c r="K6866" s="15" t="s">
        <v>23</v>
      </c>
    </row>
    <row r="6867" spans="1:11" ht="42" customHeight="1">
      <c r="A6867" s="4" t="s">
        <v>16440</v>
      </c>
      <c r="B6867" s="5" t="s">
        <v>16441</v>
      </c>
      <c r="C6867" s="5" t="s">
        <v>94</v>
      </c>
      <c r="D6867" s="5" t="s">
        <v>95</v>
      </c>
      <c r="E6867" s="5" t="s">
        <v>242</v>
      </c>
      <c r="F6867" s="9" t="s">
        <v>243</v>
      </c>
      <c r="G6867" s="9">
        <v>10</v>
      </c>
      <c r="H6867" s="5" t="s">
        <v>21</v>
      </c>
      <c r="I6867" s="5" t="s">
        <v>16442</v>
      </c>
      <c r="J6867" s="12" t="str">
        <f>HYPERLINK("https://www.boe.es/gazeta/dias/1808/01/01/pdfs/GMD-1808-1.pdf#page=10","Abrir facsímil")</f>
        <v>Abrir facsímil</v>
      </c>
      <c r="K6867" s="15" t="s">
        <v>23</v>
      </c>
    </row>
    <row r="6868" spans="1:11" ht="42" customHeight="1">
      <c r="A6868" s="4" t="s">
        <v>16443</v>
      </c>
      <c r="B6868" s="5" t="s">
        <v>16444</v>
      </c>
      <c r="C6868" s="5" t="s">
        <v>33</v>
      </c>
      <c r="D6868" s="5" t="s">
        <v>34</v>
      </c>
      <c r="E6868" s="5" t="s">
        <v>35</v>
      </c>
      <c r="F6868" s="9" t="s">
        <v>36</v>
      </c>
      <c r="G6868" s="9" t="s">
        <v>4783</v>
      </c>
      <c r="H6868" s="5" t="s">
        <v>21</v>
      </c>
      <c r="I6868" s="5" t="s">
        <v>16445</v>
      </c>
      <c r="J6868" s="12" t="str">
        <f>HYPERLINK("https://www.boe.es/gazeta/dias/1808/04/22/pdfs/GMD-C-1808-38.pdf#page=36","Abrir facsímil")</f>
        <v>Abrir facsímil</v>
      </c>
      <c r="K6868" s="15" t="s">
        <v>23</v>
      </c>
    </row>
    <row r="6869" spans="1:11" ht="42" customHeight="1">
      <c r="A6869" s="4" t="s">
        <v>16446</v>
      </c>
      <c r="B6869" s="5" t="s">
        <v>16447</v>
      </c>
      <c r="C6869" s="5" t="s">
        <v>41</v>
      </c>
      <c r="D6869" s="5" t="s">
        <v>42</v>
      </c>
      <c r="E6869" s="5" t="s">
        <v>991</v>
      </c>
      <c r="F6869" s="9" t="s">
        <v>992</v>
      </c>
      <c r="G6869" s="9">
        <v>221</v>
      </c>
      <c r="H6869" s="5" t="s">
        <v>21</v>
      </c>
      <c r="I6869" s="5" t="s">
        <v>16448</v>
      </c>
      <c r="J6869" s="12" t="str">
        <f>HYPERLINK("https://www.boe.es/gazeta/dias/1808/03/01/pdfs/GMD-1808-18.pdf#page=11","Abrir facsímil")</f>
        <v>Abrir facsímil</v>
      </c>
      <c r="K6869" s="15" t="s">
        <v>23</v>
      </c>
    </row>
    <row r="6870" spans="1:11" ht="42" customHeight="1">
      <c r="A6870" s="4" t="s">
        <v>16446</v>
      </c>
      <c r="B6870" s="5" t="s">
        <v>16447</v>
      </c>
      <c r="C6870" s="5" t="s">
        <v>33</v>
      </c>
      <c r="D6870" s="5" t="s">
        <v>34</v>
      </c>
      <c r="E6870" s="5" t="s">
        <v>35</v>
      </c>
      <c r="F6870" s="9" t="s">
        <v>36</v>
      </c>
      <c r="G6870" s="9" t="s">
        <v>284</v>
      </c>
      <c r="H6870" s="5" t="s">
        <v>21</v>
      </c>
      <c r="I6870" s="5" t="s">
        <v>16449</v>
      </c>
      <c r="J6870" s="12" t="str">
        <f>HYPERLINK("https://www.boe.es/gazeta/dias/1808/04/22/pdfs/GMD-C-1808-38.pdf#page=35","Abrir facsímil")</f>
        <v>Abrir facsímil</v>
      </c>
      <c r="K6870" s="15" t="s">
        <v>23</v>
      </c>
    </row>
    <row r="6871" spans="1:11" ht="42" customHeight="1">
      <c r="A6871" s="4" t="s">
        <v>16450</v>
      </c>
      <c r="B6871" s="5" t="s">
        <v>16450</v>
      </c>
      <c r="C6871" s="5" t="s">
        <v>33</v>
      </c>
      <c r="D6871" s="5" t="s">
        <v>34</v>
      </c>
      <c r="E6871" s="5" t="s">
        <v>35</v>
      </c>
      <c r="F6871" s="9" t="s">
        <v>36</v>
      </c>
      <c r="G6871" s="9" t="s">
        <v>867</v>
      </c>
      <c r="H6871" s="5" t="s">
        <v>21</v>
      </c>
      <c r="I6871" s="5" t="s">
        <v>16451</v>
      </c>
      <c r="J6871" s="12" t="str">
        <f>HYPERLINK("https://www.boe.es/gazeta/dias/1808/04/22/pdfs/GMD-C-1808-38.pdf#page=19","Abrir facsímil")</f>
        <v>Abrir facsímil</v>
      </c>
      <c r="K6871" s="15" t="s">
        <v>23</v>
      </c>
    </row>
    <row r="6872" spans="1:11" ht="42" customHeight="1">
      <c r="A6872" s="4" t="s">
        <v>16452</v>
      </c>
      <c r="B6872" s="5" t="s">
        <v>16452</v>
      </c>
      <c r="C6872" s="5" t="s">
        <v>33</v>
      </c>
      <c r="D6872" s="5" t="s">
        <v>34</v>
      </c>
      <c r="E6872" s="5" t="s">
        <v>456</v>
      </c>
      <c r="F6872" s="9" t="s">
        <v>748</v>
      </c>
      <c r="G6872" s="9" t="s">
        <v>75</v>
      </c>
      <c r="H6872" s="5" t="s">
        <v>21</v>
      </c>
      <c r="I6872" s="5" t="s">
        <v>16453</v>
      </c>
      <c r="J6872" s="12" t="str">
        <f>HYPERLINK("https://www.boe.es/gazeta/dias/1808/10/14/pdfs/GMD-C-1808-134.pdf#page=4","Abrir facsímil")</f>
        <v>Abrir facsímil</v>
      </c>
      <c r="K6872" s="15" t="s">
        <v>23</v>
      </c>
    </row>
    <row r="6873" spans="1:11" ht="42" customHeight="1">
      <c r="A6873" s="4" t="s">
        <v>16454</v>
      </c>
      <c r="B6873" s="5" t="s">
        <v>16454</v>
      </c>
      <c r="C6873" s="5" t="s">
        <v>17</v>
      </c>
      <c r="D6873" s="5" t="s">
        <v>18</v>
      </c>
      <c r="E6873" s="5" t="s">
        <v>461</v>
      </c>
      <c r="F6873" s="9" t="s">
        <v>733</v>
      </c>
      <c r="G6873" s="9">
        <v>1448</v>
      </c>
      <c r="H6873" s="5" t="s">
        <v>21</v>
      </c>
      <c r="I6873" s="5" t="s">
        <v>16455</v>
      </c>
      <c r="J6873" s="12" t="str">
        <f>HYPERLINK("https://www.boe.es/gazeta/dias/1808/11/08/pdfs/GMD-1808-142.pdf#page=10","Abrir facsímil")</f>
        <v>Abrir facsímil</v>
      </c>
      <c r="K6873" s="15" t="s">
        <v>23</v>
      </c>
    </row>
    <row r="6874" spans="1:11" ht="42" customHeight="1">
      <c r="A6874" s="4" t="s">
        <v>16456</v>
      </c>
      <c r="B6874" s="5" t="s">
        <v>16456</v>
      </c>
      <c r="C6874" s="5" t="s">
        <v>33</v>
      </c>
      <c r="D6874" s="5" t="s">
        <v>34</v>
      </c>
      <c r="E6874" s="5" t="s">
        <v>35</v>
      </c>
      <c r="F6874" s="9" t="s">
        <v>36</v>
      </c>
      <c r="G6874" s="9" t="s">
        <v>707</v>
      </c>
      <c r="H6874" s="5" t="s">
        <v>21</v>
      </c>
      <c r="I6874" s="5" t="s">
        <v>16457</v>
      </c>
      <c r="J6874" s="12" t="str">
        <f>HYPERLINK("https://www.boe.es/gazeta/dias/1808/04/22/pdfs/GMD-C-1808-38.pdf#page=42","Abrir facsímil")</f>
        <v>Abrir facsímil</v>
      </c>
      <c r="K6874" s="15" t="s">
        <v>23</v>
      </c>
    </row>
    <row r="6875" spans="1:11" ht="42" customHeight="1">
      <c r="A6875" s="4" t="s">
        <v>16458</v>
      </c>
      <c r="B6875" s="5" t="s">
        <v>16458</v>
      </c>
      <c r="C6875" s="5" t="s">
        <v>33</v>
      </c>
      <c r="D6875" s="5" t="s">
        <v>34</v>
      </c>
      <c r="E6875" s="5" t="s">
        <v>35</v>
      </c>
      <c r="F6875" s="9" t="s">
        <v>36</v>
      </c>
      <c r="G6875" s="9" t="s">
        <v>324</v>
      </c>
      <c r="H6875" s="5" t="s">
        <v>21</v>
      </c>
      <c r="I6875" s="5" t="s">
        <v>16459</v>
      </c>
      <c r="J6875" s="12" t="str">
        <f>HYPERLINK("https://www.boe.es/gazeta/dias/1808/04/22/pdfs/GMD-C-1808-38.pdf#page=24","Abrir facsímil")</f>
        <v>Abrir facsímil</v>
      </c>
      <c r="K6875" s="15" t="s">
        <v>23</v>
      </c>
    </row>
    <row r="6876" spans="1:11" ht="42" customHeight="1">
      <c r="A6876" s="4" t="s">
        <v>16460</v>
      </c>
      <c r="B6876" s="5" t="s">
        <v>16460</v>
      </c>
      <c r="C6876" s="5" t="s">
        <v>33</v>
      </c>
      <c r="D6876" s="5" t="s">
        <v>34</v>
      </c>
      <c r="E6876" s="5" t="s">
        <v>35</v>
      </c>
      <c r="F6876" s="9" t="s">
        <v>36</v>
      </c>
      <c r="G6876" s="9" t="s">
        <v>43</v>
      </c>
      <c r="H6876" s="5" t="s">
        <v>21</v>
      </c>
      <c r="I6876" s="5" t="s">
        <v>16461</v>
      </c>
      <c r="J6876" s="12" t="str">
        <f>HYPERLINK("https://www.boe.es/gazeta/dias/1808/04/22/pdfs/GMD-C-1808-38.pdf#page=30","Abrir facsímil")</f>
        <v>Abrir facsímil</v>
      </c>
      <c r="K6876" s="15" t="s">
        <v>23</v>
      </c>
    </row>
    <row r="6877" spans="1:11" ht="42" customHeight="1">
      <c r="A6877" s="4" t="s">
        <v>16462</v>
      </c>
      <c r="B6877" s="5" t="s">
        <v>16462</v>
      </c>
      <c r="C6877" s="5" t="s">
        <v>33</v>
      </c>
      <c r="D6877" s="5" t="s">
        <v>34</v>
      </c>
      <c r="E6877" s="5" t="s">
        <v>35</v>
      </c>
      <c r="F6877" s="9" t="s">
        <v>36</v>
      </c>
      <c r="G6877" s="9" t="s">
        <v>279</v>
      </c>
      <c r="H6877" s="5" t="s">
        <v>21</v>
      </c>
      <c r="I6877" s="5" t="s">
        <v>16463</v>
      </c>
      <c r="J6877" s="12" t="str">
        <f>HYPERLINK("https://www.boe.es/gazeta/dias/1808/04/22/pdfs/GMD-C-1808-38.pdf#page=44","Abrir facsímil")</f>
        <v>Abrir facsímil</v>
      </c>
      <c r="K6877" s="15" t="s">
        <v>23</v>
      </c>
    </row>
    <row r="6878" spans="1:11" ht="42" customHeight="1">
      <c r="A6878" s="4" t="s">
        <v>16464</v>
      </c>
      <c r="B6878" s="5" t="s">
        <v>16464</v>
      </c>
      <c r="C6878" s="5" t="s">
        <v>26</v>
      </c>
      <c r="D6878" s="5" t="s">
        <v>27</v>
      </c>
      <c r="E6878" s="5" t="s">
        <v>153</v>
      </c>
      <c r="F6878" s="9" t="s">
        <v>1185</v>
      </c>
      <c r="G6878" s="9">
        <v>1150</v>
      </c>
      <c r="H6878" s="5" t="s">
        <v>21</v>
      </c>
      <c r="I6878" s="5" t="s">
        <v>16465</v>
      </c>
      <c r="J6878" s="12" t="str">
        <f>HYPERLINK("https://www.boe.es/gazeta/dias/1808/09/09/pdfs/GMD-1808-121.pdf#page=8","Abrir facsímil")</f>
        <v>Abrir facsímil</v>
      </c>
      <c r="K6878" s="15" t="s">
        <v>23</v>
      </c>
    </row>
    <row r="6879" spans="1:11" ht="42" customHeight="1">
      <c r="A6879" s="4" t="s">
        <v>16466</v>
      </c>
      <c r="B6879" s="5" t="s">
        <v>16466</v>
      </c>
      <c r="C6879" s="5" t="s">
        <v>33</v>
      </c>
      <c r="D6879" s="5" t="s">
        <v>34</v>
      </c>
      <c r="E6879" s="5" t="s">
        <v>427</v>
      </c>
      <c r="F6879" s="9" t="s">
        <v>428</v>
      </c>
      <c r="G6879" s="9" t="s">
        <v>117</v>
      </c>
      <c r="H6879" s="5" t="s">
        <v>21</v>
      </c>
      <c r="I6879" s="5" t="s">
        <v>16467</v>
      </c>
      <c r="J6879" s="12" t="str">
        <f>HYPERLINK("https://www.boe.es/gazeta/dias/1808/11/22/pdfs/GMD-D-1808-146.pdf#page=1","Abrir facsímil")</f>
        <v>Abrir facsímil</v>
      </c>
      <c r="K6879" s="15" t="s">
        <v>23</v>
      </c>
    </row>
    <row r="6880" spans="1:11" ht="42" customHeight="1">
      <c r="A6880" s="4" t="s">
        <v>16468</v>
      </c>
      <c r="B6880" s="5" t="s">
        <v>16468</v>
      </c>
      <c r="C6880" s="5" t="s">
        <v>17</v>
      </c>
      <c r="D6880" s="5" t="s">
        <v>18</v>
      </c>
      <c r="E6880" s="5" t="s">
        <v>558</v>
      </c>
      <c r="F6880" s="9" t="s">
        <v>559</v>
      </c>
      <c r="G6880" s="9">
        <v>1545</v>
      </c>
      <c r="H6880" s="5" t="s">
        <v>21</v>
      </c>
      <c r="I6880" s="5" t="s">
        <v>16469</v>
      </c>
      <c r="J6880" s="12" t="str">
        <f>HYPERLINK("https://www.boe.es/gazeta/dias/1808/11/25/pdfs/GMD-1808-147.pdf#page=11","Abrir facsímil")</f>
        <v>Abrir facsímil</v>
      </c>
      <c r="K6880" s="15" t="s">
        <v>23</v>
      </c>
    </row>
    <row r="6881" spans="1:11" ht="42" customHeight="1">
      <c r="A6881" s="4" t="s">
        <v>16470</v>
      </c>
      <c r="B6881" s="5" t="s">
        <v>16470</v>
      </c>
      <c r="C6881" s="5" t="s">
        <v>17</v>
      </c>
      <c r="D6881" s="5" t="s">
        <v>18</v>
      </c>
      <c r="E6881" s="5" t="s">
        <v>73</v>
      </c>
      <c r="F6881" s="9" t="s">
        <v>581</v>
      </c>
      <c r="G6881" s="9">
        <v>1468</v>
      </c>
      <c r="H6881" s="5" t="s">
        <v>21</v>
      </c>
      <c r="I6881" s="5" t="s">
        <v>16471</v>
      </c>
      <c r="J6881" s="12" t="str">
        <f>HYPERLINK("https://www.boe.es/gazeta/dias/1808/11/11/pdfs/GMD-1808-143.pdf#page=10","Abrir facsímil")</f>
        <v>Abrir facsímil</v>
      </c>
      <c r="K6881" s="15" t="s">
        <v>23</v>
      </c>
    </row>
    <row r="6882" spans="1:11" ht="42" customHeight="1">
      <c r="A6882" s="4" t="s">
        <v>16472</v>
      </c>
      <c r="B6882" s="5" t="s">
        <v>16472</v>
      </c>
      <c r="C6882" s="5" t="s">
        <v>41</v>
      </c>
      <c r="D6882" s="5" t="s">
        <v>42</v>
      </c>
      <c r="E6882" s="5" t="s">
        <v>35</v>
      </c>
      <c r="F6882" s="9" t="s">
        <v>36</v>
      </c>
      <c r="G6882" s="9" t="s">
        <v>837</v>
      </c>
      <c r="H6882" s="5" t="s">
        <v>21</v>
      </c>
      <c r="I6882" s="5" t="s">
        <v>16473</v>
      </c>
      <c r="J6882" s="12" t="str">
        <f>HYPERLINK("https://www.boe.es/gazeta/dias/1808/04/22/pdfs/GMD-C-1808-38.pdf#page=10","Abrir facsímil")</f>
        <v>Abrir facsímil</v>
      </c>
      <c r="K6882" s="15" t="s">
        <v>23</v>
      </c>
    </row>
    <row r="6883" spans="1:11" ht="42" customHeight="1">
      <c r="A6883" s="4" t="s">
        <v>16474</v>
      </c>
      <c r="B6883" s="5" t="s">
        <v>16475</v>
      </c>
      <c r="C6883" s="5" t="s">
        <v>17</v>
      </c>
      <c r="D6883" s="5" t="s">
        <v>18</v>
      </c>
      <c r="E6883" s="5" t="s">
        <v>558</v>
      </c>
      <c r="F6883" s="9" t="s">
        <v>559</v>
      </c>
      <c r="G6883" s="9">
        <v>1545</v>
      </c>
      <c r="H6883" s="5" t="s">
        <v>21</v>
      </c>
      <c r="I6883" s="5" t="s">
        <v>16476</v>
      </c>
      <c r="J6883" s="12" t="str">
        <f>HYPERLINK("https://www.boe.es/gazeta/dias/1808/11/25/pdfs/GMD-1808-147.pdf#page=11","Abrir facsímil")</f>
        <v>Abrir facsímil</v>
      </c>
      <c r="K6883" s="15" t="s">
        <v>23</v>
      </c>
    </row>
    <row r="6884" spans="1:11" ht="42" customHeight="1">
      <c r="A6884" s="4" t="s">
        <v>16477</v>
      </c>
      <c r="B6884" s="5" t="s">
        <v>16478</v>
      </c>
      <c r="C6884" s="5" t="s">
        <v>41</v>
      </c>
      <c r="D6884" s="5" t="s">
        <v>42</v>
      </c>
      <c r="E6884" s="5" t="s">
        <v>28</v>
      </c>
      <c r="F6884" s="9" t="s">
        <v>446</v>
      </c>
      <c r="G6884" s="9" t="s">
        <v>75</v>
      </c>
      <c r="H6884" s="5" t="s">
        <v>21</v>
      </c>
      <c r="I6884" s="5" t="s">
        <v>16479</v>
      </c>
      <c r="J6884" s="12" t="str">
        <f>HYPERLINK("https://www.boe.es/gazeta/dias/1808/11/04/pdfs/GMD-D-1808-141.pdf#page=4","Abrir facsímil")</f>
        <v>Abrir facsímil</v>
      </c>
      <c r="K6884" s="15" t="s">
        <v>23</v>
      </c>
    </row>
    <row r="6885" spans="1:11" ht="42" customHeight="1">
      <c r="A6885" s="4" t="s">
        <v>16480</v>
      </c>
      <c r="B6885" s="5" t="s">
        <v>16481</v>
      </c>
      <c r="C6885" s="5" t="s">
        <v>17</v>
      </c>
      <c r="D6885" s="5" t="s">
        <v>18</v>
      </c>
      <c r="E6885" s="5" t="s">
        <v>719</v>
      </c>
      <c r="F6885" s="9" t="s">
        <v>720</v>
      </c>
      <c r="G6885" s="9">
        <v>1609</v>
      </c>
      <c r="H6885" s="5" t="s">
        <v>21</v>
      </c>
      <c r="I6885" s="5" t="s">
        <v>16482</v>
      </c>
      <c r="J6885" s="12" t="str">
        <f>HYPERLINK("https://www.boe.es/gazeta/dias/1808/12/16/pdfs/GMD-1808-156.pdf#page=1","Abrir facsímil")</f>
        <v>Abrir facsímil</v>
      </c>
      <c r="K6885" s="15" t="s">
        <v>23</v>
      </c>
    </row>
    <row r="6886" spans="1:11" ht="42" customHeight="1">
      <c r="A6886" s="4" t="s">
        <v>16483</v>
      </c>
      <c r="B6886" s="5" t="s">
        <v>16484</v>
      </c>
      <c r="C6886" s="5" t="s">
        <v>17</v>
      </c>
      <c r="D6886" s="5" t="s">
        <v>18</v>
      </c>
      <c r="E6886" s="5" t="s">
        <v>334</v>
      </c>
      <c r="F6886" s="9" t="s">
        <v>1814</v>
      </c>
      <c r="G6886" s="9">
        <v>1245</v>
      </c>
      <c r="H6886" s="5" t="s">
        <v>21</v>
      </c>
      <c r="I6886" s="5" t="s">
        <v>16485</v>
      </c>
      <c r="J6886" s="12" t="str">
        <f>HYPERLINK("https://www.boe.es/gazeta/dias/1808/10/04/pdfs/GMD-1808-131.pdf#page=13","Abrir facsímil")</f>
        <v>Abrir facsímil</v>
      </c>
      <c r="K6886" s="15" t="s">
        <v>23</v>
      </c>
    </row>
    <row r="6887" spans="1:11" ht="42" customHeight="1">
      <c r="A6887" s="4" t="s">
        <v>16486</v>
      </c>
      <c r="B6887" s="5" t="s">
        <v>16487</v>
      </c>
      <c r="C6887" s="5" t="s">
        <v>33</v>
      </c>
      <c r="D6887" s="5" t="s">
        <v>34</v>
      </c>
      <c r="E6887" s="5" t="s">
        <v>391</v>
      </c>
      <c r="F6887" s="9" t="s">
        <v>588</v>
      </c>
      <c r="G6887" s="9" t="s">
        <v>117</v>
      </c>
      <c r="H6887" s="5" t="s">
        <v>21</v>
      </c>
      <c r="I6887" s="5" t="s">
        <v>16488</v>
      </c>
      <c r="J6887" s="12" t="str">
        <f>HYPERLINK("https://www.boe.es/gazeta/dias/1808/09/27/pdfs/GMD-C-1808-128.pdf#page=1","Abrir facsímil")</f>
        <v>Abrir facsímil</v>
      </c>
      <c r="K6887" s="15" t="s">
        <v>23</v>
      </c>
    </row>
    <row r="6888" spans="1:11" ht="42" customHeight="1">
      <c r="A6888" s="4" t="s">
        <v>16489</v>
      </c>
      <c r="B6888" s="5" t="s">
        <v>16490</v>
      </c>
      <c r="C6888" s="5" t="s">
        <v>94</v>
      </c>
      <c r="D6888" s="5" t="s">
        <v>95</v>
      </c>
      <c r="E6888" s="5" t="s">
        <v>197</v>
      </c>
      <c r="F6888" s="9" t="s">
        <v>790</v>
      </c>
      <c r="G6888" s="9">
        <v>1410</v>
      </c>
      <c r="H6888" s="5" t="s">
        <v>21</v>
      </c>
      <c r="I6888" s="5" t="s">
        <v>16491</v>
      </c>
      <c r="J6888" s="12" t="str">
        <f>HYPERLINK("https://www.boe.es/gazeta/dias/1808/11/01/pdfs/GMD-1808-140.pdf#page=12","Abrir facsímil")</f>
        <v>Abrir facsímil</v>
      </c>
      <c r="K6888" s="15" t="s">
        <v>23</v>
      </c>
    </row>
    <row r="6889" spans="1:11" ht="42" customHeight="1">
      <c r="A6889" s="4" t="s">
        <v>16492</v>
      </c>
      <c r="B6889" s="5" t="s">
        <v>16493</v>
      </c>
      <c r="C6889" s="5" t="s">
        <v>17</v>
      </c>
      <c r="D6889" s="5" t="s">
        <v>18</v>
      </c>
      <c r="E6889" s="5" t="s">
        <v>2524</v>
      </c>
      <c r="F6889" s="9" t="s">
        <v>4648</v>
      </c>
      <c r="G6889" s="9">
        <v>477</v>
      </c>
      <c r="H6889" s="5" t="s">
        <v>21</v>
      </c>
      <c r="I6889" s="5" t="s">
        <v>16494</v>
      </c>
      <c r="J6889" s="12" t="str">
        <f>HYPERLINK("https://www.boe.es/gazeta/dias/1808/12/23/pdfs/GMS-1808-60.pdf#page=5","Abrir facsímil")</f>
        <v>Abrir facsímil</v>
      </c>
      <c r="K6889" s="15" t="s">
        <v>23</v>
      </c>
    </row>
    <row r="6890" spans="1:11" ht="42" customHeight="1">
      <c r="A6890" s="4" t="s">
        <v>16495</v>
      </c>
      <c r="B6890" s="5" t="s">
        <v>16496</v>
      </c>
      <c r="C6890" s="5" t="s">
        <v>260</v>
      </c>
      <c r="D6890" s="5" t="s">
        <v>42</v>
      </c>
      <c r="E6890" s="5" t="s">
        <v>469</v>
      </c>
      <c r="F6890" s="9" t="s">
        <v>470</v>
      </c>
      <c r="G6890" s="9">
        <v>152</v>
      </c>
      <c r="H6890" s="5" t="s">
        <v>21</v>
      </c>
      <c r="I6890" s="5" t="s">
        <v>16497</v>
      </c>
      <c r="J6890" s="12" t="str">
        <f>HYPERLINK("https://www.boe.es/gazeta/dias/1808/02/12/pdfs/GMD-1808-13.pdf#page=8","Abrir facsímil")</f>
        <v>Abrir facsímil</v>
      </c>
      <c r="K6890" s="15" t="s">
        <v>23</v>
      </c>
    </row>
    <row r="6891" spans="1:11" ht="42" customHeight="1">
      <c r="A6891" s="4" t="s">
        <v>16498</v>
      </c>
      <c r="B6891" s="5" t="s">
        <v>16498</v>
      </c>
      <c r="C6891" s="5" t="s">
        <v>101</v>
      </c>
      <c r="D6891" s="5" t="s">
        <v>102</v>
      </c>
      <c r="E6891" s="5" t="s">
        <v>2177</v>
      </c>
      <c r="F6891" s="9" t="s">
        <v>2178</v>
      </c>
      <c r="G6891" s="9">
        <v>722</v>
      </c>
      <c r="H6891" s="5" t="s">
        <v>21</v>
      </c>
      <c r="I6891" s="5" t="s">
        <v>16499</v>
      </c>
      <c r="J6891" s="12" t="str">
        <f>HYPERLINK("https://www.boe.es/gazeta/dias/1808/07/04/pdfs/GMD-1808-76.pdf#page=4","Abrir facsímil")</f>
        <v>Abrir facsímil</v>
      </c>
      <c r="K6891" s="15" t="s">
        <v>23</v>
      </c>
    </row>
    <row r="6892" spans="1:11" ht="42" customHeight="1">
      <c r="A6892" s="4" t="s">
        <v>16500</v>
      </c>
      <c r="B6892" s="5" t="s">
        <v>16501</v>
      </c>
      <c r="C6892" s="5" t="s">
        <v>33</v>
      </c>
      <c r="D6892" s="5" t="s">
        <v>34</v>
      </c>
      <c r="E6892" s="5" t="s">
        <v>363</v>
      </c>
      <c r="F6892" s="9" t="s">
        <v>364</v>
      </c>
      <c r="G6892" s="9" t="s">
        <v>199</v>
      </c>
      <c r="H6892" s="5" t="s">
        <v>21</v>
      </c>
      <c r="I6892" s="5" t="s">
        <v>16502</v>
      </c>
      <c r="J6892" s="12" t="str">
        <f>HYPERLINK("https://www.boe.es/gazeta/dias/1808/09/20/pdfs/GMD-C-1808-126.pdf#page=2","Abrir facsímil")</f>
        <v>Abrir facsímil</v>
      </c>
      <c r="K6892" s="15" t="s">
        <v>23</v>
      </c>
    </row>
    <row r="6893" spans="1:11" ht="42" customHeight="1">
      <c r="A6893" s="4" t="s">
        <v>16503</v>
      </c>
      <c r="B6893" s="5" t="s">
        <v>16504</v>
      </c>
      <c r="C6893" s="5" t="s">
        <v>33</v>
      </c>
      <c r="D6893" s="5" t="s">
        <v>34</v>
      </c>
      <c r="E6893" s="5" t="s">
        <v>461</v>
      </c>
      <c r="F6893" s="9" t="s">
        <v>462</v>
      </c>
      <c r="G6893" s="9" t="s">
        <v>75</v>
      </c>
      <c r="H6893" s="5" t="s">
        <v>21</v>
      </c>
      <c r="I6893" s="5" t="s">
        <v>16505</v>
      </c>
      <c r="J6893" s="12" t="str">
        <f>HYPERLINK("https://www.boe.es/gazeta/dias/1808/11/08/pdfs/GMD-D-1808-142.pdf#page=4","Abrir facsímil")</f>
        <v>Abrir facsímil</v>
      </c>
      <c r="K6893" s="15" t="s">
        <v>23</v>
      </c>
    </row>
    <row r="6894" spans="1:11" ht="42" customHeight="1">
      <c r="A6894" s="4" t="s">
        <v>16506</v>
      </c>
      <c r="B6894" s="5" t="s">
        <v>16507</v>
      </c>
      <c r="C6894" s="5" t="s">
        <v>33</v>
      </c>
      <c r="D6894" s="5" t="s">
        <v>34</v>
      </c>
      <c r="E6894" s="5" t="s">
        <v>3791</v>
      </c>
      <c r="F6894" s="9" t="s">
        <v>8498</v>
      </c>
      <c r="G6894" s="9">
        <v>620</v>
      </c>
      <c r="H6894" s="5" t="s">
        <v>21</v>
      </c>
      <c r="I6894" s="5" t="s">
        <v>16508</v>
      </c>
      <c r="J6894" s="12" t="str">
        <f>HYPERLINK("https://www.boe.es/gazeta/dias/1808/06/21/pdfs/GMD-C-1808-63.pdf#page=2","Abrir facsímil")</f>
        <v>Abrir facsímil</v>
      </c>
      <c r="K6894" s="15" t="s">
        <v>23</v>
      </c>
    </row>
    <row r="6895" spans="1:11" ht="42" customHeight="1">
      <c r="A6895" s="4" t="s">
        <v>16506</v>
      </c>
      <c r="B6895" s="5" t="s">
        <v>16507</v>
      </c>
      <c r="C6895" s="5" t="s">
        <v>17</v>
      </c>
      <c r="D6895" s="5" t="s">
        <v>18</v>
      </c>
      <c r="E6895" s="5" t="s">
        <v>1182</v>
      </c>
      <c r="F6895" s="9" t="s">
        <v>1197</v>
      </c>
      <c r="G6895" s="9">
        <v>659</v>
      </c>
      <c r="H6895" s="5" t="s">
        <v>21</v>
      </c>
      <c r="I6895" s="5" t="s">
        <v>16509</v>
      </c>
      <c r="J6895" s="12" t="str">
        <f>HYPERLINK("https://www.boe.es/gazeta/dias/1808/06/26/pdfs/GMD-1808-68.pdf#page=5","Abrir facsímil")</f>
        <v>Abrir facsímil</v>
      </c>
      <c r="K6895" s="15" t="s">
        <v>23</v>
      </c>
    </row>
    <row r="6896" spans="1:11" ht="42" customHeight="1">
      <c r="A6896" s="4" t="s">
        <v>16506</v>
      </c>
      <c r="B6896" s="5" t="s">
        <v>16507</v>
      </c>
      <c r="C6896" s="5" t="s">
        <v>17</v>
      </c>
      <c r="D6896" s="5" t="s">
        <v>18</v>
      </c>
      <c r="E6896" s="5" t="s">
        <v>968</v>
      </c>
      <c r="F6896" s="9" t="s">
        <v>969</v>
      </c>
      <c r="G6896" s="9">
        <v>899</v>
      </c>
      <c r="H6896" s="5" t="s">
        <v>21</v>
      </c>
      <c r="I6896" s="5" t="s">
        <v>16510</v>
      </c>
      <c r="J6896" s="12" t="str">
        <f>HYPERLINK("https://www.boe.es/gazeta/dias/1808/07/26/pdfs/GMD-1808-98.pdf#page=5","Abrir facsímil")</f>
        <v>Abrir facsímil</v>
      </c>
      <c r="K6896" s="15" t="s">
        <v>23</v>
      </c>
    </row>
    <row r="6897" spans="1:11" ht="42" customHeight="1">
      <c r="A6897" s="4" t="s">
        <v>16511</v>
      </c>
      <c r="B6897" s="5" t="s">
        <v>16511</v>
      </c>
      <c r="C6897" s="5" t="s">
        <v>260</v>
      </c>
      <c r="D6897" s="5" t="s">
        <v>42</v>
      </c>
      <c r="E6897" s="5" t="s">
        <v>1385</v>
      </c>
      <c r="F6897" s="9" t="s">
        <v>1386</v>
      </c>
      <c r="G6897" s="9">
        <v>233</v>
      </c>
      <c r="H6897" s="5" t="s">
        <v>21</v>
      </c>
      <c r="I6897" s="5" t="s">
        <v>16512</v>
      </c>
      <c r="J6897" s="12" t="str">
        <f>HYPERLINK("https://www.boe.es/gazeta/dias/1808/03/04/pdfs/GMD-1808-19.pdf#page=11","Abrir facsímil")</f>
        <v>Abrir facsímil</v>
      </c>
      <c r="K6897" s="15" t="s">
        <v>23</v>
      </c>
    </row>
    <row r="6898" spans="1:11" ht="42" customHeight="1">
      <c r="A6898" s="4" t="s">
        <v>16513</v>
      </c>
      <c r="B6898" s="5" t="s">
        <v>16514</v>
      </c>
      <c r="C6898" s="5" t="s">
        <v>94</v>
      </c>
      <c r="D6898" s="5" t="s">
        <v>95</v>
      </c>
      <c r="E6898" s="5" t="s">
        <v>203</v>
      </c>
      <c r="F6898" s="9" t="s">
        <v>204</v>
      </c>
      <c r="G6898" s="9">
        <v>144</v>
      </c>
      <c r="H6898" s="5" t="s">
        <v>21</v>
      </c>
      <c r="I6898" s="5" t="s">
        <v>16515</v>
      </c>
      <c r="J6898" s="12" t="str">
        <f>HYPERLINK("https://www.boe.es/gazeta/dias/1808/02/09/pdfs/GMD-1808-12.pdf#page=12","Abrir facsímil")</f>
        <v>Abrir facsímil</v>
      </c>
      <c r="K6898" s="15" t="s">
        <v>23</v>
      </c>
    </row>
    <row r="6899" spans="1:11" ht="42" customHeight="1">
      <c r="A6899" s="4" t="s">
        <v>16513</v>
      </c>
      <c r="B6899" s="5" t="s">
        <v>16514</v>
      </c>
      <c r="C6899" s="5" t="s">
        <v>94</v>
      </c>
      <c r="D6899" s="5" t="s">
        <v>95</v>
      </c>
      <c r="E6899" s="5" t="s">
        <v>991</v>
      </c>
      <c r="F6899" s="9" t="s">
        <v>992</v>
      </c>
      <c r="G6899" s="9">
        <v>221</v>
      </c>
      <c r="H6899" s="5" t="s">
        <v>21</v>
      </c>
      <c r="I6899" s="5" t="s">
        <v>16516</v>
      </c>
      <c r="J6899" s="12" t="str">
        <f>HYPERLINK("https://www.boe.es/gazeta/dias/1808/03/01/pdfs/GMD-1808-18.pdf#page=11","Abrir facsímil")</f>
        <v>Abrir facsímil</v>
      </c>
      <c r="K6899" s="15" t="s">
        <v>23</v>
      </c>
    </row>
    <row r="6900" spans="1:11" ht="42" customHeight="1">
      <c r="A6900" s="4" t="s">
        <v>16517</v>
      </c>
      <c r="B6900" s="5" t="s">
        <v>16518</v>
      </c>
      <c r="C6900" s="5" t="s">
        <v>41</v>
      </c>
      <c r="D6900" s="5" t="s">
        <v>42</v>
      </c>
      <c r="E6900" s="5" t="s">
        <v>35</v>
      </c>
      <c r="F6900" s="9" t="s">
        <v>36</v>
      </c>
      <c r="G6900" s="9" t="s">
        <v>162</v>
      </c>
      <c r="H6900" s="5" t="s">
        <v>21</v>
      </c>
      <c r="I6900" s="5" t="s">
        <v>16519</v>
      </c>
      <c r="J6900" s="12" t="str">
        <f>HYPERLINK("https://www.boe.es/gazeta/dias/1808/04/22/pdfs/GMD-C-1808-38.pdf#page=31","Abrir facsímil")</f>
        <v>Abrir facsímil</v>
      </c>
      <c r="K6900" s="15" t="s">
        <v>23</v>
      </c>
    </row>
    <row r="6901" spans="1:11" ht="42" customHeight="1">
      <c r="A6901" s="4" t="s">
        <v>16520</v>
      </c>
      <c r="B6901" s="5" t="s">
        <v>16521</v>
      </c>
      <c r="C6901" s="5" t="s">
        <v>260</v>
      </c>
      <c r="D6901" s="5" t="s">
        <v>42</v>
      </c>
      <c r="E6901" s="5" t="s">
        <v>572</v>
      </c>
      <c r="F6901" s="9" t="s">
        <v>573</v>
      </c>
      <c r="G6901" s="9">
        <v>15</v>
      </c>
      <c r="H6901" s="5" t="s">
        <v>21</v>
      </c>
      <c r="I6901" s="5" t="s">
        <v>16522</v>
      </c>
      <c r="J6901" s="12" t="str">
        <f>HYPERLINK("https://www.boe.es/gazeta/dias/1808/01/05/pdfs/GMD-1808-2.pdf#page=3","Abrir facsímil")</f>
        <v>Abrir facsímil</v>
      </c>
      <c r="K6901" s="15" t="s">
        <v>23</v>
      </c>
    </row>
    <row r="6902" spans="1:11" ht="42" customHeight="1">
      <c r="A6902" s="4" t="s">
        <v>16523</v>
      </c>
      <c r="B6902" s="5" t="s">
        <v>16524</v>
      </c>
      <c r="C6902" s="5" t="s">
        <v>94</v>
      </c>
      <c r="D6902" s="5" t="s">
        <v>95</v>
      </c>
      <c r="E6902" s="5" t="s">
        <v>548</v>
      </c>
      <c r="F6902" s="9" t="s">
        <v>549</v>
      </c>
      <c r="G6902" s="9">
        <v>272</v>
      </c>
      <c r="H6902" s="5" t="s">
        <v>21</v>
      </c>
      <c r="I6902" s="5" t="s">
        <v>16525</v>
      </c>
      <c r="J6902" s="12" t="str">
        <f>HYPERLINK("https://www.boe.es/gazeta/dias/1808/03/18/pdfs/GMD-1808-23.pdf#page=2","Abrir facsímil")</f>
        <v>Abrir facsímil</v>
      </c>
      <c r="K6902" s="15" t="s">
        <v>23</v>
      </c>
    </row>
    <row r="6903" spans="1:11" ht="42" customHeight="1">
      <c r="A6903" s="4" t="s">
        <v>16526</v>
      </c>
      <c r="B6903" s="5" t="s">
        <v>16527</v>
      </c>
      <c r="C6903" s="5" t="s">
        <v>101</v>
      </c>
      <c r="D6903" s="5" t="s">
        <v>102</v>
      </c>
      <c r="E6903" s="5" t="s">
        <v>2204</v>
      </c>
      <c r="F6903" s="9" t="s">
        <v>2285</v>
      </c>
      <c r="G6903" s="9">
        <v>680</v>
      </c>
      <c r="H6903" s="5" t="s">
        <v>21</v>
      </c>
      <c r="I6903" s="5" t="s">
        <v>16528</v>
      </c>
      <c r="J6903" s="12" t="str">
        <f>HYPERLINK("https://www.boe.es/gazeta/dias/1808/06/29/pdfs/GMD-1808-71.pdf#page=2","Abrir facsímil")</f>
        <v>Abrir facsímil</v>
      </c>
      <c r="K6903" s="15" t="s">
        <v>23</v>
      </c>
    </row>
    <row r="6904" spans="1:11" ht="42" customHeight="1">
      <c r="A6904" s="4" t="s">
        <v>16529</v>
      </c>
      <c r="B6904" s="5" t="s">
        <v>16530</v>
      </c>
      <c r="C6904" s="5" t="s">
        <v>94</v>
      </c>
      <c r="D6904" s="5" t="s">
        <v>95</v>
      </c>
      <c r="E6904" s="5" t="s">
        <v>363</v>
      </c>
      <c r="F6904" s="9" t="s">
        <v>364</v>
      </c>
      <c r="G6904" s="9" t="s">
        <v>199</v>
      </c>
      <c r="H6904" s="5" t="s">
        <v>21</v>
      </c>
      <c r="I6904" s="5" t="s">
        <v>16531</v>
      </c>
      <c r="J6904" s="12" t="str">
        <f>HYPERLINK("https://www.boe.es/gazeta/dias/1808/09/20/pdfs/GMD-C-1808-126.pdf#page=2","Abrir facsímil")</f>
        <v>Abrir facsímil</v>
      </c>
      <c r="K6904" s="15" t="s">
        <v>23</v>
      </c>
    </row>
    <row r="6905" spans="1:11" ht="42" customHeight="1">
      <c r="A6905" s="4" t="s">
        <v>16532</v>
      </c>
      <c r="B6905" s="5" t="s">
        <v>16533</v>
      </c>
      <c r="C6905" s="5" t="s">
        <v>94</v>
      </c>
      <c r="D6905" s="5" t="s">
        <v>95</v>
      </c>
      <c r="E6905" s="5" t="s">
        <v>61</v>
      </c>
      <c r="F6905" s="9" t="s">
        <v>2876</v>
      </c>
      <c r="G6905" s="9">
        <v>308</v>
      </c>
      <c r="H6905" s="5" t="s">
        <v>21</v>
      </c>
      <c r="I6905" s="5" t="s">
        <v>16534</v>
      </c>
      <c r="J6905" s="12" t="str">
        <f>HYPERLINK("https://www.boe.es/gazeta/dias/1808/10/11/pdfs/GMS-1808-39.pdf#page=4","Abrir facsímil")</f>
        <v>Abrir facsímil</v>
      </c>
      <c r="K6905" s="15" t="s">
        <v>23</v>
      </c>
    </row>
    <row r="6906" spans="1:11" ht="42" customHeight="1">
      <c r="A6906" s="4" t="s">
        <v>16535</v>
      </c>
      <c r="B6906" s="5" t="s">
        <v>16536</v>
      </c>
      <c r="C6906" s="5" t="s">
        <v>33</v>
      </c>
      <c r="D6906" s="5" t="s">
        <v>34</v>
      </c>
      <c r="E6906" s="5" t="s">
        <v>197</v>
      </c>
      <c r="F6906" s="9" t="s">
        <v>198</v>
      </c>
      <c r="G6906" s="9" t="s">
        <v>199</v>
      </c>
      <c r="H6906" s="5" t="s">
        <v>21</v>
      </c>
      <c r="I6906" s="5" t="s">
        <v>16537</v>
      </c>
      <c r="J6906" s="12" t="str">
        <f>HYPERLINK("https://www.boe.es/gazeta/dias/1808/11/01/pdfs/GMD-D-1808-140.pdf#page=2","Abrir facsímil")</f>
        <v>Abrir facsímil</v>
      </c>
      <c r="K6906" s="15" t="s">
        <v>23</v>
      </c>
    </row>
    <row r="6907" spans="1:11" ht="42" customHeight="1">
      <c r="A6907" s="4" t="s">
        <v>16538</v>
      </c>
      <c r="B6907" s="5" t="s">
        <v>16539</v>
      </c>
      <c r="C6907" s="5" t="s">
        <v>26</v>
      </c>
      <c r="D6907" s="5" t="s">
        <v>27</v>
      </c>
      <c r="E6907" s="5" t="s">
        <v>508</v>
      </c>
      <c r="F6907" s="9" t="s">
        <v>1561</v>
      </c>
      <c r="G6907" s="9">
        <v>1032</v>
      </c>
      <c r="H6907" s="5" t="s">
        <v>21</v>
      </c>
      <c r="I6907" s="5" t="s">
        <v>16540</v>
      </c>
      <c r="J6907" s="12" t="str">
        <f>HYPERLINK("https://www.boe.es/gazeta/dias/1808/08/16/pdfs/GMD-C-1808-113.pdf#page=12","Abrir facsímil")</f>
        <v>Abrir facsímil</v>
      </c>
      <c r="K6907" s="15" t="s">
        <v>23</v>
      </c>
    </row>
    <row r="6908" spans="1:11" ht="42" customHeight="1">
      <c r="A6908" s="4" t="s">
        <v>16541</v>
      </c>
      <c r="B6908" s="5" t="s">
        <v>16542</v>
      </c>
      <c r="C6908" s="5" t="s">
        <v>94</v>
      </c>
      <c r="D6908" s="5" t="s">
        <v>95</v>
      </c>
      <c r="E6908" s="5" t="s">
        <v>68</v>
      </c>
      <c r="F6908" s="9" t="s">
        <v>69</v>
      </c>
      <c r="G6908" s="9">
        <v>1338</v>
      </c>
      <c r="H6908" s="5" t="s">
        <v>21</v>
      </c>
      <c r="I6908" s="5" t="s">
        <v>16543</v>
      </c>
      <c r="J6908" s="12" t="str">
        <f>HYPERLINK("https://www.boe.es/gazeta/dias/1808/10/21/pdfs/GMD-1808-136.pdf#page=10","Abrir facsímil")</f>
        <v>Abrir facsímil</v>
      </c>
      <c r="K6908" s="15" t="s">
        <v>23</v>
      </c>
    </row>
    <row r="6909" spans="1:11" ht="42" customHeight="1">
      <c r="A6909" s="4" t="s">
        <v>16544</v>
      </c>
      <c r="B6909" s="5" t="s">
        <v>16545</v>
      </c>
      <c r="C6909" s="5" t="s">
        <v>41</v>
      </c>
      <c r="D6909" s="5" t="s">
        <v>42</v>
      </c>
      <c r="E6909" s="5" t="s">
        <v>35</v>
      </c>
      <c r="F6909" s="9" t="s">
        <v>36</v>
      </c>
      <c r="G6909" s="9" t="s">
        <v>106</v>
      </c>
      <c r="H6909" s="5" t="s">
        <v>21</v>
      </c>
      <c r="I6909" s="5" t="s">
        <v>16546</v>
      </c>
      <c r="J6909" s="12" t="str">
        <f>HYPERLINK("https://www.boe.es/gazeta/dias/1808/04/22/pdfs/GMD-C-1808-38.pdf#page=3","Abrir facsímil")</f>
        <v>Abrir facsímil</v>
      </c>
      <c r="K6909" s="15" t="s">
        <v>23</v>
      </c>
    </row>
    <row r="6910" spans="1:11" ht="42" customHeight="1">
      <c r="A6910" s="4" t="s">
        <v>16547</v>
      </c>
      <c r="B6910" s="5" t="s">
        <v>16548</v>
      </c>
      <c r="C6910" s="5" t="s">
        <v>17</v>
      </c>
      <c r="D6910" s="5" t="s">
        <v>18</v>
      </c>
      <c r="E6910" s="5" t="s">
        <v>3365</v>
      </c>
      <c r="F6910" s="9" t="s">
        <v>3366</v>
      </c>
      <c r="G6910" s="9">
        <v>125</v>
      </c>
      <c r="H6910" s="5" t="s">
        <v>21</v>
      </c>
      <c r="I6910" s="5" t="s">
        <v>16549</v>
      </c>
      <c r="J6910" s="12" t="str">
        <f>HYPERLINK("https://www.boe.es/gazeta/dias/1808/07/23/pdfs/GMS-1808-16.pdf#page=5","Abrir facsímil")</f>
        <v>Abrir facsímil</v>
      </c>
      <c r="K6910" s="15" t="s">
        <v>23</v>
      </c>
    </row>
    <row r="6911" spans="1:11" ht="42" customHeight="1">
      <c r="A6911" s="4" t="s">
        <v>16550</v>
      </c>
      <c r="B6911" s="5" t="s">
        <v>16551</v>
      </c>
      <c r="C6911" s="5" t="s">
        <v>389</v>
      </c>
      <c r="D6911" s="5" t="s">
        <v>390</v>
      </c>
      <c r="E6911" s="5" t="s">
        <v>139</v>
      </c>
      <c r="F6911" s="9" t="s">
        <v>1089</v>
      </c>
      <c r="G6911" s="9" t="s">
        <v>106</v>
      </c>
      <c r="H6911" s="5" t="s">
        <v>21</v>
      </c>
      <c r="I6911" s="5" t="s">
        <v>16552</v>
      </c>
      <c r="J6911" s="12" t="str">
        <f>HYPERLINK("https://www.boe.es/gazeta/dias/1808/09/23/pdfs/GMD-C-1808-127.pdf#page=3","Abrir facsímil")</f>
        <v>Abrir facsímil</v>
      </c>
      <c r="K6911" s="15" t="s">
        <v>23</v>
      </c>
    </row>
    <row r="6912" spans="1:11" ht="42" customHeight="1">
      <c r="A6912" s="4" t="s">
        <v>16553</v>
      </c>
      <c r="B6912" s="5" t="s">
        <v>16553</v>
      </c>
      <c r="C6912" s="5" t="s">
        <v>17</v>
      </c>
      <c r="D6912" s="5" t="s">
        <v>18</v>
      </c>
      <c r="E6912" s="5" t="s">
        <v>427</v>
      </c>
      <c r="F6912" s="9" t="s">
        <v>1802</v>
      </c>
      <c r="G6912" s="9">
        <v>1520</v>
      </c>
      <c r="H6912" s="5" t="s">
        <v>21</v>
      </c>
      <c r="I6912" s="5" t="s">
        <v>16554</v>
      </c>
      <c r="J6912" s="12" t="str">
        <f>HYPERLINK("https://www.boe.es/gazeta/dias/1808/11/22/pdfs/GMD-1808-146.pdf#page=6","Abrir facsímil")</f>
        <v>Abrir facsímil</v>
      </c>
      <c r="K6912" s="15" t="s">
        <v>23</v>
      </c>
    </row>
    <row r="6913" spans="1:11" ht="42" customHeight="1">
      <c r="A6913" s="4" t="s">
        <v>16553</v>
      </c>
      <c r="B6913" s="5" t="s">
        <v>16553</v>
      </c>
      <c r="C6913" s="5" t="s">
        <v>94</v>
      </c>
      <c r="D6913" s="5" t="s">
        <v>95</v>
      </c>
      <c r="E6913" s="5" t="s">
        <v>8477</v>
      </c>
      <c r="F6913" s="9" t="s">
        <v>8478</v>
      </c>
      <c r="G6913" s="9">
        <v>443</v>
      </c>
      <c r="H6913" s="5" t="s">
        <v>21</v>
      </c>
      <c r="I6913" s="5" t="s">
        <v>16555</v>
      </c>
      <c r="J6913" s="12" t="str">
        <f>HYPERLINK("https://www.boe.es/gazeta/dias/1808/12/09/pdfs/GMS-1808-56.pdf#page=3","Abrir facsímil")</f>
        <v>Abrir facsímil</v>
      </c>
      <c r="K6913" s="15" t="s">
        <v>23</v>
      </c>
    </row>
    <row r="6914" spans="1:11" ht="42" customHeight="1">
      <c r="A6914" s="4" t="s">
        <v>16553</v>
      </c>
      <c r="B6914" s="5" t="s">
        <v>16553</v>
      </c>
      <c r="C6914" s="5" t="s">
        <v>17</v>
      </c>
      <c r="D6914" s="5" t="s">
        <v>18</v>
      </c>
      <c r="E6914" s="5" t="s">
        <v>8477</v>
      </c>
      <c r="F6914" s="9" t="s">
        <v>8478</v>
      </c>
      <c r="G6914" s="9">
        <v>444</v>
      </c>
      <c r="H6914" s="5" t="s">
        <v>21</v>
      </c>
      <c r="I6914" s="5" t="s">
        <v>16556</v>
      </c>
      <c r="J6914" s="12" t="str">
        <f>HYPERLINK("https://www.boe.es/gazeta/dias/1808/12/09/pdfs/GMS-1808-56.pdf#page=4","Abrir facsímil")</f>
        <v>Abrir facsímil</v>
      </c>
      <c r="K6914" s="15" t="s">
        <v>23</v>
      </c>
    </row>
    <row r="6915" spans="1:11" ht="42" customHeight="1">
      <c r="A6915" s="4" t="s">
        <v>16557</v>
      </c>
      <c r="B6915" s="5" t="s">
        <v>16557</v>
      </c>
      <c r="C6915" s="5" t="s">
        <v>260</v>
      </c>
      <c r="D6915" s="5" t="s">
        <v>42</v>
      </c>
      <c r="E6915" s="5" t="s">
        <v>1671</v>
      </c>
      <c r="F6915" s="9" t="s">
        <v>1672</v>
      </c>
      <c r="G6915" s="9">
        <v>477</v>
      </c>
      <c r="H6915" s="5" t="s">
        <v>21</v>
      </c>
      <c r="I6915" s="5" t="s">
        <v>16558</v>
      </c>
      <c r="J6915" s="12" t="str">
        <f>HYPERLINK("https://www.boe.es/gazeta/dias/1808/05/20/pdfs/GMD-1808-48.pdf#page=5","Abrir facsímil")</f>
        <v>Abrir facsímil</v>
      </c>
      <c r="K6915" s="15" t="s">
        <v>23</v>
      </c>
    </row>
    <row r="6916" spans="1:11" ht="42" customHeight="1">
      <c r="A6916" s="4" t="s">
        <v>16559</v>
      </c>
      <c r="B6916" s="5" t="s">
        <v>16560</v>
      </c>
      <c r="C6916" s="5" t="s">
        <v>33</v>
      </c>
      <c r="D6916" s="5" t="s">
        <v>34</v>
      </c>
      <c r="E6916" s="5" t="s">
        <v>35</v>
      </c>
      <c r="F6916" s="9" t="s">
        <v>36</v>
      </c>
      <c r="G6916" s="9" t="s">
        <v>299</v>
      </c>
      <c r="H6916" s="5" t="s">
        <v>21</v>
      </c>
      <c r="I6916" s="5" t="s">
        <v>16561</v>
      </c>
      <c r="J6916" s="12" t="str">
        <f>HYPERLINK("https://www.boe.es/gazeta/dias/1808/04/22/pdfs/GMD-C-1808-38.pdf#page=14","Abrir facsímil")</f>
        <v>Abrir facsímil</v>
      </c>
      <c r="K6916" s="15" t="s">
        <v>23</v>
      </c>
    </row>
    <row r="6917" spans="1:11" ht="42" customHeight="1">
      <c r="A6917" s="4" t="s">
        <v>16562</v>
      </c>
      <c r="B6917" s="5" t="s">
        <v>16563</v>
      </c>
      <c r="C6917" s="5" t="s">
        <v>94</v>
      </c>
      <c r="D6917" s="5" t="s">
        <v>95</v>
      </c>
      <c r="E6917" s="5" t="s">
        <v>493</v>
      </c>
      <c r="F6917" s="9" t="s">
        <v>494</v>
      </c>
      <c r="G6917" s="9">
        <v>44</v>
      </c>
      <c r="H6917" s="5" t="s">
        <v>21</v>
      </c>
      <c r="I6917" s="5" t="s">
        <v>16564</v>
      </c>
      <c r="J6917" s="12" t="str">
        <f>HYPERLINK("https://www.boe.es/gazeta/dias/1808/01/12/pdfs/GMD-1808-4.pdf#page=8","Abrir facsímil")</f>
        <v>Abrir facsímil</v>
      </c>
      <c r="K6917" s="15" t="s">
        <v>23</v>
      </c>
    </row>
    <row r="6918" spans="1:11" ht="42" customHeight="1">
      <c r="A6918" s="4" t="s">
        <v>16565</v>
      </c>
      <c r="B6918" s="5" t="s">
        <v>16566</v>
      </c>
      <c r="C6918" s="5" t="s">
        <v>33</v>
      </c>
      <c r="D6918" s="5" t="s">
        <v>34</v>
      </c>
      <c r="E6918" s="5" t="s">
        <v>65</v>
      </c>
      <c r="F6918" s="9" t="s">
        <v>691</v>
      </c>
      <c r="G6918" s="9">
        <v>1319</v>
      </c>
      <c r="H6918" s="5" t="s">
        <v>21</v>
      </c>
      <c r="I6918" s="5" t="s">
        <v>16567</v>
      </c>
      <c r="J6918" s="12" t="str">
        <f>HYPERLINK("https://www.boe.es/gazeta/dias/1808/10/18/pdfs/GMD-C-1808-135.pdf#page=3","Abrir facsímil")</f>
        <v>Abrir facsímil</v>
      </c>
      <c r="K6918" s="15" t="s">
        <v>23</v>
      </c>
    </row>
    <row r="6919" spans="1:11" ht="42" customHeight="1">
      <c r="A6919" s="4" t="s">
        <v>16565</v>
      </c>
      <c r="B6919" s="5" t="s">
        <v>16566</v>
      </c>
      <c r="C6919" s="5" t="s">
        <v>33</v>
      </c>
      <c r="D6919" s="5" t="s">
        <v>34</v>
      </c>
      <c r="E6919" s="5" t="s">
        <v>65</v>
      </c>
      <c r="F6919" s="9" t="s">
        <v>691</v>
      </c>
      <c r="G6919" s="9">
        <v>1320</v>
      </c>
      <c r="H6919" s="5" t="s">
        <v>21</v>
      </c>
      <c r="I6919" s="5" t="s">
        <v>16568</v>
      </c>
      <c r="J6919" s="12" t="str">
        <f>HYPERLINK("https://www.boe.es/gazeta/dias/1808/10/18/pdfs/GMD-C-1808-135.pdf#page=4","Abrir facsímil")</f>
        <v>Abrir facsímil</v>
      </c>
      <c r="K6919" s="15" t="s">
        <v>23</v>
      </c>
    </row>
    <row r="6920" spans="1:11" ht="42" customHeight="1">
      <c r="A6920" s="4" t="s">
        <v>16569</v>
      </c>
      <c r="B6920" s="5" t="s">
        <v>16570</v>
      </c>
      <c r="C6920" s="5" t="s">
        <v>17</v>
      </c>
      <c r="D6920" s="5" t="s">
        <v>18</v>
      </c>
      <c r="E6920" s="5" t="s">
        <v>1702</v>
      </c>
      <c r="F6920" s="9" t="s">
        <v>1703</v>
      </c>
      <c r="G6920" s="9">
        <v>99</v>
      </c>
      <c r="H6920" s="5" t="s">
        <v>21</v>
      </c>
      <c r="I6920" s="5" t="s">
        <v>16571</v>
      </c>
      <c r="J6920" s="12" t="str">
        <f>HYPERLINK("https://www.boe.es/gazeta/dias/1808/07/13/pdfs/GMS-1808-13.pdf#page=3","Abrir facsímil")</f>
        <v>Abrir facsímil</v>
      </c>
      <c r="K6920" s="15" t="s">
        <v>23</v>
      </c>
    </row>
    <row r="6921" spans="1:11" ht="42" customHeight="1">
      <c r="A6921" s="4" t="s">
        <v>16572</v>
      </c>
      <c r="B6921" s="5" t="s">
        <v>16573</v>
      </c>
      <c r="C6921" s="5" t="s">
        <v>94</v>
      </c>
      <c r="D6921" s="5" t="s">
        <v>95</v>
      </c>
      <c r="E6921" s="5" t="s">
        <v>461</v>
      </c>
      <c r="F6921" s="9" t="s">
        <v>733</v>
      </c>
      <c r="G6921" s="9">
        <v>1445</v>
      </c>
      <c r="H6921" s="5" t="s">
        <v>21</v>
      </c>
      <c r="I6921" s="5" t="s">
        <v>16574</v>
      </c>
      <c r="J6921" s="12" t="str">
        <f>HYPERLINK("https://www.boe.es/gazeta/dias/1808/11/08/pdfs/GMD-1808-142.pdf#page=7","Abrir facsímil")</f>
        <v>Abrir facsímil</v>
      </c>
      <c r="K6921" s="15" t="s">
        <v>23</v>
      </c>
    </row>
    <row r="6922" spans="1:11" ht="42" customHeight="1">
      <c r="A6922" s="4" t="s">
        <v>16575</v>
      </c>
      <c r="B6922" s="5" t="s">
        <v>16575</v>
      </c>
      <c r="C6922" s="5" t="s">
        <v>101</v>
      </c>
      <c r="D6922" s="5" t="s">
        <v>102</v>
      </c>
      <c r="E6922" s="5" t="s">
        <v>203</v>
      </c>
      <c r="F6922" s="9" t="s">
        <v>204</v>
      </c>
      <c r="G6922" s="9">
        <v>137</v>
      </c>
      <c r="H6922" s="5" t="s">
        <v>21</v>
      </c>
      <c r="I6922" s="5" t="s">
        <v>16576</v>
      </c>
      <c r="J6922" s="12" t="str">
        <f>HYPERLINK("https://www.boe.es/gazeta/dias/1808/02/09/pdfs/GMD-1808-12.pdf#page=5","Abrir facsímil")</f>
        <v>Abrir facsímil</v>
      </c>
      <c r="K6922" s="15" t="s">
        <v>23</v>
      </c>
    </row>
    <row r="6923" spans="1:11" ht="42" customHeight="1">
      <c r="A6923" s="4" t="s">
        <v>16577</v>
      </c>
      <c r="B6923" s="5" t="s">
        <v>16578</v>
      </c>
      <c r="C6923" s="5" t="s">
        <v>17</v>
      </c>
      <c r="D6923" s="5" t="s">
        <v>18</v>
      </c>
      <c r="E6923" s="5" t="s">
        <v>558</v>
      </c>
      <c r="F6923" s="9" t="s">
        <v>559</v>
      </c>
      <c r="G6923" s="9">
        <v>1544</v>
      </c>
      <c r="H6923" s="5" t="s">
        <v>21</v>
      </c>
      <c r="I6923" s="5" t="s">
        <v>16579</v>
      </c>
      <c r="J6923" s="12" t="str">
        <f>HYPERLINK("https://www.boe.es/gazeta/dias/1808/11/25/pdfs/GMD-1808-147.pdf#page=10","Abrir facsímil")</f>
        <v>Abrir facsímil</v>
      </c>
      <c r="K6923" s="15" t="s">
        <v>23</v>
      </c>
    </row>
    <row r="6924" spans="1:11" ht="42" customHeight="1">
      <c r="A6924" s="4" t="s">
        <v>16580</v>
      </c>
      <c r="B6924" s="5" t="s">
        <v>16581</v>
      </c>
      <c r="C6924" s="5" t="s">
        <v>94</v>
      </c>
      <c r="D6924" s="5" t="s">
        <v>95</v>
      </c>
      <c r="E6924" s="5" t="s">
        <v>2555</v>
      </c>
      <c r="F6924" s="9" t="s">
        <v>2556</v>
      </c>
      <c r="G6924" s="9">
        <v>130</v>
      </c>
      <c r="H6924" s="5" t="s">
        <v>21</v>
      </c>
      <c r="I6924" s="5" t="s">
        <v>16582</v>
      </c>
      <c r="J6924" s="12" t="str">
        <f>HYPERLINK("https://www.boe.es/gazeta/dias/1808/02/05/pdfs/GMD-1808-11.pdf#page=10","Abrir facsímil")</f>
        <v>Abrir facsímil</v>
      </c>
      <c r="K6924" s="15" t="s">
        <v>23</v>
      </c>
    </row>
    <row r="6925" spans="1:11" ht="42" customHeight="1">
      <c r="A6925" s="4" t="s">
        <v>16583</v>
      </c>
      <c r="B6925" s="5" t="s">
        <v>16583</v>
      </c>
      <c r="C6925" s="5" t="s">
        <v>17</v>
      </c>
      <c r="D6925" s="5" t="s">
        <v>18</v>
      </c>
      <c r="E6925" s="5" t="s">
        <v>1472</v>
      </c>
      <c r="F6925" s="9" t="s">
        <v>1473</v>
      </c>
      <c r="G6925" s="9">
        <v>95</v>
      </c>
      <c r="H6925" s="5" t="s">
        <v>21</v>
      </c>
      <c r="I6925" s="5" t="s">
        <v>16584</v>
      </c>
      <c r="J6925" s="12" t="str">
        <f>HYPERLINK("https://www.boe.es/gazeta/dias/1808/01/26/pdfs/GMD-1808-8.pdf#page=11","Abrir facsímil")</f>
        <v>Abrir facsímil</v>
      </c>
      <c r="K6925" s="15" t="s">
        <v>23</v>
      </c>
    </row>
    <row r="6926" spans="1:11" ht="42" customHeight="1">
      <c r="A6926" s="4" t="s">
        <v>16585</v>
      </c>
      <c r="B6926" s="5" t="s">
        <v>16585</v>
      </c>
      <c r="C6926" s="5" t="s">
        <v>101</v>
      </c>
      <c r="D6926" s="5" t="s">
        <v>102</v>
      </c>
      <c r="E6926" s="5" t="s">
        <v>14716</v>
      </c>
      <c r="F6926" s="9" t="s">
        <v>14717</v>
      </c>
      <c r="G6926" s="9">
        <v>786</v>
      </c>
      <c r="H6926" s="5" t="s">
        <v>21</v>
      </c>
      <c r="I6926" s="5" t="s">
        <v>16586</v>
      </c>
      <c r="J6926" s="12" t="str">
        <f>HYPERLINK("https://www.boe.es/gazeta/dias/1808/07/12/pdfs/GMD-1808-84.pdf#page=4","Abrir facsímil")</f>
        <v>Abrir facsímil</v>
      </c>
      <c r="K6926" s="15" t="s">
        <v>23</v>
      </c>
    </row>
    <row r="6927" spans="1:11" ht="42" customHeight="1">
      <c r="A6927" s="4" t="s">
        <v>16587</v>
      </c>
      <c r="B6927" s="5" t="s">
        <v>16588</v>
      </c>
      <c r="C6927" s="5" t="s">
        <v>33</v>
      </c>
      <c r="D6927" s="5" t="s">
        <v>34</v>
      </c>
      <c r="E6927" s="5" t="s">
        <v>89</v>
      </c>
      <c r="F6927" s="9" t="s">
        <v>563</v>
      </c>
      <c r="G6927" s="9" t="s">
        <v>75</v>
      </c>
      <c r="H6927" s="5" t="s">
        <v>21</v>
      </c>
      <c r="I6927" s="5" t="s">
        <v>16589</v>
      </c>
      <c r="J6927" s="12" t="str">
        <f>HYPERLINK("https://www.boe.es/gazeta/dias/1808/10/25/pdfs/GMD-D-1808-137.pdf#page=4","Abrir facsímil")</f>
        <v>Abrir facsímil</v>
      </c>
      <c r="K6927" s="15" t="s">
        <v>23</v>
      </c>
    </row>
    <row r="6928" spans="1:11" ht="42" customHeight="1">
      <c r="A6928" s="4" t="s">
        <v>16590</v>
      </c>
      <c r="B6928" s="5" t="s">
        <v>16591</v>
      </c>
      <c r="C6928" s="5" t="s">
        <v>389</v>
      </c>
      <c r="D6928" s="5" t="s">
        <v>390</v>
      </c>
      <c r="E6928" s="5" t="s">
        <v>2794</v>
      </c>
      <c r="F6928" s="9" t="s">
        <v>2795</v>
      </c>
      <c r="G6928" s="9">
        <v>976</v>
      </c>
      <c r="H6928" s="5" t="s">
        <v>21</v>
      </c>
      <c r="I6928" s="5" t="s">
        <v>16592</v>
      </c>
      <c r="J6928" s="12" t="str">
        <f>HYPERLINK("https://www.boe.es/gazeta/dias/1808/08/06/pdfs/GMD-1808-109.pdf#page=2","Abrir facsímil")</f>
        <v>Abrir facsímil</v>
      </c>
      <c r="K6928" s="15" t="s">
        <v>23</v>
      </c>
    </row>
    <row r="6929" spans="1:11" ht="42" customHeight="1">
      <c r="A6929" s="4" t="s">
        <v>16593</v>
      </c>
      <c r="B6929" s="5" t="s">
        <v>16594</v>
      </c>
      <c r="C6929" s="5" t="s">
        <v>33</v>
      </c>
      <c r="D6929" s="5" t="s">
        <v>34</v>
      </c>
      <c r="E6929" s="5" t="s">
        <v>153</v>
      </c>
      <c r="F6929" s="9" t="s">
        <v>154</v>
      </c>
      <c r="G6929" s="9" t="s">
        <v>199</v>
      </c>
      <c r="H6929" s="5" t="s">
        <v>21</v>
      </c>
      <c r="I6929" s="5" t="s">
        <v>16595</v>
      </c>
      <c r="J6929" s="12" t="str">
        <f>HYPERLINK("https://www.boe.es/gazeta/dias/1808/09/09/pdfs/GMD-C-1808-121.pdf#page=2","Abrir facsímil")</f>
        <v>Abrir facsímil</v>
      </c>
      <c r="K6929" s="15" t="s">
        <v>23</v>
      </c>
    </row>
    <row r="6930" spans="1:11" ht="42" customHeight="1">
      <c r="A6930" s="4" t="s">
        <v>16596</v>
      </c>
      <c r="B6930" s="5" t="s">
        <v>16597</v>
      </c>
      <c r="C6930" s="5" t="s">
        <v>94</v>
      </c>
      <c r="D6930" s="5" t="s">
        <v>95</v>
      </c>
      <c r="E6930" s="5" t="s">
        <v>269</v>
      </c>
      <c r="F6930" s="9" t="s">
        <v>270</v>
      </c>
      <c r="G6930" s="9">
        <v>69</v>
      </c>
      <c r="H6930" s="5" t="s">
        <v>21</v>
      </c>
      <c r="I6930" s="5" t="s">
        <v>16598</v>
      </c>
      <c r="J6930" s="12" t="str">
        <f>HYPERLINK("https://www.boe.es/gazeta/dias/1808/01/19/pdfs/GMD-1808-6.pdf#page=9","Abrir facsímil")</f>
        <v>Abrir facsímil</v>
      </c>
      <c r="K6930" s="15" t="s">
        <v>23</v>
      </c>
    </row>
    <row r="6931" spans="1:11" ht="42" customHeight="1">
      <c r="A6931" s="4" t="s">
        <v>16596</v>
      </c>
      <c r="B6931" s="5" t="s">
        <v>16597</v>
      </c>
      <c r="C6931" s="5" t="s">
        <v>94</v>
      </c>
      <c r="D6931" s="5" t="s">
        <v>95</v>
      </c>
      <c r="E6931" s="5" t="s">
        <v>418</v>
      </c>
      <c r="F6931" s="9" t="s">
        <v>419</v>
      </c>
      <c r="G6931" s="9">
        <v>1136</v>
      </c>
      <c r="H6931" s="5" t="s">
        <v>21</v>
      </c>
      <c r="I6931" s="5" t="s">
        <v>16599</v>
      </c>
      <c r="J6931" s="12" t="str">
        <f>HYPERLINK("https://www.boe.es/gazeta/dias/1808/09/06/pdfs/GMD-C-1808-120.pdf#page=10","Abrir facsímil")</f>
        <v>Abrir facsímil</v>
      </c>
      <c r="K6931" s="15" t="s">
        <v>23</v>
      </c>
    </row>
    <row r="6932" spans="1:11" ht="42" customHeight="1">
      <c r="A6932" s="4" t="s">
        <v>16600</v>
      </c>
      <c r="B6932" s="5" t="s">
        <v>16601</v>
      </c>
      <c r="C6932" s="5" t="s">
        <v>33</v>
      </c>
      <c r="D6932" s="5" t="s">
        <v>34</v>
      </c>
      <c r="E6932" s="5" t="s">
        <v>68</v>
      </c>
      <c r="F6932" s="9" t="s">
        <v>849</v>
      </c>
      <c r="G6932" s="9">
        <v>1344</v>
      </c>
      <c r="H6932" s="5" t="s">
        <v>21</v>
      </c>
      <c r="I6932" s="5" t="s">
        <v>16602</v>
      </c>
      <c r="J6932" s="12" t="str">
        <f>HYPERLINK("https://www.boe.es/gazeta/dias/1808/10/21/pdfs/GMD-C-1808-136.pdf#page=4","Abrir facsímil")</f>
        <v>Abrir facsímil</v>
      </c>
      <c r="K6932" s="15" t="s">
        <v>23</v>
      </c>
    </row>
    <row r="6933" spans="1:11" ht="42" customHeight="1">
      <c r="A6933" s="4" t="s">
        <v>16603</v>
      </c>
      <c r="B6933" s="5" t="s">
        <v>16604</v>
      </c>
      <c r="C6933" s="5" t="s">
        <v>41</v>
      </c>
      <c r="D6933" s="5" t="s">
        <v>42</v>
      </c>
      <c r="E6933" s="5" t="s">
        <v>558</v>
      </c>
      <c r="F6933" s="9" t="s">
        <v>758</v>
      </c>
      <c r="G6933" s="9" t="s">
        <v>199</v>
      </c>
      <c r="H6933" s="5" t="s">
        <v>21</v>
      </c>
      <c r="I6933" s="5" t="s">
        <v>16605</v>
      </c>
      <c r="J6933" s="12" t="str">
        <f>HYPERLINK("https://www.boe.es/gazeta/dias/1808/11/25/pdfs/GMD-E-1808-147.pdf#page=2","Abrir facsímil")</f>
        <v>Abrir facsímil</v>
      </c>
      <c r="K6933" s="15" t="s">
        <v>23</v>
      </c>
    </row>
    <row r="6934" spans="1:11" ht="42" customHeight="1">
      <c r="A6934" s="4" t="s">
        <v>16606</v>
      </c>
      <c r="B6934" s="5" t="s">
        <v>16607</v>
      </c>
      <c r="C6934" s="5" t="s">
        <v>260</v>
      </c>
      <c r="D6934" s="5" t="s">
        <v>42</v>
      </c>
      <c r="E6934" s="5" t="s">
        <v>469</v>
      </c>
      <c r="F6934" s="9" t="s">
        <v>470</v>
      </c>
      <c r="G6934" s="9">
        <v>152</v>
      </c>
      <c r="H6934" s="5" t="s">
        <v>21</v>
      </c>
      <c r="I6934" s="5" t="s">
        <v>16608</v>
      </c>
      <c r="J6934" s="12" t="str">
        <f>HYPERLINK("https://www.boe.es/gazeta/dias/1808/02/12/pdfs/GMD-1808-13.pdf#page=8","Abrir facsímil")</f>
        <v>Abrir facsímil</v>
      </c>
      <c r="K6934" s="15" t="s">
        <v>23</v>
      </c>
    </row>
    <row r="6935" spans="1:11" ht="42" customHeight="1">
      <c r="A6935" s="4" t="s">
        <v>16609</v>
      </c>
      <c r="B6935" s="5" t="s">
        <v>16610</v>
      </c>
      <c r="C6935" s="5" t="s">
        <v>33</v>
      </c>
      <c r="D6935" s="5" t="s">
        <v>34</v>
      </c>
      <c r="E6935" s="5" t="s">
        <v>35</v>
      </c>
      <c r="F6935" s="9" t="s">
        <v>36</v>
      </c>
      <c r="G6935" s="9" t="s">
        <v>281</v>
      </c>
      <c r="H6935" s="5" t="s">
        <v>21</v>
      </c>
      <c r="I6935" s="5" t="s">
        <v>16611</v>
      </c>
      <c r="J6935" s="12" t="str">
        <f>HYPERLINK("https://www.boe.es/gazeta/dias/1808/04/22/pdfs/GMD-C-1808-38.pdf#page=47","Abrir facsímil")</f>
        <v>Abrir facsímil</v>
      </c>
      <c r="K6935" s="15" t="s">
        <v>23</v>
      </c>
    </row>
    <row r="6936" spans="1:11" ht="42" customHeight="1">
      <c r="A6936" s="4" t="s">
        <v>16612</v>
      </c>
      <c r="B6936" s="5" t="s">
        <v>16613</v>
      </c>
      <c r="C6936" s="5" t="s">
        <v>41</v>
      </c>
      <c r="D6936" s="5" t="s">
        <v>42</v>
      </c>
      <c r="E6936" s="5" t="s">
        <v>2598</v>
      </c>
      <c r="F6936" s="9" t="s">
        <v>2599</v>
      </c>
      <c r="G6936" s="9">
        <v>950</v>
      </c>
      <c r="H6936" s="5" t="s">
        <v>21</v>
      </c>
      <c r="I6936" s="5" t="s">
        <v>16614</v>
      </c>
      <c r="J6936" s="12" t="str">
        <f>HYPERLINK("https://www.boe.es/gazeta/dias/1808/08/01/pdfs/GMD-1808-104.pdf#page=8","Abrir facsímil")</f>
        <v>Abrir facsímil</v>
      </c>
      <c r="K6936" s="15" t="s">
        <v>23</v>
      </c>
    </row>
    <row r="6937" spans="1:11" ht="42" customHeight="1">
      <c r="A6937" s="4" t="s">
        <v>16615</v>
      </c>
      <c r="B6937" s="5" t="s">
        <v>16616</v>
      </c>
      <c r="C6937" s="5" t="s">
        <v>33</v>
      </c>
      <c r="D6937" s="5" t="s">
        <v>34</v>
      </c>
      <c r="E6937" s="5" t="s">
        <v>461</v>
      </c>
      <c r="F6937" s="9" t="s">
        <v>462</v>
      </c>
      <c r="G6937" s="9" t="s">
        <v>117</v>
      </c>
      <c r="H6937" s="5" t="s">
        <v>21</v>
      </c>
      <c r="I6937" s="5" t="s">
        <v>16617</v>
      </c>
      <c r="J6937" s="12" t="str">
        <f>HYPERLINK("https://www.boe.es/gazeta/dias/1808/11/08/pdfs/GMD-D-1808-142.pdf#page=1","Abrir facsímil")</f>
        <v>Abrir facsímil</v>
      </c>
      <c r="K6937" s="15" t="s">
        <v>23</v>
      </c>
    </row>
    <row r="6938" spans="1:11" ht="42" customHeight="1">
      <c r="A6938" s="4" t="s">
        <v>16618</v>
      </c>
      <c r="B6938" s="5" t="s">
        <v>16619</v>
      </c>
      <c r="C6938" s="5" t="s">
        <v>17</v>
      </c>
      <c r="D6938" s="5" t="s">
        <v>18</v>
      </c>
      <c r="E6938" s="5" t="s">
        <v>522</v>
      </c>
      <c r="F6938" s="9" t="s">
        <v>523</v>
      </c>
      <c r="G6938" s="9">
        <v>983</v>
      </c>
      <c r="H6938" s="5" t="s">
        <v>21</v>
      </c>
      <c r="I6938" s="5" t="s">
        <v>16620</v>
      </c>
      <c r="J6938" s="12" t="str">
        <f>HYPERLINK("https://www.boe.es/gazeta/dias/1808/08/07/pdfs/GMD-1808-110.pdf#page=5","Abrir facsímil")</f>
        <v>Abrir facsímil</v>
      </c>
      <c r="K6938" s="15" t="s">
        <v>23</v>
      </c>
    </row>
    <row r="6939" spans="1:11" ht="42" customHeight="1">
      <c r="A6939" s="4" t="s">
        <v>16621</v>
      </c>
      <c r="B6939" s="5" t="s">
        <v>16622</v>
      </c>
      <c r="C6939" s="5" t="s">
        <v>33</v>
      </c>
      <c r="D6939" s="5" t="s">
        <v>34</v>
      </c>
      <c r="E6939" s="5" t="s">
        <v>89</v>
      </c>
      <c r="F6939" s="9" t="s">
        <v>563</v>
      </c>
      <c r="G6939" s="9" t="s">
        <v>199</v>
      </c>
      <c r="H6939" s="5" t="s">
        <v>21</v>
      </c>
      <c r="I6939" s="5" t="s">
        <v>16623</v>
      </c>
      <c r="J6939" s="12" t="str">
        <f>HYPERLINK("https://www.boe.es/gazeta/dias/1808/10/25/pdfs/GMD-D-1808-137.pdf#page=2","Abrir facsímil")</f>
        <v>Abrir facsímil</v>
      </c>
      <c r="K6939" s="15" t="s">
        <v>23</v>
      </c>
    </row>
    <row r="6940" spans="1:11" ht="42" customHeight="1">
      <c r="A6940" s="4" t="s">
        <v>16624</v>
      </c>
      <c r="B6940" s="5" t="s">
        <v>16625</v>
      </c>
      <c r="C6940" s="5" t="s">
        <v>94</v>
      </c>
      <c r="D6940" s="5" t="s">
        <v>95</v>
      </c>
      <c r="E6940" s="5" t="s">
        <v>287</v>
      </c>
      <c r="F6940" s="9" t="s">
        <v>489</v>
      </c>
      <c r="G6940" s="9">
        <v>1003</v>
      </c>
      <c r="H6940" s="5" t="s">
        <v>21</v>
      </c>
      <c r="I6940" s="5" t="s">
        <v>16626</v>
      </c>
      <c r="J6940" s="12" t="str">
        <f>HYPERLINK("https://www.boe.es/gazeta/dias/1808/08/12/pdfs/GMD-1808-112.pdf#page=7","Abrir facsímil")</f>
        <v>Abrir facsímil</v>
      </c>
      <c r="K6940" s="15" t="s">
        <v>23</v>
      </c>
    </row>
    <row r="6941" spans="1:11" ht="42" customHeight="1">
      <c r="A6941" s="4" t="s">
        <v>16627</v>
      </c>
      <c r="B6941" s="5" t="s">
        <v>16628</v>
      </c>
      <c r="C6941" s="5" t="s">
        <v>94</v>
      </c>
      <c r="D6941" s="5" t="s">
        <v>95</v>
      </c>
      <c r="E6941" s="5" t="s">
        <v>1385</v>
      </c>
      <c r="F6941" s="9" t="s">
        <v>1386</v>
      </c>
      <c r="G6941" s="9">
        <v>232</v>
      </c>
      <c r="H6941" s="5" t="s">
        <v>21</v>
      </c>
      <c r="I6941" s="5" t="s">
        <v>16629</v>
      </c>
      <c r="J6941" s="12" t="str">
        <f>HYPERLINK("https://www.boe.es/gazeta/dias/1808/03/04/pdfs/GMD-1808-19.pdf#page=10","Abrir facsímil")</f>
        <v>Abrir facsímil</v>
      </c>
      <c r="K6941" s="15" t="s">
        <v>23</v>
      </c>
    </row>
    <row r="6942" spans="1:11" ht="42" customHeight="1">
      <c r="A6942" s="4" t="s">
        <v>16630</v>
      </c>
      <c r="B6942" s="5" t="s">
        <v>16631</v>
      </c>
      <c r="C6942" s="5" t="s">
        <v>33</v>
      </c>
      <c r="D6942" s="5" t="s">
        <v>34</v>
      </c>
      <c r="E6942" s="5" t="s">
        <v>35</v>
      </c>
      <c r="F6942" s="9" t="s">
        <v>36</v>
      </c>
      <c r="G6942" s="9" t="s">
        <v>117</v>
      </c>
      <c r="H6942" s="5" t="s">
        <v>21</v>
      </c>
      <c r="I6942" s="5" t="s">
        <v>16632</v>
      </c>
      <c r="J6942" s="12" t="str">
        <f>HYPERLINK("https://www.boe.es/gazeta/dias/1808/04/22/pdfs/GMD-C-1808-38.pdf#page=1","Abrir facsímil")</f>
        <v>Abrir facsímil</v>
      </c>
      <c r="K6942" s="15" t="s">
        <v>23</v>
      </c>
    </row>
    <row r="6943" spans="1:11" ht="42" customHeight="1">
      <c r="A6943" s="4" t="s">
        <v>16633</v>
      </c>
      <c r="B6943" s="5" t="s">
        <v>16634</v>
      </c>
      <c r="C6943" s="5" t="s">
        <v>17</v>
      </c>
      <c r="D6943" s="5" t="s">
        <v>18</v>
      </c>
      <c r="E6943" s="5" t="s">
        <v>125</v>
      </c>
      <c r="F6943" s="9" t="s">
        <v>397</v>
      </c>
      <c r="G6943" s="9">
        <v>1269</v>
      </c>
      <c r="H6943" s="5" t="s">
        <v>21</v>
      </c>
      <c r="I6943" s="5" t="s">
        <v>16635</v>
      </c>
      <c r="J6943" s="12" t="str">
        <f>HYPERLINK("https://www.boe.es/gazeta/dias/1808/10/07/pdfs/GMD-1808-132.pdf#page=9","Abrir facsímil")</f>
        <v>Abrir facsímil</v>
      </c>
      <c r="K6943" s="15" t="s">
        <v>23</v>
      </c>
    </row>
    <row r="6944" spans="1:11" ht="42" customHeight="1">
      <c r="A6944" s="4" t="s">
        <v>16633</v>
      </c>
      <c r="B6944" s="5" t="s">
        <v>16634</v>
      </c>
      <c r="C6944" s="5" t="s">
        <v>94</v>
      </c>
      <c r="D6944" s="5" t="s">
        <v>95</v>
      </c>
      <c r="E6944" s="5" t="s">
        <v>180</v>
      </c>
      <c r="F6944" s="9" t="s">
        <v>768</v>
      </c>
      <c r="G6944" s="9" t="s">
        <v>106</v>
      </c>
      <c r="H6944" s="5" t="s">
        <v>21</v>
      </c>
      <c r="I6944" s="5" t="s">
        <v>16636</v>
      </c>
      <c r="J6944" s="12" t="str">
        <f>HYPERLINK("https://www.boe.es/gazeta/dias/1808/11/15/pdfs/GMD-D-1808-144.pdf#page=3","Abrir facsímil")</f>
        <v>Abrir facsímil</v>
      </c>
      <c r="K6944" s="15" t="s">
        <v>23</v>
      </c>
    </row>
    <row r="6945" spans="1:11" ht="42" customHeight="1">
      <c r="A6945" s="4" t="s">
        <v>16637</v>
      </c>
      <c r="B6945" s="5" t="s">
        <v>16638</v>
      </c>
      <c r="C6945" s="5" t="s">
        <v>17</v>
      </c>
      <c r="D6945" s="5" t="s">
        <v>18</v>
      </c>
      <c r="E6945" s="5" t="s">
        <v>203</v>
      </c>
      <c r="F6945" s="9" t="s">
        <v>204</v>
      </c>
      <c r="G6945" s="9">
        <v>141</v>
      </c>
      <c r="H6945" s="5" t="s">
        <v>21</v>
      </c>
      <c r="I6945" s="5" t="s">
        <v>16639</v>
      </c>
      <c r="J6945" s="12" t="str">
        <f>HYPERLINK("https://www.boe.es/gazeta/dias/1808/02/09/pdfs/GMD-1808-12.pdf#page=9","Abrir facsímil")</f>
        <v>Abrir facsímil</v>
      </c>
      <c r="K6945" s="15" t="s">
        <v>23</v>
      </c>
    </row>
    <row r="6946" spans="1:11" ht="42" customHeight="1">
      <c r="A6946" s="4" t="s">
        <v>16640</v>
      </c>
      <c r="B6946" s="5" t="s">
        <v>16641</v>
      </c>
      <c r="C6946" s="5" t="s">
        <v>33</v>
      </c>
      <c r="D6946" s="5" t="s">
        <v>34</v>
      </c>
      <c r="E6946" s="5" t="s">
        <v>35</v>
      </c>
      <c r="F6946" s="9" t="s">
        <v>36</v>
      </c>
      <c r="G6946" s="9" t="s">
        <v>284</v>
      </c>
      <c r="H6946" s="5" t="s">
        <v>21</v>
      </c>
      <c r="I6946" s="5" t="s">
        <v>16642</v>
      </c>
      <c r="J6946" s="12" t="str">
        <f>HYPERLINK("https://www.boe.es/gazeta/dias/1808/04/22/pdfs/GMD-C-1808-38.pdf#page=35","Abrir facsímil")</f>
        <v>Abrir facsímil</v>
      </c>
      <c r="K6946" s="15" t="s">
        <v>23</v>
      </c>
    </row>
    <row r="6947" spans="1:11" ht="42" customHeight="1">
      <c r="A6947" s="4" t="s">
        <v>16643</v>
      </c>
      <c r="B6947" s="5" t="s">
        <v>16644</v>
      </c>
      <c r="C6947" s="5" t="s">
        <v>41</v>
      </c>
      <c r="D6947" s="5" t="s">
        <v>42</v>
      </c>
      <c r="E6947" s="5" t="s">
        <v>65</v>
      </c>
      <c r="F6947" s="9" t="s">
        <v>66</v>
      </c>
      <c r="G6947" s="9">
        <v>1306</v>
      </c>
      <c r="H6947" s="5" t="s">
        <v>21</v>
      </c>
      <c r="I6947" s="5" t="s">
        <v>16645</v>
      </c>
      <c r="J6947" s="12" t="str">
        <f>HYPERLINK("https://www.boe.es/gazeta/dias/1808/10/18/pdfs/GMD-1808-135.pdf#page=6","Abrir facsímil")</f>
        <v>Abrir facsímil</v>
      </c>
      <c r="K6947" s="15" t="s">
        <v>23</v>
      </c>
    </row>
    <row r="6948" spans="1:11" ht="42" customHeight="1">
      <c r="A6948" s="4" t="s">
        <v>16646</v>
      </c>
      <c r="B6948" s="5" t="s">
        <v>16647</v>
      </c>
      <c r="C6948" s="5" t="s">
        <v>17</v>
      </c>
      <c r="D6948" s="5" t="s">
        <v>18</v>
      </c>
      <c r="E6948" s="5" t="s">
        <v>61</v>
      </c>
      <c r="F6948" s="9" t="s">
        <v>62</v>
      </c>
      <c r="G6948" s="9">
        <v>1287</v>
      </c>
      <c r="H6948" s="5" t="s">
        <v>21</v>
      </c>
      <c r="I6948" s="5" t="s">
        <v>16648</v>
      </c>
      <c r="J6948" s="12" t="str">
        <f>HYPERLINK("https://www.boe.es/gazeta/dias/1808/10/11/pdfs/GMD-1808-133.pdf#page=15","Abrir facsímil")</f>
        <v>Abrir facsímil</v>
      </c>
      <c r="K6948" s="15" t="s">
        <v>23</v>
      </c>
    </row>
    <row r="6949" spans="1:11" ht="42" customHeight="1">
      <c r="A6949" s="4" t="s">
        <v>16649</v>
      </c>
      <c r="B6949" s="5" t="s">
        <v>16650</v>
      </c>
      <c r="C6949" s="5" t="s">
        <v>41</v>
      </c>
      <c r="D6949" s="5" t="s">
        <v>42</v>
      </c>
      <c r="E6949" s="5" t="s">
        <v>35</v>
      </c>
      <c r="F6949" s="9" t="s">
        <v>36</v>
      </c>
      <c r="G6949" s="9" t="s">
        <v>837</v>
      </c>
      <c r="H6949" s="5" t="s">
        <v>21</v>
      </c>
      <c r="I6949" s="5" t="s">
        <v>16651</v>
      </c>
      <c r="J6949" s="12" t="str">
        <f>HYPERLINK("https://www.boe.es/gazeta/dias/1808/04/22/pdfs/GMD-C-1808-38.pdf#page=10","Abrir facsímil")</f>
        <v>Abrir facsímil</v>
      </c>
      <c r="K6949" s="15" t="s">
        <v>23</v>
      </c>
    </row>
    <row r="6950" spans="1:11" ht="42" customHeight="1">
      <c r="A6950" s="4" t="s">
        <v>16652</v>
      </c>
      <c r="B6950" s="5" t="s">
        <v>16653</v>
      </c>
      <c r="C6950" s="5" t="s">
        <v>17</v>
      </c>
      <c r="D6950" s="5" t="s">
        <v>18</v>
      </c>
      <c r="E6950" s="5" t="s">
        <v>125</v>
      </c>
      <c r="F6950" s="9" t="s">
        <v>397</v>
      </c>
      <c r="G6950" s="9">
        <v>1269</v>
      </c>
      <c r="H6950" s="5" t="s">
        <v>21</v>
      </c>
      <c r="I6950" s="5" t="s">
        <v>16654</v>
      </c>
      <c r="J6950" s="12" t="str">
        <f>HYPERLINK("https://www.boe.es/gazeta/dias/1808/10/07/pdfs/GMD-1808-132.pdf#page=9","Abrir facsímil")</f>
        <v>Abrir facsímil</v>
      </c>
      <c r="K6950" s="15" t="s">
        <v>23</v>
      </c>
    </row>
    <row r="6951" spans="1:11" ht="42" customHeight="1">
      <c r="A6951" s="4" t="s">
        <v>16655</v>
      </c>
      <c r="B6951" s="5" t="s">
        <v>16655</v>
      </c>
      <c r="C6951" s="5" t="s">
        <v>101</v>
      </c>
      <c r="D6951" s="5" t="s">
        <v>102</v>
      </c>
      <c r="E6951" s="5" t="s">
        <v>222</v>
      </c>
      <c r="F6951" s="9" t="s">
        <v>223</v>
      </c>
      <c r="G6951" s="9">
        <v>348</v>
      </c>
      <c r="H6951" s="5" t="s">
        <v>21</v>
      </c>
      <c r="I6951" s="5" t="s">
        <v>16656</v>
      </c>
      <c r="J6951" s="12" t="str">
        <f>HYPERLINK("https://www.boe.es/gazeta/dias/1808/04/08/pdfs/GMD-1808-32.pdf#page=2","Abrir facsímil")</f>
        <v>Abrir facsímil</v>
      </c>
      <c r="K6951" s="15" t="s">
        <v>23</v>
      </c>
    </row>
    <row r="6952" spans="1:11" ht="42" customHeight="1">
      <c r="A6952" s="4" t="s">
        <v>16657</v>
      </c>
      <c r="B6952" s="5" t="s">
        <v>16658</v>
      </c>
      <c r="C6952" s="5" t="s">
        <v>33</v>
      </c>
      <c r="D6952" s="5" t="s">
        <v>34</v>
      </c>
      <c r="E6952" s="5" t="s">
        <v>110</v>
      </c>
      <c r="F6952" s="9" t="s">
        <v>828</v>
      </c>
      <c r="G6952" s="9" t="s">
        <v>117</v>
      </c>
      <c r="H6952" s="5" t="s">
        <v>21</v>
      </c>
      <c r="I6952" s="5" t="s">
        <v>16659</v>
      </c>
      <c r="J6952" s="12" t="str">
        <f>HYPERLINK("https://www.boe.es/gazeta/dias/1808/10/28/pdfs/GMD-D-1808-138.pdf#page=1","Abrir facsímil")</f>
        <v>Abrir facsímil</v>
      </c>
      <c r="K6952" s="15" t="s">
        <v>23</v>
      </c>
    </row>
    <row r="6953" spans="1:11" ht="42" customHeight="1">
      <c r="A6953" s="4" t="s">
        <v>16660</v>
      </c>
      <c r="B6953" s="5" t="s">
        <v>16661</v>
      </c>
      <c r="C6953" s="5" t="s">
        <v>41</v>
      </c>
      <c r="D6953" s="5" t="s">
        <v>42</v>
      </c>
      <c r="E6953" s="5" t="s">
        <v>35</v>
      </c>
      <c r="F6953" s="9" t="s">
        <v>36</v>
      </c>
      <c r="G6953" s="9" t="s">
        <v>148</v>
      </c>
      <c r="H6953" s="5" t="s">
        <v>21</v>
      </c>
      <c r="I6953" s="5" t="s">
        <v>16662</v>
      </c>
      <c r="J6953" s="12" t="str">
        <f>HYPERLINK("https://www.boe.es/gazeta/dias/1808/04/22/pdfs/GMD-C-1808-38.pdf#page=38","Abrir facsímil")</f>
        <v>Abrir facsímil</v>
      </c>
      <c r="K6953" s="15" t="s">
        <v>23</v>
      </c>
    </row>
    <row r="6954" spans="1:11" ht="42" customHeight="1">
      <c r="A6954" s="4" t="s">
        <v>16663</v>
      </c>
      <c r="B6954" s="5" t="s">
        <v>16664</v>
      </c>
      <c r="C6954" s="5" t="s">
        <v>33</v>
      </c>
      <c r="D6954" s="5" t="s">
        <v>34</v>
      </c>
      <c r="E6954" s="5" t="s">
        <v>264</v>
      </c>
      <c r="F6954" s="9" t="s">
        <v>318</v>
      </c>
      <c r="G6954" s="9" t="s">
        <v>106</v>
      </c>
      <c r="H6954" s="5" t="s">
        <v>21</v>
      </c>
      <c r="I6954" s="5" t="s">
        <v>16665</v>
      </c>
      <c r="J6954" s="12" t="str">
        <f>HYPERLINK("https://www.boe.es/gazeta/dias/1808/11/29/pdfs/GMD-C-1808-148.pdf#page=3","Abrir facsímil")</f>
        <v>Abrir facsímil</v>
      </c>
      <c r="K6954" s="15" t="s">
        <v>23</v>
      </c>
    </row>
    <row r="6955" spans="1:11" ht="42" customHeight="1">
      <c r="A6955" s="4" t="s">
        <v>16666</v>
      </c>
      <c r="B6955" s="5" t="s">
        <v>16667</v>
      </c>
      <c r="C6955" s="5" t="s">
        <v>17</v>
      </c>
      <c r="D6955" s="5" t="s">
        <v>18</v>
      </c>
      <c r="E6955" s="5" t="s">
        <v>719</v>
      </c>
      <c r="F6955" s="9" t="s">
        <v>720</v>
      </c>
      <c r="G6955" s="9">
        <v>1609</v>
      </c>
      <c r="H6955" s="5" t="s">
        <v>21</v>
      </c>
      <c r="I6955" s="5" t="s">
        <v>16668</v>
      </c>
      <c r="J6955" s="12" t="str">
        <f>HYPERLINK("https://www.boe.es/gazeta/dias/1808/12/16/pdfs/GMD-1808-156.pdf#page=1","Abrir facsímil")</f>
        <v>Abrir facsímil</v>
      </c>
      <c r="K6955" s="15" t="s">
        <v>23</v>
      </c>
    </row>
    <row r="6956" spans="1:11" ht="42" customHeight="1">
      <c r="A6956" s="4" t="s">
        <v>16669</v>
      </c>
      <c r="B6956" s="5" t="s">
        <v>16669</v>
      </c>
      <c r="C6956" s="5" t="s">
        <v>101</v>
      </c>
      <c r="D6956" s="5" t="s">
        <v>102</v>
      </c>
      <c r="E6956" s="5" t="s">
        <v>1085</v>
      </c>
      <c r="F6956" s="9" t="s">
        <v>1086</v>
      </c>
      <c r="G6956" s="9">
        <v>102</v>
      </c>
      <c r="H6956" s="5" t="s">
        <v>21</v>
      </c>
      <c r="I6956" s="5" t="s">
        <v>16670</v>
      </c>
      <c r="J6956" s="12" t="str">
        <f>HYPERLINK("https://www.boe.es/gazeta/dias/1808/01/29/pdfs/GMD-1808-9.pdf#page=6","Abrir facsímil")</f>
        <v>Abrir facsímil</v>
      </c>
      <c r="K6956" s="15" t="s">
        <v>23</v>
      </c>
    </row>
    <row r="6957" spans="1:11" ht="42" customHeight="1">
      <c r="A6957" s="4" t="s">
        <v>16671</v>
      </c>
      <c r="B6957" s="5" t="s">
        <v>16672</v>
      </c>
      <c r="C6957" s="5" t="s">
        <v>94</v>
      </c>
      <c r="D6957" s="5" t="s">
        <v>95</v>
      </c>
      <c r="E6957" s="5" t="s">
        <v>334</v>
      </c>
      <c r="F6957" s="9" t="s">
        <v>335</v>
      </c>
      <c r="G6957" s="9">
        <v>1254</v>
      </c>
      <c r="H6957" s="5" t="s">
        <v>21</v>
      </c>
      <c r="I6957" s="5" t="s">
        <v>16673</v>
      </c>
      <c r="J6957" s="12" t="str">
        <f>HYPERLINK("https://www.boe.es/gazeta/dias/1808/10/04/pdfs/GMD-C-1808-131.pdf#page=6","Abrir facsímil")</f>
        <v>Abrir facsímil</v>
      </c>
      <c r="K6957" s="15" t="s">
        <v>23</v>
      </c>
    </row>
    <row r="6958" spans="1:11" ht="42" customHeight="1">
      <c r="A6958" s="4" t="s">
        <v>16674</v>
      </c>
      <c r="B6958" s="5" t="s">
        <v>16675</v>
      </c>
      <c r="C6958" s="5" t="s">
        <v>33</v>
      </c>
      <c r="D6958" s="5" t="s">
        <v>34</v>
      </c>
      <c r="E6958" s="5" t="s">
        <v>68</v>
      </c>
      <c r="F6958" s="9" t="s">
        <v>849</v>
      </c>
      <c r="G6958" s="9">
        <v>1344</v>
      </c>
      <c r="H6958" s="5" t="s">
        <v>21</v>
      </c>
      <c r="I6958" s="5" t="s">
        <v>16676</v>
      </c>
      <c r="J6958" s="12" t="str">
        <f>HYPERLINK("https://www.boe.es/gazeta/dias/1808/10/21/pdfs/GMD-C-1808-136.pdf#page=4","Abrir facsímil")</f>
        <v>Abrir facsímil</v>
      </c>
      <c r="K6958" s="15" t="s">
        <v>23</v>
      </c>
    </row>
    <row r="6959" spans="1:11" ht="42" customHeight="1">
      <c r="A6959" s="4" t="s">
        <v>16677</v>
      </c>
      <c r="B6959" s="5" t="s">
        <v>16678</v>
      </c>
      <c r="C6959" s="5" t="s">
        <v>94</v>
      </c>
      <c r="D6959" s="5" t="s">
        <v>95</v>
      </c>
      <c r="E6959" s="5" t="s">
        <v>68</v>
      </c>
      <c r="F6959" s="9" t="s">
        <v>849</v>
      </c>
      <c r="G6959" s="9">
        <v>1349</v>
      </c>
      <c r="H6959" s="5" t="s">
        <v>21</v>
      </c>
      <c r="I6959" s="5" t="s">
        <v>16679</v>
      </c>
      <c r="J6959" s="12" t="str">
        <f>HYPERLINK("https://www.boe.es/gazeta/dias/1808/10/21/pdfs/GMD-C-1808-136.pdf#page=9","Abrir facsímil")</f>
        <v>Abrir facsímil</v>
      </c>
      <c r="K6959" s="15" t="s">
        <v>23</v>
      </c>
    </row>
    <row r="6960" spans="1:11" ht="42" customHeight="1">
      <c r="A6960" s="4" t="s">
        <v>16680</v>
      </c>
      <c r="B6960" s="5" t="s">
        <v>16681</v>
      </c>
      <c r="C6960" s="5" t="s">
        <v>41</v>
      </c>
      <c r="D6960" s="5" t="s">
        <v>42</v>
      </c>
      <c r="E6960" s="5" t="s">
        <v>180</v>
      </c>
      <c r="F6960" s="9" t="s">
        <v>768</v>
      </c>
      <c r="G6960" s="9" t="s">
        <v>199</v>
      </c>
      <c r="H6960" s="5" t="s">
        <v>21</v>
      </c>
      <c r="I6960" s="5" t="s">
        <v>16682</v>
      </c>
      <c r="J6960" s="12" t="str">
        <f>HYPERLINK("https://www.boe.es/gazeta/dias/1808/11/15/pdfs/GMD-D-1808-144.pdf#page=2","Abrir facsímil")</f>
        <v>Abrir facsímil</v>
      </c>
      <c r="K6960" s="15" t="s">
        <v>23</v>
      </c>
    </row>
    <row r="6961" spans="1:11" ht="42" customHeight="1">
      <c r="A6961" s="4" t="s">
        <v>16683</v>
      </c>
      <c r="B6961" s="5" t="s">
        <v>16683</v>
      </c>
      <c r="C6961" s="5" t="s">
        <v>17</v>
      </c>
      <c r="D6961" s="5" t="s">
        <v>18</v>
      </c>
      <c r="E6961" s="5" t="s">
        <v>1286</v>
      </c>
      <c r="F6961" s="9" t="s">
        <v>1287</v>
      </c>
      <c r="G6961" s="9">
        <v>1627</v>
      </c>
      <c r="H6961" s="5" t="s">
        <v>21</v>
      </c>
      <c r="I6961" s="5" t="s">
        <v>16684</v>
      </c>
      <c r="J6961" s="12" t="str">
        <f>HYPERLINK("https://www.boe.es/gazeta/dias/1808/12/17/pdfs/GMD-1808-157.pdf#page=7","Abrir facsímil")</f>
        <v>Abrir facsímil</v>
      </c>
      <c r="K6961" s="15" t="s">
        <v>23</v>
      </c>
    </row>
    <row r="6962" spans="1:11" ht="42" customHeight="1">
      <c r="A6962" s="4" t="s">
        <v>16685</v>
      </c>
      <c r="B6962" s="5" t="s">
        <v>16686</v>
      </c>
      <c r="C6962" s="5" t="s">
        <v>389</v>
      </c>
      <c r="D6962" s="5" t="s">
        <v>390</v>
      </c>
      <c r="E6962" s="5" t="s">
        <v>1286</v>
      </c>
      <c r="F6962" s="9" t="s">
        <v>1287</v>
      </c>
      <c r="G6962" s="9">
        <v>1627</v>
      </c>
      <c r="H6962" s="5" t="s">
        <v>21</v>
      </c>
      <c r="I6962" s="5" t="s">
        <v>16687</v>
      </c>
      <c r="J6962" s="12" t="str">
        <f>HYPERLINK("https://www.boe.es/gazeta/dias/1808/12/17/pdfs/GMD-1808-157.pdf#page=7","Abrir facsímil")</f>
        <v>Abrir facsímil</v>
      </c>
      <c r="K6962" s="15" t="s">
        <v>23</v>
      </c>
    </row>
    <row r="6963" spans="1:11" ht="42" customHeight="1">
      <c r="A6963" s="4" t="s">
        <v>16688</v>
      </c>
      <c r="B6963" s="5" t="s">
        <v>16689</v>
      </c>
      <c r="C6963" s="5" t="s">
        <v>33</v>
      </c>
      <c r="D6963" s="5" t="s">
        <v>34</v>
      </c>
      <c r="E6963" s="5" t="s">
        <v>35</v>
      </c>
      <c r="F6963" s="9" t="s">
        <v>36</v>
      </c>
      <c r="G6963" s="9" t="s">
        <v>450</v>
      </c>
      <c r="H6963" s="5" t="s">
        <v>21</v>
      </c>
      <c r="I6963" s="5" t="s">
        <v>16690</v>
      </c>
      <c r="J6963" s="12" t="str">
        <f>HYPERLINK("https://www.boe.es/gazeta/dias/1808/04/22/pdfs/GMD-C-1808-38.pdf#page=45","Abrir facsímil")</f>
        <v>Abrir facsímil</v>
      </c>
      <c r="K6963" s="15" t="s">
        <v>23</v>
      </c>
    </row>
    <row r="6964" spans="1:11" ht="42" customHeight="1">
      <c r="A6964" s="4" t="s">
        <v>16691</v>
      </c>
      <c r="B6964" s="5" t="s">
        <v>16692</v>
      </c>
      <c r="C6964" s="5" t="s">
        <v>33</v>
      </c>
      <c r="D6964" s="5" t="s">
        <v>34</v>
      </c>
      <c r="E6964" s="5" t="s">
        <v>461</v>
      </c>
      <c r="F6964" s="9" t="s">
        <v>462</v>
      </c>
      <c r="G6964" s="9" t="s">
        <v>199</v>
      </c>
      <c r="H6964" s="5" t="s">
        <v>21</v>
      </c>
      <c r="I6964" s="5" t="s">
        <v>16693</v>
      </c>
      <c r="J6964" s="12" t="str">
        <f>HYPERLINK("https://www.boe.es/gazeta/dias/1808/11/08/pdfs/GMD-D-1808-142.pdf#page=2","Abrir facsímil")</f>
        <v>Abrir facsímil</v>
      </c>
      <c r="K6964" s="15" t="s">
        <v>23</v>
      </c>
    </row>
    <row r="6965" spans="1:11" ht="42" customHeight="1">
      <c r="A6965" s="4" t="s">
        <v>16694</v>
      </c>
      <c r="B6965" s="5" t="s">
        <v>16695</v>
      </c>
      <c r="C6965" s="5" t="s">
        <v>41</v>
      </c>
      <c r="D6965" s="5" t="s">
        <v>42</v>
      </c>
      <c r="E6965" s="5" t="s">
        <v>89</v>
      </c>
      <c r="F6965" s="9" t="s">
        <v>1247</v>
      </c>
      <c r="G6965" s="9">
        <v>1369</v>
      </c>
      <c r="H6965" s="5" t="s">
        <v>21</v>
      </c>
      <c r="I6965" s="5" t="s">
        <v>16696</v>
      </c>
      <c r="J6965" s="12" t="str">
        <f>HYPERLINK("https://www.boe.es/gazeta/dias/1808/10/25/pdfs/GMD-C-1808-137.pdf#page=5","Abrir facsímil")</f>
        <v>Abrir facsímil</v>
      </c>
      <c r="K6965" s="15" t="s">
        <v>23</v>
      </c>
    </row>
    <row r="6966" spans="1:11" ht="42" customHeight="1">
      <c r="A6966" s="4" t="s">
        <v>16697</v>
      </c>
      <c r="B6966" s="5" t="s">
        <v>16698</v>
      </c>
      <c r="C6966" s="5" t="s">
        <v>94</v>
      </c>
      <c r="D6966" s="5" t="s">
        <v>95</v>
      </c>
      <c r="E6966" s="5" t="s">
        <v>418</v>
      </c>
      <c r="F6966" s="9" t="s">
        <v>419</v>
      </c>
      <c r="G6966" s="9">
        <v>1136</v>
      </c>
      <c r="H6966" s="5" t="s">
        <v>21</v>
      </c>
      <c r="I6966" s="5" t="s">
        <v>16699</v>
      </c>
      <c r="J6966" s="12" t="str">
        <f>HYPERLINK("https://www.boe.es/gazeta/dias/1808/09/06/pdfs/GMD-C-1808-120.pdf#page=10","Abrir facsímil")</f>
        <v>Abrir facsímil</v>
      </c>
      <c r="K6966" s="15" t="s">
        <v>23</v>
      </c>
    </row>
    <row r="6967" spans="1:11" ht="42" customHeight="1">
      <c r="A6967" s="4" t="s">
        <v>16700</v>
      </c>
      <c r="B6967" s="5" t="s">
        <v>16701</v>
      </c>
      <c r="C6967" s="5" t="s">
        <v>33</v>
      </c>
      <c r="D6967" s="5" t="s">
        <v>34</v>
      </c>
      <c r="E6967" s="5" t="s">
        <v>166</v>
      </c>
      <c r="F6967" s="9" t="s">
        <v>167</v>
      </c>
      <c r="G6967" s="9">
        <v>1511</v>
      </c>
      <c r="H6967" s="5" t="s">
        <v>21</v>
      </c>
      <c r="I6967" s="5" t="s">
        <v>16702</v>
      </c>
      <c r="J6967" s="12" t="str">
        <f>HYPERLINK("https://www.boe.es/gazeta/dias/1808/11/18/pdfs/GMD-C-1808-145.pdf#page=1","Abrir facsímil")</f>
        <v>Abrir facsímil</v>
      </c>
      <c r="K6967" s="15" t="s">
        <v>23</v>
      </c>
    </row>
    <row r="6968" spans="1:11" ht="42" customHeight="1">
      <c r="A6968" s="4" t="s">
        <v>16703</v>
      </c>
      <c r="B6968" s="5" t="s">
        <v>16704</v>
      </c>
      <c r="C6968" s="5" t="s">
        <v>33</v>
      </c>
      <c r="D6968" s="5" t="s">
        <v>34</v>
      </c>
      <c r="E6968" s="5" t="s">
        <v>264</v>
      </c>
      <c r="F6968" s="9" t="s">
        <v>318</v>
      </c>
      <c r="G6968" s="9" t="s">
        <v>199</v>
      </c>
      <c r="H6968" s="5" t="s">
        <v>21</v>
      </c>
      <c r="I6968" s="5" t="s">
        <v>16705</v>
      </c>
      <c r="J6968" s="12" t="str">
        <f>HYPERLINK("https://www.boe.es/gazeta/dias/1808/11/29/pdfs/GMD-C-1808-148.pdf#page=2","Abrir facsímil")</f>
        <v>Abrir facsímil</v>
      </c>
      <c r="K6968" s="15" t="s">
        <v>23</v>
      </c>
    </row>
    <row r="6969" spans="1:11" ht="42" customHeight="1">
      <c r="A6969" s="4" t="s">
        <v>16706</v>
      </c>
      <c r="B6969" s="5" t="s">
        <v>16706</v>
      </c>
      <c r="C6969" s="5" t="s">
        <v>17</v>
      </c>
      <c r="D6969" s="5" t="s">
        <v>18</v>
      </c>
      <c r="E6969" s="5" t="s">
        <v>269</v>
      </c>
      <c r="F6969" s="9" t="s">
        <v>270</v>
      </c>
      <c r="G6969" s="9">
        <v>63</v>
      </c>
      <c r="H6969" s="5" t="s">
        <v>21</v>
      </c>
      <c r="I6969" s="5" t="s">
        <v>16707</v>
      </c>
      <c r="J6969" s="12" t="str">
        <f>HYPERLINK("https://www.boe.es/gazeta/dias/1808/01/19/pdfs/GMD-1808-6.pdf#page=3","Abrir facsímil")</f>
        <v>Abrir facsímil</v>
      </c>
      <c r="K6969" s="15" t="s">
        <v>23</v>
      </c>
    </row>
    <row r="6970" spans="1:11" ht="42" customHeight="1">
      <c r="A6970" s="4" t="s">
        <v>16708</v>
      </c>
      <c r="B6970" s="5" t="s">
        <v>16708</v>
      </c>
      <c r="C6970" s="5" t="s">
        <v>41</v>
      </c>
      <c r="D6970" s="5" t="s">
        <v>42</v>
      </c>
      <c r="E6970" s="5" t="s">
        <v>663</v>
      </c>
      <c r="F6970" s="9" t="s">
        <v>664</v>
      </c>
      <c r="G6970" s="9">
        <v>199</v>
      </c>
      <c r="H6970" s="5" t="s">
        <v>21</v>
      </c>
      <c r="I6970" s="5" t="s">
        <v>16709</v>
      </c>
      <c r="J6970" s="12" t="str">
        <f>HYPERLINK("https://www.boe.es/gazeta/dias/1808/02/26/pdfs/GMD-1808-17.pdf#page=1","Abrir facsímil")</f>
        <v>Abrir facsímil</v>
      </c>
      <c r="K6970" s="15" t="s">
        <v>23</v>
      </c>
    </row>
    <row r="6971" spans="1:11" ht="42" customHeight="1">
      <c r="A6971" s="4" t="s">
        <v>16708</v>
      </c>
      <c r="B6971" s="5" t="s">
        <v>16708</v>
      </c>
      <c r="C6971" s="5" t="s">
        <v>94</v>
      </c>
      <c r="D6971" s="5" t="s">
        <v>95</v>
      </c>
      <c r="E6971" s="5" t="s">
        <v>7114</v>
      </c>
      <c r="F6971" s="9" t="s">
        <v>7115</v>
      </c>
      <c r="G6971" s="9">
        <v>434</v>
      </c>
      <c r="H6971" s="5" t="s">
        <v>21</v>
      </c>
      <c r="I6971" s="5" t="s">
        <v>16710</v>
      </c>
      <c r="J6971" s="12" t="str">
        <f>HYPERLINK("https://www.boe.es/gazeta/dias/1808/05/06/pdfs/GMD-1808-44.pdf#page=2","Abrir facsímil")</f>
        <v>Abrir facsímil</v>
      </c>
      <c r="K6971" s="15" t="s">
        <v>23</v>
      </c>
    </row>
    <row r="6972" spans="1:11" ht="42" customHeight="1">
      <c r="A6972" s="4" t="s">
        <v>16711</v>
      </c>
      <c r="B6972" s="5" t="s">
        <v>16712</v>
      </c>
      <c r="C6972" s="5" t="s">
        <v>17</v>
      </c>
      <c r="D6972" s="5" t="s">
        <v>18</v>
      </c>
      <c r="E6972" s="5" t="s">
        <v>461</v>
      </c>
      <c r="F6972" s="9" t="s">
        <v>733</v>
      </c>
      <c r="G6972" s="9">
        <v>1448</v>
      </c>
      <c r="H6972" s="5" t="s">
        <v>21</v>
      </c>
      <c r="I6972" s="5" t="s">
        <v>16713</v>
      </c>
      <c r="J6972" s="12" t="str">
        <f>HYPERLINK("https://www.boe.es/gazeta/dias/1808/11/08/pdfs/GMD-1808-142.pdf#page=10","Abrir facsímil")</f>
        <v>Abrir facsímil</v>
      </c>
      <c r="K6972" s="15" t="s">
        <v>23</v>
      </c>
    </row>
    <row r="6973" spans="1:11" ht="42" customHeight="1">
      <c r="A6973" s="4" t="s">
        <v>16714</v>
      </c>
      <c r="B6973" s="5" t="s">
        <v>16714</v>
      </c>
      <c r="C6973" s="5" t="s">
        <v>41</v>
      </c>
      <c r="D6973" s="5" t="s">
        <v>42</v>
      </c>
      <c r="E6973" s="5" t="s">
        <v>363</v>
      </c>
      <c r="F6973" s="9" t="s">
        <v>364</v>
      </c>
      <c r="G6973" s="9" t="s">
        <v>117</v>
      </c>
      <c r="H6973" s="5" t="s">
        <v>21</v>
      </c>
      <c r="I6973" s="5" t="s">
        <v>16715</v>
      </c>
      <c r="J6973" s="12" t="str">
        <f>HYPERLINK("https://www.boe.es/gazeta/dias/1808/09/20/pdfs/GMD-C-1808-126.pdf#page=1","Abrir facsímil")</f>
        <v>Abrir facsímil</v>
      </c>
      <c r="K6973" s="15" t="s">
        <v>23</v>
      </c>
    </row>
    <row r="6974" spans="1:11" ht="42" customHeight="1">
      <c r="A6974" s="4" t="s">
        <v>16716</v>
      </c>
      <c r="B6974" s="5" t="s">
        <v>16717</v>
      </c>
      <c r="C6974" s="5" t="s">
        <v>33</v>
      </c>
      <c r="D6974" s="5" t="s">
        <v>34</v>
      </c>
      <c r="E6974" s="5" t="s">
        <v>153</v>
      </c>
      <c r="F6974" s="9" t="s">
        <v>154</v>
      </c>
      <c r="G6974" s="9" t="s">
        <v>117</v>
      </c>
      <c r="H6974" s="5" t="s">
        <v>21</v>
      </c>
      <c r="I6974" s="5" t="s">
        <v>16718</v>
      </c>
      <c r="J6974" s="12" t="str">
        <f>HYPERLINK("https://www.boe.es/gazeta/dias/1808/09/09/pdfs/GMD-C-1808-121.pdf#page=1","Abrir facsímil")</f>
        <v>Abrir facsímil</v>
      </c>
      <c r="K6974" s="15" t="s">
        <v>23</v>
      </c>
    </row>
    <row r="6975" spans="1:11" ht="42" customHeight="1">
      <c r="A6975" s="4" t="s">
        <v>16719</v>
      </c>
      <c r="B6975" s="5" t="s">
        <v>16720</v>
      </c>
      <c r="C6975" s="5" t="s">
        <v>33</v>
      </c>
      <c r="D6975" s="5" t="s">
        <v>34</v>
      </c>
      <c r="E6975" s="5" t="s">
        <v>461</v>
      </c>
      <c r="F6975" s="9" t="s">
        <v>462</v>
      </c>
      <c r="G6975" s="9" t="s">
        <v>106</v>
      </c>
      <c r="H6975" s="5" t="s">
        <v>21</v>
      </c>
      <c r="I6975" s="5" t="s">
        <v>16721</v>
      </c>
      <c r="J6975" s="12" t="str">
        <f>HYPERLINK("https://www.boe.es/gazeta/dias/1808/11/08/pdfs/GMD-D-1808-142.pdf#page=3","Abrir facsímil")</f>
        <v>Abrir facsímil</v>
      </c>
      <c r="K6975" s="15" t="s">
        <v>23</v>
      </c>
    </row>
    <row r="6976" spans="1:11" ht="42" customHeight="1">
      <c r="A6976" s="4" t="s">
        <v>16722</v>
      </c>
      <c r="B6976" s="5" t="s">
        <v>16723</v>
      </c>
      <c r="C6976" s="5" t="s">
        <v>41</v>
      </c>
      <c r="D6976" s="5" t="s">
        <v>42</v>
      </c>
      <c r="E6976" s="5" t="s">
        <v>339</v>
      </c>
      <c r="F6976" s="9" t="s">
        <v>340</v>
      </c>
      <c r="G6976" s="9">
        <v>82</v>
      </c>
      <c r="H6976" s="5" t="s">
        <v>21</v>
      </c>
      <c r="I6976" s="5" t="s">
        <v>16724</v>
      </c>
      <c r="J6976" s="12" t="str">
        <f>HYPERLINK("https://www.boe.es/gazeta/dias/1808/01/22/pdfs/GMD-1808-7.pdf#page=10","Abrir facsímil")</f>
        <v>Abrir facsímil</v>
      </c>
      <c r="K6976" s="15" t="s">
        <v>23</v>
      </c>
    </row>
    <row r="6977" spans="1:11" ht="42" customHeight="1">
      <c r="A6977" s="4" t="s">
        <v>16722</v>
      </c>
      <c r="B6977" s="5" t="s">
        <v>16723</v>
      </c>
      <c r="C6977" s="5" t="s">
        <v>41</v>
      </c>
      <c r="D6977" s="5" t="s">
        <v>42</v>
      </c>
      <c r="E6977" s="5" t="s">
        <v>1472</v>
      </c>
      <c r="F6977" s="9" t="s">
        <v>1473</v>
      </c>
      <c r="G6977" s="9">
        <v>94</v>
      </c>
      <c r="H6977" s="5" t="s">
        <v>21</v>
      </c>
      <c r="I6977" s="5" t="s">
        <v>16725</v>
      </c>
      <c r="J6977" s="12" t="str">
        <f>HYPERLINK("https://www.boe.es/gazeta/dias/1808/01/26/pdfs/GMD-1808-8.pdf#page=10","Abrir facsímil")</f>
        <v>Abrir facsímil</v>
      </c>
      <c r="K6977" s="15" t="s">
        <v>23</v>
      </c>
    </row>
    <row r="6978" spans="1:11" ht="42" customHeight="1">
      <c r="A6978" s="4" t="s">
        <v>16722</v>
      </c>
      <c r="B6978" s="5" t="s">
        <v>16723</v>
      </c>
      <c r="C6978" s="5" t="s">
        <v>41</v>
      </c>
      <c r="D6978" s="5" t="s">
        <v>42</v>
      </c>
      <c r="E6978" s="5" t="s">
        <v>877</v>
      </c>
      <c r="F6978" s="9" t="s">
        <v>878</v>
      </c>
      <c r="G6978" s="9">
        <v>119</v>
      </c>
      <c r="H6978" s="5" t="s">
        <v>21</v>
      </c>
      <c r="I6978" s="5" t="s">
        <v>16726</v>
      </c>
      <c r="J6978" s="12" t="str">
        <f>HYPERLINK("https://www.boe.es/gazeta/dias/1808/02/02/pdfs/GMD-1808-10.pdf#page=11","Abrir facsímil")</f>
        <v>Abrir facsímil</v>
      </c>
      <c r="K6978" s="15" t="s">
        <v>23</v>
      </c>
    </row>
    <row r="6979" spans="1:11" ht="42" customHeight="1">
      <c r="A6979" s="4" t="s">
        <v>16727</v>
      </c>
      <c r="B6979" s="5" t="s">
        <v>16728</v>
      </c>
      <c r="C6979" s="5" t="s">
        <v>17</v>
      </c>
      <c r="D6979" s="5" t="s">
        <v>18</v>
      </c>
      <c r="E6979" s="5" t="s">
        <v>197</v>
      </c>
      <c r="F6979" s="9" t="s">
        <v>857</v>
      </c>
      <c r="G6979" s="9">
        <v>356</v>
      </c>
      <c r="H6979" s="5" t="s">
        <v>21</v>
      </c>
      <c r="I6979" s="5" t="s">
        <v>16729</v>
      </c>
      <c r="J6979" s="12" t="str">
        <f>HYPERLINK("https://www.boe.es/gazeta/dias/1808/11/01/pdfs/GMS-1808-45.pdf#page=4","Abrir facsímil")</f>
        <v>Abrir facsímil</v>
      </c>
      <c r="K6979" s="15" t="s">
        <v>23</v>
      </c>
    </row>
    <row r="6980" spans="1:11" ht="42" customHeight="1">
      <c r="A6980" s="4" t="s">
        <v>16730</v>
      </c>
      <c r="B6980" s="5" t="s">
        <v>16731</v>
      </c>
      <c r="C6980" s="5" t="s">
        <v>17</v>
      </c>
      <c r="D6980" s="5" t="s">
        <v>18</v>
      </c>
      <c r="E6980" s="5" t="s">
        <v>210</v>
      </c>
      <c r="F6980" s="9" t="s">
        <v>211</v>
      </c>
      <c r="G6980" s="9">
        <v>253</v>
      </c>
      <c r="H6980" s="5" t="s">
        <v>21</v>
      </c>
      <c r="I6980" s="5" t="s">
        <v>16732</v>
      </c>
      <c r="J6980" s="12" t="str">
        <f>HYPERLINK("https://www.boe.es/gazeta/dias/1808/03/11/pdfs/GMD-1808-21.pdf#page=7","Abrir facsímil")</f>
        <v>Abrir facsímil</v>
      </c>
      <c r="K6980" s="15" t="s">
        <v>23</v>
      </c>
    </row>
    <row r="6981" spans="1:11" ht="42" customHeight="1">
      <c r="A6981" s="4" t="s">
        <v>16733</v>
      </c>
      <c r="B6981" s="5" t="s">
        <v>16733</v>
      </c>
      <c r="C6981" s="5" t="s">
        <v>101</v>
      </c>
      <c r="D6981" s="5" t="s">
        <v>102</v>
      </c>
      <c r="E6981" s="5" t="s">
        <v>919</v>
      </c>
      <c r="F6981" s="9" t="s">
        <v>920</v>
      </c>
      <c r="G6981" s="9">
        <v>487</v>
      </c>
      <c r="H6981" s="5" t="s">
        <v>21</v>
      </c>
      <c r="I6981" s="5" t="s">
        <v>16734</v>
      </c>
      <c r="J6981" s="12" t="str">
        <f>HYPERLINK("https://www.boe.es/gazeta/dias/1808/05/24/pdfs/GMD-1808-49.pdf#page=3","Abrir facsímil")</f>
        <v>Abrir facsímil</v>
      </c>
      <c r="K6981" s="15" t="s">
        <v>23</v>
      </c>
    </row>
    <row r="6982" spans="1:11" ht="42" customHeight="1">
      <c r="A6982" s="4" t="s">
        <v>16735</v>
      </c>
      <c r="B6982" s="5" t="s">
        <v>16735</v>
      </c>
      <c r="C6982" s="5" t="s">
        <v>389</v>
      </c>
      <c r="D6982" s="5" t="s">
        <v>390</v>
      </c>
      <c r="E6982" s="5" t="s">
        <v>1466</v>
      </c>
      <c r="F6982" s="9" t="s">
        <v>1467</v>
      </c>
      <c r="G6982" s="9">
        <v>57</v>
      </c>
      <c r="H6982" s="5" t="s">
        <v>21</v>
      </c>
      <c r="I6982" s="5" t="s">
        <v>16736</v>
      </c>
      <c r="J6982" s="12" t="str">
        <f>HYPERLINK("https://www.boe.es/gazeta/dias/1808/01/15/pdfs/GMD-1808-5.pdf#page=9","Abrir facsímil")</f>
        <v>Abrir facsímil</v>
      </c>
      <c r="K6982" s="15" t="s">
        <v>23</v>
      </c>
    </row>
    <row r="6983" spans="1:11" ht="42" customHeight="1">
      <c r="A6983" s="4" t="s">
        <v>16737</v>
      </c>
      <c r="B6983" s="5" t="s">
        <v>16737</v>
      </c>
      <c r="C6983" s="5" t="s">
        <v>17</v>
      </c>
      <c r="D6983" s="5" t="s">
        <v>18</v>
      </c>
      <c r="E6983" s="5" t="s">
        <v>1148</v>
      </c>
      <c r="F6983" s="9" t="s">
        <v>1149</v>
      </c>
      <c r="G6983" s="9">
        <v>502</v>
      </c>
      <c r="H6983" s="5" t="s">
        <v>21</v>
      </c>
      <c r="I6983" s="5" t="s">
        <v>16738</v>
      </c>
      <c r="J6983" s="12" t="str">
        <f>HYPERLINK("https://www.boe.es/gazeta/dias/1808/05/27/pdfs/GMD-1808-50.pdf#page=6","Abrir facsímil")</f>
        <v>Abrir facsímil</v>
      </c>
      <c r="K6983" s="15" t="s">
        <v>23</v>
      </c>
    </row>
    <row r="6984" spans="1:11" ht="42" customHeight="1">
      <c r="A6984" s="4" t="s">
        <v>16739</v>
      </c>
      <c r="B6984" s="5" t="s">
        <v>16739</v>
      </c>
      <c r="C6984" s="5" t="s">
        <v>17</v>
      </c>
      <c r="D6984" s="5" t="s">
        <v>18</v>
      </c>
      <c r="E6984" s="5" t="s">
        <v>61</v>
      </c>
      <c r="F6984" s="9" t="s">
        <v>62</v>
      </c>
      <c r="G6984" s="9">
        <v>1286</v>
      </c>
      <c r="H6984" s="5" t="s">
        <v>21</v>
      </c>
      <c r="I6984" s="5" t="s">
        <v>16740</v>
      </c>
      <c r="J6984" s="12" t="str">
        <f>HYPERLINK("https://www.boe.es/gazeta/dias/1808/10/11/pdfs/GMD-1808-133.pdf#page=14","Abrir facsímil")</f>
        <v>Abrir facsímil</v>
      </c>
      <c r="K6984" s="15" t="s">
        <v>23</v>
      </c>
    </row>
    <row r="6985" spans="1:11" ht="42" customHeight="1">
      <c r="A6985" s="4" t="s">
        <v>16741</v>
      </c>
      <c r="B6985" s="5" t="s">
        <v>16742</v>
      </c>
      <c r="C6985" s="5" t="s">
        <v>26</v>
      </c>
      <c r="D6985" s="5" t="s">
        <v>27</v>
      </c>
      <c r="E6985" s="5" t="s">
        <v>558</v>
      </c>
      <c r="F6985" s="9" t="s">
        <v>559</v>
      </c>
      <c r="G6985" s="9">
        <v>1544</v>
      </c>
      <c r="H6985" s="5" t="s">
        <v>21</v>
      </c>
      <c r="I6985" s="5" t="s">
        <v>16743</v>
      </c>
      <c r="J6985" s="12" t="str">
        <f>HYPERLINK("https://www.boe.es/gazeta/dias/1808/11/25/pdfs/GMD-1808-147.pdf#page=10","Abrir facsímil")</f>
        <v>Abrir facsímil</v>
      </c>
      <c r="K6985" s="15" t="s">
        <v>23</v>
      </c>
    </row>
    <row r="6986" spans="1:11" ht="42" customHeight="1">
      <c r="A6986" s="4" t="s">
        <v>16744</v>
      </c>
      <c r="B6986" s="5" t="s">
        <v>16745</v>
      </c>
      <c r="C6986" s="5" t="s">
        <v>17</v>
      </c>
      <c r="D6986" s="5" t="s">
        <v>18</v>
      </c>
      <c r="E6986" s="5" t="s">
        <v>166</v>
      </c>
      <c r="F6986" s="9" t="s">
        <v>356</v>
      </c>
      <c r="G6986" s="9">
        <v>1509</v>
      </c>
      <c r="H6986" s="5" t="s">
        <v>21</v>
      </c>
      <c r="I6986" s="5" t="s">
        <v>16746</v>
      </c>
      <c r="J6986" s="12" t="str">
        <f>HYPERLINK("https://www.boe.es/gazeta/dias/1808/11/18/pdfs/GMD-1808-145.pdf#page=7","Abrir facsímil")</f>
        <v>Abrir facsímil</v>
      </c>
      <c r="K6986" s="15" t="s">
        <v>23</v>
      </c>
    </row>
    <row r="6987" spans="1:11" ht="42" customHeight="1">
      <c r="A6987" s="4" t="s">
        <v>16747</v>
      </c>
      <c r="B6987" s="5" t="s">
        <v>16748</v>
      </c>
      <c r="C6987" s="5" t="s">
        <v>17</v>
      </c>
      <c r="D6987" s="5" t="s">
        <v>18</v>
      </c>
      <c r="E6987" s="5" t="s">
        <v>110</v>
      </c>
      <c r="F6987" s="9" t="s">
        <v>111</v>
      </c>
      <c r="G6987" s="9">
        <v>1383</v>
      </c>
      <c r="H6987" s="5" t="s">
        <v>21</v>
      </c>
      <c r="I6987" s="5" t="s">
        <v>16749</v>
      </c>
      <c r="J6987" s="12" t="str">
        <f>HYPERLINK("https://www.boe.es/gazeta/dias/1808/10/28/pdfs/GMD-1808-138.pdf#page=9","Abrir facsímil")</f>
        <v>Abrir facsímil</v>
      </c>
      <c r="K6987" s="15" t="s">
        <v>23</v>
      </c>
    </row>
    <row r="6988" spans="1:11" ht="42" customHeight="1">
      <c r="A6988" s="4" t="s">
        <v>16750</v>
      </c>
      <c r="B6988" s="5" t="s">
        <v>16751</v>
      </c>
      <c r="C6988" s="5" t="s">
        <v>17</v>
      </c>
      <c r="D6988" s="5" t="s">
        <v>18</v>
      </c>
      <c r="E6988" s="5" t="s">
        <v>166</v>
      </c>
      <c r="F6988" s="9" t="s">
        <v>356</v>
      </c>
      <c r="G6988" s="9">
        <v>1508</v>
      </c>
      <c r="H6988" s="5" t="s">
        <v>21</v>
      </c>
      <c r="I6988" s="5" t="s">
        <v>16752</v>
      </c>
      <c r="J6988" s="12" t="str">
        <f>HYPERLINK("https://www.boe.es/gazeta/dias/1808/11/18/pdfs/GMD-1808-145.pdf#page=6","Abrir facsímil")</f>
        <v>Abrir facsímil</v>
      </c>
      <c r="K6988" s="15" t="s">
        <v>23</v>
      </c>
    </row>
    <row r="6989" spans="1:11" ht="42" customHeight="1">
      <c r="A6989" s="4" t="s">
        <v>16753</v>
      </c>
      <c r="B6989" s="5" t="s">
        <v>16754</v>
      </c>
      <c r="C6989" s="5" t="s">
        <v>33</v>
      </c>
      <c r="D6989" s="5" t="s">
        <v>34</v>
      </c>
      <c r="E6989" s="5" t="s">
        <v>35</v>
      </c>
      <c r="F6989" s="9" t="s">
        <v>36</v>
      </c>
      <c r="G6989" s="9" t="s">
        <v>498</v>
      </c>
      <c r="H6989" s="5" t="s">
        <v>21</v>
      </c>
      <c r="I6989" s="5" t="s">
        <v>16755</v>
      </c>
      <c r="J6989" s="12" t="str">
        <f>HYPERLINK("https://www.boe.es/gazeta/dias/1808/04/22/pdfs/GMD-C-1808-38.pdf#page=22","Abrir facsímil")</f>
        <v>Abrir facsímil</v>
      </c>
      <c r="K6989" s="15" t="s">
        <v>23</v>
      </c>
    </row>
    <row r="6990" spans="1:11" ht="42" customHeight="1">
      <c r="A6990" s="4" t="s">
        <v>16756</v>
      </c>
      <c r="B6990" s="5" t="s">
        <v>16757</v>
      </c>
      <c r="C6990" s="5" t="s">
        <v>41</v>
      </c>
      <c r="D6990" s="5" t="s">
        <v>42</v>
      </c>
      <c r="E6990" s="5" t="s">
        <v>180</v>
      </c>
      <c r="F6990" s="9" t="s">
        <v>768</v>
      </c>
      <c r="G6990" s="9" t="s">
        <v>199</v>
      </c>
      <c r="H6990" s="5" t="s">
        <v>21</v>
      </c>
      <c r="I6990" s="5" t="s">
        <v>16758</v>
      </c>
      <c r="J6990" s="12" t="str">
        <f>HYPERLINK("https://www.boe.es/gazeta/dias/1808/11/15/pdfs/GMD-D-1808-144.pdf#page=2","Abrir facsímil")</f>
        <v>Abrir facsímil</v>
      </c>
      <c r="K6990" s="15" t="s">
        <v>23</v>
      </c>
    </row>
    <row r="6991" spans="1:11" ht="42" customHeight="1">
      <c r="A6991" s="4" t="s">
        <v>16759</v>
      </c>
      <c r="B6991" s="5" t="s">
        <v>16760</v>
      </c>
      <c r="C6991" s="5" t="s">
        <v>33</v>
      </c>
      <c r="D6991" s="5" t="s">
        <v>34</v>
      </c>
      <c r="E6991" s="5" t="s">
        <v>35</v>
      </c>
      <c r="F6991" s="9" t="s">
        <v>36</v>
      </c>
      <c r="G6991" s="9" t="s">
        <v>501</v>
      </c>
      <c r="H6991" s="5" t="s">
        <v>21</v>
      </c>
      <c r="I6991" s="5" t="s">
        <v>16761</v>
      </c>
      <c r="J6991" s="12" t="str">
        <f>HYPERLINK("https://www.boe.es/gazeta/dias/1808/04/22/pdfs/GMD-C-1808-38.pdf#page=5","Abrir facsímil")</f>
        <v>Abrir facsímil</v>
      </c>
      <c r="K6991" s="15" t="s">
        <v>23</v>
      </c>
    </row>
    <row r="6992" spans="1:11" ht="42" customHeight="1">
      <c r="A6992" s="4" t="s">
        <v>16762</v>
      </c>
      <c r="B6992" s="5" t="s">
        <v>16763</v>
      </c>
      <c r="C6992" s="5" t="s">
        <v>33</v>
      </c>
      <c r="D6992" s="5" t="s">
        <v>34</v>
      </c>
      <c r="E6992" s="5" t="s">
        <v>35</v>
      </c>
      <c r="F6992" s="9" t="s">
        <v>36</v>
      </c>
      <c r="G6992" s="9" t="s">
        <v>135</v>
      </c>
      <c r="H6992" s="5" t="s">
        <v>21</v>
      </c>
      <c r="I6992" s="5" t="s">
        <v>16764</v>
      </c>
      <c r="J6992" s="12" t="str">
        <f>HYPERLINK("https://www.boe.es/gazeta/dias/1808/04/22/pdfs/GMD-C-1808-38.pdf#page=26","Abrir facsímil")</f>
        <v>Abrir facsímil</v>
      </c>
      <c r="K6992" s="15" t="s">
        <v>23</v>
      </c>
    </row>
    <row r="6993" spans="1:11" ht="42" customHeight="1">
      <c r="A6993" s="4" t="s">
        <v>16762</v>
      </c>
      <c r="B6993" s="5" t="s">
        <v>16763</v>
      </c>
      <c r="C6993" s="5" t="s">
        <v>260</v>
      </c>
      <c r="D6993" s="5" t="s">
        <v>42</v>
      </c>
      <c r="E6993" s="5" t="s">
        <v>35</v>
      </c>
      <c r="F6993" s="9" t="s">
        <v>36</v>
      </c>
      <c r="G6993" s="9" t="s">
        <v>43</v>
      </c>
      <c r="H6993" s="5" t="s">
        <v>21</v>
      </c>
      <c r="I6993" s="5" t="s">
        <v>16765</v>
      </c>
      <c r="J6993" s="12" t="str">
        <f>HYPERLINK("https://www.boe.es/gazeta/dias/1808/04/22/pdfs/GMD-C-1808-38.pdf#page=30","Abrir facsímil")</f>
        <v>Abrir facsímil</v>
      </c>
      <c r="K6993" s="15" t="s">
        <v>23</v>
      </c>
    </row>
    <row r="6994" spans="1:11" ht="42" customHeight="1">
      <c r="A6994" s="4" t="s">
        <v>16766</v>
      </c>
      <c r="B6994" s="5" t="s">
        <v>16767</v>
      </c>
      <c r="C6994" s="5" t="s">
        <v>33</v>
      </c>
      <c r="D6994" s="5" t="s">
        <v>34</v>
      </c>
      <c r="E6994" s="5" t="s">
        <v>35</v>
      </c>
      <c r="F6994" s="9" t="s">
        <v>36</v>
      </c>
      <c r="G6994" s="9" t="s">
        <v>1128</v>
      </c>
      <c r="H6994" s="5" t="s">
        <v>21</v>
      </c>
      <c r="I6994" s="5" t="s">
        <v>16768</v>
      </c>
      <c r="J6994" s="12" t="str">
        <f>HYPERLINK("https://www.boe.es/gazeta/dias/1808/04/22/pdfs/GMD-C-1808-38.pdf#page=11","Abrir facsímil")</f>
        <v>Abrir facsímil</v>
      </c>
      <c r="K6994" s="15" t="s">
        <v>23</v>
      </c>
    </row>
    <row r="6995" spans="1:11" ht="42" customHeight="1">
      <c r="A6995" s="4" t="s">
        <v>16766</v>
      </c>
      <c r="B6995" s="5" t="s">
        <v>16767</v>
      </c>
      <c r="C6995" s="5" t="s">
        <v>33</v>
      </c>
      <c r="D6995" s="5" t="s">
        <v>34</v>
      </c>
      <c r="E6995" s="5" t="s">
        <v>35</v>
      </c>
      <c r="F6995" s="9" t="s">
        <v>36</v>
      </c>
      <c r="G6995" s="9" t="s">
        <v>273</v>
      </c>
      <c r="H6995" s="5" t="s">
        <v>21</v>
      </c>
      <c r="I6995" s="5" t="s">
        <v>16769</v>
      </c>
      <c r="J6995" s="12" t="str">
        <f>HYPERLINK("https://www.boe.es/gazeta/dias/1808/04/22/pdfs/GMD-C-1808-38.pdf#page=12","Abrir facsímil")</f>
        <v>Abrir facsímil</v>
      </c>
      <c r="K6995" s="15" t="s">
        <v>23</v>
      </c>
    </row>
    <row r="6996" spans="1:11" ht="42" customHeight="1">
      <c r="A6996" s="4" t="s">
        <v>16766</v>
      </c>
      <c r="B6996" s="5" t="s">
        <v>16767</v>
      </c>
      <c r="C6996" s="5" t="s">
        <v>33</v>
      </c>
      <c r="D6996" s="5" t="s">
        <v>34</v>
      </c>
      <c r="E6996" s="5" t="s">
        <v>363</v>
      </c>
      <c r="F6996" s="9" t="s">
        <v>364</v>
      </c>
      <c r="G6996" s="9" t="s">
        <v>117</v>
      </c>
      <c r="H6996" s="5" t="s">
        <v>21</v>
      </c>
      <c r="I6996" s="5" t="s">
        <v>16770</v>
      </c>
      <c r="J6996" s="12" t="str">
        <f>HYPERLINK("https://www.boe.es/gazeta/dias/1808/09/20/pdfs/GMD-C-1808-126.pdf#page=1","Abrir facsímil")</f>
        <v>Abrir facsímil</v>
      </c>
      <c r="K6996" s="15" t="s">
        <v>23</v>
      </c>
    </row>
    <row r="6997" spans="1:11" ht="42" customHeight="1">
      <c r="A6997" s="4" t="s">
        <v>16766</v>
      </c>
      <c r="B6997" s="5" t="s">
        <v>16767</v>
      </c>
      <c r="C6997" s="5" t="s">
        <v>41</v>
      </c>
      <c r="D6997" s="5" t="s">
        <v>42</v>
      </c>
      <c r="E6997" s="5" t="s">
        <v>61</v>
      </c>
      <c r="F6997" s="9" t="s">
        <v>62</v>
      </c>
      <c r="G6997" s="9">
        <v>1284</v>
      </c>
      <c r="H6997" s="5" t="s">
        <v>21</v>
      </c>
      <c r="I6997" s="5" t="s">
        <v>16771</v>
      </c>
      <c r="J6997" s="12" t="str">
        <f>HYPERLINK("https://www.boe.es/gazeta/dias/1808/10/11/pdfs/GMD-1808-133.pdf#page=12","Abrir facsímil")</f>
        <v>Abrir facsímil</v>
      </c>
      <c r="K6997" s="15" t="s">
        <v>23</v>
      </c>
    </row>
    <row r="6998" spans="1:11" ht="42" customHeight="1">
      <c r="A6998" s="4" t="s">
        <v>16772</v>
      </c>
      <c r="B6998" s="5" t="s">
        <v>16773</v>
      </c>
      <c r="C6998" s="5" t="s">
        <v>33</v>
      </c>
      <c r="D6998" s="5" t="s">
        <v>34</v>
      </c>
      <c r="E6998" s="5" t="s">
        <v>35</v>
      </c>
      <c r="F6998" s="9" t="s">
        <v>36</v>
      </c>
      <c r="G6998" s="9" t="s">
        <v>795</v>
      </c>
      <c r="H6998" s="5" t="s">
        <v>21</v>
      </c>
      <c r="I6998" s="5" t="s">
        <v>16774</v>
      </c>
      <c r="J6998" s="12" t="str">
        <f>HYPERLINK("https://www.boe.es/gazeta/dias/1808/04/22/pdfs/GMD-C-1808-38.pdf#page=21","Abrir facsímil")</f>
        <v>Abrir facsímil</v>
      </c>
      <c r="K6998" s="15" t="s">
        <v>23</v>
      </c>
    </row>
    <row r="6999" spans="1:11" ht="42" customHeight="1">
      <c r="A6999" s="4" t="s">
        <v>16775</v>
      </c>
      <c r="B6999" s="5" t="s">
        <v>16776</v>
      </c>
      <c r="C6999" s="5" t="s">
        <v>17</v>
      </c>
      <c r="D6999" s="5" t="s">
        <v>18</v>
      </c>
      <c r="E6999" s="5" t="s">
        <v>391</v>
      </c>
      <c r="F6999" s="9" t="s">
        <v>392</v>
      </c>
      <c r="G6999" s="9">
        <v>1212</v>
      </c>
      <c r="H6999" s="5" t="s">
        <v>21</v>
      </c>
      <c r="I6999" s="5" t="s">
        <v>16777</v>
      </c>
      <c r="J6999" s="12" t="str">
        <f>HYPERLINK("https://www.boe.es/gazeta/dias/1808/09/27/pdfs/GMD-1808-128.pdf#page=8","Abrir facsímil")</f>
        <v>Abrir facsímil</v>
      </c>
      <c r="K6999" s="15" t="s">
        <v>23</v>
      </c>
    </row>
    <row r="7000" spans="1:11" ht="42" customHeight="1">
      <c r="A7000" s="4" t="s">
        <v>16778</v>
      </c>
      <c r="B7000" s="5" t="s">
        <v>16778</v>
      </c>
      <c r="C7000" s="5" t="s">
        <v>94</v>
      </c>
      <c r="D7000" s="5" t="s">
        <v>95</v>
      </c>
      <c r="E7000" s="5" t="s">
        <v>548</v>
      </c>
      <c r="F7000" s="9" t="s">
        <v>549</v>
      </c>
      <c r="G7000" s="9">
        <v>274</v>
      </c>
      <c r="H7000" s="5" t="s">
        <v>21</v>
      </c>
      <c r="I7000" s="5" t="s">
        <v>16779</v>
      </c>
      <c r="J7000" s="12" t="str">
        <f>HYPERLINK("https://www.boe.es/gazeta/dias/1808/03/18/pdfs/GMD-1808-23.pdf#page=4","Abrir facsímil")</f>
        <v>Abrir facsímil</v>
      </c>
      <c r="K7000" s="15" t="s">
        <v>23</v>
      </c>
    </row>
    <row r="7001" spans="1:11" ht="42" customHeight="1">
      <c r="A7001" s="4" t="s">
        <v>16780</v>
      </c>
      <c r="B7001" s="5" t="s">
        <v>16780</v>
      </c>
      <c r="C7001" s="5" t="s">
        <v>101</v>
      </c>
      <c r="D7001" s="5" t="s">
        <v>102</v>
      </c>
      <c r="E7001" s="5" t="s">
        <v>870</v>
      </c>
      <c r="F7001" s="9" t="s">
        <v>871</v>
      </c>
      <c r="G7001" s="9">
        <v>579</v>
      </c>
      <c r="H7001" s="5" t="s">
        <v>21</v>
      </c>
      <c r="I7001" s="5" t="s">
        <v>16781</v>
      </c>
      <c r="J7001" s="12" t="str">
        <f>HYPERLINK("https://www.boe.es/gazeta/dias/1808/06/17/pdfs/GMD-1808-59.pdf#page=1","Abrir facsímil")</f>
        <v>Abrir facsímil</v>
      </c>
      <c r="K7001" s="15" t="s">
        <v>23</v>
      </c>
    </row>
    <row r="7002" spans="1:11" ht="42" customHeight="1">
      <c r="A7002" s="4" t="s">
        <v>16782</v>
      </c>
      <c r="B7002" s="5" t="s">
        <v>16782</v>
      </c>
      <c r="C7002" s="5" t="s">
        <v>94</v>
      </c>
      <c r="D7002" s="5" t="s">
        <v>95</v>
      </c>
      <c r="E7002" s="5" t="s">
        <v>2316</v>
      </c>
      <c r="F7002" s="9" t="s">
        <v>2317</v>
      </c>
      <c r="G7002" s="9">
        <v>1691</v>
      </c>
      <c r="H7002" s="5" t="s">
        <v>21</v>
      </c>
      <c r="I7002" s="5" t="s">
        <v>16783</v>
      </c>
      <c r="J7002" s="12" t="str">
        <f>HYPERLINK("https://www.boe.es/gazeta/dias/1808/12/29/pdfs/GMD-1808-169.pdf#page=1","Abrir facsímil")</f>
        <v>Abrir facsímil</v>
      </c>
      <c r="K7002" s="15" t="s">
        <v>23</v>
      </c>
    </row>
    <row r="7003" spans="1:11" ht="42" customHeight="1">
      <c r="A7003" s="4" t="s">
        <v>16784</v>
      </c>
      <c r="B7003" s="5" t="s">
        <v>16784</v>
      </c>
      <c r="C7003" s="5" t="s">
        <v>94</v>
      </c>
      <c r="D7003" s="5" t="s">
        <v>95</v>
      </c>
      <c r="E7003" s="5" t="s">
        <v>974</v>
      </c>
      <c r="F7003" s="9" t="s">
        <v>975</v>
      </c>
      <c r="G7003" s="9">
        <v>387</v>
      </c>
      <c r="H7003" s="5" t="s">
        <v>21</v>
      </c>
      <c r="I7003" s="5" t="s">
        <v>16785</v>
      </c>
      <c r="J7003" s="12" t="str">
        <f>HYPERLINK("https://www.boe.es/gazeta/dias/1808/04/19/pdfs/GMD-1808-37.pdf#page=3","Abrir facsímil")</f>
        <v>Abrir facsímil</v>
      </c>
      <c r="K7003" s="15" t="s">
        <v>23</v>
      </c>
    </row>
    <row r="7004" spans="1:11" ht="42" customHeight="1">
      <c r="A7004" s="4" t="s">
        <v>16786</v>
      </c>
      <c r="B7004" s="5" t="s">
        <v>16786</v>
      </c>
      <c r="C7004" s="5" t="s">
        <v>389</v>
      </c>
      <c r="D7004" s="5" t="s">
        <v>390</v>
      </c>
      <c r="E7004" s="5" t="s">
        <v>2794</v>
      </c>
      <c r="F7004" s="9" t="s">
        <v>2795</v>
      </c>
      <c r="G7004" s="9">
        <v>975</v>
      </c>
      <c r="H7004" s="5" t="s">
        <v>21</v>
      </c>
      <c r="I7004" s="5" t="s">
        <v>16787</v>
      </c>
      <c r="J7004" s="12" t="str">
        <f>HYPERLINK("https://www.boe.es/gazeta/dias/1808/08/06/pdfs/GMD-1808-109.pdf#page=1","Abrir facsímil")</f>
        <v>Abrir facsímil</v>
      </c>
      <c r="K7004" s="15" t="s">
        <v>23</v>
      </c>
    </row>
    <row r="7005" spans="1:11" ht="42" customHeight="1">
      <c r="A7005" s="4" t="s">
        <v>16788</v>
      </c>
      <c r="B7005" s="5" t="s">
        <v>16788</v>
      </c>
      <c r="C7005" s="5" t="s">
        <v>41</v>
      </c>
      <c r="D7005" s="5" t="s">
        <v>42</v>
      </c>
      <c r="E7005" s="5" t="s">
        <v>391</v>
      </c>
      <c r="F7005" s="9" t="s">
        <v>588</v>
      </c>
      <c r="G7005" s="9" t="s">
        <v>106</v>
      </c>
      <c r="H7005" s="5" t="s">
        <v>21</v>
      </c>
      <c r="I7005" s="5" t="s">
        <v>16789</v>
      </c>
      <c r="J7005" s="12" t="str">
        <f>HYPERLINK("https://www.boe.es/gazeta/dias/1808/09/27/pdfs/GMD-C-1808-128.pdf#page=3","Abrir facsímil")</f>
        <v>Abrir facsímil</v>
      </c>
      <c r="K7005" s="15" t="s">
        <v>23</v>
      </c>
    </row>
    <row r="7006" spans="1:11" ht="42" customHeight="1">
      <c r="A7006" s="4" t="s">
        <v>16790</v>
      </c>
      <c r="B7006" s="5" t="s">
        <v>16790</v>
      </c>
      <c r="C7006" s="5" t="s">
        <v>17</v>
      </c>
      <c r="D7006" s="5" t="s">
        <v>18</v>
      </c>
      <c r="E7006" s="5" t="s">
        <v>65</v>
      </c>
      <c r="F7006" s="9" t="s">
        <v>66</v>
      </c>
      <c r="G7006" s="9">
        <v>1314</v>
      </c>
      <c r="H7006" s="5" t="s">
        <v>21</v>
      </c>
      <c r="I7006" s="5" t="s">
        <v>16791</v>
      </c>
      <c r="J7006" s="12" t="str">
        <f>HYPERLINK("https://www.boe.es/gazeta/dias/1808/10/18/pdfs/GMD-1808-135.pdf#page=14","Abrir facsímil")</f>
        <v>Abrir facsímil</v>
      </c>
      <c r="K7006" s="15" t="s">
        <v>23</v>
      </c>
    </row>
    <row r="7007" spans="1:11" ht="42" customHeight="1">
      <c r="A7007" s="4" t="s">
        <v>16792</v>
      </c>
      <c r="B7007" s="5" t="s">
        <v>16792</v>
      </c>
      <c r="C7007" s="5" t="s">
        <v>17</v>
      </c>
      <c r="D7007" s="5" t="s">
        <v>18</v>
      </c>
      <c r="E7007" s="5" t="s">
        <v>197</v>
      </c>
      <c r="F7007" s="9" t="s">
        <v>857</v>
      </c>
      <c r="G7007" s="9">
        <v>356</v>
      </c>
      <c r="H7007" s="5" t="s">
        <v>21</v>
      </c>
      <c r="I7007" s="5" t="s">
        <v>16793</v>
      </c>
      <c r="J7007" s="12" t="str">
        <f>HYPERLINK("https://www.boe.es/gazeta/dias/1808/11/01/pdfs/GMS-1808-45.pdf#page=4","Abrir facsímil")</f>
        <v>Abrir facsímil</v>
      </c>
      <c r="K7007" s="15" t="s">
        <v>23</v>
      </c>
    </row>
    <row r="7008" spans="1:11" ht="42" customHeight="1">
      <c r="A7008" s="4" t="s">
        <v>16794</v>
      </c>
      <c r="B7008" s="5" t="s">
        <v>16794</v>
      </c>
      <c r="C7008" s="5" t="s">
        <v>17</v>
      </c>
      <c r="D7008" s="5" t="s">
        <v>18</v>
      </c>
      <c r="E7008" s="5" t="s">
        <v>115</v>
      </c>
      <c r="F7008" s="9" t="s">
        <v>1650</v>
      </c>
      <c r="G7008" s="9">
        <v>1177</v>
      </c>
      <c r="H7008" s="5" t="s">
        <v>21</v>
      </c>
      <c r="I7008" s="5" t="s">
        <v>16795</v>
      </c>
      <c r="J7008" s="12" t="str">
        <f>HYPERLINK("https://www.boe.es/gazeta/dias/1808/09/16/pdfs/GMD-1808-125.pdf#page=9","Abrir facsímil")</f>
        <v>Abrir facsímil</v>
      </c>
      <c r="K7008" s="15" t="s">
        <v>23</v>
      </c>
    </row>
    <row r="7009" spans="1:11" ht="42" customHeight="1">
      <c r="A7009" s="4" t="s">
        <v>16796</v>
      </c>
      <c r="B7009" s="5" t="s">
        <v>16796</v>
      </c>
      <c r="C7009" s="5" t="s">
        <v>17</v>
      </c>
      <c r="D7009" s="5" t="s">
        <v>18</v>
      </c>
      <c r="E7009" s="5" t="s">
        <v>61</v>
      </c>
      <c r="F7009" s="9" t="s">
        <v>62</v>
      </c>
      <c r="G7009" s="9">
        <v>1284</v>
      </c>
      <c r="H7009" s="5" t="s">
        <v>21</v>
      </c>
      <c r="I7009" s="5" t="s">
        <v>16797</v>
      </c>
      <c r="J7009" s="12" t="str">
        <f>HYPERLINK("https://www.boe.es/gazeta/dias/1808/10/11/pdfs/GMD-1808-133.pdf#page=12","Abrir facsímil")</f>
        <v>Abrir facsímil</v>
      </c>
      <c r="K7009" s="15" t="s">
        <v>23</v>
      </c>
    </row>
    <row r="7010" spans="1:11" ht="42" customHeight="1">
      <c r="A7010" s="4" t="s">
        <v>16796</v>
      </c>
      <c r="B7010" s="5" t="s">
        <v>16796</v>
      </c>
      <c r="C7010" s="5" t="s">
        <v>33</v>
      </c>
      <c r="D7010" s="5" t="s">
        <v>34</v>
      </c>
      <c r="E7010" s="5" t="s">
        <v>73</v>
      </c>
      <c r="F7010" s="9" t="s">
        <v>74</v>
      </c>
      <c r="G7010" s="9" t="s">
        <v>117</v>
      </c>
      <c r="H7010" s="5" t="s">
        <v>21</v>
      </c>
      <c r="I7010" s="5" t="s">
        <v>16798</v>
      </c>
      <c r="J7010" s="12" t="str">
        <f>HYPERLINK("https://www.boe.es/gazeta/dias/1808/11/11/pdfs/GMD-D-1808-143.pdf#page=1","Abrir facsímil")</f>
        <v>Abrir facsímil</v>
      </c>
      <c r="K7010" s="15" t="s">
        <v>23</v>
      </c>
    </row>
    <row r="7011" spans="1:11" ht="42" customHeight="1">
      <c r="A7011" s="4" t="s">
        <v>16799</v>
      </c>
      <c r="B7011" s="5" t="s">
        <v>16800</v>
      </c>
      <c r="C7011" s="5" t="s">
        <v>33</v>
      </c>
      <c r="D7011" s="5" t="s">
        <v>34</v>
      </c>
      <c r="E7011" s="5" t="s">
        <v>35</v>
      </c>
      <c r="F7011" s="9" t="s">
        <v>36</v>
      </c>
      <c r="G7011" s="9" t="s">
        <v>795</v>
      </c>
      <c r="H7011" s="5" t="s">
        <v>21</v>
      </c>
      <c r="I7011" s="5" t="s">
        <v>16801</v>
      </c>
      <c r="J7011" s="12" t="str">
        <f>HYPERLINK("https://www.boe.es/gazeta/dias/1808/04/22/pdfs/GMD-C-1808-38.pdf#page=21","Abrir facsímil")</f>
        <v>Abrir facsímil</v>
      </c>
      <c r="K7011" s="15" t="s">
        <v>23</v>
      </c>
    </row>
    <row r="7012" spans="1:11" ht="42" customHeight="1">
      <c r="A7012" s="4" t="s">
        <v>16802</v>
      </c>
      <c r="B7012" s="5" t="s">
        <v>16802</v>
      </c>
      <c r="C7012" s="5" t="s">
        <v>33</v>
      </c>
      <c r="D7012" s="5" t="s">
        <v>34</v>
      </c>
      <c r="E7012" s="5" t="s">
        <v>363</v>
      </c>
      <c r="F7012" s="9" t="s">
        <v>364</v>
      </c>
      <c r="G7012" s="9" t="s">
        <v>199</v>
      </c>
      <c r="H7012" s="5" t="s">
        <v>21</v>
      </c>
      <c r="I7012" s="5" t="s">
        <v>16803</v>
      </c>
      <c r="J7012" s="12" t="str">
        <f>HYPERLINK("https://www.boe.es/gazeta/dias/1808/09/20/pdfs/GMD-C-1808-126.pdf#page=2","Abrir facsímil")</f>
        <v>Abrir facsímil</v>
      </c>
      <c r="K7012" s="15" t="s">
        <v>23</v>
      </c>
    </row>
    <row r="7013" spans="1:11" ht="42" customHeight="1">
      <c r="A7013" s="4" t="s">
        <v>16804</v>
      </c>
      <c r="B7013" s="5" t="s">
        <v>16805</v>
      </c>
      <c r="C7013" s="5" t="s">
        <v>33</v>
      </c>
      <c r="D7013" s="5" t="s">
        <v>34</v>
      </c>
      <c r="E7013" s="5" t="s">
        <v>153</v>
      </c>
      <c r="F7013" s="9" t="s">
        <v>154</v>
      </c>
      <c r="G7013" s="9" t="s">
        <v>199</v>
      </c>
      <c r="H7013" s="5" t="s">
        <v>21</v>
      </c>
      <c r="I7013" s="5" t="s">
        <v>16806</v>
      </c>
      <c r="J7013" s="12" t="str">
        <f>HYPERLINK("https://www.boe.es/gazeta/dias/1808/09/09/pdfs/GMD-C-1808-121.pdf#page=2","Abrir facsímil")</f>
        <v>Abrir facsímil</v>
      </c>
      <c r="K7013" s="15" t="s">
        <v>23</v>
      </c>
    </row>
    <row r="7014" spans="1:11" ht="42" customHeight="1">
      <c r="A7014" s="4" t="s">
        <v>16807</v>
      </c>
      <c r="B7014" s="5" t="s">
        <v>16808</v>
      </c>
      <c r="C7014" s="5" t="s">
        <v>33</v>
      </c>
      <c r="D7014" s="5" t="s">
        <v>34</v>
      </c>
      <c r="E7014" s="5" t="s">
        <v>35</v>
      </c>
      <c r="F7014" s="9" t="s">
        <v>36</v>
      </c>
      <c r="G7014" s="9" t="s">
        <v>273</v>
      </c>
      <c r="H7014" s="5" t="s">
        <v>21</v>
      </c>
      <c r="I7014" s="5" t="s">
        <v>16809</v>
      </c>
      <c r="J7014" s="12" t="str">
        <f>HYPERLINK("https://www.boe.es/gazeta/dias/1808/04/22/pdfs/GMD-C-1808-38.pdf#page=12","Abrir facsímil")</f>
        <v>Abrir facsímil</v>
      </c>
      <c r="K7014" s="15" t="s">
        <v>23</v>
      </c>
    </row>
    <row r="7015" spans="1:11" ht="42" customHeight="1">
      <c r="A7015" s="4" t="s">
        <v>16807</v>
      </c>
      <c r="B7015" s="5" t="s">
        <v>16808</v>
      </c>
      <c r="C7015" s="5" t="s">
        <v>33</v>
      </c>
      <c r="D7015" s="5" t="s">
        <v>34</v>
      </c>
      <c r="E7015" s="5" t="s">
        <v>35</v>
      </c>
      <c r="F7015" s="9" t="s">
        <v>36</v>
      </c>
      <c r="G7015" s="9" t="s">
        <v>80</v>
      </c>
      <c r="H7015" s="5" t="s">
        <v>21</v>
      </c>
      <c r="I7015" s="5" t="s">
        <v>16810</v>
      </c>
      <c r="J7015" s="12" t="str">
        <f>HYPERLINK("https://www.boe.es/gazeta/dias/1808/04/22/pdfs/GMD-C-1808-38.pdf#page=18","Abrir facsímil")</f>
        <v>Abrir facsímil</v>
      </c>
      <c r="K7015" s="15" t="s">
        <v>23</v>
      </c>
    </row>
    <row r="7016" spans="1:11" ht="42" customHeight="1">
      <c r="A7016" s="4" t="s">
        <v>16811</v>
      </c>
      <c r="B7016" s="5" t="s">
        <v>16812</v>
      </c>
      <c r="C7016" s="5" t="s">
        <v>33</v>
      </c>
      <c r="D7016" s="5" t="s">
        <v>34</v>
      </c>
      <c r="E7016" s="5" t="s">
        <v>35</v>
      </c>
      <c r="F7016" s="9" t="s">
        <v>36</v>
      </c>
      <c r="G7016" s="9" t="s">
        <v>2643</v>
      </c>
      <c r="H7016" s="5" t="s">
        <v>21</v>
      </c>
      <c r="I7016" s="5" t="s">
        <v>16813</v>
      </c>
      <c r="J7016" s="12" t="str">
        <f>HYPERLINK("https://www.boe.es/gazeta/dias/1808/04/22/pdfs/GMD-C-1808-38.pdf#page=17","Abrir facsímil")</f>
        <v>Abrir facsímil</v>
      </c>
      <c r="K7016" s="15" t="s">
        <v>23</v>
      </c>
    </row>
    <row r="7017" spans="1:11" ht="42" customHeight="1">
      <c r="A7017" s="4" t="s">
        <v>16811</v>
      </c>
      <c r="B7017" s="5" t="s">
        <v>16812</v>
      </c>
      <c r="C7017" s="5" t="s">
        <v>41</v>
      </c>
      <c r="D7017" s="5" t="s">
        <v>42</v>
      </c>
      <c r="E7017" s="5" t="s">
        <v>35</v>
      </c>
      <c r="F7017" s="9" t="s">
        <v>36</v>
      </c>
      <c r="G7017" s="9" t="s">
        <v>818</v>
      </c>
      <c r="H7017" s="5" t="s">
        <v>21</v>
      </c>
      <c r="I7017" s="5" t="s">
        <v>16814</v>
      </c>
      <c r="J7017" s="12" t="str">
        <f>HYPERLINK("https://www.boe.es/gazeta/dias/1808/04/22/pdfs/GMD-C-1808-38.pdf#page=7","Abrir facsímil")</f>
        <v>Abrir facsímil</v>
      </c>
      <c r="K7017" s="15" t="s">
        <v>23</v>
      </c>
    </row>
    <row r="7018" spans="1:11" ht="42" customHeight="1">
      <c r="A7018" s="4" t="s">
        <v>16811</v>
      </c>
      <c r="B7018" s="5" t="s">
        <v>16812</v>
      </c>
      <c r="C7018" s="5" t="s">
        <v>17</v>
      </c>
      <c r="D7018" s="5" t="s">
        <v>18</v>
      </c>
      <c r="E7018" s="5" t="s">
        <v>61</v>
      </c>
      <c r="F7018" s="9" t="s">
        <v>62</v>
      </c>
      <c r="G7018" s="9">
        <v>1285</v>
      </c>
      <c r="H7018" s="5" t="s">
        <v>21</v>
      </c>
      <c r="I7018" s="5" t="s">
        <v>16815</v>
      </c>
      <c r="J7018" s="12" t="str">
        <f>HYPERLINK("https://www.boe.es/gazeta/dias/1808/10/11/pdfs/GMD-1808-133.pdf#page=13","Abrir facsímil")</f>
        <v>Abrir facsímil</v>
      </c>
      <c r="K7018" s="15" t="s">
        <v>23</v>
      </c>
    </row>
    <row r="7019" spans="1:11" ht="42" customHeight="1">
      <c r="A7019" s="4" t="s">
        <v>16816</v>
      </c>
      <c r="B7019" s="5" t="s">
        <v>16817</v>
      </c>
      <c r="C7019" s="5" t="s">
        <v>33</v>
      </c>
      <c r="D7019" s="5" t="s">
        <v>34</v>
      </c>
      <c r="E7019" s="5" t="s">
        <v>115</v>
      </c>
      <c r="F7019" s="9" t="s">
        <v>116</v>
      </c>
      <c r="G7019" s="9" t="s">
        <v>117</v>
      </c>
      <c r="H7019" s="5" t="s">
        <v>21</v>
      </c>
      <c r="I7019" s="5" t="s">
        <v>16818</v>
      </c>
      <c r="J7019" s="12" t="str">
        <f>HYPERLINK("https://www.boe.es/gazeta/dias/1808/09/16/pdfs/GMD-C-1808-125.pdf#page=1","Abrir facsímil")</f>
        <v>Abrir facsímil</v>
      </c>
      <c r="K7019" s="15" t="s">
        <v>23</v>
      </c>
    </row>
    <row r="7020" spans="1:11" ht="42" customHeight="1">
      <c r="A7020" s="4" t="s">
        <v>16819</v>
      </c>
      <c r="B7020" s="5" t="s">
        <v>16820</v>
      </c>
      <c r="C7020" s="5" t="s">
        <v>41</v>
      </c>
      <c r="D7020" s="5" t="s">
        <v>42</v>
      </c>
      <c r="E7020" s="5" t="s">
        <v>461</v>
      </c>
      <c r="F7020" s="9" t="s">
        <v>733</v>
      </c>
      <c r="G7020" s="9">
        <v>1447</v>
      </c>
      <c r="H7020" s="5" t="s">
        <v>21</v>
      </c>
      <c r="I7020" s="5" t="s">
        <v>16821</v>
      </c>
      <c r="J7020" s="12" t="str">
        <f>HYPERLINK("https://www.boe.es/gazeta/dias/1808/11/08/pdfs/GMD-1808-142.pdf#page=9","Abrir facsímil")</f>
        <v>Abrir facsímil</v>
      </c>
      <c r="K7020" s="15" t="s">
        <v>23</v>
      </c>
    </row>
    <row r="7021" spans="1:11" ht="42" customHeight="1">
      <c r="A7021" s="4" t="s">
        <v>16822</v>
      </c>
      <c r="B7021" s="5" t="s">
        <v>16823</v>
      </c>
      <c r="C7021" s="5" t="s">
        <v>17</v>
      </c>
      <c r="D7021" s="5" t="s">
        <v>18</v>
      </c>
      <c r="E7021" s="5" t="s">
        <v>65</v>
      </c>
      <c r="F7021" s="9" t="s">
        <v>66</v>
      </c>
      <c r="G7021" s="9">
        <v>1303</v>
      </c>
      <c r="H7021" s="5" t="s">
        <v>21</v>
      </c>
      <c r="I7021" s="5" t="s">
        <v>16824</v>
      </c>
      <c r="J7021" s="12" t="str">
        <f>HYPERLINK("https://www.boe.es/gazeta/dias/1808/10/18/pdfs/GMD-1808-135.pdf#page=3","Abrir facsímil")</f>
        <v>Abrir facsímil</v>
      </c>
      <c r="K7021" s="15" t="s">
        <v>23</v>
      </c>
    </row>
    <row r="7022" spans="1:11" ht="42" customHeight="1">
      <c r="A7022" s="4" t="s">
        <v>16825</v>
      </c>
      <c r="B7022" s="5" t="s">
        <v>16826</v>
      </c>
      <c r="C7022" s="5" t="s">
        <v>94</v>
      </c>
      <c r="D7022" s="5" t="s">
        <v>95</v>
      </c>
      <c r="E7022" s="5" t="s">
        <v>469</v>
      </c>
      <c r="F7022" s="9" t="s">
        <v>470</v>
      </c>
      <c r="G7022" s="9">
        <v>153</v>
      </c>
      <c r="H7022" s="5" t="s">
        <v>21</v>
      </c>
      <c r="I7022" s="5" t="s">
        <v>16827</v>
      </c>
      <c r="J7022" s="12" t="str">
        <f>HYPERLINK("https://www.boe.es/gazeta/dias/1808/02/12/pdfs/GMD-1808-13.pdf#page=9","Abrir facsímil")</f>
        <v>Abrir facsímil</v>
      </c>
      <c r="K7022" s="15" t="s">
        <v>23</v>
      </c>
    </row>
    <row r="7023" spans="1:11" ht="42" customHeight="1">
      <c r="A7023" s="4" t="s">
        <v>16828</v>
      </c>
      <c r="B7023" s="5" t="s">
        <v>16829</v>
      </c>
      <c r="C7023" s="5" t="s">
        <v>41</v>
      </c>
      <c r="D7023" s="5" t="s">
        <v>42</v>
      </c>
      <c r="E7023" s="5" t="s">
        <v>264</v>
      </c>
      <c r="F7023" s="9" t="s">
        <v>318</v>
      </c>
      <c r="G7023" s="9" t="s">
        <v>117</v>
      </c>
      <c r="H7023" s="5" t="s">
        <v>21</v>
      </c>
      <c r="I7023" s="5" t="s">
        <v>16830</v>
      </c>
      <c r="J7023" s="12" t="str">
        <f>HYPERLINK("https://www.boe.es/gazeta/dias/1808/11/29/pdfs/GMD-C-1808-148.pdf#page=1","Abrir facsímil")</f>
        <v>Abrir facsímil</v>
      </c>
      <c r="K7023" s="15" t="s">
        <v>23</v>
      </c>
    </row>
    <row r="7024" spans="1:11" ht="42" customHeight="1">
      <c r="A7024" s="4" t="s">
        <v>16831</v>
      </c>
      <c r="B7024" s="5" t="s">
        <v>16832</v>
      </c>
      <c r="C7024" s="5" t="s">
        <v>94</v>
      </c>
      <c r="D7024" s="5" t="s">
        <v>95</v>
      </c>
      <c r="E7024" s="5" t="s">
        <v>334</v>
      </c>
      <c r="F7024" s="9" t="s">
        <v>335</v>
      </c>
      <c r="G7024" s="9">
        <v>1255</v>
      </c>
      <c r="H7024" s="5" t="s">
        <v>21</v>
      </c>
      <c r="I7024" s="5" t="s">
        <v>16833</v>
      </c>
      <c r="J7024" s="12" t="str">
        <f>HYPERLINK("https://www.boe.es/gazeta/dias/1808/10/04/pdfs/GMD-C-1808-131.pdf#page=7","Abrir facsímil")</f>
        <v>Abrir facsímil</v>
      </c>
      <c r="K7024" s="15" t="s">
        <v>23</v>
      </c>
    </row>
    <row r="7025" spans="1:11" ht="42" customHeight="1">
      <c r="A7025" s="4" t="s">
        <v>16834</v>
      </c>
      <c r="B7025" s="5" t="s">
        <v>16835</v>
      </c>
      <c r="C7025" s="5" t="s">
        <v>33</v>
      </c>
      <c r="D7025" s="5" t="s">
        <v>34</v>
      </c>
      <c r="E7025" s="5" t="s">
        <v>19</v>
      </c>
      <c r="F7025" s="9" t="s">
        <v>949</v>
      </c>
      <c r="G7025" s="9" t="s">
        <v>199</v>
      </c>
      <c r="H7025" s="5" t="s">
        <v>21</v>
      </c>
      <c r="I7025" s="5" t="s">
        <v>16836</v>
      </c>
      <c r="J7025" s="12" t="str">
        <f>HYPERLINK("https://www.boe.es/gazeta/dias/1808/09/30/pdfs/GMD-C-1808-130.pdf#page=2","Abrir facsímil")</f>
        <v>Abrir facsímil</v>
      </c>
      <c r="K7025" s="15" t="s">
        <v>23</v>
      </c>
    </row>
    <row r="7026" spans="1:11" ht="42" customHeight="1">
      <c r="A7026" s="4" t="s">
        <v>16837</v>
      </c>
      <c r="B7026" s="5" t="s">
        <v>16838</v>
      </c>
      <c r="C7026" s="5" t="s">
        <v>33</v>
      </c>
      <c r="D7026" s="5" t="s">
        <v>34</v>
      </c>
      <c r="E7026" s="5" t="s">
        <v>35</v>
      </c>
      <c r="F7026" s="9" t="s">
        <v>36</v>
      </c>
      <c r="G7026" s="9" t="s">
        <v>80</v>
      </c>
      <c r="H7026" s="5" t="s">
        <v>21</v>
      </c>
      <c r="I7026" s="5" t="s">
        <v>16839</v>
      </c>
      <c r="J7026" s="12" t="str">
        <f>HYPERLINK("https://www.boe.es/gazeta/dias/1808/04/22/pdfs/GMD-C-1808-38.pdf#page=18","Abrir facsímil")</f>
        <v>Abrir facsímil</v>
      </c>
      <c r="K7026" s="15" t="s">
        <v>23</v>
      </c>
    </row>
    <row r="7027" spans="1:11" ht="42" customHeight="1">
      <c r="A7027" s="4" t="s">
        <v>16840</v>
      </c>
      <c r="B7027" s="5" t="s">
        <v>16841</v>
      </c>
      <c r="C7027" s="5" t="s">
        <v>94</v>
      </c>
      <c r="D7027" s="5" t="s">
        <v>95</v>
      </c>
      <c r="E7027" s="5" t="s">
        <v>120</v>
      </c>
      <c r="F7027" s="9" t="s">
        <v>121</v>
      </c>
      <c r="G7027" s="9">
        <v>315</v>
      </c>
      <c r="H7027" s="5" t="s">
        <v>21</v>
      </c>
      <c r="I7027" s="5" t="s">
        <v>16842</v>
      </c>
      <c r="J7027" s="12" t="str">
        <f>HYPERLINK("https://www.boe.es/gazeta/dias/1808/03/29/pdfs/GMD-1808-27.pdf#page=11","Abrir facsímil")</f>
        <v>Abrir facsímil</v>
      </c>
      <c r="K7027" s="15" t="s">
        <v>23</v>
      </c>
    </row>
    <row r="7028" spans="1:11" ht="42" customHeight="1">
      <c r="A7028" s="4" t="s">
        <v>16843</v>
      </c>
      <c r="B7028" s="5" t="s">
        <v>16844</v>
      </c>
      <c r="C7028" s="5" t="s">
        <v>26</v>
      </c>
      <c r="D7028" s="5" t="s">
        <v>27</v>
      </c>
      <c r="E7028" s="5" t="s">
        <v>65</v>
      </c>
      <c r="F7028" s="9" t="s">
        <v>105</v>
      </c>
      <c r="G7028" s="9" t="s">
        <v>117</v>
      </c>
      <c r="H7028" s="5" t="s">
        <v>21</v>
      </c>
      <c r="I7028" s="5" t="s">
        <v>16845</v>
      </c>
      <c r="J7028" s="12" t="str">
        <f>HYPERLINK("https://www.boe.es/gazeta/dias/1808/10/18/pdfs/GMD-D-1808-135.pdf#page=1","Abrir facsímil")</f>
        <v>Abrir facsímil</v>
      </c>
      <c r="K7028" s="15" t="s">
        <v>23</v>
      </c>
    </row>
    <row r="7029" spans="1:11" ht="42" customHeight="1">
      <c r="A7029" s="4" t="s">
        <v>16846</v>
      </c>
      <c r="B7029" s="5" t="s">
        <v>16847</v>
      </c>
      <c r="C7029" s="5" t="s">
        <v>389</v>
      </c>
      <c r="D7029" s="5" t="s">
        <v>390</v>
      </c>
      <c r="E7029" s="5" t="s">
        <v>519</v>
      </c>
      <c r="F7029" s="9" t="s">
        <v>520</v>
      </c>
      <c r="G7029" s="9">
        <v>968</v>
      </c>
      <c r="H7029" s="5" t="s">
        <v>21</v>
      </c>
      <c r="I7029" s="5" t="s">
        <v>16848</v>
      </c>
      <c r="J7029" s="12" t="str">
        <f>HYPERLINK("https://www.boe.es/gazeta/dias/1808/08/04/pdfs/GMD-1808-107.pdf#page=2","Abrir facsímil")</f>
        <v>Abrir facsímil</v>
      </c>
      <c r="K7029" s="15" t="s">
        <v>23</v>
      </c>
    </row>
    <row r="7030" spans="1:11" ht="42" customHeight="1">
      <c r="A7030" s="4" t="s">
        <v>16849</v>
      </c>
      <c r="B7030" s="5" t="s">
        <v>16850</v>
      </c>
      <c r="C7030" s="5" t="s">
        <v>17</v>
      </c>
      <c r="D7030" s="5" t="s">
        <v>18</v>
      </c>
      <c r="E7030" s="5" t="s">
        <v>1472</v>
      </c>
      <c r="F7030" s="9" t="s">
        <v>1473</v>
      </c>
      <c r="G7030" s="9">
        <v>94</v>
      </c>
      <c r="H7030" s="5" t="s">
        <v>21</v>
      </c>
      <c r="I7030" s="5" t="s">
        <v>16851</v>
      </c>
      <c r="J7030" s="12" t="str">
        <f>HYPERLINK("https://www.boe.es/gazeta/dias/1808/01/26/pdfs/GMD-1808-8.pdf#page=10","Abrir facsímil")</f>
        <v>Abrir facsímil</v>
      </c>
      <c r="K7030" s="15" t="s">
        <v>23</v>
      </c>
    </row>
    <row r="7031" spans="1:11" ht="42" customHeight="1">
      <c r="A7031" s="4" t="s">
        <v>16852</v>
      </c>
      <c r="B7031" s="5" t="s">
        <v>16853</v>
      </c>
      <c r="C7031" s="5" t="s">
        <v>33</v>
      </c>
      <c r="D7031" s="5" t="s">
        <v>34</v>
      </c>
      <c r="E7031" s="5" t="s">
        <v>68</v>
      </c>
      <c r="F7031" s="9" t="s">
        <v>309</v>
      </c>
      <c r="G7031" s="9" t="s">
        <v>106</v>
      </c>
      <c r="H7031" s="5" t="s">
        <v>21</v>
      </c>
      <c r="I7031" s="5" t="s">
        <v>16854</v>
      </c>
      <c r="J7031" s="12" t="str">
        <f>HYPERLINK("https://www.boe.es/gazeta/dias/1808/10/21/pdfs/GMD-D-1808-136.pdf#page=3","Abrir facsímil")</f>
        <v>Abrir facsímil</v>
      </c>
      <c r="K7031" s="15" t="s">
        <v>23</v>
      </c>
    </row>
    <row r="7032" spans="1:11" ht="42" customHeight="1">
      <c r="A7032" s="4" t="s">
        <v>16855</v>
      </c>
      <c r="B7032" s="5" t="s">
        <v>16856</v>
      </c>
      <c r="C7032" s="5" t="s">
        <v>94</v>
      </c>
      <c r="D7032" s="5" t="s">
        <v>95</v>
      </c>
      <c r="E7032" s="5" t="s">
        <v>269</v>
      </c>
      <c r="F7032" s="9" t="s">
        <v>270</v>
      </c>
      <c r="G7032" s="9">
        <v>69</v>
      </c>
      <c r="H7032" s="5" t="s">
        <v>21</v>
      </c>
      <c r="I7032" s="5" t="s">
        <v>16857</v>
      </c>
      <c r="J7032" s="12" t="str">
        <f>HYPERLINK("https://www.boe.es/gazeta/dias/1808/01/19/pdfs/GMD-1808-6.pdf#page=9","Abrir facsímil")</f>
        <v>Abrir facsímil</v>
      </c>
      <c r="K7032" s="15" t="s">
        <v>23</v>
      </c>
    </row>
    <row r="7033" spans="1:11" ht="42" customHeight="1">
      <c r="A7033" s="4" t="s">
        <v>16858</v>
      </c>
      <c r="B7033" s="5" t="s">
        <v>16859</v>
      </c>
      <c r="C7033" s="5" t="s">
        <v>17</v>
      </c>
      <c r="D7033" s="5" t="s">
        <v>18</v>
      </c>
      <c r="E7033" s="5" t="s">
        <v>28</v>
      </c>
      <c r="F7033" s="9" t="s">
        <v>29</v>
      </c>
      <c r="G7033" s="9">
        <v>1428</v>
      </c>
      <c r="H7033" s="5" t="s">
        <v>21</v>
      </c>
      <c r="I7033" s="5" t="s">
        <v>16860</v>
      </c>
      <c r="J7033" s="12" t="str">
        <f>HYPERLINK("https://www.boe.es/gazeta/dias/1808/11/04/pdfs/GMD-1808-141.pdf#page=10","Abrir facsímil")</f>
        <v>Abrir facsímil</v>
      </c>
      <c r="K7033" s="15" t="s">
        <v>23</v>
      </c>
    </row>
    <row r="7034" spans="1:11" ht="42" customHeight="1">
      <c r="A7034" s="4" t="s">
        <v>16861</v>
      </c>
      <c r="B7034" s="5" t="s">
        <v>16862</v>
      </c>
      <c r="C7034" s="5" t="s">
        <v>41</v>
      </c>
      <c r="D7034" s="5" t="s">
        <v>42</v>
      </c>
      <c r="E7034" s="5" t="s">
        <v>1194</v>
      </c>
      <c r="F7034" s="9" t="s">
        <v>1195</v>
      </c>
      <c r="G7034" s="9">
        <v>448</v>
      </c>
      <c r="H7034" s="5" t="s">
        <v>21</v>
      </c>
      <c r="I7034" s="5" t="s">
        <v>16863</v>
      </c>
      <c r="J7034" s="12" t="str">
        <f>HYPERLINK("https://www.boe.es/gazeta/dias/1808/05/10/pdfs/GMD-1808-45.pdf#page=8","Abrir facsímil")</f>
        <v>Abrir facsímil</v>
      </c>
      <c r="K7034" s="15" t="s">
        <v>23</v>
      </c>
    </row>
    <row r="7035" spans="1:11" ht="42" customHeight="1">
      <c r="A7035" s="4" t="s">
        <v>16864</v>
      </c>
      <c r="B7035" s="5" t="s">
        <v>16865</v>
      </c>
      <c r="C7035" s="5" t="s">
        <v>33</v>
      </c>
      <c r="D7035" s="5" t="s">
        <v>34</v>
      </c>
      <c r="E7035" s="5" t="s">
        <v>558</v>
      </c>
      <c r="F7035" s="9" t="s">
        <v>758</v>
      </c>
      <c r="G7035" s="9" t="s">
        <v>75</v>
      </c>
      <c r="H7035" s="5" t="s">
        <v>21</v>
      </c>
      <c r="I7035" s="5" t="s">
        <v>16866</v>
      </c>
      <c r="J7035" s="12" t="str">
        <f>HYPERLINK("https://www.boe.es/gazeta/dias/1808/11/25/pdfs/GMD-E-1808-147.pdf#page=4","Abrir facsímil")</f>
        <v>Abrir facsímil</v>
      </c>
      <c r="K7035" s="15" t="s">
        <v>23</v>
      </c>
    </row>
    <row r="7036" spans="1:11" ht="42" customHeight="1">
      <c r="A7036" s="4" t="s">
        <v>16867</v>
      </c>
      <c r="B7036" s="5" t="s">
        <v>16868</v>
      </c>
      <c r="C7036" s="5" t="s">
        <v>33</v>
      </c>
      <c r="D7036" s="5" t="s">
        <v>34</v>
      </c>
      <c r="E7036" s="5" t="s">
        <v>35</v>
      </c>
      <c r="F7036" s="9" t="s">
        <v>36</v>
      </c>
      <c r="G7036" s="9" t="s">
        <v>1860</v>
      </c>
      <c r="H7036" s="5" t="s">
        <v>21</v>
      </c>
      <c r="I7036" s="5" t="s">
        <v>16869</v>
      </c>
      <c r="J7036" s="12" t="str">
        <f>HYPERLINK("https://www.boe.es/gazeta/dias/1808/04/22/pdfs/GMD-C-1808-38.pdf#page=37","Abrir facsímil")</f>
        <v>Abrir facsímil</v>
      </c>
      <c r="K7036" s="15" t="s">
        <v>23</v>
      </c>
    </row>
    <row r="7037" spans="1:11" ht="42" customHeight="1">
      <c r="A7037" s="4" t="s">
        <v>16870</v>
      </c>
      <c r="B7037" s="5" t="s">
        <v>16871</v>
      </c>
      <c r="C7037" s="5" t="s">
        <v>94</v>
      </c>
      <c r="D7037" s="5" t="s">
        <v>95</v>
      </c>
      <c r="E7037" s="5" t="s">
        <v>974</v>
      </c>
      <c r="F7037" s="9" t="s">
        <v>975</v>
      </c>
      <c r="G7037" s="9">
        <v>391</v>
      </c>
      <c r="H7037" s="5" t="s">
        <v>21</v>
      </c>
      <c r="I7037" s="5" t="s">
        <v>16872</v>
      </c>
      <c r="J7037" s="12" t="str">
        <f>HYPERLINK("https://www.boe.es/gazeta/dias/1808/04/19/pdfs/GMD-1808-37.pdf#page=7","Abrir facsímil")</f>
        <v>Abrir facsímil</v>
      </c>
      <c r="K7037" s="15" t="s">
        <v>23</v>
      </c>
    </row>
    <row r="7038" spans="1:11" ht="42" customHeight="1">
      <c r="A7038" s="4" t="s">
        <v>16873</v>
      </c>
      <c r="B7038" s="5" t="s">
        <v>16874</v>
      </c>
      <c r="C7038" s="5" t="s">
        <v>33</v>
      </c>
      <c r="D7038" s="5" t="s">
        <v>34</v>
      </c>
      <c r="E7038" s="5" t="s">
        <v>197</v>
      </c>
      <c r="F7038" s="9" t="s">
        <v>198</v>
      </c>
      <c r="G7038" s="9" t="s">
        <v>75</v>
      </c>
      <c r="H7038" s="5" t="s">
        <v>21</v>
      </c>
      <c r="I7038" s="5" t="s">
        <v>16875</v>
      </c>
      <c r="J7038" s="12" t="str">
        <f>HYPERLINK("https://www.boe.es/gazeta/dias/1808/11/01/pdfs/GMD-D-1808-140.pdf#page=4","Abrir facsímil")</f>
        <v>Abrir facsímil</v>
      </c>
      <c r="K7038" s="15" t="s">
        <v>23</v>
      </c>
    </row>
    <row r="7039" spans="1:11" ht="42" customHeight="1">
      <c r="A7039" s="4" t="s">
        <v>16876</v>
      </c>
      <c r="B7039" s="5" t="s">
        <v>16877</v>
      </c>
      <c r="C7039" s="5" t="s">
        <v>17</v>
      </c>
      <c r="D7039" s="5" t="s">
        <v>18</v>
      </c>
      <c r="E7039" s="5" t="s">
        <v>61</v>
      </c>
      <c r="F7039" s="9" t="s">
        <v>62</v>
      </c>
      <c r="G7039" s="9">
        <v>1286</v>
      </c>
      <c r="H7039" s="5" t="s">
        <v>21</v>
      </c>
      <c r="I7039" s="5" t="s">
        <v>16878</v>
      </c>
      <c r="J7039" s="12" t="str">
        <f>HYPERLINK("https://www.boe.es/gazeta/dias/1808/10/11/pdfs/GMD-1808-133.pdf#page=14","Abrir facsímil")</f>
        <v>Abrir facsímil</v>
      </c>
      <c r="K7039" s="15" t="s">
        <v>23</v>
      </c>
    </row>
    <row r="7040" spans="1:11" ht="42" customHeight="1">
      <c r="A7040" s="4" t="s">
        <v>16879</v>
      </c>
      <c r="B7040" s="5" t="s">
        <v>16880</v>
      </c>
      <c r="C7040" s="5" t="s">
        <v>389</v>
      </c>
      <c r="D7040" s="5" t="s">
        <v>390</v>
      </c>
      <c r="E7040" s="5" t="s">
        <v>493</v>
      </c>
      <c r="F7040" s="9" t="s">
        <v>494</v>
      </c>
      <c r="G7040" s="9">
        <v>48</v>
      </c>
      <c r="H7040" s="5" t="s">
        <v>21</v>
      </c>
      <c r="I7040" s="5" t="s">
        <v>16881</v>
      </c>
      <c r="J7040" s="12" t="str">
        <f>HYPERLINK("https://www.boe.es/gazeta/dias/1808/01/12/pdfs/GMD-1808-4.pdf#page=12","Abrir facsímil")</f>
        <v>Abrir facsímil</v>
      </c>
      <c r="K7040" s="15" t="s">
        <v>23</v>
      </c>
    </row>
    <row r="7041" spans="1:11" ht="42" customHeight="1">
      <c r="A7041" s="4" t="s">
        <v>16879</v>
      </c>
      <c r="B7041" s="5" t="s">
        <v>16880</v>
      </c>
      <c r="C7041" s="5" t="s">
        <v>33</v>
      </c>
      <c r="D7041" s="5" t="s">
        <v>34</v>
      </c>
      <c r="E7041" s="5" t="s">
        <v>35</v>
      </c>
      <c r="F7041" s="9" t="s">
        <v>36</v>
      </c>
      <c r="G7041" s="9" t="s">
        <v>655</v>
      </c>
      <c r="H7041" s="5" t="s">
        <v>21</v>
      </c>
      <c r="I7041" s="5" t="s">
        <v>16882</v>
      </c>
      <c r="J7041" s="12" t="str">
        <f>HYPERLINK("https://www.boe.es/gazeta/dias/1808/04/22/pdfs/GMD-C-1808-38.pdf#page=43","Abrir facsímil")</f>
        <v>Abrir facsímil</v>
      </c>
      <c r="K7041" s="15" t="s">
        <v>23</v>
      </c>
    </row>
    <row r="7042" spans="1:11" ht="42" customHeight="1">
      <c r="A7042" s="4" t="s">
        <v>16879</v>
      </c>
      <c r="B7042" s="5" t="s">
        <v>16880</v>
      </c>
      <c r="C7042" s="5" t="s">
        <v>41</v>
      </c>
      <c r="D7042" s="5" t="s">
        <v>42</v>
      </c>
      <c r="E7042" s="5" t="s">
        <v>153</v>
      </c>
      <c r="F7042" s="9" t="s">
        <v>154</v>
      </c>
      <c r="G7042" s="9" t="s">
        <v>106</v>
      </c>
      <c r="H7042" s="5" t="s">
        <v>21</v>
      </c>
      <c r="I7042" s="5" t="s">
        <v>16883</v>
      </c>
      <c r="J7042" s="12" t="str">
        <f>HYPERLINK("https://www.boe.es/gazeta/dias/1808/09/09/pdfs/GMD-C-1808-121.pdf#page=3","Abrir facsímil")</f>
        <v>Abrir facsímil</v>
      </c>
      <c r="K7042" s="15" t="s">
        <v>23</v>
      </c>
    </row>
    <row r="7043" spans="1:11" ht="42" customHeight="1">
      <c r="A7043" s="4" t="s">
        <v>16879</v>
      </c>
      <c r="B7043" s="5" t="s">
        <v>16880</v>
      </c>
      <c r="C7043" s="5" t="s">
        <v>33</v>
      </c>
      <c r="D7043" s="5" t="s">
        <v>34</v>
      </c>
      <c r="E7043" s="5" t="s">
        <v>456</v>
      </c>
      <c r="F7043" s="9" t="s">
        <v>748</v>
      </c>
      <c r="G7043" s="9" t="s">
        <v>75</v>
      </c>
      <c r="H7043" s="5" t="s">
        <v>21</v>
      </c>
      <c r="I7043" s="5" t="s">
        <v>16884</v>
      </c>
      <c r="J7043" s="12" t="str">
        <f>HYPERLINK("https://www.boe.es/gazeta/dias/1808/10/14/pdfs/GMD-C-1808-134.pdf#page=4","Abrir facsímil")</f>
        <v>Abrir facsímil</v>
      </c>
      <c r="K7043" s="15" t="s">
        <v>23</v>
      </c>
    </row>
    <row r="7044" spans="1:11" ht="42" customHeight="1">
      <c r="A7044" s="4" t="s">
        <v>16879</v>
      </c>
      <c r="B7044" s="5" t="s">
        <v>16880</v>
      </c>
      <c r="C7044" s="5" t="s">
        <v>33</v>
      </c>
      <c r="D7044" s="5" t="s">
        <v>34</v>
      </c>
      <c r="E7044" s="5" t="s">
        <v>180</v>
      </c>
      <c r="F7044" s="9" t="s">
        <v>768</v>
      </c>
      <c r="G7044" s="9" t="s">
        <v>117</v>
      </c>
      <c r="H7044" s="5" t="s">
        <v>21</v>
      </c>
      <c r="I7044" s="5" t="s">
        <v>16885</v>
      </c>
      <c r="J7044" s="12" t="str">
        <f>HYPERLINK("https://www.boe.es/gazeta/dias/1808/11/15/pdfs/GMD-D-1808-144.pdf#page=1","Abrir facsímil")</f>
        <v>Abrir facsímil</v>
      </c>
      <c r="K7044" s="15" t="s">
        <v>23</v>
      </c>
    </row>
    <row r="7045" spans="1:11" ht="42" customHeight="1">
      <c r="A7045" s="4" t="s">
        <v>16879</v>
      </c>
      <c r="B7045" s="5" t="s">
        <v>16880</v>
      </c>
      <c r="C7045" s="5" t="s">
        <v>17</v>
      </c>
      <c r="D7045" s="5" t="s">
        <v>18</v>
      </c>
      <c r="E7045" s="5" t="s">
        <v>130</v>
      </c>
      <c r="F7045" s="9" t="s">
        <v>131</v>
      </c>
      <c r="G7045" s="9">
        <v>1604</v>
      </c>
      <c r="H7045" s="5" t="s">
        <v>21</v>
      </c>
      <c r="I7045" s="5" t="s">
        <v>16886</v>
      </c>
      <c r="J7045" s="12" t="str">
        <f>HYPERLINK("https://www.boe.es/gazeta/dias/1808/12/15/pdfs/GMD-1808-155.pdf#page=8","Abrir facsímil")</f>
        <v>Abrir facsímil</v>
      </c>
      <c r="K7045" s="15" t="s">
        <v>23</v>
      </c>
    </row>
    <row r="7046" spans="1:11" ht="42" customHeight="1">
      <c r="A7046" s="4" t="s">
        <v>16887</v>
      </c>
      <c r="B7046" s="5" t="s">
        <v>16888</v>
      </c>
      <c r="C7046" s="5" t="s">
        <v>33</v>
      </c>
      <c r="D7046" s="5" t="s">
        <v>34</v>
      </c>
      <c r="E7046" s="5" t="s">
        <v>73</v>
      </c>
      <c r="F7046" s="9" t="s">
        <v>74</v>
      </c>
      <c r="G7046" s="9" t="s">
        <v>106</v>
      </c>
      <c r="H7046" s="5" t="s">
        <v>21</v>
      </c>
      <c r="I7046" s="5" t="s">
        <v>16889</v>
      </c>
      <c r="J7046" s="12" t="str">
        <f>HYPERLINK("https://www.boe.es/gazeta/dias/1808/11/11/pdfs/GMD-D-1808-143.pdf#page=3","Abrir facsímil")</f>
        <v>Abrir facsímil</v>
      </c>
      <c r="K7046" s="15" t="s">
        <v>23</v>
      </c>
    </row>
    <row r="7047" spans="1:11" ht="42" customHeight="1">
      <c r="A7047" s="4" t="s">
        <v>16890</v>
      </c>
      <c r="B7047" s="5" t="s">
        <v>16891</v>
      </c>
      <c r="C7047" s="5" t="s">
        <v>94</v>
      </c>
      <c r="D7047" s="5" t="s">
        <v>95</v>
      </c>
      <c r="E7047" s="5" t="s">
        <v>207</v>
      </c>
      <c r="F7047" s="9" t="s">
        <v>208</v>
      </c>
      <c r="G7047" s="9">
        <v>197</v>
      </c>
      <c r="H7047" s="5" t="s">
        <v>21</v>
      </c>
      <c r="I7047" s="5" t="s">
        <v>16892</v>
      </c>
      <c r="J7047" s="12" t="str">
        <f>HYPERLINK("https://www.boe.es/gazeta/dias/1808/02/23/pdfs/GMD-1808-16.pdf#page=11","Abrir facsímil")</f>
        <v>Abrir facsímil</v>
      </c>
      <c r="K7047" s="15" t="s">
        <v>23</v>
      </c>
    </row>
    <row r="7048" spans="1:11" ht="42" customHeight="1">
      <c r="A7048" s="4" t="s">
        <v>16890</v>
      </c>
      <c r="B7048" s="5" t="s">
        <v>16891</v>
      </c>
      <c r="C7048" s="5" t="s">
        <v>41</v>
      </c>
      <c r="D7048" s="5" t="s">
        <v>42</v>
      </c>
      <c r="E7048" s="5" t="s">
        <v>513</v>
      </c>
      <c r="F7048" s="9" t="s">
        <v>514</v>
      </c>
      <c r="G7048" s="9">
        <v>287</v>
      </c>
      <c r="H7048" s="5" t="s">
        <v>21</v>
      </c>
      <c r="I7048" s="5" t="s">
        <v>16893</v>
      </c>
      <c r="J7048" s="12" t="str">
        <f>HYPERLINK("https://www.boe.es/gazeta/dias/1808/03/22/pdfs/GMD-1808-24.pdf#page=9","Abrir facsímil")</f>
        <v>Abrir facsímil</v>
      </c>
      <c r="K7048" s="15" t="s">
        <v>23</v>
      </c>
    </row>
    <row r="7049" spans="1:11" ht="42" customHeight="1">
      <c r="A7049" s="4" t="s">
        <v>16894</v>
      </c>
      <c r="B7049" s="5" t="s">
        <v>16895</v>
      </c>
      <c r="C7049" s="5" t="s">
        <v>17</v>
      </c>
      <c r="D7049" s="5" t="s">
        <v>18</v>
      </c>
      <c r="E7049" s="5" t="s">
        <v>719</v>
      </c>
      <c r="F7049" s="9" t="s">
        <v>720</v>
      </c>
      <c r="G7049" s="9">
        <v>1610</v>
      </c>
      <c r="H7049" s="5" t="s">
        <v>21</v>
      </c>
      <c r="I7049" s="5" t="s">
        <v>16896</v>
      </c>
      <c r="J7049" s="12" t="str">
        <f>HYPERLINK("https://www.boe.es/gazeta/dias/1808/12/16/pdfs/GMD-1808-156.pdf#page=2","Abrir facsímil")</f>
        <v>Abrir facsímil</v>
      </c>
      <c r="K7049" s="15" t="s">
        <v>23</v>
      </c>
    </row>
    <row r="7050" spans="1:11" ht="42" customHeight="1">
      <c r="A7050" s="4" t="s">
        <v>16897</v>
      </c>
      <c r="B7050" s="5" t="s">
        <v>16898</v>
      </c>
      <c r="C7050" s="5" t="s">
        <v>41</v>
      </c>
      <c r="D7050" s="5" t="s">
        <v>42</v>
      </c>
      <c r="E7050" s="5" t="s">
        <v>185</v>
      </c>
      <c r="F7050" s="9" t="s">
        <v>186</v>
      </c>
      <c r="G7050" s="9">
        <v>1105</v>
      </c>
      <c r="H7050" s="5" t="s">
        <v>21</v>
      </c>
      <c r="I7050" s="5" t="s">
        <v>16899</v>
      </c>
      <c r="J7050" s="12" t="str">
        <f>HYPERLINK("https://www.boe.es/gazeta/dias/1808/08/30/pdfs/GMD-1808-118.pdf#page=11","Abrir facsímil")</f>
        <v>Abrir facsímil</v>
      </c>
      <c r="K7050" s="15" t="s">
        <v>23</v>
      </c>
    </row>
    <row r="7051" spans="1:11" ht="42" customHeight="1">
      <c r="A7051" s="4" t="s">
        <v>16897</v>
      </c>
      <c r="B7051" s="5" t="s">
        <v>16898</v>
      </c>
      <c r="C7051" s="5" t="s">
        <v>17</v>
      </c>
      <c r="D7051" s="5" t="s">
        <v>18</v>
      </c>
      <c r="E7051" s="5" t="s">
        <v>130</v>
      </c>
      <c r="F7051" s="9" t="s">
        <v>131</v>
      </c>
      <c r="G7051" s="9">
        <v>1604</v>
      </c>
      <c r="H7051" s="5" t="s">
        <v>21</v>
      </c>
      <c r="I7051" s="5" t="s">
        <v>16900</v>
      </c>
      <c r="J7051" s="12" t="str">
        <f>HYPERLINK("https://www.boe.es/gazeta/dias/1808/12/15/pdfs/GMD-1808-155.pdf#page=8","Abrir facsímil")</f>
        <v>Abrir facsímil</v>
      </c>
      <c r="K7051" s="15" t="s">
        <v>23</v>
      </c>
    </row>
    <row r="7052" spans="1:11" ht="42" customHeight="1">
      <c r="A7052" s="4" t="s">
        <v>16901</v>
      </c>
      <c r="B7052" s="5" t="s">
        <v>16902</v>
      </c>
      <c r="C7052" s="5" t="s">
        <v>33</v>
      </c>
      <c r="D7052" s="5" t="s">
        <v>34</v>
      </c>
      <c r="E7052" s="5" t="s">
        <v>68</v>
      </c>
      <c r="F7052" s="9" t="s">
        <v>309</v>
      </c>
      <c r="G7052" s="9" t="s">
        <v>106</v>
      </c>
      <c r="H7052" s="5" t="s">
        <v>21</v>
      </c>
      <c r="I7052" s="5" t="s">
        <v>16903</v>
      </c>
      <c r="J7052" s="12" t="str">
        <f>HYPERLINK("https://www.boe.es/gazeta/dias/1808/10/21/pdfs/GMD-D-1808-136.pdf#page=3","Abrir facsímil")</f>
        <v>Abrir facsímil</v>
      </c>
      <c r="K7052" s="15" t="s">
        <v>23</v>
      </c>
    </row>
    <row r="7053" spans="1:11" ht="42" customHeight="1">
      <c r="A7053" s="4" t="s">
        <v>16904</v>
      </c>
      <c r="B7053" s="5" t="s">
        <v>16905</v>
      </c>
      <c r="C7053" s="5" t="s">
        <v>41</v>
      </c>
      <c r="D7053" s="5" t="s">
        <v>42</v>
      </c>
      <c r="E7053" s="5" t="s">
        <v>35</v>
      </c>
      <c r="F7053" s="9" t="s">
        <v>36</v>
      </c>
      <c r="G7053" s="9" t="s">
        <v>148</v>
      </c>
      <c r="H7053" s="5" t="s">
        <v>21</v>
      </c>
      <c r="I7053" s="5" t="s">
        <v>16906</v>
      </c>
      <c r="J7053" s="12" t="str">
        <f>HYPERLINK("https://www.boe.es/gazeta/dias/1808/04/22/pdfs/GMD-C-1808-38.pdf#page=38","Abrir facsímil")</f>
        <v>Abrir facsímil</v>
      </c>
      <c r="K7053" s="15" t="s">
        <v>23</v>
      </c>
    </row>
    <row r="7054" spans="1:11" ht="42" customHeight="1">
      <c r="A7054" s="4" t="s">
        <v>16907</v>
      </c>
      <c r="B7054" s="5" t="s">
        <v>16908</v>
      </c>
      <c r="C7054" s="5" t="s">
        <v>33</v>
      </c>
      <c r="D7054" s="5" t="s">
        <v>34</v>
      </c>
      <c r="E7054" s="5" t="s">
        <v>264</v>
      </c>
      <c r="F7054" s="9" t="s">
        <v>318</v>
      </c>
      <c r="G7054" s="9" t="s">
        <v>106</v>
      </c>
      <c r="H7054" s="5" t="s">
        <v>21</v>
      </c>
      <c r="I7054" s="5" t="s">
        <v>16909</v>
      </c>
      <c r="J7054" s="12" t="str">
        <f>HYPERLINK("https://www.boe.es/gazeta/dias/1808/11/29/pdfs/GMD-C-1808-148.pdf#page=3","Abrir facsímil")</f>
        <v>Abrir facsímil</v>
      </c>
      <c r="K7054" s="15" t="s">
        <v>23</v>
      </c>
    </row>
    <row r="7055" spans="1:11" ht="42" customHeight="1">
      <c r="A7055" s="4" t="s">
        <v>16910</v>
      </c>
      <c r="B7055" s="5" t="s">
        <v>16911</v>
      </c>
      <c r="C7055" s="5" t="s">
        <v>33</v>
      </c>
      <c r="D7055" s="5" t="s">
        <v>34</v>
      </c>
      <c r="E7055" s="5" t="s">
        <v>139</v>
      </c>
      <c r="F7055" s="9" t="s">
        <v>1089</v>
      </c>
      <c r="G7055" s="9" t="s">
        <v>106</v>
      </c>
      <c r="H7055" s="5" t="s">
        <v>21</v>
      </c>
      <c r="I7055" s="5" t="s">
        <v>16912</v>
      </c>
      <c r="J7055" s="12" t="str">
        <f>HYPERLINK("https://www.boe.es/gazeta/dias/1808/09/23/pdfs/GMD-C-1808-127.pdf#page=3","Abrir facsímil")</f>
        <v>Abrir facsímil</v>
      </c>
      <c r="K7055" s="15" t="s">
        <v>23</v>
      </c>
    </row>
    <row r="7056" spans="1:11" ht="42" customHeight="1">
      <c r="A7056" s="4" t="s">
        <v>16913</v>
      </c>
      <c r="B7056" s="5" t="s">
        <v>16914</v>
      </c>
      <c r="C7056" s="5" t="s">
        <v>33</v>
      </c>
      <c r="D7056" s="5" t="s">
        <v>34</v>
      </c>
      <c r="E7056" s="5" t="s">
        <v>197</v>
      </c>
      <c r="F7056" s="9" t="s">
        <v>198</v>
      </c>
      <c r="G7056" s="9" t="s">
        <v>117</v>
      </c>
      <c r="H7056" s="5" t="s">
        <v>21</v>
      </c>
      <c r="I7056" s="5" t="s">
        <v>16915</v>
      </c>
      <c r="J7056" s="12" t="str">
        <f>HYPERLINK("https://www.boe.es/gazeta/dias/1808/11/01/pdfs/GMD-D-1808-140.pdf#page=1","Abrir facsímil")</f>
        <v>Abrir facsímil</v>
      </c>
      <c r="K7056" s="15" t="s">
        <v>23</v>
      </c>
    </row>
    <row r="7057" spans="1:11" ht="42" customHeight="1">
      <c r="A7057" s="4" t="s">
        <v>16910</v>
      </c>
      <c r="B7057" s="5" t="s">
        <v>16911</v>
      </c>
      <c r="C7057" s="5" t="s">
        <v>389</v>
      </c>
      <c r="D7057" s="5" t="s">
        <v>390</v>
      </c>
      <c r="E7057" s="5" t="s">
        <v>264</v>
      </c>
      <c r="F7057" s="9" t="s">
        <v>318</v>
      </c>
      <c r="G7057" s="9" t="s">
        <v>75</v>
      </c>
      <c r="H7057" s="5" t="s">
        <v>21</v>
      </c>
      <c r="I7057" s="5" t="s">
        <v>16916</v>
      </c>
      <c r="J7057" s="12" t="str">
        <f>HYPERLINK("https://www.boe.es/gazeta/dias/1808/11/29/pdfs/GMD-C-1808-148.pdf#page=4","Abrir facsímil")</f>
        <v>Abrir facsímil</v>
      </c>
      <c r="K7057" s="15" t="s">
        <v>23</v>
      </c>
    </row>
    <row r="7058" spans="1:11" ht="42" customHeight="1">
      <c r="A7058" s="4" t="s">
        <v>16910</v>
      </c>
      <c r="B7058" s="5" t="s">
        <v>16911</v>
      </c>
      <c r="C7058" s="5" t="s">
        <v>17</v>
      </c>
      <c r="D7058" s="5" t="s">
        <v>18</v>
      </c>
      <c r="E7058" s="5" t="s">
        <v>130</v>
      </c>
      <c r="F7058" s="9" t="s">
        <v>131</v>
      </c>
      <c r="G7058" s="9">
        <v>1602</v>
      </c>
      <c r="H7058" s="5" t="s">
        <v>21</v>
      </c>
      <c r="I7058" s="5" t="s">
        <v>16917</v>
      </c>
      <c r="J7058" s="12" t="str">
        <f>HYPERLINK("https://www.boe.es/gazeta/dias/1808/12/15/pdfs/GMD-1808-155.pdf#page=6","Abrir facsímil")</f>
        <v>Abrir facsímil</v>
      </c>
      <c r="K7058" s="15" t="s">
        <v>23</v>
      </c>
    </row>
    <row r="7059" spans="1:11" ht="42" customHeight="1">
      <c r="A7059" s="4" t="s">
        <v>16918</v>
      </c>
      <c r="B7059" s="5" t="s">
        <v>16919</v>
      </c>
      <c r="C7059" s="5" t="s">
        <v>94</v>
      </c>
      <c r="D7059" s="5" t="s">
        <v>95</v>
      </c>
      <c r="E7059" s="5" t="s">
        <v>1085</v>
      </c>
      <c r="F7059" s="9" t="s">
        <v>1086</v>
      </c>
      <c r="G7059" s="9">
        <v>106</v>
      </c>
      <c r="H7059" s="5" t="s">
        <v>21</v>
      </c>
      <c r="I7059" s="5" t="s">
        <v>16920</v>
      </c>
      <c r="J7059" s="12" t="str">
        <f>HYPERLINK("https://www.boe.es/gazeta/dias/1808/01/29/pdfs/GMD-1808-9.pdf#page=10","Abrir facsímil")</f>
        <v>Abrir facsímil</v>
      </c>
      <c r="K7059" s="15" t="s">
        <v>23</v>
      </c>
    </row>
    <row r="7060" spans="1:11" ht="42" customHeight="1">
      <c r="A7060" s="4" t="s">
        <v>16921</v>
      </c>
      <c r="B7060" s="5" t="s">
        <v>16922</v>
      </c>
      <c r="C7060" s="5" t="s">
        <v>17</v>
      </c>
      <c r="D7060" s="5" t="s">
        <v>18</v>
      </c>
      <c r="E7060" s="5" t="s">
        <v>139</v>
      </c>
      <c r="F7060" s="9" t="s">
        <v>140</v>
      </c>
      <c r="G7060" s="9">
        <v>1203</v>
      </c>
      <c r="H7060" s="5" t="s">
        <v>21</v>
      </c>
      <c r="I7060" s="5" t="s">
        <v>16923</v>
      </c>
      <c r="J7060" s="12" t="str">
        <f>HYPERLINK("https://www.boe.es/gazeta/dias/1808/09/23/pdfs/GMD-1808-127.pdf#page=11","Abrir facsímil")</f>
        <v>Abrir facsímil</v>
      </c>
      <c r="K7060" s="15" t="s">
        <v>23</v>
      </c>
    </row>
    <row r="7061" spans="1:11" ht="42" customHeight="1">
      <c r="A7061" s="4" t="s">
        <v>16924</v>
      </c>
      <c r="B7061" s="5" t="s">
        <v>16925</v>
      </c>
      <c r="C7061" s="5" t="s">
        <v>41</v>
      </c>
      <c r="D7061" s="5" t="s">
        <v>42</v>
      </c>
      <c r="E7061" s="5" t="s">
        <v>461</v>
      </c>
      <c r="F7061" s="9" t="s">
        <v>462</v>
      </c>
      <c r="G7061" s="9" t="s">
        <v>75</v>
      </c>
      <c r="H7061" s="5" t="s">
        <v>21</v>
      </c>
      <c r="I7061" s="5" t="s">
        <v>16926</v>
      </c>
      <c r="J7061" s="12" t="str">
        <f>HYPERLINK("https://www.boe.es/gazeta/dias/1808/11/08/pdfs/GMD-D-1808-142.pdf#page=4","Abrir facsímil")</f>
        <v>Abrir facsímil</v>
      </c>
      <c r="K7061" s="15" t="s">
        <v>23</v>
      </c>
    </row>
    <row r="7062" spans="1:11" ht="42" customHeight="1">
      <c r="A7062" s="4" t="s">
        <v>16927</v>
      </c>
      <c r="B7062" s="5" t="s">
        <v>16928</v>
      </c>
      <c r="C7062" s="5" t="s">
        <v>41</v>
      </c>
      <c r="D7062" s="5" t="s">
        <v>42</v>
      </c>
      <c r="E7062" s="5" t="s">
        <v>391</v>
      </c>
      <c r="F7062" s="9" t="s">
        <v>588</v>
      </c>
      <c r="G7062" s="9" t="s">
        <v>199</v>
      </c>
      <c r="H7062" s="5" t="s">
        <v>21</v>
      </c>
      <c r="I7062" s="5" t="s">
        <v>16929</v>
      </c>
      <c r="J7062" s="12" t="str">
        <f>HYPERLINK("https://www.boe.es/gazeta/dias/1808/09/27/pdfs/GMD-C-1808-128.pdf#page=2","Abrir facsímil")</f>
        <v>Abrir facsímil</v>
      </c>
      <c r="K7062" s="15" t="s">
        <v>23</v>
      </c>
    </row>
    <row r="7063" spans="1:11" ht="42" customHeight="1">
      <c r="A7063" s="4" t="s">
        <v>16930</v>
      </c>
      <c r="B7063" s="5" t="s">
        <v>16931</v>
      </c>
      <c r="C7063" s="5" t="s">
        <v>41</v>
      </c>
      <c r="D7063" s="5" t="s">
        <v>42</v>
      </c>
      <c r="E7063" s="5" t="s">
        <v>363</v>
      </c>
      <c r="F7063" s="9" t="s">
        <v>3718</v>
      </c>
      <c r="G7063" s="9">
        <v>264</v>
      </c>
      <c r="H7063" s="5" t="s">
        <v>21</v>
      </c>
      <c r="I7063" s="5" t="s">
        <v>16932</v>
      </c>
      <c r="J7063" s="12" t="str">
        <f>HYPERLINK("https://www.boe.es/gazeta/dias/1808/09/20/pdfs/GMS-1808-33.pdf#page=8","Abrir facsímil")</f>
        <v>Abrir facsímil</v>
      </c>
      <c r="K7063" s="15" t="s">
        <v>23</v>
      </c>
    </row>
    <row r="7064" spans="1:11" ht="42" customHeight="1">
      <c r="A7064" s="4" t="s">
        <v>16933</v>
      </c>
      <c r="B7064" s="5" t="s">
        <v>16934</v>
      </c>
      <c r="C7064" s="5" t="s">
        <v>33</v>
      </c>
      <c r="D7064" s="5" t="s">
        <v>34</v>
      </c>
      <c r="E7064" s="5" t="s">
        <v>391</v>
      </c>
      <c r="F7064" s="9" t="s">
        <v>588</v>
      </c>
      <c r="G7064" s="9" t="s">
        <v>75</v>
      </c>
      <c r="H7064" s="5" t="s">
        <v>21</v>
      </c>
      <c r="I7064" s="5" t="s">
        <v>16935</v>
      </c>
      <c r="J7064" s="12" t="str">
        <f>HYPERLINK("https://www.boe.es/gazeta/dias/1808/09/27/pdfs/GMD-C-1808-128.pdf#page=4","Abrir facsímil")</f>
        <v>Abrir facsímil</v>
      </c>
      <c r="K7064" s="15" t="s">
        <v>23</v>
      </c>
    </row>
    <row r="7065" spans="1:11" ht="42" customHeight="1">
      <c r="A7065" s="4" t="s">
        <v>16936</v>
      </c>
      <c r="B7065" s="5" t="s">
        <v>16936</v>
      </c>
      <c r="C7065" s="5" t="s">
        <v>94</v>
      </c>
      <c r="D7065" s="5" t="s">
        <v>95</v>
      </c>
      <c r="E7065" s="5" t="s">
        <v>1671</v>
      </c>
      <c r="F7065" s="9" t="s">
        <v>1672</v>
      </c>
      <c r="G7065" s="9">
        <v>478</v>
      </c>
      <c r="H7065" s="5" t="s">
        <v>21</v>
      </c>
      <c r="I7065" s="5" t="s">
        <v>16937</v>
      </c>
      <c r="J7065" s="12" t="str">
        <f>HYPERLINK("https://www.boe.es/gazeta/dias/1808/05/20/pdfs/GMD-1808-48.pdf#page=6","Abrir facsímil")</f>
        <v>Abrir facsímil</v>
      </c>
      <c r="K7065" s="15" t="s">
        <v>23</v>
      </c>
    </row>
    <row r="7066" spans="1:11" ht="42" customHeight="1">
      <c r="A7066" s="4" t="s">
        <v>16938</v>
      </c>
      <c r="B7066" s="5" t="s">
        <v>16938</v>
      </c>
      <c r="C7066" s="5" t="s">
        <v>389</v>
      </c>
      <c r="D7066" s="5" t="s">
        <v>390</v>
      </c>
      <c r="E7066" s="5" t="s">
        <v>1962</v>
      </c>
      <c r="F7066" s="9" t="s">
        <v>1963</v>
      </c>
      <c r="G7066" s="9">
        <v>730</v>
      </c>
      <c r="H7066" s="5" t="s">
        <v>21</v>
      </c>
      <c r="I7066" s="5" t="s">
        <v>16939</v>
      </c>
      <c r="J7066" s="12" t="str">
        <f>HYPERLINK("https://www.boe.es/gazeta/dias/1808/07/05/pdfs/GMD-1808-77.pdf#page=4","Abrir facsímil")</f>
        <v>Abrir facsímil</v>
      </c>
      <c r="K7066" s="15" t="s">
        <v>23</v>
      </c>
    </row>
    <row r="7067" spans="1:11" ht="42" customHeight="1">
      <c r="A7067" s="4" t="s">
        <v>16940</v>
      </c>
      <c r="B7067" s="5" t="s">
        <v>16941</v>
      </c>
      <c r="C7067" s="5" t="s">
        <v>33</v>
      </c>
      <c r="D7067" s="5" t="s">
        <v>34</v>
      </c>
      <c r="E7067" s="5" t="s">
        <v>89</v>
      </c>
      <c r="F7067" s="9" t="s">
        <v>1247</v>
      </c>
      <c r="G7067" s="9">
        <v>1366</v>
      </c>
      <c r="H7067" s="5" t="s">
        <v>21</v>
      </c>
      <c r="I7067" s="5" t="s">
        <v>16942</v>
      </c>
      <c r="J7067" s="12" t="str">
        <f>HYPERLINK("https://www.boe.es/gazeta/dias/1808/10/25/pdfs/GMD-C-1808-137.pdf#page=2","Abrir facsímil")</f>
        <v>Abrir facsímil</v>
      </c>
      <c r="K7067" s="15" t="s">
        <v>23</v>
      </c>
    </row>
    <row r="7068" spans="1:11" ht="42" customHeight="1">
      <c r="A7068" s="4" t="s">
        <v>16940</v>
      </c>
      <c r="B7068" s="5" t="s">
        <v>16941</v>
      </c>
      <c r="C7068" s="5" t="s">
        <v>33</v>
      </c>
      <c r="D7068" s="5" t="s">
        <v>34</v>
      </c>
      <c r="E7068" s="5" t="s">
        <v>89</v>
      </c>
      <c r="F7068" s="9" t="s">
        <v>1247</v>
      </c>
      <c r="G7068" s="9">
        <v>1367</v>
      </c>
      <c r="H7068" s="5" t="s">
        <v>21</v>
      </c>
      <c r="I7068" s="5" t="s">
        <v>16943</v>
      </c>
      <c r="J7068" s="12" t="str">
        <f>HYPERLINK("https://www.boe.es/gazeta/dias/1808/10/25/pdfs/GMD-C-1808-137.pdf#page=3","Abrir facsímil")</f>
        <v>Abrir facsímil</v>
      </c>
      <c r="K7068" s="15" t="s">
        <v>23</v>
      </c>
    </row>
    <row r="7069" spans="1:11" ht="42" customHeight="1">
      <c r="A7069" s="4" t="s">
        <v>16944</v>
      </c>
      <c r="B7069" s="5" t="s">
        <v>16945</v>
      </c>
      <c r="C7069" s="5" t="s">
        <v>17</v>
      </c>
      <c r="D7069" s="5" t="s">
        <v>18</v>
      </c>
      <c r="E7069" s="5" t="s">
        <v>130</v>
      </c>
      <c r="F7069" s="9" t="s">
        <v>131</v>
      </c>
      <c r="G7069" s="9">
        <v>1601</v>
      </c>
      <c r="H7069" s="5" t="s">
        <v>21</v>
      </c>
      <c r="I7069" s="5" t="s">
        <v>16946</v>
      </c>
      <c r="J7069" s="12" t="str">
        <f>HYPERLINK("https://www.boe.es/gazeta/dias/1808/12/15/pdfs/GMD-1808-155.pdf#page=5","Abrir facsímil")</f>
        <v>Abrir facsímil</v>
      </c>
      <c r="K7069" s="15" t="s">
        <v>23</v>
      </c>
    </row>
    <row r="7070" spans="1:11" ht="42" customHeight="1">
      <c r="A7070" s="4" t="s">
        <v>16947</v>
      </c>
      <c r="B7070" s="5" t="s">
        <v>16948</v>
      </c>
      <c r="C7070" s="5" t="s">
        <v>17</v>
      </c>
      <c r="D7070" s="5" t="s">
        <v>18</v>
      </c>
      <c r="E7070" s="5" t="s">
        <v>215</v>
      </c>
      <c r="F7070" s="9" t="s">
        <v>216</v>
      </c>
      <c r="G7070" s="9">
        <v>301</v>
      </c>
      <c r="H7070" s="5" t="s">
        <v>21</v>
      </c>
      <c r="I7070" s="5" t="s">
        <v>16949</v>
      </c>
      <c r="J7070" s="12" t="str">
        <f>HYPERLINK("https://www.boe.es/gazeta/dias/1808/03/25/pdfs/GMD-1808-25.pdf#page=11","Abrir facsímil")</f>
        <v>Abrir facsímil</v>
      </c>
      <c r="K7070" s="15" t="s">
        <v>23</v>
      </c>
    </row>
    <row r="7071" spans="1:11" ht="42" customHeight="1">
      <c r="A7071" s="4" t="s">
        <v>16950</v>
      </c>
      <c r="B7071" s="5" t="s">
        <v>16950</v>
      </c>
      <c r="C7071" s="5" t="s">
        <v>260</v>
      </c>
      <c r="D7071" s="5" t="s">
        <v>42</v>
      </c>
      <c r="E7071" s="5" t="s">
        <v>269</v>
      </c>
      <c r="F7071" s="9" t="s">
        <v>270</v>
      </c>
      <c r="G7071" s="9">
        <v>69</v>
      </c>
      <c r="H7071" s="5" t="s">
        <v>21</v>
      </c>
      <c r="I7071" s="5" t="s">
        <v>16951</v>
      </c>
      <c r="J7071" s="12" t="str">
        <f>HYPERLINK("https://www.boe.es/gazeta/dias/1808/01/19/pdfs/GMD-1808-6.pdf#page=9","Abrir facsímil")</f>
        <v>Abrir facsímil</v>
      </c>
      <c r="K7071" s="15" t="s">
        <v>23</v>
      </c>
    </row>
    <row r="7072" spans="1:11" ht="42" customHeight="1">
      <c r="A7072" s="4" t="s">
        <v>16952</v>
      </c>
      <c r="B7072" s="5" t="s">
        <v>16952</v>
      </c>
      <c r="C7072" s="5" t="s">
        <v>33</v>
      </c>
      <c r="D7072" s="5" t="s">
        <v>34</v>
      </c>
      <c r="E7072" s="5" t="s">
        <v>68</v>
      </c>
      <c r="F7072" s="9" t="s">
        <v>309</v>
      </c>
      <c r="G7072" s="9" t="s">
        <v>117</v>
      </c>
      <c r="H7072" s="5" t="s">
        <v>21</v>
      </c>
      <c r="I7072" s="5" t="s">
        <v>16953</v>
      </c>
      <c r="J7072" s="12" t="str">
        <f>HYPERLINK("https://www.boe.es/gazeta/dias/1808/10/21/pdfs/GMD-D-1808-136.pdf#page=1","Abrir facsímil")</f>
        <v>Abrir facsímil</v>
      </c>
      <c r="K7072" s="15" t="s">
        <v>23</v>
      </c>
    </row>
    <row r="7073" spans="1:11" ht="42" customHeight="1">
      <c r="A7073" s="4" t="s">
        <v>16954</v>
      </c>
      <c r="B7073" s="5" t="s">
        <v>16954</v>
      </c>
      <c r="C7073" s="5" t="s">
        <v>41</v>
      </c>
      <c r="D7073" s="5" t="s">
        <v>42</v>
      </c>
      <c r="E7073" s="5" t="s">
        <v>28</v>
      </c>
      <c r="F7073" s="9" t="s">
        <v>446</v>
      </c>
      <c r="G7073" s="9" t="s">
        <v>117</v>
      </c>
      <c r="H7073" s="5" t="s">
        <v>21</v>
      </c>
      <c r="I7073" s="5" t="s">
        <v>16955</v>
      </c>
      <c r="J7073" s="12" t="str">
        <f>HYPERLINK("https://www.boe.es/gazeta/dias/1808/11/04/pdfs/GMD-D-1808-141.pdf#page=1","Abrir facsímil")</f>
        <v>Abrir facsímil</v>
      </c>
      <c r="K7073" s="15" t="s">
        <v>23</v>
      </c>
    </row>
    <row r="7074" spans="1:11" ht="42" customHeight="1">
      <c r="A7074" s="4" t="s">
        <v>16956</v>
      </c>
      <c r="B7074" s="5" t="s">
        <v>16957</v>
      </c>
      <c r="C7074" s="5" t="s">
        <v>17</v>
      </c>
      <c r="D7074" s="5" t="s">
        <v>18</v>
      </c>
      <c r="E7074" s="5" t="s">
        <v>130</v>
      </c>
      <c r="F7074" s="9" t="s">
        <v>131</v>
      </c>
      <c r="G7074" s="9">
        <v>1604</v>
      </c>
      <c r="H7074" s="5" t="s">
        <v>21</v>
      </c>
      <c r="I7074" s="5" t="s">
        <v>16958</v>
      </c>
      <c r="J7074" s="12" t="str">
        <f>HYPERLINK("https://www.boe.es/gazeta/dias/1808/12/15/pdfs/GMD-1808-155.pdf#page=8","Abrir facsímil")</f>
        <v>Abrir facsímil</v>
      </c>
      <c r="K7074" s="15" t="s">
        <v>23</v>
      </c>
    </row>
    <row r="7075" spans="1:11" ht="42" customHeight="1">
      <c r="A7075" s="4" t="s">
        <v>16959</v>
      </c>
      <c r="B7075" s="5" t="s">
        <v>16959</v>
      </c>
      <c r="C7075" s="5" t="s">
        <v>33</v>
      </c>
      <c r="D7075" s="5" t="s">
        <v>34</v>
      </c>
      <c r="E7075" s="5" t="s">
        <v>264</v>
      </c>
      <c r="F7075" s="9" t="s">
        <v>318</v>
      </c>
      <c r="G7075" s="9" t="s">
        <v>106</v>
      </c>
      <c r="H7075" s="5" t="s">
        <v>21</v>
      </c>
      <c r="I7075" s="5" t="s">
        <v>16960</v>
      </c>
      <c r="J7075" s="12" t="str">
        <f>HYPERLINK("https://www.boe.es/gazeta/dias/1808/11/29/pdfs/GMD-C-1808-148.pdf#page=3","Abrir facsímil")</f>
        <v>Abrir facsímil</v>
      </c>
      <c r="K7075" s="15" t="s">
        <v>23</v>
      </c>
    </row>
    <row r="7076" spans="1:11" ht="42" customHeight="1">
      <c r="A7076" s="4" t="s">
        <v>16961</v>
      </c>
      <c r="B7076" s="5" t="s">
        <v>16961</v>
      </c>
      <c r="C7076" s="5" t="s">
        <v>17</v>
      </c>
      <c r="D7076" s="5" t="s">
        <v>18</v>
      </c>
      <c r="E7076" s="5" t="s">
        <v>180</v>
      </c>
      <c r="F7076" s="9" t="s">
        <v>2568</v>
      </c>
      <c r="G7076" s="9">
        <v>1493</v>
      </c>
      <c r="H7076" s="5" t="s">
        <v>21</v>
      </c>
      <c r="I7076" s="5" t="s">
        <v>16962</v>
      </c>
      <c r="J7076" s="12" t="str">
        <f>HYPERLINK("https://www.boe.es/gazeta/dias/1808/11/15/pdfs/GMD-1808-144.pdf#page=7","Abrir facsímil")</f>
        <v>Abrir facsímil</v>
      </c>
      <c r="K7076" s="15" t="s">
        <v>23</v>
      </c>
    </row>
    <row r="7077" spans="1:11" ht="42" customHeight="1">
      <c r="A7077" s="4" t="s">
        <v>16963</v>
      </c>
      <c r="B7077" s="5" t="s">
        <v>16964</v>
      </c>
      <c r="C7077" s="5" t="s">
        <v>101</v>
      </c>
      <c r="D7077" s="5" t="s">
        <v>102</v>
      </c>
      <c r="E7077" s="5" t="s">
        <v>8354</v>
      </c>
      <c r="F7077" s="9" t="s">
        <v>8355</v>
      </c>
      <c r="G7077" s="9">
        <v>799</v>
      </c>
      <c r="H7077" s="5" t="s">
        <v>21</v>
      </c>
      <c r="I7077" s="5" t="s">
        <v>16965</v>
      </c>
      <c r="J7077" s="12" t="str">
        <f>HYPERLINK("https://www.boe.es/gazeta/dias/1808/07/14/pdfs/GMD-1808-86.pdf#page=1","Abrir facsímil")</f>
        <v>Abrir facsímil</v>
      </c>
      <c r="K7077" s="15" t="s">
        <v>23</v>
      </c>
    </row>
    <row r="7078" spans="1:11" ht="42" customHeight="1">
      <c r="A7078" s="4" t="s">
        <v>16966</v>
      </c>
      <c r="B7078" s="5" t="s">
        <v>16967</v>
      </c>
      <c r="C7078" s="5" t="s">
        <v>33</v>
      </c>
      <c r="D7078" s="5" t="s">
        <v>34</v>
      </c>
      <c r="E7078" s="5" t="s">
        <v>89</v>
      </c>
      <c r="F7078" s="9" t="s">
        <v>563</v>
      </c>
      <c r="G7078" s="9" t="s">
        <v>75</v>
      </c>
      <c r="H7078" s="5" t="s">
        <v>21</v>
      </c>
      <c r="I7078" s="5" t="s">
        <v>16968</v>
      </c>
      <c r="J7078" s="12" t="str">
        <f>HYPERLINK("https://www.boe.es/gazeta/dias/1808/10/25/pdfs/GMD-D-1808-137.pdf#page=4","Abrir facsímil")</f>
        <v>Abrir facsímil</v>
      </c>
      <c r="K7078" s="15" t="s">
        <v>23</v>
      </c>
    </row>
    <row r="7079" spans="1:11" ht="42" customHeight="1">
      <c r="A7079" s="4" t="s">
        <v>16969</v>
      </c>
      <c r="B7079" s="5" t="s">
        <v>16970</v>
      </c>
      <c r="C7079" s="5" t="s">
        <v>33</v>
      </c>
      <c r="D7079" s="5" t="s">
        <v>34</v>
      </c>
      <c r="E7079" s="5" t="s">
        <v>461</v>
      </c>
      <c r="F7079" s="9" t="s">
        <v>462</v>
      </c>
      <c r="G7079" s="9" t="s">
        <v>199</v>
      </c>
      <c r="H7079" s="5" t="s">
        <v>21</v>
      </c>
      <c r="I7079" s="5" t="s">
        <v>16971</v>
      </c>
      <c r="J7079" s="12" t="str">
        <f>HYPERLINK("https://www.boe.es/gazeta/dias/1808/11/08/pdfs/GMD-D-1808-142.pdf#page=2","Abrir facsímil")</f>
        <v>Abrir facsímil</v>
      </c>
      <c r="K7079" s="15" t="s">
        <v>23</v>
      </c>
    </row>
    <row r="7080" spans="1:11" ht="42" customHeight="1">
      <c r="A7080" s="4" t="s">
        <v>16972</v>
      </c>
      <c r="B7080" s="5" t="s">
        <v>16973</v>
      </c>
      <c r="C7080" s="5" t="s">
        <v>17</v>
      </c>
      <c r="D7080" s="5" t="s">
        <v>18</v>
      </c>
      <c r="E7080" s="5" t="s">
        <v>870</v>
      </c>
      <c r="F7080" s="9" t="s">
        <v>871</v>
      </c>
      <c r="G7080" s="9">
        <v>586</v>
      </c>
      <c r="H7080" s="5" t="s">
        <v>21</v>
      </c>
      <c r="I7080" s="5" t="s">
        <v>16974</v>
      </c>
      <c r="J7080" s="12" t="str">
        <f>HYPERLINK("https://www.boe.es/gazeta/dias/1808/06/17/pdfs/GMD-1808-59.pdf#page=8","Abrir facsímil")</f>
        <v>Abrir facsímil</v>
      </c>
      <c r="K7080" s="15" t="s">
        <v>23</v>
      </c>
    </row>
    <row r="7081" spans="1:11" ht="42" customHeight="1">
      <c r="A7081" s="4" t="s">
        <v>16972</v>
      </c>
      <c r="B7081" s="5" t="s">
        <v>16973</v>
      </c>
      <c r="C7081" s="5" t="s">
        <v>17</v>
      </c>
      <c r="D7081" s="5" t="s">
        <v>18</v>
      </c>
      <c r="E7081" s="5" t="s">
        <v>61</v>
      </c>
      <c r="F7081" s="9" t="s">
        <v>62</v>
      </c>
      <c r="G7081" s="9">
        <v>1287</v>
      </c>
      <c r="H7081" s="5" t="s">
        <v>21</v>
      </c>
      <c r="I7081" s="5" t="s">
        <v>16975</v>
      </c>
      <c r="J7081" s="12" t="str">
        <f>HYPERLINK("https://www.boe.es/gazeta/dias/1808/10/11/pdfs/GMD-1808-133.pdf#page=15","Abrir facsímil")</f>
        <v>Abrir facsímil</v>
      </c>
      <c r="K7081" s="15" t="s">
        <v>23</v>
      </c>
    </row>
    <row r="7082" spans="1:11" ht="42" customHeight="1">
      <c r="A7082" s="4" t="s">
        <v>16976</v>
      </c>
      <c r="B7082" s="5" t="s">
        <v>16977</v>
      </c>
      <c r="C7082" s="5" t="s">
        <v>17</v>
      </c>
      <c r="D7082" s="5" t="s">
        <v>18</v>
      </c>
      <c r="E7082" s="5" t="s">
        <v>28</v>
      </c>
      <c r="F7082" s="9" t="s">
        <v>29</v>
      </c>
      <c r="G7082" s="9">
        <v>1429</v>
      </c>
      <c r="H7082" s="5" t="s">
        <v>21</v>
      </c>
      <c r="I7082" s="5" t="s">
        <v>16978</v>
      </c>
      <c r="J7082" s="12" t="str">
        <f>HYPERLINK("https://www.boe.es/gazeta/dias/1808/11/04/pdfs/GMD-1808-141.pdf#page=11","Abrir facsímil")</f>
        <v>Abrir facsímil</v>
      </c>
      <c r="K7082" s="15" t="s">
        <v>23</v>
      </c>
    </row>
    <row r="7083" spans="1:11" ht="42" customHeight="1">
      <c r="A7083" s="4" t="s">
        <v>16979</v>
      </c>
      <c r="B7083" s="5" t="s">
        <v>16980</v>
      </c>
      <c r="C7083" s="5" t="s">
        <v>33</v>
      </c>
      <c r="D7083" s="5" t="s">
        <v>34</v>
      </c>
      <c r="E7083" s="5" t="s">
        <v>19</v>
      </c>
      <c r="F7083" s="9" t="s">
        <v>949</v>
      </c>
      <c r="G7083" s="9" t="s">
        <v>199</v>
      </c>
      <c r="H7083" s="5" t="s">
        <v>21</v>
      </c>
      <c r="I7083" s="5" t="s">
        <v>16981</v>
      </c>
      <c r="J7083" s="12" t="str">
        <f>HYPERLINK("https://www.boe.es/gazeta/dias/1808/09/30/pdfs/GMD-C-1808-130.pdf#page=2","Abrir facsímil")</f>
        <v>Abrir facsímil</v>
      </c>
      <c r="K7083" s="15" t="s">
        <v>23</v>
      </c>
    </row>
    <row r="7084" spans="1:11" ht="42" customHeight="1">
      <c r="A7084" s="4" t="s">
        <v>16982</v>
      </c>
      <c r="B7084" s="5" t="s">
        <v>16983</v>
      </c>
      <c r="C7084" s="5" t="s">
        <v>33</v>
      </c>
      <c r="D7084" s="5" t="s">
        <v>34</v>
      </c>
      <c r="E7084" s="5" t="s">
        <v>197</v>
      </c>
      <c r="F7084" s="9" t="s">
        <v>198</v>
      </c>
      <c r="G7084" s="9" t="s">
        <v>75</v>
      </c>
      <c r="H7084" s="5" t="s">
        <v>21</v>
      </c>
      <c r="I7084" s="5" t="s">
        <v>16984</v>
      </c>
      <c r="J7084" s="12" t="str">
        <f>HYPERLINK("https://www.boe.es/gazeta/dias/1808/11/01/pdfs/GMD-D-1808-140.pdf#page=4","Abrir facsímil")</f>
        <v>Abrir facsímil</v>
      </c>
      <c r="K7084" s="15" t="s">
        <v>23</v>
      </c>
    </row>
    <row r="7085" spans="1:11" ht="42" customHeight="1">
      <c r="A7085" s="4" t="s">
        <v>16985</v>
      </c>
      <c r="B7085" s="5" t="s">
        <v>16986</v>
      </c>
      <c r="C7085" s="5" t="s">
        <v>17</v>
      </c>
      <c r="D7085" s="5" t="s">
        <v>18</v>
      </c>
      <c r="E7085" s="5" t="s">
        <v>61</v>
      </c>
      <c r="F7085" s="9" t="s">
        <v>62</v>
      </c>
      <c r="G7085" s="9">
        <v>1285</v>
      </c>
      <c r="H7085" s="5" t="s">
        <v>21</v>
      </c>
      <c r="I7085" s="5" t="s">
        <v>16987</v>
      </c>
      <c r="J7085" s="12" t="str">
        <f>HYPERLINK("https://www.boe.es/gazeta/dias/1808/10/11/pdfs/GMD-1808-133.pdf#page=13","Abrir facsímil")</f>
        <v>Abrir facsímil</v>
      </c>
      <c r="K7085" s="15" t="s">
        <v>23</v>
      </c>
    </row>
    <row r="7086" spans="1:11" ht="42" customHeight="1">
      <c r="A7086" s="4" t="s">
        <v>16988</v>
      </c>
      <c r="B7086" s="5" t="s">
        <v>16989</v>
      </c>
      <c r="C7086" s="5" t="s">
        <v>41</v>
      </c>
      <c r="D7086" s="5" t="s">
        <v>42</v>
      </c>
      <c r="E7086" s="5" t="s">
        <v>974</v>
      </c>
      <c r="F7086" s="9" t="s">
        <v>975</v>
      </c>
      <c r="G7086" s="9">
        <v>392</v>
      </c>
      <c r="H7086" s="5" t="s">
        <v>21</v>
      </c>
      <c r="I7086" s="5" t="s">
        <v>16990</v>
      </c>
      <c r="J7086" s="12" t="str">
        <f>HYPERLINK("https://www.boe.es/gazeta/dias/1808/04/19/pdfs/GMD-1808-37.pdf#page=8","Abrir facsímil")</f>
        <v>Abrir facsímil</v>
      </c>
      <c r="K7086" s="15" t="s">
        <v>23</v>
      </c>
    </row>
    <row r="7087" spans="1:11" ht="42" customHeight="1">
      <c r="A7087" s="4" t="s">
        <v>16991</v>
      </c>
      <c r="B7087" s="5" t="s">
        <v>16992</v>
      </c>
      <c r="C7087" s="5" t="s">
        <v>17</v>
      </c>
      <c r="D7087" s="5" t="s">
        <v>18</v>
      </c>
      <c r="E7087" s="5" t="s">
        <v>3216</v>
      </c>
      <c r="F7087" s="9" t="s">
        <v>3217</v>
      </c>
      <c r="G7087" s="9">
        <v>7</v>
      </c>
      <c r="H7087" s="5" t="s">
        <v>21</v>
      </c>
      <c r="I7087" s="5" t="s">
        <v>16993</v>
      </c>
      <c r="J7087" s="12" t="str">
        <f>HYPERLINK("https://www.boe.es/gazeta/dias/1808/06/01/pdfs/GMS-1808-1.pdf#page=7","Abrir facsímil")</f>
        <v>Abrir facsímil</v>
      </c>
      <c r="K7087" s="15" t="s">
        <v>23</v>
      </c>
    </row>
    <row r="7088" spans="1:11" ht="42" customHeight="1">
      <c r="A7088" s="4" t="s">
        <v>16994</v>
      </c>
      <c r="B7088" s="5" t="s">
        <v>16995</v>
      </c>
      <c r="C7088" s="5" t="s">
        <v>17</v>
      </c>
      <c r="D7088" s="5" t="s">
        <v>18</v>
      </c>
      <c r="E7088" s="5" t="s">
        <v>968</v>
      </c>
      <c r="F7088" s="9" t="s">
        <v>969</v>
      </c>
      <c r="G7088" s="9">
        <v>899</v>
      </c>
      <c r="H7088" s="5" t="s">
        <v>21</v>
      </c>
      <c r="I7088" s="5" t="s">
        <v>16996</v>
      </c>
      <c r="J7088" s="12" t="str">
        <f>HYPERLINK("https://www.boe.es/gazeta/dias/1808/07/26/pdfs/GMD-1808-98.pdf#page=5","Abrir facsímil")</f>
        <v>Abrir facsímil</v>
      </c>
      <c r="K7088" s="15" t="s">
        <v>23</v>
      </c>
    </row>
    <row r="7089" spans="1:11" ht="42" customHeight="1">
      <c r="A7089" s="4" t="s">
        <v>16994</v>
      </c>
      <c r="B7089" s="5" t="s">
        <v>16995</v>
      </c>
      <c r="C7089" s="5" t="s">
        <v>33</v>
      </c>
      <c r="D7089" s="5" t="s">
        <v>34</v>
      </c>
      <c r="E7089" s="5" t="s">
        <v>197</v>
      </c>
      <c r="F7089" s="9" t="s">
        <v>198</v>
      </c>
      <c r="G7089" s="9" t="s">
        <v>75</v>
      </c>
      <c r="H7089" s="5" t="s">
        <v>21</v>
      </c>
      <c r="I7089" s="5" t="s">
        <v>16997</v>
      </c>
      <c r="J7089" s="12" t="str">
        <f>HYPERLINK("https://www.boe.es/gazeta/dias/1808/11/01/pdfs/GMD-D-1808-140.pdf#page=4","Abrir facsímil")</f>
        <v>Abrir facsímil</v>
      </c>
      <c r="K7089" s="15" t="s">
        <v>23</v>
      </c>
    </row>
    <row r="7090" spans="1:11" ht="42" customHeight="1">
      <c r="A7090" s="4" t="s">
        <v>16994</v>
      </c>
      <c r="B7090" s="5" t="s">
        <v>16995</v>
      </c>
      <c r="C7090" s="5" t="s">
        <v>33</v>
      </c>
      <c r="D7090" s="5" t="s">
        <v>34</v>
      </c>
      <c r="E7090" s="5" t="s">
        <v>558</v>
      </c>
      <c r="F7090" s="9" t="s">
        <v>1310</v>
      </c>
      <c r="G7090" s="9">
        <v>1547</v>
      </c>
      <c r="H7090" s="5" t="s">
        <v>21</v>
      </c>
      <c r="I7090" s="5" t="s">
        <v>16998</v>
      </c>
      <c r="J7090" s="12" t="str">
        <f>HYPERLINK("https://www.boe.es/gazeta/dias/1808/11/25/pdfs/GMD-C-1808-147.pdf#page=1","Abrir facsímil")</f>
        <v>Abrir facsímil</v>
      </c>
      <c r="K7090" s="15" t="s">
        <v>23</v>
      </c>
    </row>
    <row r="7091" spans="1:11" ht="42" customHeight="1">
      <c r="A7091" s="4" t="s">
        <v>16999</v>
      </c>
      <c r="B7091" s="5" t="s">
        <v>17000</v>
      </c>
      <c r="C7091" s="5" t="s">
        <v>33</v>
      </c>
      <c r="D7091" s="5" t="s">
        <v>34</v>
      </c>
      <c r="E7091" s="5" t="s">
        <v>35</v>
      </c>
      <c r="F7091" s="9" t="s">
        <v>36</v>
      </c>
      <c r="G7091" s="9" t="s">
        <v>1128</v>
      </c>
      <c r="H7091" s="5" t="s">
        <v>21</v>
      </c>
      <c r="I7091" s="5" t="s">
        <v>17001</v>
      </c>
      <c r="J7091" s="12" t="str">
        <f>HYPERLINK("https://www.boe.es/gazeta/dias/1808/04/22/pdfs/GMD-C-1808-38.pdf#page=11","Abrir facsímil")</f>
        <v>Abrir facsímil</v>
      </c>
      <c r="K7091" s="15" t="s">
        <v>23</v>
      </c>
    </row>
    <row r="7092" spans="1:11" ht="42" customHeight="1">
      <c r="A7092" s="4" t="s">
        <v>17002</v>
      </c>
      <c r="B7092" s="5" t="s">
        <v>17003</v>
      </c>
      <c r="C7092" s="5" t="s">
        <v>17</v>
      </c>
      <c r="D7092" s="5" t="s">
        <v>18</v>
      </c>
      <c r="E7092" s="5" t="s">
        <v>493</v>
      </c>
      <c r="F7092" s="9" t="s">
        <v>494</v>
      </c>
      <c r="G7092" s="9">
        <v>45</v>
      </c>
      <c r="H7092" s="5" t="s">
        <v>21</v>
      </c>
      <c r="I7092" s="5" t="s">
        <v>17004</v>
      </c>
      <c r="J7092" s="12" t="str">
        <f>HYPERLINK("https://www.boe.es/gazeta/dias/1808/01/12/pdfs/GMD-1808-4.pdf#page=9","Abrir facsímil")</f>
        <v>Abrir facsímil</v>
      </c>
      <c r="K7092" s="15" t="s">
        <v>23</v>
      </c>
    </row>
    <row r="7093" spans="1:11" ht="42" customHeight="1">
      <c r="A7093" s="4" t="s">
        <v>17002</v>
      </c>
      <c r="B7093" s="5" t="s">
        <v>17003</v>
      </c>
      <c r="C7093" s="5" t="s">
        <v>33</v>
      </c>
      <c r="D7093" s="5" t="s">
        <v>34</v>
      </c>
      <c r="E7093" s="5" t="s">
        <v>153</v>
      </c>
      <c r="F7093" s="9" t="s">
        <v>154</v>
      </c>
      <c r="G7093" s="9" t="s">
        <v>199</v>
      </c>
      <c r="H7093" s="5" t="s">
        <v>21</v>
      </c>
      <c r="I7093" s="5" t="s">
        <v>17005</v>
      </c>
      <c r="J7093" s="12" t="str">
        <f>HYPERLINK("https://www.boe.es/gazeta/dias/1808/09/09/pdfs/GMD-C-1808-121.pdf#page=2","Abrir facsímil")</f>
        <v>Abrir facsímil</v>
      </c>
      <c r="K7093" s="15" t="s">
        <v>23</v>
      </c>
    </row>
    <row r="7094" spans="1:11" ht="42" customHeight="1">
      <c r="A7094" s="4" t="s">
        <v>17002</v>
      </c>
      <c r="B7094" s="5" t="s">
        <v>17003</v>
      </c>
      <c r="C7094" s="5" t="s">
        <v>17</v>
      </c>
      <c r="D7094" s="5" t="s">
        <v>18</v>
      </c>
      <c r="E7094" s="5" t="s">
        <v>61</v>
      </c>
      <c r="F7094" s="9" t="s">
        <v>62</v>
      </c>
      <c r="G7094" s="9">
        <v>1285</v>
      </c>
      <c r="H7094" s="5" t="s">
        <v>21</v>
      </c>
      <c r="I7094" s="5" t="s">
        <v>17006</v>
      </c>
      <c r="J7094" s="12" t="str">
        <f>HYPERLINK("https://www.boe.es/gazeta/dias/1808/10/11/pdfs/GMD-1808-133.pdf#page=13","Abrir facsímil")</f>
        <v>Abrir facsímil</v>
      </c>
      <c r="K7094" s="15" t="s">
        <v>23</v>
      </c>
    </row>
    <row r="7095" spans="1:11" ht="42" customHeight="1">
      <c r="A7095" s="4" t="s">
        <v>17007</v>
      </c>
      <c r="B7095" s="5" t="s">
        <v>17007</v>
      </c>
      <c r="C7095" s="5" t="s">
        <v>101</v>
      </c>
      <c r="D7095" s="5" t="s">
        <v>102</v>
      </c>
      <c r="E7095" s="5" t="s">
        <v>6898</v>
      </c>
      <c r="F7095" s="9" t="s">
        <v>6899</v>
      </c>
      <c r="G7095" s="9">
        <v>713</v>
      </c>
      <c r="H7095" s="5" t="s">
        <v>21</v>
      </c>
      <c r="I7095" s="5" t="s">
        <v>17008</v>
      </c>
      <c r="J7095" s="12" t="str">
        <f>HYPERLINK("https://www.boe.es/gazeta/dias/1808/07/03/pdfs/GMD-1808-75.pdf#page=3","Abrir facsímil")</f>
        <v>Abrir facsímil</v>
      </c>
      <c r="K7095" s="15" t="s">
        <v>23</v>
      </c>
    </row>
    <row r="7096" spans="1:11" ht="42" customHeight="1">
      <c r="A7096" s="4" t="s">
        <v>17009</v>
      </c>
      <c r="B7096" s="5" t="s">
        <v>17010</v>
      </c>
      <c r="C7096" s="5" t="s">
        <v>17</v>
      </c>
      <c r="D7096" s="5" t="s">
        <v>18</v>
      </c>
      <c r="E7096" s="5" t="s">
        <v>125</v>
      </c>
      <c r="F7096" s="9" t="s">
        <v>397</v>
      </c>
      <c r="G7096" s="9">
        <v>1266</v>
      </c>
      <c r="H7096" s="5" t="s">
        <v>21</v>
      </c>
      <c r="I7096" s="5" t="s">
        <v>17011</v>
      </c>
      <c r="J7096" s="12" t="str">
        <f>HYPERLINK("https://www.boe.es/gazeta/dias/1808/10/07/pdfs/GMD-1808-132.pdf#page=6","Abrir facsímil")</f>
        <v>Abrir facsímil</v>
      </c>
      <c r="K7096" s="15" t="s">
        <v>23</v>
      </c>
    </row>
    <row r="7097" spans="1:11" ht="42" customHeight="1">
      <c r="A7097" s="4" t="s">
        <v>17009</v>
      </c>
      <c r="B7097" s="5" t="s">
        <v>17010</v>
      </c>
      <c r="C7097" s="5" t="s">
        <v>17</v>
      </c>
      <c r="D7097" s="5" t="s">
        <v>18</v>
      </c>
      <c r="E7097" s="5" t="s">
        <v>125</v>
      </c>
      <c r="F7097" s="9" t="s">
        <v>347</v>
      </c>
      <c r="G7097" s="9">
        <v>303</v>
      </c>
      <c r="H7097" s="5" t="s">
        <v>21</v>
      </c>
      <c r="I7097" s="5" t="s">
        <v>17012</v>
      </c>
      <c r="J7097" s="12" t="str">
        <f>HYPERLINK("https://www.boe.es/gazeta/dias/1808/10/07/pdfs/GMS-1808-38.pdf#page=7","Abrir facsímil")</f>
        <v>Abrir facsímil</v>
      </c>
      <c r="K7097" s="15" t="s">
        <v>23</v>
      </c>
    </row>
    <row r="7098" spans="1:11" ht="42" customHeight="1">
      <c r="A7098" s="4" t="s">
        <v>17013</v>
      </c>
      <c r="B7098" s="5" t="s">
        <v>17013</v>
      </c>
      <c r="C7098" s="5" t="s">
        <v>17</v>
      </c>
      <c r="D7098" s="5" t="s">
        <v>18</v>
      </c>
      <c r="E7098" s="5" t="s">
        <v>719</v>
      </c>
      <c r="F7098" s="9" t="s">
        <v>720</v>
      </c>
      <c r="G7098" s="9">
        <v>1611</v>
      </c>
      <c r="H7098" s="5" t="s">
        <v>21</v>
      </c>
      <c r="I7098" s="5" t="s">
        <v>17014</v>
      </c>
      <c r="J7098" s="12" t="str">
        <f>HYPERLINK("https://www.boe.es/gazeta/dias/1808/12/16/pdfs/GMD-1808-156.pdf#page=3","Abrir facsímil")</f>
        <v>Abrir facsímil</v>
      </c>
      <c r="K7098" s="15" t="s">
        <v>23</v>
      </c>
    </row>
    <row r="7099" spans="1:11" ht="42" customHeight="1">
      <c r="A7099" s="4" t="s">
        <v>17015</v>
      </c>
      <c r="B7099" s="5" t="s">
        <v>17016</v>
      </c>
      <c r="C7099" s="5" t="s">
        <v>17</v>
      </c>
      <c r="D7099" s="5" t="s">
        <v>18</v>
      </c>
      <c r="E7099" s="5" t="s">
        <v>130</v>
      </c>
      <c r="F7099" s="9" t="s">
        <v>131</v>
      </c>
      <c r="G7099" s="9">
        <v>1603</v>
      </c>
      <c r="H7099" s="5" t="s">
        <v>21</v>
      </c>
      <c r="I7099" s="5" t="s">
        <v>17017</v>
      </c>
      <c r="J7099" s="12" t="str">
        <f>HYPERLINK("https://www.boe.es/gazeta/dias/1808/12/15/pdfs/GMD-1808-155.pdf#page=7","Abrir facsímil")</f>
        <v>Abrir facsímil</v>
      </c>
      <c r="K7099" s="15" t="s">
        <v>23</v>
      </c>
    </row>
    <row r="7100" spans="1:11" ht="42" customHeight="1">
      <c r="A7100" s="4" t="s">
        <v>17018</v>
      </c>
      <c r="B7100" s="5" t="s">
        <v>17018</v>
      </c>
      <c r="C7100" s="5" t="s">
        <v>33</v>
      </c>
      <c r="D7100" s="5" t="s">
        <v>34</v>
      </c>
      <c r="E7100" s="5" t="s">
        <v>65</v>
      </c>
      <c r="F7100" s="9" t="s">
        <v>105</v>
      </c>
      <c r="G7100" s="9" t="s">
        <v>199</v>
      </c>
      <c r="H7100" s="5" t="s">
        <v>21</v>
      </c>
      <c r="I7100" s="5" t="s">
        <v>17019</v>
      </c>
      <c r="J7100" s="12" t="str">
        <f>HYPERLINK("https://www.boe.es/gazeta/dias/1808/10/18/pdfs/GMD-D-1808-135.pdf#page=2","Abrir facsímil")</f>
        <v>Abrir facsímil</v>
      </c>
      <c r="K7100" s="15" t="s">
        <v>23</v>
      </c>
    </row>
    <row r="7101" spans="1:11" ht="42" customHeight="1">
      <c r="A7101" s="4" t="s">
        <v>17020</v>
      </c>
      <c r="B7101" s="5" t="s">
        <v>17020</v>
      </c>
      <c r="C7101" s="5" t="s">
        <v>17</v>
      </c>
      <c r="D7101" s="5" t="s">
        <v>18</v>
      </c>
      <c r="E7101" s="5" t="s">
        <v>73</v>
      </c>
      <c r="F7101" s="9" t="s">
        <v>581</v>
      </c>
      <c r="G7101" s="9">
        <v>1468</v>
      </c>
      <c r="H7101" s="5" t="s">
        <v>21</v>
      </c>
      <c r="I7101" s="5" t="s">
        <v>17021</v>
      </c>
      <c r="J7101" s="12" t="str">
        <f>HYPERLINK("https://www.boe.es/gazeta/dias/1808/11/11/pdfs/GMD-1808-143.pdf#page=10","Abrir facsímil")</f>
        <v>Abrir facsímil</v>
      </c>
      <c r="K7101" s="15" t="s">
        <v>23</v>
      </c>
    </row>
    <row r="7102" spans="1:11" ht="42" customHeight="1">
      <c r="A7102" s="4" t="s">
        <v>17022</v>
      </c>
      <c r="B7102" s="5" t="s">
        <v>17022</v>
      </c>
      <c r="C7102" s="5" t="s">
        <v>33</v>
      </c>
      <c r="D7102" s="5" t="s">
        <v>34</v>
      </c>
      <c r="E7102" s="5" t="s">
        <v>35</v>
      </c>
      <c r="F7102" s="9" t="s">
        <v>36</v>
      </c>
      <c r="G7102" s="9" t="s">
        <v>655</v>
      </c>
      <c r="H7102" s="5" t="s">
        <v>21</v>
      </c>
      <c r="I7102" s="5" t="s">
        <v>17023</v>
      </c>
      <c r="J7102" s="12" t="str">
        <f>HYPERLINK("https://www.boe.es/gazeta/dias/1808/04/22/pdfs/GMD-C-1808-38.pdf#page=43","Abrir facsímil")</f>
        <v>Abrir facsímil</v>
      </c>
      <c r="K7102" s="15" t="s">
        <v>23</v>
      </c>
    </row>
    <row r="7103" spans="1:11" ht="42" customHeight="1">
      <c r="A7103" s="4" t="s">
        <v>17024</v>
      </c>
      <c r="B7103" s="5" t="s">
        <v>17024</v>
      </c>
      <c r="C7103" s="5" t="s">
        <v>17</v>
      </c>
      <c r="D7103" s="5" t="s">
        <v>18</v>
      </c>
      <c r="E7103" s="5" t="s">
        <v>166</v>
      </c>
      <c r="F7103" s="9" t="s">
        <v>356</v>
      </c>
      <c r="G7103" s="9">
        <v>1509</v>
      </c>
      <c r="H7103" s="5" t="s">
        <v>21</v>
      </c>
      <c r="I7103" s="5" t="s">
        <v>17025</v>
      </c>
      <c r="J7103" s="12" t="str">
        <f>HYPERLINK("https://www.boe.es/gazeta/dias/1808/11/18/pdfs/GMD-1808-145.pdf#page=7","Abrir facsímil")</f>
        <v>Abrir facsímil</v>
      </c>
      <c r="K7103" s="15" t="s">
        <v>23</v>
      </c>
    </row>
    <row r="7104" spans="1:11" ht="42" customHeight="1">
      <c r="A7104" s="4" t="s">
        <v>17026</v>
      </c>
      <c r="B7104" s="5" t="s">
        <v>17026</v>
      </c>
      <c r="C7104" s="5" t="s">
        <v>94</v>
      </c>
      <c r="D7104" s="5" t="s">
        <v>95</v>
      </c>
      <c r="E7104" s="5" t="s">
        <v>203</v>
      </c>
      <c r="F7104" s="9" t="s">
        <v>204</v>
      </c>
      <c r="G7104" s="9">
        <v>141</v>
      </c>
      <c r="H7104" s="5" t="s">
        <v>21</v>
      </c>
      <c r="I7104" s="5" t="s">
        <v>17027</v>
      </c>
      <c r="J7104" s="12" t="str">
        <f>HYPERLINK("https://www.boe.es/gazeta/dias/1808/02/09/pdfs/GMD-1808-12.pdf#page=9","Abrir facsímil")</f>
        <v>Abrir facsímil</v>
      </c>
      <c r="K7104" s="15" t="s">
        <v>23</v>
      </c>
    </row>
    <row r="7105" spans="1:11" ht="42" customHeight="1">
      <c r="A7105" s="4" t="s">
        <v>17028</v>
      </c>
      <c r="B7105" s="5" t="s">
        <v>17028</v>
      </c>
      <c r="C7105" s="5" t="s">
        <v>41</v>
      </c>
      <c r="D7105" s="5" t="s">
        <v>42</v>
      </c>
      <c r="E7105" s="5" t="s">
        <v>110</v>
      </c>
      <c r="F7105" s="9" t="s">
        <v>828</v>
      </c>
      <c r="G7105" s="9" t="s">
        <v>106</v>
      </c>
      <c r="H7105" s="5" t="s">
        <v>21</v>
      </c>
      <c r="I7105" s="5" t="s">
        <v>17029</v>
      </c>
      <c r="J7105" s="12" t="str">
        <f>HYPERLINK("https://www.boe.es/gazeta/dias/1808/10/28/pdfs/GMD-D-1808-138.pdf#page=3","Abrir facsímil")</f>
        <v>Abrir facsímil</v>
      </c>
      <c r="K7105" s="15" t="s">
        <v>23</v>
      </c>
    </row>
    <row r="7106" spans="1:11" ht="42" customHeight="1">
      <c r="A7106" s="4" t="s">
        <v>17030</v>
      </c>
      <c r="B7106" s="5" t="s">
        <v>17030</v>
      </c>
      <c r="C7106" s="5" t="s">
        <v>94</v>
      </c>
      <c r="D7106" s="5" t="s">
        <v>95</v>
      </c>
      <c r="E7106" s="5" t="s">
        <v>2159</v>
      </c>
      <c r="F7106" s="9" t="s">
        <v>2160</v>
      </c>
      <c r="G7106" s="9">
        <v>184</v>
      </c>
      <c r="H7106" s="5" t="s">
        <v>21</v>
      </c>
      <c r="I7106" s="5" t="s">
        <v>17031</v>
      </c>
      <c r="J7106" s="12" t="str">
        <f>HYPERLINK("https://www.boe.es/gazeta/dias/1808/02/19/pdfs/GMD-1808-15.pdf#page=14","Abrir facsímil")</f>
        <v>Abrir facsímil</v>
      </c>
      <c r="K7106" s="15" t="s">
        <v>23</v>
      </c>
    </row>
    <row r="7107" spans="1:11" ht="42" customHeight="1">
      <c r="A7107" s="4" t="s">
        <v>17032</v>
      </c>
      <c r="B7107" s="5" t="s">
        <v>17032</v>
      </c>
      <c r="C7107" s="5" t="s">
        <v>94</v>
      </c>
      <c r="D7107" s="5" t="s">
        <v>95</v>
      </c>
      <c r="E7107" s="5" t="s">
        <v>19</v>
      </c>
      <c r="F7107" s="9" t="s">
        <v>59</v>
      </c>
      <c r="G7107" s="9">
        <v>1228</v>
      </c>
      <c r="H7107" s="5" t="s">
        <v>21</v>
      </c>
      <c r="I7107" s="5" t="s">
        <v>17033</v>
      </c>
      <c r="J7107" s="12" t="str">
        <f>HYPERLINK("https://www.boe.es/gazeta/dias/1808/09/30/pdfs/GMD-1808-130.pdf#page=8","Abrir facsímil")</f>
        <v>Abrir facsímil</v>
      </c>
      <c r="K7107" s="15" t="s">
        <v>23</v>
      </c>
    </row>
    <row r="7108" spans="1:11" ht="42" customHeight="1">
      <c r="A7108" s="4" t="s">
        <v>17032</v>
      </c>
      <c r="B7108" s="5" t="s">
        <v>17032</v>
      </c>
      <c r="C7108" s="5" t="s">
        <v>41</v>
      </c>
      <c r="D7108" s="5" t="s">
        <v>42</v>
      </c>
      <c r="E7108" s="5" t="s">
        <v>73</v>
      </c>
      <c r="F7108" s="9" t="s">
        <v>74</v>
      </c>
      <c r="G7108" s="9" t="s">
        <v>75</v>
      </c>
      <c r="H7108" s="5" t="s">
        <v>21</v>
      </c>
      <c r="I7108" s="5" t="s">
        <v>17034</v>
      </c>
      <c r="J7108" s="12" t="str">
        <f>HYPERLINK("https://www.boe.es/gazeta/dias/1808/11/11/pdfs/GMD-D-1808-143.pdf#page=4","Abrir facsímil")</f>
        <v>Abrir facsímil</v>
      </c>
      <c r="K7108" s="15" t="s">
        <v>23</v>
      </c>
    </row>
    <row r="7109" spans="1:11" ht="42" customHeight="1">
      <c r="A7109" s="4" t="s">
        <v>17035</v>
      </c>
      <c r="B7109" s="5" t="s">
        <v>17035</v>
      </c>
      <c r="C7109" s="5" t="s">
        <v>41</v>
      </c>
      <c r="D7109" s="5" t="s">
        <v>42</v>
      </c>
      <c r="E7109" s="5" t="s">
        <v>1760</v>
      </c>
      <c r="F7109" s="9" t="s">
        <v>1761</v>
      </c>
      <c r="G7109" s="9">
        <v>432</v>
      </c>
      <c r="H7109" s="5" t="s">
        <v>21</v>
      </c>
      <c r="I7109" s="5" t="s">
        <v>17036</v>
      </c>
      <c r="J7109" s="12" t="str">
        <f>HYPERLINK("https://www.boe.es/gazeta/dias/1808/05/03/pdfs/GMD-1808-43.pdf#page=8","Abrir facsímil")</f>
        <v>Abrir facsímil</v>
      </c>
      <c r="K7109" s="15" t="s">
        <v>23</v>
      </c>
    </row>
    <row r="7110" spans="1:11" ht="42" customHeight="1">
      <c r="A7110" s="4" t="s">
        <v>17037</v>
      </c>
      <c r="B7110" s="5" t="s">
        <v>17037</v>
      </c>
      <c r="C7110" s="5" t="s">
        <v>33</v>
      </c>
      <c r="D7110" s="5" t="s">
        <v>34</v>
      </c>
      <c r="E7110" s="5" t="s">
        <v>197</v>
      </c>
      <c r="F7110" s="9" t="s">
        <v>198</v>
      </c>
      <c r="G7110" s="9" t="s">
        <v>75</v>
      </c>
      <c r="H7110" s="5" t="s">
        <v>21</v>
      </c>
      <c r="I7110" s="5" t="s">
        <v>17038</v>
      </c>
      <c r="J7110" s="12" t="str">
        <f>HYPERLINK("https://www.boe.es/gazeta/dias/1808/11/01/pdfs/GMD-D-1808-140.pdf#page=4","Abrir facsímil")</f>
        <v>Abrir facsímil</v>
      </c>
      <c r="K7110" s="15" t="s">
        <v>23</v>
      </c>
    </row>
    <row r="7111" spans="1:11" ht="42" customHeight="1">
      <c r="A7111" s="4" t="s">
        <v>17039</v>
      </c>
      <c r="B7111" s="5" t="s">
        <v>17040</v>
      </c>
      <c r="C7111" s="5" t="s">
        <v>33</v>
      </c>
      <c r="D7111" s="5" t="s">
        <v>34</v>
      </c>
      <c r="E7111" s="5" t="s">
        <v>456</v>
      </c>
      <c r="F7111" s="9" t="s">
        <v>748</v>
      </c>
      <c r="G7111" s="9" t="s">
        <v>199</v>
      </c>
      <c r="H7111" s="5" t="s">
        <v>21</v>
      </c>
      <c r="I7111" s="5" t="s">
        <v>17041</v>
      </c>
      <c r="J7111" s="12" t="str">
        <f>HYPERLINK("https://www.boe.es/gazeta/dias/1808/10/14/pdfs/GMD-C-1808-134.pdf#page=2","Abrir facsímil")</f>
        <v>Abrir facsímil</v>
      </c>
      <c r="K7111" s="15" t="s">
        <v>23</v>
      </c>
    </row>
    <row r="7112" spans="1:11" ht="42" customHeight="1">
      <c r="A7112" s="4" t="s">
        <v>17042</v>
      </c>
      <c r="B7112" s="5" t="s">
        <v>17043</v>
      </c>
      <c r="C7112" s="5" t="s">
        <v>94</v>
      </c>
      <c r="D7112" s="5" t="s">
        <v>95</v>
      </c>
      <c r="E7112" s="5" t="s">
        <v>203</v>
      </c>
      <c r="F7112" s="9" t="s">
        <v>204</v>
      </c>
      <c r="G7112" s="9">
        <v>142</v>
      </c>
      <c r="H7112" s="5" t="s">
        <v>21</v>
      </c>
      <c r="I7112" s="5" t="s">
        <v>17044</v>
      </c>
      <c r="J7112" s="12" t="str">
        <f>HYPERLINK("https://www.boe.es/gazeta/dias/1808/02/09/pdfs/GMD-1808-12.pdf#page=10","Abrir facsímil")</f>
        <v>Abrir facsímil</v>
      </c>
      <c r="K7112" s="15" t="s">
        <v>23</v>
      </c>
    </row>
    <row r="7113" spans="1:11" ht="42" customHeight="1">
      <c r="A7113" s="4" t="s">
        <v>17045</v>
      </c>
      <c r="B7113" s="5" t="s">
        <v>17045</v>
      </c>
      <c r="C7113" s="5" t="s">
        <v>17</v>
      </c>
      <c r="D7113" s="5" t="s">
        <v>18</v>
      </c>
      <c r="E7113" s="5" t="s">
        <v>28</v>
      </c>
      <c r="F7113" s="9" t="s">
        <v>29</v>
      </c>
      <c r="G7113" s="9">
        <v>1428</v>
      </c>
      <c r="H7113" s="5" t="s">
        <v>21</v>
      </c>
      <c r="I7113" s="5" t="s">
        <v>17046</v>
      </c>
      <c r="J7113" s="12" t="str">
        <f>HYPERLINK("https://www.boe.es/gazeta/dias/1808/11/04/pdfs/GMD-1808-141.pdf#page=10","Abrir facsímil")</f>
        <v>Abrir facsímil</v>
      </c>
      <c r="K7113" s="15" t="s">
        <v>23</v>
      </c>
    </row>
    <row r="7114" spans="1:11" ht="42" customHeight="1">
      <c r="A7114" s="4" t="s">
        <v>17047</v>
      </c>
      <c r="B7114" s="5" t="s">
        <v>17047</v>
      </c>
      <c r="C7114" s="5" t="s">
        <v>17</v>
      </c>
      <c r="D7114" s="5" t="s">
        <v>18</v>
      </c>
      <c r="E7114" s="5" t="s">
        <v>334</v>
      </c>
      <c r="F7114" s="9" t="s">
        <v>1814</v>
      </c>
      <c r="G7114" s="9">
        <v>1246</v>
      </c>
      <c r="H7114" s="5" t="s">
        <v>21</v>
      </c>
      <c r="I7114" s="5" t="s">
        <v>17048</v>
      </c>
      <c r="J7114" s="12" t="str">
        <f>HYPERLINK("https://www.boe.es/gazeta/dias/1808/10/04/pdfs/GMD-1808-131.pdf#page=14","Abrir facsímil")</f>
        <v>Abrir facsímil</v>
      </c>
      <c r="K7114" s="15" t="s">
        <v>23</v>
      </c>
    </row>
    <row r="7115" spans="1:11" ht="42" customHeight="1">
      <c r="A7115" s="4" t="s">
        <v>17049</v>
      </c>
      <c r="B7115" s="5" t="s">
        <v>17049</v>
      </c>
      <c r="C7115" s="5" t="s">
        <v>17</v>
      </c>
      <c r="D7115" s="5" t="s">
        <v>18</v>
      </c>
      <c r="E7115" s="5" t="s">
        <v>139</v>
      </c>
      <c r="F7115" s="9" t="s">
        <v>140</v>
      </c>
      <c r="G7115" s="9">
        <v>1203</v>
      </c>
      <c r="H7115" s="5" t="s">
        <v>21</v>
      </c>
      <c r="I7115" s="5" t="s">
        <v>17050</v>
      </c>
      <c r="J7115" s="12" t="str">
        <f>HYPERLINK("https://www.boe.es/gazeta/dias/1808/09/23/pdfs/GMD-1808-127.pdf#page=11","Abrir facsímil")</f>
        <v>Abrir facsímil</v>
      </c>
      <c r="K7115" s="15" t="s">
        <v>23</v>
      </c>
    </row>
    <row r="7116" spans="1:11" ht="42" customHeight="1">
      <c r="A7116" s="4" t="s">
        <v>17051</v>
      </c>
      <c r="B7116" s="5" t="s">
        <v>17051</v>
      </c>
      <c r="C7116" s="5" t="s">
        <v>41</v>
      </c>
      <c r="D7116" s="5" t="s">
        <v>42</v>
      </c>
      <c r="E7116" s="5" t="s">
        <v>35</v>
      </c>
      <c r="F7116" s="9" t="s">
        <v>36</v>
      </c>
      <c r="G7116" s="9" t="s">
        <v>450</v>
      </c>
      <c r="H7116" s="5" t="s">
        <v>21</v>
      </c>
      <c r="I7116" s="5" t="s">
        <v>17052</v>
      </c>
      <c r="J7116" s="12" t="str">
        <f>HYPERLINK("https://www.boe.es/gazeta/dias/1808/04/22/pdfs/GMD-C-1808-38.pdf#page=45","Abrir facsímil")</f>
        <v>Abrir facsímil</v>
      </c>
      <c r="K7116" s="15" t="s">
        <v>23</v>
      </c>
    </row>
    <row r="7117" spans="1:11" ht="42" customHeight="1">
      <c r="A7117" s="4" t="s">
        <v>17053</v>
      </c>
      <c r="B7117" s="5" t="s">
        <v>17053</v>
      </c>
      <c r="C7117" s="5" t="s">
        <v>33</v>
      </c>
      <c r="D7117" s="5" t="s">
        <v>34</v>
      </c>
      <c r="E7117" s="5" t="s">
        <v>363</v>
      </c>
      <c r="F7117" s="9" t="s">
        <v>364</v>
      </c>
      <c r="G7117" s="9" t="s">
        <v>199</v>
      </c>
      <c r="H7117" s="5" t="s">
        <v>21</v>
      </c>
      <c r="I7117" s="5" t="s">
        <v>17054</v>
      </c>
      <c r="J7117" s="12" t="str">
        <f>HYPERLINK("https://www.boe.es/gazeta/dias/1808/09/20/pdfs/GMD-C-1808-126.pdf#page=2","Abrir facsímil")</f>
        <v>Abrir facsímil</v>
      </c>
      <c r="K7117" s="15" t="s">
        <v>23</v>
      </c>
    </row>
    <row r="7118" spans="1:11" ht="42" customHeight="1">
      <c r="A7118" s="4" t="s">
        <v>17055</v>
      </c>
      <c r="B7118" s="5" t="s">
        <v>17055</v>
      </c>
      <c r="C7118" s="5" t="s">
        <v>33</v>
      </c>
      <c r="D7118" s="5" t="s">
        <v>34</v>
      </c>
      <c r="E7118" s="5" t="s">
        <v>35</v>
      </c>
      <c r="F7118" s="9" t="s">
        <v>36</v>
      </c>
      <c r="G7118" s="9" t="s">
        <v>1075</v>
      </c>
      <c r="H7118" s="5" t="s">
        <v>21</v>
      </c>
      <c r="I7118" s="5" t="s">
        <v>17056</v>
      </c>
      <c r="J7118" s="12" t="str">
        <f>HYPERLINK("https://www.boe.es/gazeta/dias/1808/04/22/pdfs/GMD-C-1808-38.pdf#page=32","Abrir facsímil")</f>
        <v>Abrir facsímil</v>
      </c>
      <c r="K7118" s="15" t="s">
        <v>23</v>
      </c>
    </row>
    <row r="7119" spans="1:11" ht="42" customHeight="1">
      <c r="A7119" s="4" t="s">
        <v>17057</v>
      </c>
      <c r="B7119" s="5" t="s">
        <v>17057</v>
      </c>
      <c r="C7119" s="5" t="s">
        <v>33</v>
      </c>
      <c r="D7119" s="5" t="s">
        <v>34</v>
      </c>
      <c r="E7119" s="5" t="s">
        <v>35</v>
      </c>
      <c r="F7119" s="9" t="s">
        <v>36</v>
      </c>
      <c r="G7119" s="9" t="s">
        <v>273</v>
      </c>
      <c r="H7119" s="5" t="s">
        <v>21</v>
      </c>
      <c r="I7119" s="5" t="s">
        <v>17058</v>
      </c>
      <c r="J7119" s="12" t="str">
        <f>HYPERLINK("https://www.boe.es/gazeta/dias/1808/04/22/pdfs/GMD-C-1808-38.pdf#page=12","Abrir facsímil")</f>
        <v>Abrir facsímil</v>
      </c>
      <c r="K7119" s="15" t="s">
        <v>23</v>
      </c>
    </row>
    <row r="7120" spans="1:11" ht="42" customHeight="1">
      <c r="A7120" s="4" t="s">
        <v>17059</v>
      </c>
      <c r="B7120" s="5" t="s">
        <v>17059</v>
      </c>
      <c r="C7120" s="5" t="s">
        <v>17</v>
      </c>
      <c r="D7120" s="5" t="s">
        <v>18</v>
      </c>
      <c r="E7120" s="5" t="s">
        <v>558</v>
      </c>
      <c r="F7120" s="9" t="s">
        <v>559</v>
      </c>
      <c r="G7120" s="9">
        <v>1544</v>
      </c>
      <c r="H7120" s="5" t="s">
        <v>21</v>
      </c>
      <c r="I7120" s="5" t="s">
        <v>17060</v>
      </c>
      <c r="J7120" s="12" t="str">
        <f>HYPERLINK("https://www.boe.es/gazeta/dias/1808/11/25/pdfs/GMD-1808-147.pdf#page=10","Abrir facsímil")</f>
        <v>Abrir facsímil</v>
      </c>
      <c r="K7120" s="15" t="s">
        <v>23</v>
      </c>
    </row>
    <row r="7121" spans="1:11" ht="42" customHeight="1">
      <c r="A7121" s="4" t="s">
        <v>17061</v>
      </c>
      <c r="B7121" s="5" t="s">
        <v>17061</v>
      </c>
      <c r="C7121" s="5" t="s">
        <v>41</v>
      </c>
      <c r="D7121" s="5" t="s">
        <v>42</v>
      </c>
      <c r="E7121" s="5" t="s">
        <v>35</v>
      </c>
      <c r="F7121" s="9" t="s">
        <v>36</v>
      </c>
      <c r="G7121" s="9" t="s">
        <v>956</v>
      </c>
      <c r="H7121" s="5" t="s">
        <v>21</v>
      </c>
      <c r="I7121" s="5" t="s">
        <v>17062</v>
      </c>
      <c r="J7121" s="12" t="str">
        <f>HYPERLINK("https://www.boe.es/gazeta/dias/1808/04/22/pdfs/GMD-C-1808-38.pdf#page=41","Abrir facsímil")</f>
        <v>Abrir facsímil</v>
      </c>
      <c r="K7121" s="15" t="s">
        <v>23</v>
      </c>
    </row>
    <row r="7122" spans="1:11" ht="42" customHeight="1">
      <c r="A7122" s="4" t="s">
        <v>17063</v>
      </c>
      <c r="B7122" s="5" t="s">
        <v>17063</v>
      </c>
      <c r="C7122" s="5" t="s">
        <v>33</v>
      </c>
      <c r="D7122" s="5" t="s">
        <v>34</v>
      </c>
      <c r="E7122" s="5" t="s">
        <v>35</v>
      </c>
      <c r="F7122" s="9" t="s">
        <v>36</v>
      </c>
      <c r="G7122" s="9" t="s">
        <v>80</v>
      </c>
      <c r="H7122" s="5" t="s">
        <v>21</v>
      </c>
      <c r="I7122" s="5" t="s">
        <v>17064</v>
      </c>
      <c r="J7122" s="12" t="str">
        <f>HYPERLINK("https://www.boe.es/gazeta/dias/1808/04/22/pdfs/GMD-C-1808-38.pdf#page=18","Abrir facsímil")</f>
        <v>Abrir facsímil</v>
      </c>
      <c r="K7122" s="15" t="s">
        <v>23</v>
      </c>
    </row>
    <row r="7123" spans="1:11" ht="42" customHeight="1">
      <c r="A7123" s="4" t="s">
        <v>17065</v>
      </c>
      <c r="B7123" s="5" t="s">
        <v>17065</v>
      </c>
      <c r="C7123" s="5" t="s">
        <v>94</v>
      </c>
      <c r="D7123" s="5" t="s">
        <v>95</v>
      </c>
      <c r="E7123" s="5" t="s">
        <v>73</v>
      </c>
      <c r="F7123" s="9" t="s">
        <v>581</v>
      </c>
      <c r="G7123" s="9">
        <v>1468</v>
      </c>
      <c r="H7123" s="5" t="s">
        <v>21</v>
      </c>
      <c r="I7123" s="5" t="s">
        <v>17066</v>
      </c>
      <c r="J7123" s="12" t="str">
        <f>HYPERLINK("https://www.boe.es/gazeta/dias/1808/11/11/pdfs/GMD-1808-143.pdf#page=10","Abrir facsímil")</f>
        <v>Abrir facsímil</v>
      </c>
      <c r="K7123" s="15" t="s">
        <v>23</v>
      </c>
    </row>
    <row r="7124" spans="1:11" ht="42" customHeight="1">
      <c r="A7124" s="4" t="s">
        <v>17067</v>
      </c>
      <c r="B7124" s="5" t="s">
        <v>17067</v>
      </c>
      <c r="C7124" s="5" t="s">
        <v>33</v>
      </c>
      <c r="D7124" s="5" t="s">
        <v>34</v>
      </c>
      <c r="E7124" s="5" t="s">
        <v>35</v>
      </c>
      <c r="F7124" s="9" t="s">
        <v>36</v>
      </c>
      <c r="G7124" s="9" t="s">
        <v>117</v>
      </c>
      <c r="H7124" s="5" t="s">
        <v>21</v>
      </c>
      <c r="I7124" s="5" t="s">
        <v>17068</v>
      </c>
      <c r="J7124" s="12" t="str">
        <f>HYPERLINK("https://www.boe.es/gazeta/dias/1808/04/22/pdfs/GMD-C-1808-38.pdf#page=1","Abrir facsímil")</f>
        <v>Abrir facsímil</v>
      </c>
      <c r="K7124" s="15" t="s">
        <v>23</v>
      </c>
    </row>
    <row r="7125" spans="1:11" ht="42" customHeight="1">
      <c r="A7125" s="4" t="s">
        <v>17069</v>
      </c>
      <c r="B7125" s="5" t="s">
        <v>17069</v>
      </c>
      <c r="C7125" s="5" t="s">
        <v>33</v>
      </c>
      <c r="D7125" s="5" t="s">
        <v>34</v>
      </c>
      <c r="E7125" s="5" t="s">
        <v>35</v>
      </c>
      <c r="F7125" s="9" t="s">
        <v>36</v>
      </c>
      <c r="G7125" s="9" t="s">
        <v>655</v>
      </c>
      <c r="H7125" s="5" t="s">
        <v>21</v>
      </c>
      <c r="I7125" s="5" t="s">
        <v>17070</v>
      </c>
      <c r="J7125" s="12" t="str">
        <f>HYPERLINK("https://www.boe.es/gazeta/dias/1808/04/22/pdfs/GMD-C-1808-38.pdf#page=43","Abrir facsímil")</f>
        <v>Abrir facsímil</v>
      </c>
      <c r="K7125" s="15" t="s">
        <v>23</v>
      </c>
    </row>
    <row r="7126" spans="1:11" ht="42" customHeight="1">
      <c r="A7126" s="4" t="s">
        <v>17071</v>
      </c>
      <c r="B7126" s="5" t="s">
        <v>17071</v>
      </c>
      <c r="C7126" s="5" t="s">
        <v>33</v>
      </c>
      <c r="D7126" s="5" t="s">
        <v>34</v>
      </c>
      <c r="E7126" s="5" t="s">
        <v>35</v>
      </c>
      <c r="F7126" s="9" t="s">
        <v>36</v>
      </c>
      <c r="G7126" s="9" t="s">
        <v>1517</v>
      </c>
      <c r="H7126" s="5" t="s">
        <v>21</v>
      </c>
      <c r="I7126" s="5" t="s">
        <v>17072</v>
      </c>
      <c r="J7126" s="12" t="str">
        <f>HYPERLINK("https://www.boe.es/gazeta/dias/1808/04/22/pdfs/GMD-C-1808-38.pdf#page=23","Abrir facsímil")</f>
        <v>Abrir facsímil</v>
      </c>
      <c r="K7126" s="15" t="s">
        <v>23</v>
      </c>
    </row>
    <row r="7127" spans="1:11" ht="42" customHeight="1">
      <c r="A7127" s="4" t="s">
        <v>17073</v>
      </c>
      <c r="B7127" s="5" t="s">
        <v>17074</v>
      </c>
      <c r="C7127" s="5" t="s">
        <v>17</v>
      </c>
      <c r="D7127" s="5" t="s">
        <v>18</v>
      </c>
      <c r="E7127" s="5" t="s">
        <v>28</v>
      </c>
      <c r="F7127" s="9" t="s">
        <v>29</v>
      </c>
      <c r="G7127" s="9">
        <v>1428</v>
      </c>
      <c r="H7127" s="5" t="s">
        <v>21</v>
      </c>
      <c r="I7127" s="5" t="s">
        <v>17075</v>
      </c>
      <c r="J7127" s="12" t="str">
        <f>HYPERLINK("https://www.boe.es/gazeta/dias/1808/11/04/pdfs/GMD-1808-141.pdf#page=10","Abrir facsímil")</f>
        <v>Abrir facsímil</v>
      </c>
      <c r="K7127" s="15" t="s">
        <v>23</v>
      </c>
    </row>
    <row r="7128" spans="1:11" ht="42" customHeight="1">
      <c r="A7128" s="4" t="s">
        <v>17076</v>
      </c>
      <c r="B7128" s="5" t="s">
        <v>17076</v>
      </c>
      <c r="C7128" s="5" t="s">
        <v>17</v>
      </c>
      <c r="D7128" s="5" t="s">
        <v>18</v>
      </c>
      <c r="E7128" s="5" t="s">
        <v>334</v>
      </c>
      <c r="F7128" s="9" t="s">
        <v>1814</v>
      </c>
      <c r="G7128" s="9">
        <v>1246</v>
      </c>
      <c r="H7128" s="5" t="s">
        <v>21</v>
      </c>
      <c r="I7128" s="5" t="s">
        <v>17077</v>
      </c>
      <c r="J7128" s="12" t="str">
        <f>HYPERLINK("https://www.boe.es/gazeta/dias/1808/10/04/pdfs/GMD-1808-131.pdf#page=14","Abrir facsímil")</f>
        <v>Abrir facsímil</v>
      </c>
      <c r="K7128" s="15" t="s">
        <v>23</v>
      </c>
    </row>
    <row r="7129" spans="1:11" ht="42" customHeight="1">
      <c r="A7129" s="4" t="s">
        <v>17078</v>
      </c>
      <c r="B7129" s="5" t="s">
        <v>17078</v>
      </c>
      <c r="C7129" s="5" t="s">
        <v>17</v>
      </c>
      <c r="D7129" s="5" t="s">
        <v>18</v>
      </c>
      <c r="E7129" s="5" t="s">
        <v>558</v>
      </c>
      <c r="F7129" s="9" t="s">
        <v>559</v>
      </c>
      <c r="G7129" s="9">
        <v>1544</v>
      </c>
      <c r="H7129" s="5" t="s">
        <v>21</v>
      </c>
      <c r="I7129" s="5" t="s">
        <v>17079</v>
      </c>
      <c r="J7129" s="12" t="str">
        <f>HYPERLINK("https://www.boe.es/gazeta/dias/1808/11/25/pdfs/GMD-1808-147.pdf#page=10","Abrir facsímil")</f>
        <v>Abrir facsímil</v>
      </c>
      <c r="K7129" s="15" t="s">
        <v>23</v>
      </c>
    </row>
    <row r="7130" spans="1:11" ht="42" customHeight="1">
      <c r="A7130" s="4" t="s">
        <v>17080</v>
      </c>
      <c r="B7130" s="5" t="s">
        <v>17080</v>
      </c>
      <c r="C7130" s="5" t="s">
        <v>101</v>
      </c>
      <c r="D7130" s="5" t="s">
        <v>102</v>
      </c>
      <c r="E7130" s="5" t="s">
        <v>1484</v>
      </c>
      <c r="F7130" s="9" t="s">
        <v>1485</v>
      </c>
      <c r="G7130" s="9">
        <v>674</v>
      </c>
      <c r="H7130" s="5" t="s">
        <v>21</v>
      </c>
      <c r="I7130" s="5" t="s">
        <v>17081</v>
      </c>
      <c r="J7130" s="12" t="str">
        <f>HYPERLINK("https://www.boe.es/gazeta/dias/1808/06/28/pdfs/GMD-1808-70.pdf#page=4","Abrir facsímil")</f>
        <v>Abrir facsímil</v>
      </c>
      <c r="K7130" s="15" t="s">
        <v>23</v>
      </c>
    </row>
    <row r="7131" spans="1:11" ht="42" customHeight="1">
      <c r="A7131" s="4" t="s">
        <v>17082</v>
      </c>
      <c r="B7131" s="5" t="s">
        <v>17082</v>
      </c>
      <c r="C7131" s="5" t="s">
        <v>101</v>
      </c>
      <c r="D7131" s="5" t="s">
        <v>102</v>
      </c>
      <c r="E7131" s="5" t="s">
        <v>368</v>
      </c>
      <c r="F7131" s="9" t="s">
        <v>369</v>
      </c>
      <c r="G7131" s="9">
        <v>159</v>
      </c>
      <c r="H7131" s="5" t="s">
        <v>21</v>
      </c>
      <c r="I7131" s="5" t="s">
        <v>17083</v>
      </c>
      <c r="J7131" s="12" t="str">
        <f>HYPERLINK("https://www.boe.es/gazeta/dias/1808/02/16/pdfs/GMD-1808-14.pdf#page=1","Abrir facsímil")</f>
        <v>Abrir facsímil</v>
      </c>
      <c r="K7131" s="15" t="s">
        <v>23</v>
      </c>
    </row>
    <row r="7132" spans="1:11" ht="42" customHeight="1">
      <c r="A7132" s="4" t="s">
        <v>17082</v>
      </c>
      <c r="B7132" s="5" t="s">
        <v>17082</v>
      </c>
      <c r="C7132" s="5" t="s">
        <v>17</v>
      </c>
      <c r="D7132" s="5" t="s">
        <v>18</v>
      </c>
      <c r="E7132" s="5" t="s">
        <v>1385</v>
      </c>
      <c r="F7132" s="9" t="s">
        <v>1386</v>
      </c>
      <c r="G7132" s="9">
        <v>227</v>
      </c>
      <c r="H7132" s="5" t="s">
        <v>21</v>
      </c>
      <c r="I7132" s="5" t="s">
        <v>17084</v>
      </c>
      <c r="J7132" s="12" t="str">
        <f>HYPERLINK("https://www.boe.es/gazeta/dias/1808/03/04/pdfs/GMD-1808-19.pdf#page=5","Abrir facsímil")</f>
        <v>Abrir facsímil</v>
      </c>
      <c r="K7132" s="15" t="s">
        <v>23</v>
      </c>
    </row>
    <row r="7133" spans="1:11" ht="42" customHeight="1">
      <c r="A7133" s="4" t="s">
        <v>17082</v>
      </c>
      <c r="B7133" s="5" t="s">
        <v>17082</v>
      </c>
      <c r="C7133" s="5" t="s">
        <v>101</v>
      </c>
      <c r="D7133" s="5" t="s">
        <v>102</v>
      </c>
      <c r="E7133" s="5" t="s">
        <v>684</v>
      </c>
      <c r="F7133" s="9" t="s">
        <v>685</v>
      </c>
      <c r="G7133" s="9">
        <v>375</v>
      </c>
      <c r="H7133" s="5" t="s">
        <v>21</v>
      </c>
      <c r="I7133" s="5" t="s">
        <v>17085</v>
      </c>
      <c r="J7133" s="12" t="str">
        <f>HYPERLINK("https://www.boe.es/gazeta/dias/1808/04/15/pdfs/GMD-1808-35.pdf#page=1","Abrir facsímil")</f>
        <v>Abrir facsímil</v>
      </c>
      <c r="K7133" s="15" t="s">
        <v>23</v>
      </c>
    </row>
    <row r="7134" spans="1:11" ht="42" customHeight="1">
      <c r="A7134" s="4" t="s">
        <v>17082</v>
      </c>
      <c r="B7134" s="5" t="s">
        <v>17082</v>
      </c>
      <c r="C7134" s="5" t="s">
        <v>101</v>
      </c>
      <c r="D7134" s="5" t="s">
        <v>102</v>
      </c>
      <c r="E7134" s="5" t="s">
        <v>1415</v>
      </c>
      <c r="F7134" s="9" t="s">
        <v>1416</v>
      </c>
      <c r="G7134" s="9">
        <v>412</v>
      </c>
      <c r="H7134" s="5" t="s">
        <v>21</v>
      </c>
      <c r="I7134" s="5" t="s">
        <v>17086</v>
      </c>
      <c r="J7134" s="12" t="str">
        <f>HYPERLINK("https://www.boe.es/gazeta/dias/1808/04/26/pdfs/GMD-1808-41.pdf#page=4","Abrir facsímil")</f>
        <v>Abrir facsímil</v>
      </c>
      <c r="K7134" s="15" t="s">
        <v>23</v>
      </c>
    </row>
    <row r="7135" spans="1:11" ht="42" customHeight="1">
      <c r="A7135" s="4" t="s">
        <v>17082</v>
      </c>
      <c r="B7135" s="5" t="s">
        <v>17082</v>
      </c>
      <c r="C7135" s="5" t="s">
        <v>101</v>
      </c>
      <c r="D7135" s="5" t="s">
        <v>102</v>
      </c>
      <c r="E7135" s="5" t="s">
        <v>1671</v>
      </c>
      <c r="F7135" s="9" t="s">
        <v>1672</v>
      </c>
      <c r="G7135" s="9">
        <v>476</v>
      </c>
      <c r="H7135" s="5" t="s">
        <v>21</v>
      </c>
      <c r="I7135" s="5" t="s">
        <v>17087</v>
      </c>
      <c r="J7135" s="12" t="str">
        <f>HYPERLINK("https://www.boe.es/gazeta/dias/1808/05/20/pdfs/GMD-1808-48.pdf#page=4","Abrir facsímil")</f>
        <v>Abrir facsímil</v>
      </c>
      <c r="K7135" s="15" t="s">
        <v>23</v>
      </c>
    </row>
    <row r="7136" spans="1:11" ht="42" customHeight="1">
      <c r="A7136" s="4" t="s">
        <v>17082</v>
      </c>
      <c r="B7136" s="5" t="s">
        <v>17082</v>
      </c>
      <c r="C7136" s="5" t="s">
        <v>101</v>
      </c>
      <c r="D7136" s="5" t="s">
        <v>102</v>
      </c>
      <c r="E7136" s="5" t="s">
        <v>3160</v>
      </c>
      <c r="F7136" s="9" t="s">
        <v>3161</v>
      </c>
      <c r="G7136" s="9">
        <v>564</v>
      </c>
      <c r="H7136" s="5" t="s">
        <v>21</v>
      </c>
      <c r="I7136" s="5" t="s">
        <v>17088</v>
      </c>
      <c r="J7136" s="12" t="str">
        <f>HYPERLINK("https://www.boe.es/gazeta/dias/1808/06/14/pdfs/GMD-1808-57.pdf#page=2","Abrir facsímil")</f>
        <v>Abrir facsímil</v>
      </c>
      <c r="K7136" s="15" t="s">
        <v>23</v>
      </c>
    </row>
    <row r="7137" spans="1:11" ht="42" customHeight="1">
      <c r="A7137" s="4" t="s">
        <v>17082</v>
      </c>
      <c r="B7137" s="5" t="s">
        <v>17082</v>
      </c>
      <c r="C7137" s="5" t="s">
        <v>101</v>
      </c>
      <c r="D7137" s="5" t="s">
        <v>102</v>
      </c>
      <c r="E7137" s="5" t="s">
        <v>516</v>
      </c>
      <c r="F7137" s="9" t="s">
        <v>517</v>
      </c>
      <c r="G7137" s="9">
        <v>595</v>
      </c>
      <c r="H7137" s="5" t="s">
        <v>21</v>
      </c>
      <c r="I7137" s="5" t="s">
        <v>17089</v>
      </c>
      <c r="J7137" s="12" t="str">
        <f>HYPERLINK("https://www.boe.es/gazeta/dias/1808/06/19/pdfs/GMD-1808-61.pdf#page=1","Abrir facsímil")</f>
        <v>Abrir facsímil</v>
      </c>
      <c r="K7137" s="15" t="s">
        <v>23</v>
      </c>
    </row>
    <row r="7138" spans="1:11" ht="42" customHeight="1">
      <c r="A7138" s="4" t="s">
        <v>17082</v>
      </c>
      <c r="B7138" s="5" t="s">
        <v>17082</v>
      </c>
      <c r="C7138" s="5" t="s">
        <v>94</v>
      </c>
      <c r="D7138" s="5" t="s">
        <v>95</v>
      </c>
      <c r="E7138" s="5" t="s">
        <v>516</v>
      </c>
      <c r="F7138" s="9" t="s">
        <v>517</v>
      </c>
      <c r="G7138" s="9">
        <v>596</v>
      </c>
      <c r="H7138" s="5" t="s">
        <v>21</v>
      </c>
      <c r="I7138" s="5" t="s">
        <v>17090</v>
      </c>
      <c r="J7138" s="12" t="str">
        <f>HYPERLINK("https://www.boe.es/gazeta/dias/1808/06/19/pdfs/GMD-1808-61.pdf#page=2","Abrir facsímil")</f>
        <v>Abrir facsímil</v>
      </c>
      <c r="K7138" s="15" t="s">
        <v>23</v>
      </c>
    </row>
    <row r="7139" spans="1:11" ht="42" customHeight="1">
      <c r="A7139" s="4" t="s">
        <v>17082</v>
      </c>
      <c r="B7139" s="5" t="s">
        <v>17082</v>
      </c>
      <c r="C7139" s="5" t="s">
        <v>101</v>
      </c>
      <c r="D7139" s="5" t="s">
        <v>102</v>
      </c>
      <c r="E7139" s="5" t="s">
        <v>1702</v>
      </c>
      <c r="F7139" s="9" t="s">
        <v>3079</v>
      </c>
      <c r="G7139" s="9">
        <v>792</v>
      </c>
      <c r="H7139" s="5" t="s">
        <v>21</v>
      </c>
      <c r="I7139" s="5" t="s">
        <v>17091</v>
      </c>
      <c r="J7139" s="12" t="str">
        <f>HYPERLINK("https://www.boe.es/gazeta/dias/1808/07/13/pdfs/GMD-1808-85.pdf#page=2","Abrir facsímil")</f>
        <v>Abrir facsímil</v>
      </c>
      <c r="K7139" s="15" t="s">
        <v>23</v>
      </c>
    </row>
    <row r="7140" spans="1:11" ht="42" customHeight="1">
      <c r="A7140" s="4" t="s">
        <v>17092</v>
      </c>
      <c r="B7140" s="5" t="s">
        <v>17092</v>
      </c>
      <c r="C7140" s="5" t="s">
        <v>101</v>
      </c>
      <c r="D7140" s="5" t="s">
        <v>102</v>
      </c>
      <c r="E7140" s="5" t="s">
        <v>516</v>
      </c>
      <c r="F7140" s="9" t="s">
        <v>517</v>
      </c>
      <c r="G7140" s="9">
        <v>595</v>
      </c>
      <c r="H7140" s="5" t="s">
        <v>21</v>
      </c>
      <c r="I7140" s="5" t="s">
        <v>17093</v>
      </c>
      <c r="J7140" s="12" t="str">
        <f>HYPERLINK("https://www.boe.es/gazeta/dias/1808/06/19/pdfs/GMD-1808-61.pdf#page=1","Abrir facsímil")</f>
        <v>Abrir facsímil</v>
      </c>
      <c r="K7140" s="15" t="s">
        <v>23</v>
      </c>
    </row>
    <row r="7141" spans="1:11" ht="42" customHeight="1">
      <c r="A7141" s="4" t="s">
        <v>17094</v>
      </c>
      <c r="B7141" s="5" t="s">
        <v>17095</v>
      </c>
      <c r="C7141" s="5" t="s">
        <v>389</v>
      </c>
      <c r="D7141" s="5" t="s">
        <v>390</v>
      </c>
      <c r="E7141" s="5" t="s">
        <v>8477</v>
      </c>
      <c r="F7141" s="9" t="s">
        <v>8478</v>
      </c>
      <c r="G7141" s="9">
        <v>448</v>
      </c>
      <c r="H7141" s="5" t="s">
        <v>21</v>
      </c>
      <c r="I7141" s="5" t="s">
        <v>17096</v>
      </c>
      <c r="J7141" s="12" t="str">
        <f>HYPERLINK("https://www.boe.es/gazeta/dias/1808/12/09/pdfs/GMS-1808-56.pdf#page=8","Abrir facsímil")</f>
        <v>Abrir facsímil</v>
      </c>
      <c r="K7141" s="15" t="s">
        <v>23</v>
      </c>
    </row>
    <row r="7142" spans="1:11" ht="42" customHeight="1">
      <c r="A7142" s="4" t="s">
        <v>17097</v>
      </c>
      <c r="B7142" s="5" t="s">
        <v>17097</v>
      </c>
      <c r="C7142" s="5" t="s">
        <v>17</v>
      </c>
      <c r="D7142" s="5" t="s">
        <v>18</v>
      </c>
      <c r="E7142" s="5" t="s">
        <v>558</v>
      </c>
      <c r="F7142" s="9" t="s">
        <v>559</v>
      </c>
      <c r="G7142" s="9">
        <v>1545</v>
      </c>
      <c r="H7142" s="5" t="s">
        <v>21</v>
      </c>
      <c r="I7142" s="5" t="s">
        <v>17098</v>
      </c>
      <c r="J7142" s="12" t="str">
        <f>HYPERLINK("https://www.boe.es/gazeta/dias/1808/11/25/pdfs/GMD-1808-147.pdf#page=11","Abrir facsímil")</f>
        <v>Abrir facsímil</v>
      </c>
      <c r="K7142" s="15" t="s">
        <v>23</v>
      </c>
    </row>
    <row r="7143" spans="1:11" ht="42" customHeight="1">
      <c r="A7143" s="4" t="s">
        <v>17099</v>
      </c>
      <c r="B7143" s="5" t="s">
        <v>17099</v>
      </c>
      <c r="C7143" s="5" t="s">
        <v>260</v>
      </c>
      <c r="D7143" s="5" t="s">
        <v>42</v>
      </c>
      <c r="E7143" s="5" t="s">
        <v>469</v>
      </c>
      <c r="F7143" s="9" t="s">
        <v>470</v>
      </c>
      <c r="G7143" s="9">
        <v>153</v>
      </c>
      <c r="H7143" s="5" t="s">
        <v>21</v>
      </c>
      <c r="I7143" s="5" t="s">
        <v>17100</v>
      </c>
      <c r="J7143" s="12" t="str">
        <f>HYPERLINK("https://www.boe.es/gazeta/dias/1808/02/12/pdfs/GMD-1808-13.pdf#page=9","Abrir facsímil")</f>
        <v>Abrir facsímil</v>
      </c>
      <c r="K7143" s="15" t="s">
        <v>23</v>
      </c>
    </row>
    <row r="7144" spans="1:11" ht="42" customHeight="1">
      <c r="A7144" s="4" t="s">
        <v>17101</v>
      </c>
      <c r="B7144" s="5" t="s">
        <v>17102</v>
      </c>
      <c r="C7144" s="5" t="s">
        <v>17</v>
      </c>
      <c r="D7144" s="5" t="s">
        <v>18</v>
      </c>
      <c r="E7144" s="5" t="s">
        <v>1821</v>
      </c>
      <c r="F7144" s="9" t="s">
        <v>1822</v>
      </c>
      <c r="G7144" s="9">
        <v>52</v>
      </c>
      <c r="H7144" s="5" t="s">
        <v>21</v>
      </c>
      <c r="I7144" s="5" t="s">
        <v>17103</v>
      </c>
      <c r="J7144" s="12" t="str">
        <f>HYPERLINK("https://www.boe.es/gazeta/dias/1808/06/22/pdfs/GMS-1808-7.pdf#page=4","Abrir facsímil")</f>
        <v>Abrir facsímil</v>
      </c>
      <c r="K7144" s="15" t="s">
        <v>23</v>
      </c>
    </row>
    <row r="7145" spans="1:11" ht="42" customHeight="1">
      <c r="A7145" s="4" t="s">
        <v>17104</v>
      </c>
      <c r="B7145" s="5" t="s">
        <v>17104</v>
      </c>
      <c r="C7145" s="5" t="s">
        <v>41</v>
      </c>
      <c r="D7145" s="5" t="s">
        <v>42</v>
      </c>
      <c r="E7145" s="5" t="s">
        <v>960</v>
      </c>
      <c r="F7145" s="9" t="s">
        <v>961</v>
      </c>
      <c r="G7145" s="9">
        <v>855</v>
      </c>
      <c r="H7145" s="5" t="s">
        <v>21</v>
      </c>
      <c r="I7145" s="5" t="s">
        <v>17105</v>
      </c>
      <c r="J7145" s="12" t="str">
        <f>HYPERLINK("https://www.boe.es/gazeta/dias/1808/07/21/pdfs/GMD-1808-93.pdf#page=1","Abrir facsímil")</f>
        <v>Abrir facsímil</v>
      </c>
      <c r="K7145" s="15" t="s">
        <v>23</v>
      </c>
    </row>
    <row r="7146" spans="1:11" ht="42" customHeight="1">
      <c r="A7146" s="4" t="s">
        <v>17104</v>
      </c>
      <c r="B7146" s="5" t="s">
        <v>17104</v>
      </c>
      <c r="C7146" s="5" t="s">
        <v>94</v>
      </c>
      <c r="D7146" s="5" t="s">
        <v>95</v>
      </c>
      <c r="E7146" s="5" t="s">
        <v>1258</v>
      </c>
      <c r="F7146" s="9" t="s">
        <v>1259</v>
      </c>
      <c r="G7146" s="9">
        <v>888</v>
      </c>
      <c r="H7146" s="5" t="s">
        <v>21</v>
      </c>
      <c r="I7146" s="5" t="s">
        <v>17106</v>
      </c>
      <c r="J7146" s="12" t="str">
        <f>HYPERLINK("https://www.boe.es/gazeta/dias/1808/07/25/pdfs/GMD-1808-97.pdf#page=2","Abrir facsímil")</f>
        <v>Abrir facsímil</v>
      </c>
      <c r="K7146" s="15" t="s">
        <v>23</v>
      </c>
    </row>
    <row r="7147" spans="1:11" ht="42" customHeight="1">
      <c r="A7147" s="4" t="s">
        <v>17107</v>
      </c>
      <c r="B7147" s="5" t="s">
        <v>17108</v>
      </c>
      <c r="C7147" s="5" t="s">
        <v>33</v>
      </c>
      <c r="D7147" s="5" t="s">
        <v>34</v>
      </c>
      <c r="E7147" s="5" t="s">
        <v>558</v>
      </c>
      <c r="F7147" s="9" t="s">
        <v>758</v>
      </c>
      <c r="G7147" s="9" t="s">
        <v>75</v>
      </c>
      <c r="H7147" s="5" t="s">
        <v>21</v>
      </c>
      <c r="I7147" s="5" t="s">
        <v>17109</v>
      </c>
      <c r="J7147" s="12" t="str">
        <f>HYPERLINK("https://www.boe.es/gazeta/dias/1808/11/25/pdfs/GMD-E-1808-147.pdf#page=4","Abrir facsímil")</f>
        <v>Abrir facsímil</v>
      </c>
      <c r="K7147" s="15" t="s">
        <v>23</v>
      </c>
    </row>
    <row r="7148" spans="1:11" ht="42" customHeight="1">
      <c r="A7148" s="4" t="s">
        <v>17110</v>
      </c>
      <c r="B7148" s="5" t="s">
        <v>17111</v>
      </c>
      <c r="C7148" s="5" t="s">
        <v>33</v>
      </c>
      <c r="D7148" s="5" t="s">
        <v>34</v>
      </c>
      <c r="E7148" s="5" t="s">
        <v>73</v>
      </c>
      <c r="F7148" s="9" t="s">
        <v>74</v>
      </c>
      <c r="G7148" s="9" t="s">
        <v>199</v>
      </c>
      <c r="H7148" s="5" t="s">
        <v>21</v>
      </c>
      <c r="I7148" s="5" t="s">
        <v>17112</v>
      </c>
      <c r="J7148" s="12" t="str">
        <f>HYPERLINK("https://www.boe.es/gazeta/dias/1808/11/11/pdfs/GMD-D-1808-143.pdf#page=2","Abrir facsímil")</f>
        <v>Abrir facsímil</v>
      </c>
      <c r="K7148" s="15" t="s">
        <v>23</v>
      </c>
    </row>
    <row r="7149" spans="1:11" ht="42" customHeight="1">
      <c r="A7149" s="4" t="s">
        <v>17113</v>
      </c>
      <c r="B7149" s="5" t="s">
        <v>17114</v>
      </c>
      <c r="C7149" s="5" t="s">
        <v>94</v>
      </c>
      <c r="D7149" s="5" t="s">
        <v>95</v>
      </c>
      <c r="E7149" s="5" t="s">
        <v>96</v>
      </c>
      <c r="F7149" s="9" t="s">
        <v>97</v>
      </c>
      <c r="G7149" s="9">
        <v>266</v>
      </c>
      <c r="H7149" s="5" t="s">
        <v>21</v>
      </c>
      <c r="I7149" s="5" t="s">
        <v>17115</v>
      </c>
      <c r="J7149" s="12" t="str">
        <f>HYPERLINK("https://www.boe.es/gazeta/dias/1808/03/15/pdfs/GMD-1808-22.pdf#page=8","Abrir facsímil")</f>
        <v>Abrir facsímil</v>
      </c>
      <c r="K7149" s="15" t="s">
        <v>23</v>
      </c>
    </row>
    <row r="7150" spans="1:11" ht="42" customHeight="1">
      <c r="A7150" s="4" t="s">
        <v>17116</v>
      </c>
      <c r="B7150" s="5" t="s">
        <v>17117</v>
      </c>
      <c r="C7150" s="5" t="s">
        <v>33</v>
      </c>
      <c r="D7150" s="5" t="s">
        <v>34</v>
      </c>
      <c r="E7150" s="5" t="s">
        <v>35</v>
      </c>
      <c r="F7150" s="9" t="s">
        <v>36</v>
      </c>
      <c r="G7150" s="9" t="s">
        <v>106</v>
      </c>
      <c r="H7150" s="5" t="s">
        <v>21</v>
      </c>
      <c r="I7150" s="5" t="s">
        <v>17118</v>
      </c>
      <c r="J7150" s="12" t="str">
        <f>HYPERLINK("https://www.boe.es/gazeta/dias/1808/04/22/pdfs/GMD-C-1808-38.pdf#page=3","Abrir facsímil")</f>
        <v>Abrir facsímil</v>
      </c>
      <c r="K7150" s="15" t="s">
        <v>23</v>
      </c>
    </row>
    <row r="7151" spans="1:11" ht="42" customHeight="1">
      <c r="A7151" s="4" t="s">
        <v>17119</v>
      </c>
      <c r="B7151" s="5" t="s">
        <v>17120</v>
      </c>
      <c r="C7151" s="5" t="s">
        <v>41</v>
      </c>
      <c r="D7151" s="5" t="s">
        <v>42</v>
      </c>
      <c r="E7151" s="5" t="s">
        <v>35</v>
      </c>
      <c r="F7151" s="9" t="s">
        <v>36</v>
      </c>
      <c r="G7151" s="9" t="s">
        <v>277</v>
      </c>
      <c r="H7151" s="5" t="s">
        <v>21</v>
      </c>
      <c r="I7151" s="5" t="s">
        <v>17121</v>
      </c>
      <c r="J7151" s="12" t="str">
        <f>HYPERLINK("https://www.boe.es/gazeta/dias/1808/04/22/pdfs/GMD-C-1808-38.pdf#page=34","Abrir facsímil")</f>
        <v>Abrir facsímil</v>
      </c>
      <c r="K7151" s="15" t="s">
        <v>23</v>
      </c>
    </row>
    <row r="7152" spans="1:11" ht="42" customHeight="1">
      <c r="A7152" s="4" t="s">
        <v>17122</v>
      </c>
      <c r="B7152" s="5" t="s">
        <v>17122</v>
      </c>
      <c r="C7152" s="5" t="s">
        <v>101</v>
      </c>
      <c r="D7152" s="5" t="s">
        <v>102</v>
      </c>
      <c r="E7152" s="5" t="s">
        <v>3439</v>
      </c>
      <c r="F7152" s="9" t="s">
        <v>3440</v>
      </c>
      <c r="G7152" s="9">
        <v>938</v>
      </c>
      <c r="H7152" s="5" t="s">
        <v>21</v>
      </c>
      <c r="I7152" s="5" t="s">
        <v>17123</v>
      </c>
      <c r="J7152" s="12" t="str">
        <f>HYPERLINK("https://www.boe.es/gazeta/dias/1808/07/31/pdfs/GMD-1808-103.pdf#page=4","Abrir facsímil")</f>
        <v>Abrir facsímil</v>
      </c>
      <c r="K7152" s="15" t="s">
        <v>23</v>
      </c>
    </row>
    <row r="7153" spans="1:11" ht="42" customHeight="1">
      <c r="A7153" s="4" t="s">
        <v>17124</v>
      </c>
      <c r="B7153" s="5" t="s">
        <v>17125</v>
      </c>
      <c r="C7153" s="5" t="s">
        <v>17</v>
      </c>
      <c r="D7153" s="5" t="s">
        <v>18</v>
      </c>
      <c r="E7153" s="5" t="s">
        <v>130</v>
      </c>
      <c r="F7153" s="9" t="s">
        <v>131</v>
      </c>
      <c r="G7153" s="9">
        <v>1604</v>
      </c>
      <c r="H7153" s="5" t="s">
        <v>21</v>
      </c>
      <c r="I7153" s="5" t="s">
        <v>17126</v>
      </c>
      <c r="J7153" s="12" t="str">
        <f>HYPERLINK("https://www.boe.es/gazeta/dias/1808/12/15/pdfs/GMD-1808-155.pdf#page=8","Abrir facsímil")</f>
        <v>Abrir facsímil</v>
      </c>
      <c r="K7153" s="15" t="s">
        <v>23</v>
      </c>
    </row>
    <row r="7154" spans="1:11" ht="42" customHeight="1">
      <c r="A7154" s="4" t="s">
        <v>17127</v>
      </c>
      <c r="B7154" s="5" t="s">
        <v>17128</v>
      </c>
      <c r="C7154" s="5" t="s">
        <v>94</v>
      </c>
      <c r="D7154" s="5" t="s">
        <v>95</v>
      </c>
      <c r="E7154" s="5" t="s">
        <v>287</v>
      </c>
      <c r="F7154" s="9" t="s">
        <v>489</v>
      </c>
      <c r="G7154" s="9">
        <v>1005</v>
      </c>
      <c r="H7154" s="5" t="s">
        <v>21</v>
      </c>
      <c r="I7154" s="5" t="s">
        <v>17129</v>
      </c>
      <c r="J7154" s="12" t="str">
        <f>HYPERLINK("https://www.boe.es/gazeta/dias/1808/08/12/pdfs/GMD-1808-112.pdf#page=9","Abrir facsímil")</f>
        <v>Abrir facsímil</v>
      </c>
      <c r="K7154" s="15" t="s">
        <v>23</v>
      </c>
    </row>
    <row r="7155" spans="1:11" ht="42" customHeight="1">
      <c r="A7155" s="4" t="s">
        <v>17130</v>
      </c>
      <c r="B7155" s="5" t="s">
        <v>17131</v>
      </c>
      <c r="C7155" s="5" t="s">
        <v>94</v>
      </c>
      <c r="D7155" s="5" t="s">
        <v>95</v>
      </c>
      <c r="E7155" s="5" t="s">
        <v>553</v>
      </c>
      <c r="F7155" s="9" t="s">
        <v>3282</v>
      </c>
      <c r="G7155" s="9">
        <v>132</v>
      </c>
      <c r="H7155" s="5" t="s">
        <v>21</v>
      </c>
      <c r="I7155" s="5" t="s">
        <v>17132</v>
      </c>
      <c r="J7155" s="12" t="str">
        <f>HYPERLINK("https://www.boe.es/gazeta/dias/1808/07/27/pdfs/GMS-1808-17.pdf#page=4","Abrir facsímil")</f>
        <v>Abrir facsímil</v>
      </c>
      <c r="K7155" s="15" t="s">
        <v>23</v>
      </c>
    </row>
    <row r="7156" spans="1:11" ht="42" customHeight="1">
      <c r="A7156" s="4" t="s">
        <v>17133</v>
      </c>
      <c r="B7156" s="5" t="s">
        <v>17134</v>
      </c>
      <c r="C7156" s="5" t="s">
        <v>94</v>
      </c>
      <c r="D7156" s="5" t="s">
        <v>95</v>
      </c>
      <c r="E7156" s="5" t="s">
        <v>68</v>
      </c>
      <c r="F7156" s="9" t="s">
        <v>69</v>
      </c>
      <c r="G7156" s="9">
        <v>1339</v>
      </c>
      <c r="H7156" s="5" t="s">
        <v>21</v>
      </c>
      <c r="I7156" s="5" t="s">
        <v>17135</v>
      </c>
      <c r="J7156" s="12" t="str">
        <f>HYPERLINK("https://www.boe.es/gazeta/dias/1808/10/21/pdfs/GMD-1808-136.pdf#page=11","Abrir facsímil")</f>
        <v>Abrir facsímil</v>
      </c>
      <c r="K7156" s="15" t="s">
        <v>23</v>
      </c>
    </row>
    <row r="7157" spans="1:11" ht="42" customHeight="1">
      <c r="A7157" s="4" t="s">
        <v>17136</v>
      </c>
      <c r="B7157" s="5" t="s">
        <v>17137</v>
      </c>
      <c r="C7157" s="5" t="s">
        <v>389</v>
      </c>
      <c r="D7157" s="5" t="s">
        <v>390</v>
      </c>
      <c r="E7157" s="5" t="s">
        <v>68</v>
      </c>
      <c r="F7157" s="9" t="s">
        <v>309</v>
      </c>
      <c r="G7157" s="9" t="s">
        <v>106</v>
      </c>
      <c r="H7157" s="5" t="s">
        <v>21</v>
      </c>
      <c r="I7157" s="5" t="s">
        <v>17138</v>
      </c>
      <c r="J7157" s="12" t="str">
        <f>HYPERLINK("https://www.boe.es/gazeta/dias/1808/10/21/pdfs/GMD-D-1808-136.pdf#page=3","Abrir facsímil")</f>
        <v>Abrir facsímil</v>
      </c>
      <c r="K7157" s="15" t="s">
        <v>23</v>
      </c>
    </row>
    <row r="7158" spans="1:11" ht="42" customHeight="1">
      <c r="A7158" s="4" t="s">
        <v>17139</v>
      </c>
      <c r="B7158" s="5" t="s">
        <v>17140</v>
      </c>
      <c r="C7158" s="5" t="s">
        <v>17</v>
      </c>
      <c r="D7158" s="5" t="s">
        <v>18</v>
      </c>
      <c r="E7158" s="5" t="s">
        <v>130</v>
      </c>
      <c r="F7158" s="9" t="s">
        <v>131</v>
      </c>
      <c r="G7158" s="9">
        <v>1604</v>
      </c>
      <c r="H7158" s="5" t="s">
        <v>21</v>
      </c>
      <c r="I7158" s="5" t="s">
        <v>17141</v>
      </c>
      <c r="J7158" s="12" t="str">
        <f>HYPERLINK("https://www.boe.es/gazeta/dias/1808/12/15/pdfs/GMD-1808-155.pdf#page=8","Abrir facsímil")</f>
        <v>Abrir facsímil</v>
      </c>
      <c r="K7158" s="15" t="s">
        <v>23</v>
      </c>
    </row>
    <row r="7159" spans="1:11" ht="42" customHeight="1">
      <c r="A7159" s="4" t="s">
        <v>17142</v>
      </c>
      <c r="B7159" s="5" t="s">
        <v>17143</v>
      </c>
      <c r="C7159" s="5" t="s">
        <v>41</v>
      </c>
      <c r="D7159" s="5" t="s">
        <v>42</v>
      </c>
      <c r="E7159" s="5" t="s">
        <v>35</v>
      </c>
      <c r="F7159" s="9" t="s">
        <v>36</v>
      </c>
      <c r="G7159" s="9" t="s">
        <v>443</v>
      </c>
      <c r="H7159" s="5" t="s">
        <v>21</v>
      </c>
      <c r="I7159" s="5" t="s">
        <v>17144</v>
      </c>
      <c r="J7159" s="12" t="str">
        <f>HYPERLINK("https://www.boe.es/gazeta/dias/1808/04/22/pdfs/GMD-C-1808-38.pdf#page=16","Abrir facsímil")</f>
        <v>Abrir facsímil</v>
      </c>
      <c r="K7159" s="15" t="s">
        <v>23</v>
      </c>
    </row>
    <row r="7160" spans="1:11" ht="42" customHeight="1">
      <c r="A7160" s="4" t="s">
        <v>17145</v>
      </c>
      <c r="B7160" s="5" t="s">
        <v>17145</v>
      </c>
      <c r="C7160" s="5" t="s">
        <v>33</v>
      </c>
      <c r="D7160" s="5" t="s">
        <v>34</v>
      </c>
      <c r="E7160" s="5" t="s">
        <v>264</v>
      </c>
      <c r="F7160" s="9" t="s">
        <v>318</v>
      </c>
      <c r="G7160" s="9" t="s">
        <v>199</v>
      </c>
      <c r="H7160" s="5" t="s">
        <v>21</v>
      </c>
      <c r="I7160" s="5" t="s">
        <v>17146</v>
      </c>
      <c r="J7160" s="12" t="str">
        <f>HYPERLINK("https://www.boe.es/gazeta/dias/1808/11/29/pdfs/GMD-C-1808-148.pdf#page=2","Abrir facsímil")</f>
        <v>Abrir facsímil</v>
      </c>
      <c r="K7160" s="15" t="s">
        <v>23</v>
      </c>
    </row>
    <row r="7161" spans="1:11" ht="42" customHeight="1">
      <c r="A7161" s="4" t="s">
        <v>17147</v>
      </c>
      <c r="B7161" s="5" t="s">
        <v>17148</v>
      </c>
      <c r="C7161" s="5" t="s">
        <v>17</v>
      </c>
      <c r="D7161" s="5" t="s">
        <v>18</v>
      </c>
      <c r="E7161" s="5" t="s">
        <v>19</v>
      </c>
      <c r="F7161" s="9" t="s">
        <v>59</v>
      </c>
      <c r="G7161" s="9">
        <v>1229</v>
      </c>
      <c r="H7161" s="5" t="s">
        <v>21</v>
      </c>
      <c r="I7161" s="5" t="s">
        <v>17149</v>
      </c>
      <c r="J7161" s="12" t="str">
        <f>HYPERLINK("https://www.boe.es/gazeta/dias/1808/09/30/pdfs/GMD-1808-130.pdf#page=9","Abrir facsímil")</f>
        <v>Abrir facsímil</v>
      </c>
      <c r="K7161" s="15" t="s">
        <v>23</v>
      </c>
    </row>
    <row r="7162" spans="1:11" ht="42" customHeight="1">
      <c r="A7162" s="4" t="s">
        <v>17150</v>
      </c>
      <c r="B7162" s="5" t="s">
        <v>17151</v>
      </c>
      <c r="C7162" s="5" t="s">
        <v>17</v>
      </c>
      <c r="D7162" s="5" t="s">
        <v>18</v>
      </c>
      <c r="E7162" s="5" t="s">
        <v>218</v>
      </c>
      <c r="F7162" s="9" t="s">
        <v>219</v>
      </c>
      <c r="G7162" s="9">
        <v>331</v>
      </c>
      <c r="H7162" s="5" t="s">
        <v>21</v>
      </c>
      <c r="I7162" s="5" t="s">
        <v>17152</v>
      </c>
      <c r="J7162" s="12" t="str">
        <f>HYPERLINK("https://www.boe.es/gazeta/dias/1808/04/01/pdfs/GMD-1808-29.pdf#page=7","Abrir facsímil")</f>
        <v>Abrir facsímil</v>
      </c>
      <c r="K7162" s="15" t="s">
        <v>23</v>
      </c>
    </row>
    <row r="7163" spans="1:11" ht="42" customHeight="1">
      <c r="A7163" s="4" t="s">
        <v>17150</v>
      </c>
      <c r="B7163" s="5" t="s">
        <v>17151</v>
      </c>
      <c r="C7163" s="5" t="s">
        <v>17</v>
      </c>
      <c r="D7163" s="5" t="s">
        <v>18</v>
      </c>
      <c r="E7163" s="5" t="s">
        <v>1791</v>
      </c>
      <c r="F7163" s="9" t="s">
        <v>2814</v>
      </c>
      <c r="G7163" s="9">
        <v>930</v>
      </c>
      <c r="H7163" s="5" t="s">
        <v>21</v>
      </c>
      <c r="I7163" s="5" t="s">
        <v>17153</v>
      </c>
      <c r="J7163" s="12" t="str">
        <f>HYPERLINK("https://www.boe.es/gazeta/dias/1808/07/30/pdfs/GMD-1808-102.pdf#page=4","Abrir facsímil")</f>
        <v>Abrir facsímil</v>
      </c>
      <c r="K7163" s="15" t="s">
        <v>23</v>
      </c>
    </row>
    <row r="7164" spans="1:11" ht="42" customHeight="1">
      <c r="A7164" s="4" t="s">
        <v>17150</v>
      </c>
      <c r="B7164" s="5" t="s">
        <v>17151</v>
      </c>
      <c r="C7164" s="5" t="s">
        <v>17</v>
      </c>
      <c r="D7164" s="5" t="s">
        <v>18</v>
      </c>
      <c r="E7164" s="5" t="s">
        <v>427</v>
      </c>
      <c r="F7164" s="9" t="s">
        <v>1802</v>
      </c>
      <c r="G7164" s="9">
        <v>1526</v>
      </c>
      <c r="H7164" s="5" t="s">
        <v>21</v>
      </c>
      <c r="I7164" s="5" t="s">
        <v>17154</v>
      </c>
      <c r="J7164" s="12" t="str">
        <f>HYPERLINK("https://www.boe.es/gazeta/dias/1808/11/22/pdfs/GMD-1808-146.pdf#page=12","Abrir facsímil")</f>
        <v>Abrir facsímil</v>
      </c>
      <c r="K7164" s="15" t="s">
        <v>23</v>
      </c>
    </row>
    <row r="7165" spans="1:11" ht="42" customHeight="1">
      <c r="A7165" s="4" t="s">
        <v>17155</v>
      </c>
      <c r="B7165" s="5" t="s">
        <v>17156</v>
      </c>
      <c r="C7165" s="5" t="s">
        <v>17</v>
      </c>
      <c r="D7165" s="5" t="s">
        <v>18</v>
      </c>
      <c r="E7165" s="5" t="s">
        <v>334</v>
      </c>
      <c r="F7165" s="9" t="s">
        <v>1814</v>
      </c>
      <c r="G7165" s="9">
        <v>1247</v>
      </c>
      <c r="H7165" s="5" t="s">
        <v>21</v>
      </c>
      <c r="I7165" s="5" t="s">
        <v>17157</v>
      </c>
      <c r="J7165" s="12" t="str">
        <f>HYPERLINK("https://www.boe.es/gazeta/dias/1808/10/04/pdfs/GMD-1808-131.pdf#page=15","Abrir facsímil")</f>
        <v>Abrir facsímil</v>
      </c>
      <c r="K7165" s="15" t="s">
        <v>23</v>
      </c>
    </row>
    <row r="7166" spans="1:11" ht="42" customHeight="1">
      <c r="A7166" s="4" t="s">
        <v>17158</v>
      </c>
      <c r="B7166" s="5" t="s">
        <v>17159</v>
      </c>
      <c r="C7166" s="5" t="s">
        <v>33</v>
      </c>
      <c r="D7166" s="5" t="s">
        <v>34</v>
      </c>
      <c r="E7166" s="5" t="s">
        <v>391</v>
      </c>
      <c r="F7166" s="9" t="s">
        <v>588</v>
      </c>
      <c r="G7166" s="9" t="s">
        <v>106</v>
      </c>
      <c r="H7166" s="5" t="s">
        <v>21</v>
      </c>
      <c r="I7166" s="5" t="s">
        <v>17160</v>
      </c>
      <c r="J7166" s="12" t="str">
        <f>HYPERLINK("https://www.boe.es/gazeta/dias/1808/09/27/pdfs/GMD-C-1808-128.pdf#page=3","Abrir facsímil")</f>
        <v>Abrir facsímil</v>
      </c>
      <c r="K7166" s="15" t="s">
        <v>23</v>
      </c>
    </row>
    <row r="7167" spans="1:11" ht="42" customHeight="1">
      <c r="A7167" s="4" t="s">
        <v>17161</v>
      </c>
      <c r="B7167" s="5" t="s">
        <v>17162</v>
      </c>
      <c r="C7167" s="5" t="s">
        <v>17</v>
      </c>
      <c r="D7167" s="5" t="s">
        <v>18</v>
      </c>
      <c r="E7167" s="5" t="s">
        <v>28</v>
      </c>
      <c r="F7167" s="9" t="s">
        <v>29</v>
      </c>
      <c r="G7167" s="9">
        <v>1428</v>
      </c>
      <c r="H7167" s="5" t="s">
        <v>21</v>
      </c>
      <c r="I7167" s="5" t="s">
        <v>17163</v>
      </c>
      <c r="J7167" s="12" t="str">
        <f>HYPERLINK("https://www.boe.es/gazeta/dias/1808/11/04/pdfs/GMD-1808-141.pdf#page=10","Abrir facsímil")</f>
        <v>Abrir facsímil</v>
      </c>
      <c r="K7167" s="15" t="s">
        <v>23</v>
      </c>
    </row>
    <row r="7168" spans="1:11" ht="42" customHeight="1">
      <c r="A7168" s="4" t="s">
        <v>17164</v>
      </c>
      <c r="B7168" s="5" t="s">
        <v>17165</v>
      </c>
      <c r="C7168" s="5" t="s">
        <v>33</v>
      </c>
      <c r="D7168" s="5" t="s">
        <v>34</v>
      </c>
      <c r="E7168" s="5" t="s">
        <v>427</v>
      </c>
      <c r="F7168" s="9" t="s">
        <v>428</v>
      </c>
      <c r="G7168" s="9" t="s">
        <v>117</v>
      </c>
      <c r="H7168" s="5" t="s">
        <v>21</v>
      </c>
      <c r="I7168" s="5" t="s">
        <v>17166</v>
      </c>
      <c r="J7168" s="12" t="str">
        <f>HYPERLINK("https://www.boe.es/gazeta/dias/1808/11/22/pdfs/GMD-D-1808-146.pdf#page=1","Abrir facsímil")</f>
        <v>Abrir facsímil</v>
      </c>
      <c r="K7168" s="15" t="s">
        <v>23</v>
      </c>
    </row>
    <row r="7169" spans="1:11" ht="42" customHeight="1">
      <c r="A7169" s="4" t="s">
        <v>17167</v>
      </c>
      <c r="B7169" s="5" t="s">
        <v>17168</v>
      </c>
      <c r="C7169" s="5" t="s">
        <v>260</v>
      </c>
      <c r="D7169" s="5" t="s">
        <v>42</v>
      </c>
      <c r="E7169" s="5" t="s">
        <v>96</v>
      </c>
      <c r="F7169" s="9" t="s">
        <v>97</v>
      </c>
      <c r="G7169" s="9">
        <v>265</v>
      </c>
      <c r="H7169" s="5" t="s">
        <v>21</v>
      </c>
      <c r="I7169" s="5" t="s">
        <v>17169</v>
      </c>
      <c r="J7169" s="12" t="str">
        <f>HYPERLINK("https://www.boe.es/gazeta/dias/1808/03/15/pdfs/GMD-1808-22.pdf#page=7","Abrir facsímil")</f>
        <v>Abrir facsímil</v>
      </c>
      <c r="K7169" s="15" t="s">
        <v>23</v>
      </c>
    </row>
    <row r="7170" spans="1:11" ht="42" customHeight="1">
      <c r="A7170" s="4" t="s">
        <v>17170</v>
      </c>
      <c r="B7170" s="5" t="s">
        <v>17171</v>
      </c>
      <c r="C7170" s="5" t="s">
        <v>33</v>
      </c>
      <c r="D7170" s="5" t="s">
        <v>34</v>
      </c>
      <c r="E7170" s="5" t="s">
        <v>180</v>
      </c>
      <c r="F7170" s="9" t="s">
        <v>768</v>
      </c>
      <c r="G7170" s="9" t="s">
        <v>199</v>
      </c>
      <c r="H7170" s="5" t="s">
        <v>21</v>
      </c>
      <c r="I7170" s="5" t="s">
        <v>17172</v>
      </c>
      <c r="J7170" s="12" t="str">
        <f>HYPERLINK("https://www.boe.es/gazeta/dias/1808/11/15/pdfs/GMD-D-1808-144.pdf#page=2","Abrir facsímil")</f>
        <v>Abrir facsímil</v>
      </c>
      <c r="K7170" s="15" t="s">
        <v>23</v>
      </c>
    </row>
    <row r="7171" spans="1:11" ht="42" customHeight="1">
      <c r="A7171" s="4" t="s">
        <v>17173</v>
      </c>
      <c r="B7171" s="5" t="s">
        <v>17174</v>
      </c>
      <c r="C7171" s="5" t="s">
        <v>17</v>
      </c>
      <c r="D7171" s="5" t="s">
        <v>18</v>
      </c>
      <c r="E7171" s="5" t="s">
        <v>461</v>
      </c>
      <c r="F7171" s="9" t="s">
        <v>733</v>
      </c>
      <c r="G7171" s="9">
        <v>1447</v>
      </c>
      <c r="H7171" s="5" t="s">
        <v>21</v>
      </c>
      <c r="I7171" s="5" t="s">
        <v>17175</v>
      </c>
      <c r="J7171" s="12" t="str">
        <f>HYPERLINK("https://www.boe.es/gazeta/dias/1808/11/08/pdfs/GMD-1808-142.pdf#page=9","Abrir facsímil")</f>
        <v>Abrir facsímil</v>
      </c>
      <c r="K7171" s="15" t="s">
        <v>23</v>
      </c>
    </row>
    <row r="7172" spans="1:11" ht="42" customHeight="1">
      <c r="A7172" s="4" t="s">
        <v>17176</v>
      </c>
      <c r="B7172" s="5" t="s">
        <v>17177</v>
      </c>
      <c r="C7172" s="5" t="s">
        <v>33</v>
      </c>
      <c r="D7172" s="5" t="s">
        <v>34</v>
      </c>
      <c r="E7172" s="5" t="s">
        <v>115</v>
      </c>
      <c r="F7172" s="9" t="s">
        <v>116</v>
      </c>
      <c r="G7172" s="9" t="s">
        <v>117</v>
      </c>
      <c r="H7172" s="5" t="s">
        <v>21</v>
      </c>
      <c r="I7172" s="5" t="s">
        <v>17178</v>
      </c>
      <c r="J7172" s="12" t="str">
        <f>HYPERLINK("https://www.boe.es/gazeta/dias/1808/09/16/pdfs/GMD-C-1808-125.pdf#page=1","Abrir facsímil")</f>
        <v>Abrir facsímil</v>
      </c>
      <c r="K7172" s="15" t="s">
        <v>23</v>
      </c>
    </row>
    <row r="7173" spans="1:11" ht="42" customHeight="1">
      <c r="A7173" s="4" t="s">
        <v>17176</v>
      </c>
      <c r="B7173" s="5" t="s">
        <v>17177</v>
      </c>
      <c r="C7173" s="5" t="s">
        <v>17</v>
      </c>
      <c r="D7173" s="5" t="s">
        <v>18</v>
      </c>
      <c r="E7173" s="5" t="s">
        <v>130</v>
      </c>
      <c r="F7173" s="9" t="s">
        <v>131</v>
      </c>
      <c r="G7173" s="9">
        <v>1604</v>
      </c>
      <c r="H7173" s="5" t="s">
        <v>21</v>
      </c>
      <c r="I7173" s="5" t="s">
        <v>17179</v>
      </c>
      <c r="J7173" s="12" t="str">
        <f>HYPERLINK("https://www.boe.es/gazeta/dias/1808/12/15/pdfs/GMD-1808-155.pdf#page=8","Abrir facsímil")</f>
        <v>Abrir facsímil</v>
      </c>
      <c r="K7173" s="15" t="s">
        <v>23</v>
      </c>
    </row>
    <row r="7174" spans="1:11" ht="42" customHeight="1">
      <c r="A7174" s="4" t="s">
        <v>17180</v>
      </c>
      <c r="B7174" s="5" t="s">
        <v>17181</v>
      </c>
      <c r="C7174" s="5" t="s">
        <v>389</v>
      </c>
      <c r="D7174" s="5" t="s">
        <v>390</v>
      </c>
      <c r="E7174" s="5" t="s">
        <v>89</v>
      </c>
      <c r="F7174" s="9" t="s">
        <v>563</v>
      </c>
      <c r="G7174" s="9" t="s">
        <v>75</v>
      </c>
      <c r="H7174" s="5" t="s">
        <v>21</v>
      </c>
      <c r="I7174" s="5" t="s">
        <v>17182</v>
      </c>
      <c r="J7174" s="12" t="str">
        <f>HYPERLINK("https://www.boe.es/gazeta/dias/1808/10/25/pdfs/GMD-D-1808-137.pdf#page=4","Abrir facsímil")</f>
        <v>Abrir facsímil</v>
      </c>
      <c r="K7174" s="15" t="s">
        <v>23</v>
      </c>
    </row>
    <row r="7175" spans="1:11" ht="42" customHeight="1">
      <c r="A7175" s="4" t="s">
        <v>17183</v>
      </c>
      <c r="B7175" s="5" t="s">
        <v>17184</v>
      </c>
      <c r="C7175" s="5" t="s">
        <v>17</v>
      </c>
      <c r="D7175" s="5" t="s">
        <v>18</v>
      </c>
      <c r="E7175" s="5" t="s">
        <v>139</v>
      </c>
      <c r="F7175" s="9" t="s">
        <v>140</v>
      </c>
      <c r="G7175" s="9">
        <v>1203</v>
      </c>
      <c r="H7175" s="5" t="s">
        <v>21</v>
      </c>
      <c r="I7175" s="5" t="s">
        <v>17185</v>
      </c>
      <c r="J7175" s="12" t="str">
        <f>HYPERLINK("https://www.boe.es/gazeta/dias/1808/09/23/pdfs/GMD-1808-127.pdf#page=11","Abrir facsímil")</f>
        <v>Abrir facsímil</v>
      </c>
      <c r="K7175" s="15" t="s">
        <v>23</v>
      </c>
    </row>
    <row r="7176" spans="1:11" ht="42" customHeight="1">
      <c r="A7176" s="4" t="s">
        <v>17183</v>
      </c>
      <c r="B7176" s="5" t="s">
        <v>17184</v>
      </c>
      <c r="C7176" s="5" t="s">
        <v>17</v>
      </c>
      <c r="D7176" s="5" t="s">
        <v>18</v>
      </c>
      <c r="E7176" s="5" t="s">
        <v>130</v>
      </c>
      <c r="F7176" s="9" t="s">
        <v>131</v>
      </c>
      <c r="G7176" s="9">
        <v>1604</v>
      </c>
      <c r="H7176" s="5" t="s">
        <v>21</v>
      </c>
      <c r="I7176" s="5" t="s">
        <v>17186</v>
      </c>
      <c r="J7176" s="12" t="str">
        <f>HYPERLINK("https://www.boe.es/gazeta/dias/1808/12/15/pdfs/GMD-1808-155.pdf#page=8","Abrir facsímil")</f>
        <v>Abrir facsímil</v>
      </c>
      <c r="K7176" s="15" t="s">
        <v>23</v>
      </c>
    </row>
    <row r="7177" spans="1:11" ht="42" customHeight="1">
      <c r="A7177" s="4" t="s">
        <v>17183</v>
      </c>
      <c r="B7177" s="5" t="s">
        <v>17184</v>
      </c>
      <c r="C7177" s="5" t="s">
        <v>17</v>
      </c>
      <c r="D7177" s="5" t="s">
        <v>18</v>
      </c>
      <c r="E7177" s="5" t="s">
        <v>719</v>
      </c>
      <c r="F7177" s="9" t="s">
        <v>720</v>
      </c>
      <c r="G7177" s="9">
        <v>1611</v>
      </c>
      <c r="H7177" s="5" t="s">
        <v>21</v>
      </c>
      <c r="I7177" s="5" t="s">
        <v>17187</v>
      </c>
      <c r="J7177" s="12" t="str">
        <f>HYPERLINK("https://www.boe.es/gazeta/dias/1808/12/16/pdfs/GMD-1808-156.pdf#page=3","Abrir facsímil")</f>
        <v>Abrir facsímil</v>
      </c>
      <c r="K7177" s="15" t="s">
        <v>23</v>
      </c>
    </row>
    <row r="7178" spans="1:11" ht="42" customHeight="1">
      <c r="A7178" s="4" t="s">
        <v>17188</v>
      </c>
      <c r="B7178" s="5" t="s">
        <v>17189</v>
      </c>
      <c r="C7178" s="5" t="s">
        <v>17</v>
      </c>
      <c r="D7178" s="5" t="s">
        <v>18</v>
      </c>
      <c r="E7178" s="5" t="s">
        <v>110</v>
      </c>
      <c r="F7178" s="9" t="s">
        <v>111</v>
      </c>
      <c r="G7178" s="9">
        <v>1384</v>
      </c>
      <c r="H7178" s="5" t="s">
        <v>21</v>
      </c>
      <c r="I7178" s="5" t="s">
        <v>17190</v>
      </c>
      <c r="J7178" s="12" t="str">
        <f>HYPERLINK("https://www.boe.es/gazeta/dias/1808/10/28/pdfs/GMD-1808-138.pdf#page=10","Abrir facsímil")</f>
        <v>Abrir facsímil</v>
      </c>
      <c r="K7178" s="15" t="s">
        <v>23</v>
      </c>
    </row>
    <row r="7179" spans="1:11" ht="42" customHeight="1">
      <c r="A7179" s="4" t="s">
        <v>17191</v>
      </c>
      <c r="B7179" s="5" t="s">
        <v>17192</v>
      </c>
      <c r="C7179" s="5" t="s">
        <v>17</v>
      </c>
      <c r="D7179" s="5" t="s">
        <v>18</v>
      </c>
      <c r="E7179" s="5" t="s">
        <v>125</v>
      </c>
      <c r="F7179" s="9" t="s">
        <v>397</v>
      </c>
      <c r="G7179" s="9">
        <v>1269</v>
      </c>
      <c r="H7179" s="5" t="s">
        <v>21</v>
      </c>
      <c r="I7179" s="5" t="s">
        <v>17193</v>
      </c>
      <c r="J7179" s="12" t="str">
        <f>HYPERLINK("https://www.boe.es/gazeta/dias/1808/10/07/pdfs/GMD-1808-132.pdf#page=9","Abrir facsímil")</f>
        <v>Abrir facsímil</v>
      </c>
      <c r="K7179" s="15" t="s">
        <v>23</v>
      </c>
    </row>
    <row r="7180" spans="1:11" ht="42" customHeight="1">
      <c r="A7180" s="4" t="s">
        <v>17194</v>
      </c>
      <c r="B7180" s="5" t="s">
        <v>17195</v>
      </c>
      <c r="C7180" s="5" t="s">
        <v>33</v>
      </c>
      <c r="D7180" s="5" t="s">
        <v>34</v>
      </c>
      <c r="E7180" s="5" t="s">
        <v>166</v>
      </c>
      <c r="F7180" s="9" t="s">
        <v>400</v>
      </c>
      <c r="G7180" s="9" t="s">
        <v>117</v>
      </c>
      <c r="H7180" s="5" t="s">
        <v>21</v>
      </c>
      <c r="I7180" s="5" t="s">
        <v>17196</v>
      </c>
      <c r="J7180" s="12" t="str">
        <f>HYPERLINK("https://www.boe.es/gazeta/dias/1808/11/18/pdfs/D00069-00072.pdf#page=1","Abrir facsímil")</f>
        <v>Abrir facsímil</v>
      </c>
      <c r="K7180" s="15" t="s">
        <v>23</v>
      </c>
    </row>
    <row r="7181" spans="1:11" ht="42" customHeight="1">
      <c r="A7181" s="4" t="s">
        <v>17197</v>
      </c>
      <c r="B7181" s="5" t="s">
        <v>17197</v>
      </c>
      <c r="C7181" s="5" t="s">
        <v>33</v>
      </c>
      <c r="D7181" s="5" t="s">
        <v>34</v>
      </c>
      <c r="E7181" s="5" t="s">
        <v>35</v>
      </c>
      <c r="F7181" s="9" t="s">
        <v>36</v>
      </c>
      <c r="G7181" s="9" t="s">
        <v>501</v>
      </c>
      <c r="H7181" s="5" t="s">
        <v>21</v>
      </c>
      <c r="I7181" s="5" t="s">
        <v>17198</v>
      </c>
      <c r="J7181" s="12" t="str">
        <f>HYPERLINK("https://www.boe.es/gazeta/dias/1808/04/22/pdfs/GMD-C-1808-38.pdf#page=5","Abrir facsímil")</f>
        <v>Abrir facsímil</v>
      </c>
      <c r="K7181" s="15" t="s">
        <v>23</v>
      </c>
    </row>
    <row r="7182" spans="1:11" ht="42" customHeight="1">
      <c r="A7182" s="4" t="s">
        <v>17199</v>
      </c>
      <c r="B7182" s="5" t="s">
        <v>17200</v>
      </c>
      <c r="C7182" s="5" t="s">
        <v>94</v>
      </c>
      <c r="D7182" s="5" t="s">
        <v>95</v>
      </c>
      <c r="E7182" s="5" t="s">
        <v>35</v>
      </c>
      <c r="F7182" s="9" t="s">
        <v>36</v>
      </c>
      <c r="G7182" s="9" t="s">
        <v>322</v>
      </c>
      <c r="H7182" s="5" t="s">
        <v>21</v>
      </c>
      <c r="I7182" s="5" t="s">
        <v>17201</v>
      </c>
      <c r="J7182" s="12" t="str">
        <f>HYPERLINK("https://www.boe.es/gazeta/dias/1808/04/22/pdfs/GMD-C-1808-38.pdf#page=15","Abrir facsímil")</f>
        <v>Abrir facsímil</v>
      </c>
      <c r="K7182" s="15" t="s">
        <v>23</v>
      </c>
    </row>
    <row r="7183" spans="1:11" ht="42" customHeight="1">
      <c r="A7183" s="4" t="s">
        <v>17202</v>
      </c>
      <c r="B7183" s="5" t="s">
        <v>17202</v>
      </c>
      <c r="C7183" s="5" t="s">
        <v>33</v>
      </c>
      <c r="D7183" s="5" t="s">
        <v>34</v>
      </c>
      <c r="E7183" s="5" t="s">
        <v>89</v>
      </c>
      <c r="F7183" s="9" t="s">
        <v>563</v>
      </c>
      <c r="G7183" s="9" t="s">
        <v>106</v>
      </c>
      <c r="H7183" s="5" t="s">
        <v>21</v>
      </c>
      <c r="I7183" s="5" t="s">
        <v>17203</v>
      </c>
      <c r="J7183" s="12" t="str">
        <f>HYPERLINK("https://www.boe.es/gazeta/dias/1808/10/25/pdfs/GMD-D-1808-137.pdf#page=3","Abrir facsímil")</f>
        <v>Abrir facsímil</v>
      </c>
      <c r="K7183" s="15" t="s">
        <v>23</v>
      </c>
    </row>
    <row r="7184" spans="1:11" ht="42" customHeight="1">
      <c r="A7184" s="4" t="s">
        <v>17204</v>
      </c>
      <c r="B7184" s="5" t="s">
        <v>17204</v>
      </c>
      <c r="C7184" s="5" t="s">
        <v>33</v>
      </c>
      <c r="D7184" s="5" t="s">
        <v>34</v>
      </c>
      <c r="E7184" s="5" t="s">
        <v>558</v>
      </c>
      <c r="F7184" s="9" t="s">
        <v>758</v>
      </c>
      <c r="G7184" s="9" t="s">
        <v>75</v>
      </c>
      <c r="H7184" s="5" t="s">
        <v>21</v>
      </c>
      <c r="I7184" s="5" t="s">
        <v>17205</v>
      </c>
      <c r="J7184" s="12" t="str">
        <f>HYPERLINK("https://www.boe.es/gazeta/dias/1808/11/25/pdfs/GMD-E-1808-147.pdf#page=4","Abrir facsímil")</f>
        <v>Abrir facsímil</v>
      </c>
      <c r="K7184" s="15" t="s">
        <v>23</v>
      </c>
    </row>
    <row r="7185" spans="1:11" ht="42" customHeight="1">
      <c r="A7185" s="4" t="s">
        <v>17206</v>
      </c>
      <c r="B7185" s="5" t="s">
        <v>17207</v>
      </c>
      <c r="C7185" s="5" t="s">
        <v>94</v>
      </c>
      <c r="D7185" s="5" t="s">
        <v>95</v>
      </c>
      <c r="E7185" s="5" t="s">
        <v>203</v>
      </c>
      <c r="F7185" s="9" t="s">
        <v>204</v>
      </c>
      <c r="G7185" s="9">
        <v>142</v>
      </c>
      <c r="H7185" s="5" t="s">
        <v>21</v>
      </c>
      <c r="I7185" s="5" t="s">
        <v>17208</v>
      </c>
      <c r="J7185" s="12" t="str">
        <f>HYPERLINK("https://www.boe.es/gazeta/dias/1808/02/09/pdfs/GMD-1808-12.pdf#page=10","Abrir facsímil")</f>
        <v>Abrir facsímil</v>
      </c>
      <c r="K7185" s="15" t="s">
        <v>23</v>
      </c>
    </row>
    <row r="7186" spans="1:11" ht="42" customHeight="1">
      <c r="A7186" s="4" t="s">
        <v>17209</v>
      </c>
      <c r="B7186" s="5" t="s">
        <v>17210</v>
      </c>
      <c r="C7186" s="5" t="s">
        <v>41</v>
      </c>
      <c r="D7186" s="5" t="s">
        <v>42</v>
      </c>
      <c r="E7186" s="5" t="s">
        <v>68</v>
      </c>
      <c r="F7186" s="9" t="s">
        <v>309</v>
      </c>
      <c r="G7186" s="9" t="s">
        <v>117</v>
      </c>
      <c r="H7186" s="5" t="s">
        <v>21</v>
      </c>
      <c r="I7186" s="5" t="s">
        <v>17211</v>
      </c>
      <c r="J7186" s="12" t="str">
        <f>HYPERLINK("https://www.boe.es/gazeta/dias/1808/10/21/pdfs/GMD-D-1808-136.pdf#page=1","Abrir facsímil")</f>
        <v>Abrir facsímil</v>
      </c>
      <c r="K7186" s="15" t="s">
        <v>23</v>
      </c>
    </row>
    <row r="7187" spans="1:11" ht="42" customHeight="1">
      <c r="A7187" s="4" t="s">
        <v>17212</v>
      </c>
      <c r="B7187" s="5" t="s">
        <v>17213</v>
      </c>
      <c r="C7187" s="5" t="s">
        <v>26</v>
      </c>
      <c r="D7187" s="5" t="s">
        <v>27</v>
      </c>
      <c r="E7187" s="5" t="s">
        <v>139</v>
      </c>
      <c r="F7187" s="9" t="s">
        <v>1089</v>
      </c>
      <c r="G7187" s="9" t="s">
        <v>117</v>
      </c>
      <c r="H7187" s="5" t="s">
        <v>21</v>
      </c>
      <c r="I7187" s="5" t="s">
        <v>17214</v>
      </c>
      <c r="J7187" s="12" t="str">
        <f>HYPERLINK("https://www.boe.es/gazeta/dias/1808/09/23/pdfs/GMD-C-1808-127.pdf#page=1","Abrir facsímil")</f>
        <v>Abrir facsímil</v>
      </c>
      <c r="K7187" s="15" t="s">
        <v>23</v>
      </c>
    </row>
    <row r="7188" spans="1:11" ht="42" customHeight="1">
      <c r="A7188" s="4" t="s">
        <v>17215</v>
      </c>
      <c r="B7188" s="5" t="s">
        <v>17216</v>
      </c>
      <c r="C7188" s="5" t="s">
        <v>389</v>
      </c>
      <c r="D7188" s="5" t="s">
        <v>390</v>
      </c>
      <c r="E7188" s="5" t="s">
        <v>351</v>
      </c>
      <c r="F7188" s="9" t="s">
        <v>352</v>
      </c>
      <c r="G7188" s="9">
        <v>32</v>
      </c>
      <c r="H7188" s="5" t="s">
        <v>21</v>
      </c>
      <c r="I7188" s="5" t="s">
        <v>17217</v>
      </c>
      <c r="J7188" s="12" t="str">
        <f>HYPERLINK("https://www.boe.es/gazeta/dias/1808/06/11/pdfs/GMS-1808-4.pdf#page=8","Abrir facsímil")</f>
        <v>Abrir facsímil</v>
      </c>
      <c r="K7188" s="15" t="s">
        <v>23</v>
      </c>
    </row>
    <row r="7189" spans="1:11" ht="42" customHeight="1">
      <c r="A7189" s="4" t="s">
        <v>17218</v>
      </c>
      <c r="B7189" s="5" t="s">
        <v>17219</v>
      </c>
      <c r="C7189" s="5" t="s">
        <v>33</v>
      </c>
      <c r="D7189" s="5" t="s">
        <v>34</v>
      </c>
      <c r="E7189" s="5" t="s">
        <v>35</v>
      </c>
      <c r="F7189" s="9" t="s">
        <v>36</v>
      </c>
      <c r="G7189" s="9" t="s">
        <v>37</v>
      </c>
      <c r="H7189" s="5" t="s">
        <v>21</v>
      </c>
      <c r="I7189" s="5" t="s">
        <v>17220</v>
      </c>
      <c r="J7189" s="12" t="str">
        <f>HYPERLINK("https://www.boe.es/gazeta/dias/1808/04/22/pdfs/GMD-C-1808-38.pdf#page=33","Abrir facsímil")</f>
        <v>Abrir facsímil</v>
      </c>
      <c r="K7189" s="15" t="s">
        <v>23</v>
      </c>
    </row>
    <row r="7190" spans="1:11" ht="42" customHeight="1">
      <c r="A7190" s="4" t="s">
        <v>17221</v>
      </c>
      <c r="B7190" s="5" t="s">
        <v>17222</v>
      </c>
      <c r="C7190" s="5" t="s">
        <v>17</v>
      </c>
      <c r="D7190" s="5" t="s">
        <v>18</v>
      </c>
      <c r="E7190" s="5" t="s">
        <v>334</v>
      </c>
      <c r="F7190" s="9" t="s">
        <v>1814</v>
      </c>
      <c r="G7190" s="9">
        <v>1239</v>
      </c>
      <c r="H7190" s="5" t="s">
        <v>21</v>
      </c>
      <c r="I7190" s="5" t="s">
        <v>17223</v>
      </c>
      <c r="J7190" s="12" t="str">
        <f>HYPERLINK("https://www.boe.es/gazeta/dias/1808/10/04/pdfs/GMD-1808-131.pdf#page=7","Abrir facsímil")</f>
        <v>Abrir facsímil</v>
      </c>
      <c r="K7190" s="15" t="s">
        <v>23</v>
      </c>
    </row>
    <row r="7191" spans="1:11" ht="42" customHeight="1">
      <c r="A7191" s="4" t="s">
        <v>17224</v>
      </c>
      <c r="B7191" s="5" t="s">
        <v>17225</v>
      </c>
      <c r="C7191" s="5" t="s">
        <v>17</v>
      </c>
      <c r="D7191" s="5" t="s">
        <v>18</v>
      </c>
      <c r="E7191" s="5" t="s">
        <v>719</v>
      </c>
      <c r="F7191" s="9" t="s">
        <v>720</v>
      </c>
      <c r="G7191" s="9">
        <v>1609</v>
      </c>
      <c r="H7191" s="5" t="s">
        <v>21</v>
      </c>
      <c r="I7191" s="5" t="s">
        <v>17226</v>
      </c>
      <c r="J7191" s="12" t="str">
        <f>HYPERLINK("https://www.boe.es/gazeta/dias/1808/12/16/pdfs/GMD-1808-156.pdf#page=1","Abrir facsímil")</f>
        <v>Abrir facsímil</v>
      </c>
      <c r="K7191" s="15" t="s">
        <v>23</v>
      </c>
    </row>
    <row r="7192" spans="1:11" ht="42" customHeight="1">
      <c r="A7192" s="4" t="s">
        <v>17227</v>
      </c>
      <c r="B7192" s="5" t="s">
        <v>17228</v>
      </c>
      <c r="C7192" s="5" t="s">
        <v>94</v>
      </c>
      <c r="D7192" s="5" t="s">
        <v>95</v>
      </c>
      <c r="E7192" s="5" t="s">
        <v>269</v>
      </c>
      <c r="F7192" s="9" t="s">
        <v>270</v>
      </c>
      <c r="G7192" s="9">
        <v>70</v>
      </c>
      <c r="H7192" s="5" t="s">
        <v>21</v>
      </c>
      <c r="I7192" s="5" t="s">
        <v>17229</v>
      </c>
      <c r="J7192" s="12" t="str">
        <f>HYPERLINK("https://www.boe.es/gazeta/dias/1808/01/19/pdfs/GMD-1808-6.pdf#page=10","Abrir facsímil")</f>
        <v>Abrir facsímil</v>
      </c>
      <c r="K7192" s="15" t="s">
        <v>23</v>
      </c>
    </row>
    <row r="7193" spans="1:11" ht="42" customHeight="1">
      <c r="A7193" s="4" t="s">
        <v>17230</v>
      </c>
      <c r="B7193" s="5" t="s">
        <v>17231</v>
      </c>
      <c r="C7193" s="5" t="s">
        <v>33</v>
      </c>
      <c r="D7193" s="5" t="s">
        <v>34</v>
      </c>
      <c r="E7193" s="5" t="s">
        <v>363</v>
      </c>
      <c r="F7193" s="9" t="s">
        <v>364</v>
      </c>
      <c r="G7193" s="9" t="s">
        <v>106</v>
      </c>
      <c r="H7193" s="5" t="s">
        <v>21</v>
      </c>
      <c r="I7193" s="5" t="s">
        <v>17232</v>
      </c>
      <c r="J7193" s="12" t="str">
        <f>HYPERLINK("https://www.boe.es/gazeta/dias/1808/09/20/pdfs/GMD-C-1808-126.pdf#page=3","Abrir facsímil")</f>
        <v>Abrir facsímil</v>
      </c>
      <c r="K7193" s="15" t="s">
        <v>23</v>
      </c>
    </row>
    <row r="7194" spans="1:11" ht="42" customHeight="1">
      <c r="A7194" s="4" t="s">
        <v>17233</v>
      </c>
      <c r="B7194" s="5" t="s">
        <v>17234</v>
      </c>
      <c r="C7194" s="5" t="s">
        <v>33</v>
      </c>
      <c r="D7194" s="5" t="s">
        <v>34</v>
      </c>
      <c r="E7194" s="5" t="s">
        <v>456</v>
      </c>
      <c r="F7194" s="9" t="s">
        <v>748</v>
      </c>
      <c r="G7194" s="9" t="s">
        <v>199</v>
      </c>
      <c r="H7194" s="5" t="s">
        <v>21</v>
      </c>
      <c r="I7194" s="5" t="s">
        <v>17235</v>
      </c>
      <c r="J7194" s="12" t="str">
        <f>HYPERLINK("https://www.boe.es/gazeta/dias/1808/10/14/pdfs/GMD-C-1808-134.pdf#page=2","Abrir facsímil")</f>
        <v>Abrir facsímil</v>
      </c>
      <c r="K7194" s="15" t="s">
        <v>23</v>
      </c>
    </row>
    <row r="7195" spans="1:11" ht="42" customHeight="1">
      <c r="A7195" s="4" t="s">
        <v>17236</v>
      </c>
      <c r="B7195" s="5" t="s">
        <v>17237</v>
      </c>
      <c r="C7195" s="5" t="s">
        <v>33</v>
      </c>
      <c r="D7195" s="5" t="s">
        <v>34</v>
      </c>
      <c r="E7195" s="5" t="s">
        <v>110</v>
      </c>
      <c r="F7195" s="9" t="s">
        <v>828</v>
      </c>
      <c r="G7195" s="9" t="s">
        <v>117</v>
      </c>
      <c r="H7195" s="5" t="s">
        <v>21</v>
      </c>
      <c r="I7195" s="5" t="s">
        <v>17238</v>
      </c>
      <c r="J7195" s="12" t="str">
        <f>HYPERLINK("https://www.boe.es/gazeta/dias/1808/10/28/pdfs/GMD-D-1808-138.pdf#page=1","Abrir facsímil")</f>
        <v>Abrir facsímil</v>
      </c>
      <c r="K7195" s="15" t="s">
        <v>23</v>
      </c>
    </row>
    <row r="7196" spans="1:11" ht="42" customHeight="1">
      <c r="A7196" s="4" t="s">
        <v>17239</v>
      </c>
      <c r="B7196" s="5" t="s">
        <v>17240</v>
      </c>
      <c r="C7196" s="5" t="s">
        <v>41</v>
      </c>
      <c r="D7196" s="5" t="s">
        <v>42</v>
      </c>
      <c r="E7196" s="5" t="s">
        <v>35</v>
      </c>
      <c r="F7196" s="9" t="s">
        <v>36</v>
      </c>
      <c r="G7196" s="9" t="s">
        <v>837</v>
      </c>
      <c r="H7196" s="5" t="s">
        <v>21</v>
      </c>
      <c r="I7196" s="5" t="s">
        <v>17241</v>
      </c>
      <c r="J7196" s="12" t="str">
        <f>HYPERLINK("https://www.boe.es/gazeta/dias/1808/04/22/pdfs/GMD-C-1808-38.pdf#page=10","Abrir facsímil")</f>
        <v>Abrir facsímil</v>
      </c>
      <c r="K7196" s="15" t="s">
        <v>23</v>
      </c>
    </row>
    <row r="7197" spans="1:11" ht="42" customHeight="1">
      <c r="A7197" s="4" t="s">
        <v>17242</v>
      </c>
      <c r="B7197" s="5" t="s">
        <v>17243</v>
      </c>
      <c r="C7197" s="5" t="s">
        <v>33</v>
      </c>
      <c r="D7197" s="5" t="s">
        <v>34</v>
      </c>
      <c r="E7197" s="5" t="s">
        <v>35</v>
      </c>
      <c r="F7197" s="9" t="s">
        <v>36</v>
      </c>
      <c r="G7197" s="9" t="s">
        <v>148</v>
      </c>
      <c r="H7197" s="5" t="s">
        <v>21</v>
      </c>
      <c r="I7197" s="5" t="s">
        <v>17244</v>
      </c>
      <c r="J7197" s="12" t="str">
        <f>HYPERLINK("https://www.boe.es/gazeta/dias/1808/04/22/pdfs/GMD-C-1808-38.pdf#page=38","Abrir facsímil")</f>
        <v>Abrir facsímil</v>
      </c>
      <c r="K7197" s="15" t="s">
        <v>23</v>
      </c>
    </row>
    <row r="7198" spans="1:11" ht="42" customHeight="1">
      <c r="A7198" s="4" t="s">
        <v>17245</v>
      </c>
      <c r="B7198" s="5" t="s">
        <v>17246</v>
      </c>
      <c r="C7198" s="5" t="s">
        <v>41</v>
      </c>
      <c r="D7198" s="5" t="s">
        <v>42</v>
      </c>
      <c r="E7198" s="5" t="s">
        <v>125</v>
      </c>
      <c r="F7198" s="9" t="s">
        <v>397</v>
      </c>
      <c r="G7198" s="9">
        <v>1270</v>
      </c>
      <c r="H7198" s="5" t="s">
        <v>21</v>
      </c>
      <c r="I7198" s="5" t="s">
        <v>17247</v>
      </c>
      <c r="J7198" s="12" t="str">
        <f>HYPERLINK("https://www.boe.es/gazeta/dias/1808/10/07/pdfs/GMD-1808-132.pdf#page=10","Abrir facsímil")</f>
        <v>Abrir facsímil</v>
      </c>
      <c r="K7198" s="15" t="s">
        <v>23</v>
      </c>
    </row>
    <row r="7199" spans="1:11" ht="42" customHeight="1">
      <c r="A7199" s="4" t="s">
        <v>17248</v>
      </c>
      <c r="B7199" s="5" t="s">
        <v>17249</v>
      </c>
      <c r="C7199" s="5" t="s">
        <v>33</v>
      </c>
      <c r="D7199" s="5" t="s">
        <v>34</v>
      </c>
      <c r="E7199" s="5" t="s">
        <v>35</v>
      </c>
      <c r="F7199" s="9" t="s">
        <v>36</v>
      </c>
      <c r="G7199" s="9" t="s">
        <v>655</v>
      </c>
      <c r="H7199" s="5" t="s">
        <v>21</v>
      </c>
      <c r="I7199" s="5" t="s">
        <v>17250</v>
      </c>
      <c r="J7199" s="12" t="str">
        <f>HYPERLINK("https://www.boe.es/gazeta/dias/1808/04/22/pdfs/GMD-C-1808-38.pdf#page=43","Abrir facsímil")</f>
        <v>Abrir facsímil</v>
      </c>
      <c r="K7199" s="15" t="s">
        <v>23</v>
      </c>
    </row>
    <row r="7200" spans="1:11" ht="42" customHeight="1">
      <c r="A7200" s="4" t="s">
        <v>17251</v>
      </c>
      <c r="B7200" s="5" t="s">
        <v>17252</v>
      </c>
      <c r="C7200" s="5" t="s">
        <v>94</v>
      </c>
      <c r="D7200" s="5" t="s">
        <v>95</v>
      </c>
      <c r="E7200" s="5" t="s">
        <v>222</v>
      </c>
      <c r="F7200" s="9" t="s">
        <v>223</v>
      </c>
      <c r="G7200" s="9">
        <v>356</v>
      </c>
      <c r="H7200" s="5" t="s">
        <v>21</v>
      </c>
      <c r="I7200" s="5" t="s">
        <v>17253</v>
      </c>
      <c r="J7200" s="12" t="str">
        <f>HYPERLINK("https://www.boe.es/gazeta/dias/1808/04/08/pdfs/GMD-1808-32.pdf#page=10","Abrir facsímil")</f>
        <v>Abrir facsímil</v>
      </c>
      <c r="K7200" s="15" t="s">
        <v>23</v>
      </c>
    </row>
    <row r="7201" spans="1:11" ht="42" customHeight="1">
      <c r="A7201" s="4" t="s">
        <v>17254</v>
      </c>
      <c r="B7201" s="5" t="s">
        <v>17255</v>
      </c>
      <c r="C7201" s="5" t="s">
        <v>41</v>
      </c>
      <c r="D7201" s="5" t="s">
        <v>42</v>
      </c>
      <c r="E7201" s="5" t="s">
        <v>139</v>
      </c>
      <c r="F7201" s="9" t="s">
        <v>1089</v>
      </c>
      <c r="G7201" s="9" t="s">
        <v>106</v>
      </c>
      <c r="H7201" s="5" t="s">
        <v>21</v>
      </c>
      <c r="I7201" s="5" t="s">
        <v>17256</v>
      </c>
      <c r="J7201" s="12" t="str">
        <f>HYPERLINK("https://www.boe.es/gazeta/dias/1808/09/23/pdfs/GMD-C-1808-127.pdf#page=3","Abrir facsímil")</f>
        <v>Abrir facsímil</v>
      </c>
      <c r="K7201" s="15" t="s">
        <v>23</v>
      </c>
    </row>
    <row r="7202" spans="1:11" ht="42" customHeight="1">
      <c r="A7202" s="4" t="s">
        <v>17257</v>
      </c>
      <c r="B7202" s="5" t="s">
        <v>17258</v>
      </c>
      <c r="C7202" s="5" t="s">
        <v>17</v>
      </c>
      <c r="D7202" s="5" t="s">
        <v>18</v>
      </c>
      <c r="E7202" s="5" t="s">
        <v>3365</v>
      </c>
      <c r="F7202" s="9" t="s">
        <v>3366</v>
      </c>
      <c r="G7202" s="9">
        <v>123</v>
      </c>
      <c r="H7202" s="5" t="s">
        <v>21</v>
      </c>
      <c r="I7202" s="5" t="s">
        <v>17259</v>
      </c>
      <c r="J7202" s="12" t="str">
        <f>HYPERLINK("https://www.boe.es/gazeta/dias/1808/07/23/pdfs/GMS-1808-16.pdf#page=3","Abrir facsímil")</f>
        <v>Abrir facsímil</v>
      </c>
      <c r="K7202" s="15" t="s">
        <v>23</v>
      </c>
    </row>
    <row r="7203" spans="1:11" ht="42" customHeight="1">
      <c r="A7203" s="4" t="s">
        <v>17260</v>
      </c>
      <c r="B7203" s="5" t="s">
        <v>17261</v>
      </c>
      <c r="C7203" s="5" t="s">
        <v>17</v>
      </c>
      <c r="D7203" s="5" t="s">
        <v>18</v>
      </c>
      <c r="E7203" s="5" t="s">
        <v>28</v>
      </c>
      <c r="F7203" s="9" t="s">
        <v>29</v>
      </c>
      <c r="G7203" s="9">
        <v>1428</v>
      </c>
      <c r="H7203" s="5" t="s">
        <v>21</v>
      </c>
      <c r="I7203" s="5" t="s">
        <v>17262</v>
      </c>
      <c r="J7203" s="12" t="str">
        <f>HYPERLINK("https://www.boe.es/gazeta/dias/1808/11/04/pdfs/GMD-1808-141.pdf#page=10","Abrir facsímil")</f>
        <v>Abrir facsímil</v>
      </c>
      <c r="K7203" s="15" t="s">
        <v>23</v>
      </c>
    </row>
    <row r="7204" spans="1:11" ht="42" customHeight="1">
      <c r="A7204" s="4" t="s">
        <v>17260</v>
      </c>
      <c r="B7204" s="5" t="s">
        <v>17261</v>
      </c>
      <c r="C7204" s="5" t="s">
        <v>33</v>
      </c>
      <c r="D7204" s="5" t="s">
        <v>34</v>
      </c>
      <c r="E7204" s="5" t="s">
        <v>427</v>
      </c>
      <c r="F7204" s="9" t="s">
        <v>428</v>
      </c>
      <c r="G7204" s="9" t="s">
        <v>75</v>
      </c>
      <c r="H7204" s="5" t="s">
        <v>21</v>
      </c>
      <c r="I7204" s="5" t="s">
        <v>17263</v>
      </c>
      <c r="J7204" s="12" t="str">
        <f>HYPERLINK("https://www.boe.es/gazeta/dias/1808/11/22/pdfs/GMD-D-1808-146.pdf#page=4","Abrir facsímil")</f>
        <v>Abrir facsímil</v>
      </c>
      <c r="K7204" s="15" t="s">
        <v>23</v>
      </c>
    </row>
    <row r="7205" spans="1:11" ht="42" customHeight="1">
      <c r="A7205" s="4" t="s">
        <v>17260</v>
      </c>
      <c r="B7205" s="5" t="s">
        <v>17261</v>
      </c>
      <c r="C7205" s="5" t="s">
        <v>17</v>
      </c>
      <c r="D7205" s="5" t="s">
        <v>18</v>
      </c>
      <c r="E7205" s="5" t="s">
        <v>130</v>
      </c>
      <c r="F7205" s="9" t="s">
        <v>131</v>
      </c>
      <c r="G7205" s="9">
        <v>1604</v>
      </c>
      <c r="H7205" s="5" t="s">
        <v>21</v>
      </c>
      <c r="I7205" s="5" t="s">
        <v>17264</v>
      </c>
      <c r="J7205" s="12" t="str">
        <f>HYPERLINK("https://www.boe.es/gazeta/dias/1808/12/15/pdfs/GMD-1808-155.pdf#page=8","Abrir facsímil")</f>
        <v>Abrir facsímil</v>
      </c>
      <c r="K7205" s="15" t="s">
        <v>23</v>
      </c>
    </row>
    <row r="7206" spans="1:11" ht="42" customHeight="1">
      <c r="A7206" s="4" t="s">
        <v>17265</v>
      </c>
      <c r="B7206" s="5" t="s">
        <v>17266</v>
      </c>
      <c r="C7206" s="5" t="s">
        <v>33</v>
      </c>
      <c r="D7206" s="5" t="s">
        <v>34</v>
      </c>
      <c r="E7206" s="5" t="s">
        <v>35</v>
      </c>
      <c r="F7206" s="9" t="s">
        <v>36</v>
      </c>
      <c r="G7206" s="9" t="s">
        <v>956</v>
      </c>
      <c r="H7206" s="5" t="s">
        <v>21</v>
      </c>
      <c r="I7206" s="5" t="s">
        <v>17267</v>
      </c>
      <c r="J7206" s="12" t="str">
        <f>HYPERLINK("https://www.boe.es/gazeta/dias/1808/04/22/pdfs/GMD-C-1808-38.pdf#page=41","Abrir facsímil")</f>
        <v>Abrir facsímil</v>
      </c>
      <c r="K7206" s="15" t="s">
        <v>23</v>
      </c>
    </row>
    <row r="7207" spans="1:11" ht="42" customHeight="1">
      <c r="A7207" s="4" t="s">
        <v>17268</v>
      </c>
      <c r="B7207" s="5" t="s">
        <v>17269</v>
      </c>
      <c r="C7207" s="5" t="s">
        <v>94</v>
      </c>
      <c r="D7207" s="5" t="s">
        <v>95</v>
      </c>
      <c r="E7207" s="5" t="s">
        <v>68</v>
      </c>
      <c r="F7207" s="9" t="s">
        <v>69</v>
      </c>
      <c r="G7207" s="9">
        <v>1339</v>
      </c>
      <c r="H7207" s="5" t="s">
        <v>21</v>
      </c>
      <c r="I7207" s="5" t="s">
        <v>17270</v>
      </c>
      <c r="J7207" s="12" t="str">
        <f>HYPERLINK("https://www.boe.es/gazeta/dias/1808/10/21/pdfs/GMD-1808-136.pdf#page=11","Abrir facsímil")</f>
        <v>Abrir facsímil</v>
      </c>
      <c r="K7207" s="15" t="s">
        <v>23</v>
      </c>
    </row>
    <row r="7208" spans="1:11" ht="42" customHeight="1">
      <c r="A7208" s="4" t="s">
        <v>17271</v>
      </c>
      <c r="B7208" s="5" t="s">
        <v>17272</v>
      </c>
      <c r="C7208" s="5" t="s">
        <v>33</v>
      </c>
      <c r="D7208" s="5" t="s">
        <v>34</v>
      </c>
      <c r="E7208" s="5" t="s">
        <v>125</v>
      </c>
      <c r="F7208" s="9" t="s">
        <v>126</v>
      </c>
      <c r="G7208" s="9" t="s">
        <v>117</v>
      </c>
      <c r="H7208" s="5" t="s">
        <v>21</v>
      </c>
      <c r="I7208" s="5" t="s">
        <v>17273</v>
      </c>
      <c r="J7208" s="12" t="str">
        <f>HYPERLINK("https://www.boe.es/gazeta/dias/1808/10/07/pdfs/GMD-C-1808-132.pdf#page=1","Abrir facsímil")</f>
        <v>Abrir facsímil</v>
      </c>
      <c r="K7208" s="15" t="s">
        <v>23</v>
      </c>
    </row>
    <row r="7209" spans="1:11" ht="42" customHeight="1">
      <c r="A7209" s="4" t="s">
        <v>17274</v>
      </c>
      <c r="B7209" s="5" t="s">
        <v>17275</v>
      </c>
      <c r="C7209" s="5" t="s">
        <v>17</v>
      </c>
      <c r="D7209" s="5" t="s">
        <v>18</v>
      </c>
      <c r="E7209" s="5" t="s">
        <v>61</v>
      </c>
      <c r="F7209" s="9" t="s">
        <v>62</v>
      </c>
      <c r="G7209" s="9">
        <v>1286</v>
      </c>
      <c r="H7209" s="5" t="s">
        <v>21</v>
      </c>
      <c r="I7209" s="5" t="s">
        <v>17276</v>
      </c>
      <c r="J7209" s="12" t="str">
        <f>HYPERLINK("https://www.boe.es/gazeta/dias/1808/10/11/pdfs/GMD-1808-133.pdf#page=14","Abrir facsímil")</f>
        <v>Abrir facsímil</v>
      </c>
      <c r="K7209" s="15" t="s">
        <v>23</v>
      </c>
    </row>
    <row r="7210" spans="1:11" ht="42" customHeight="1">
      <c r="A7210" s="4" t="s">
        <v>17277</v>
      </c>
      <c r="B7210" s="5" t="s">
        <v>17278</v>
      </c>
      <c r="C7210" s="5" t="s">
        <v>33</v>
      </c>
      <c r="D7210" s="5" t="s">
        <v>34</v>
      </c>
      <c r="E7210" s="5" t="s">
        <v>35</v>
      </c>
      <c r="F7210" s="9" t="s">
        <v>36</v>
      </c>
      <c r="G7210" s="9" t="s">
        <v>299</v>
      </c>
      <c r="H7210" s="5" t="s">
        <v>21</v>
      </c>
      <c r="I7210" s="5" t="s">
        <v>17279</v>
      </c>
      <c r="J7210" s="12" t="str">
        <f>HYPERLINK("https://www.boe.es/gazeta/dias/1808/04/22/pdfs/GMD-C-1808-38.pdf#page=14","Abrir facsímil")</f>
        <v>Abrir facsímil</v>
      </c>
      <c r="K7210" s="15" t="s">
        <v>23</v>
      </c>
    </row>
    <row r="7211" spans="1:11" ht="42" customHeight="1">
      <c r="A7211" s="4" t="s">
        <v>17280</v>
      </c>
      <c r="B7211" s="5" t="s">
        <v>17281</v>
      </c>
      <c r="C7211" s="5" t="s">
        <v>260</v>
      </c>
      <c r="D7211" s="5" t="s">
        <v>42</v>
      </c>
      <c r="E7211" s="5" t="s">
        <v>207</v>
      </c>
      <c r="F7211" s="9" t="s">
        <v>208</v>
      </c>
      <c r="G7211" s="9">
        <v>196</v>
      </c>
      <c r="H7211" s="5" t="s">
        <v>21</v>
      </c>
      <c r="I7211" s="5" t="s">
        <v>17282</v>
      </c>
      <c r="J7211" s="12" t="str">
        <f>HYPERLINK("https://www.boe.es/gazeta/dias/1808/02/23/pdfs/GMD-1808-16.pdf#page=10","Abrir facsímil")</f>
        <v>Abrir facsímil</v>
      </c>
      <c r="K7211" s="15" t="s">
        <v>23</v>
      </c>
    </row>
    <row r="7212" spans="1:11" ht="42" customHeight="1">
      <c r="A7212" s="4" t="s">
        <v>17280</v>
      </c>
      <c r="B7212" s="5" t="s">
        <v>17281</v>
      </c>
      <c r="C7212" s="5" t="s">
        <v>33</v>
      </c>
      <c r="D7212" s="5" t="s">
        <v>34</v>
      </c>
      <c r="E7212" s="5" t="s">
        <v>558</v>
      </c>
      <c r="F7212" s="9" t="s">
        <v>758</v>
      </c>
      <c r="G7212" s="9" t="s">
        <v>75</v>
      </c>
      <c r="H7212" s="5" t="s">
        <v>21</v>
      </c>
      <c r="I7212" s="5" t="s">
        <v>17283</v>
      </c>
      <c r="J7212" s="12" t="str">
        <f>HYPERLINK("https://www.boe.es/gazeta/dias/1808/11/25/pdfs/GMD-E-1808-147.pdf#page=4","Abrir facsímil")</f>
        <v>Abrir facsímil</v>
      </c>
      <c r="K7212" s="15" t="s">
        <v>23</v>
      </c>
    </row>
    <row r="7213" spans="1:11" ht="42" customHeight="1">
      <c r="A7213" s="4" t="s">
        <v>17284</v>
      </c>
      <c r="B7213" s="5" t="s">
        <v>17285</v>
      </c>
      <c r="C7213" s="5" t="s">
        <v>33</v>
      </c>
      <c r="D7213" s="5" t="s">
        <v>34</v>
      </c>
      <c r="E7213" s="5" t="s">
        <v>89</v>
      </c>
      <c r="F7213" s="9" t="s">
        <v>563</v>
      </c>
      <c r="G7213" s="9" t="s">
        <v>117</v>
      </c>
      <c r="H7213" s="5" t="s">
        <v>21</v>
      </c>
      <c r="I7213" s="5" t="s">
        <v>17286</v>
      </c>
      <c r="J7213" s="12" t="str">
        <f>HYPERLINK("https://www.boe.es/gazeta/dias/1808/10/25/pdfs/GMD-D-1808-137.pdf#page=1","Abrir facsímil")</f>
        <v>Abrir facsímil</v>
      </c>
      <c r="K7213" s="15" t="s">
        <v>23</v>
      </c>
    </row>
    <row r="7214" spans="1:11" ht="42" customHeight="1">
      <c r="A7214" s="4" t="s">
        <v>17287</v>
      </c>
      <c r="B7214" s="5" t="s">
        <v>17287</v>
      </c>
      <c r="C7214" s="5" t="s">
        <v>33</v>
      </c>
      <c r="D7214" s="5" t="s">
        <v>34</v>
      </c>
      <c r="E7214" s="5" t="s">
        <v>35</v>
      </c>
      <c r="F7214" s="9" t="s">
        <v>36</v>
      </c>
      <c r="G7214" s="9" t="s">
        <v>818</v>
      </c>
      <c r="H7214" s="5" t="s">
        <v>21</v>
      </c>
      <c r="I7214" s="5" t="s">
        <v>17288</v>
      </c>
      <c r="J7214" s="12" t="str">
        <f>HYPERLINK("https://www.boe.es/gazeta/dias/1808/04/22/pdfs/GMD-C-1808-38.pdf#page=7","Abrir facsímil")</f>
        <v>Abrir facsímil</v>
      </c>
      <c r="K7214" s="15" t="s">
        <v>23</v>
      </c>
    </row>
    <row r="7215" spans="1:11" ht="42" customHeight="1">
      <c r="A7215" s="4" t="s">
        <v>17289</v>
      </c>
      <c r="B7215" s="5" t="s">
        <v>17289</v>
      </c>
      <c r="C7215" s="5" t="s">
        <v>33</v>
      </c>
      <c r="D7215" s="5" t="s">
        <v>34</v>
      </c>
      <c r="E7215" s="5" t="s">
        <v>35</v>
      </c>
      <c r="F7215" s="9" t="s">
        <v>36</v>
      </c>
      <c r="G7215" s="9" t="s">
        <v>924</v>
      </c>
      <c r="H7215" s="5" t="s">
        <v>21</v>
      </c>
      <c r="I7215" s="5" t="s">
        <v>17290</v>
      </c>
      <c r="J7215" s="12" t="str">
        <f>HYPERLINK("https://www.boe.es/gazeta/dias/1808/04/22/pdfs/GMD-C-1808-38.pdf#page=27","Abrir facsímil")</f>
        <v>Abrir facsímil</v>
      </c>
      <c r="K7215" s="15" t="s">
        <v>23</v>
      </c>
    </row>
    <row r="7216" spans="1:11" ht="42" customHeight="1">
      <c r="A7216" s="4" t="s">
        <v>17291</v>
      </c>
      <c r="B7216" s="5" t="s">
        <v>17292</v>
      </c>
      <c r="C7216" s="5" t="s">
        <v>33</v>
      </c>
      <c r="D7216" s="5" t="s">
        <v>34</v>
      </c>
      <c r="E7216" s="5" t="s">
        <v>35</v>
      </c>
      <c r="F7216" s="9" t="s">
        <v>36</v>
      </c>
      <c r="G7216" s="9" t="s">
        <v>117</v>
      </c>
      <c r="H7216" s="5" t="s">
        <v>21</v>
      </c>
      <c r="I7216" s="5" t="s">
        <v>17293</v>
      </c>
      <c r="J7216" s="12" t="str">
        <f>HYPERLINK("https://www.boe.es/gazeta/dias/1808/04/22/pdfs/GMD-C-1808-38.pdf#page=1","Abrir facsímil")</f>
        <v>Abrir facsímil</v>
      </c>
      <c r="K7216" s="15" t="s">
        <v>23</v>
      </c>
    </row>
    <row r="7217" spans="1:11" ht="42" customHeight="1">
      <c r="A7217" s="4" t="s">
        <v>17291</v>
      </c>
      <c r="B7217" s="5" t="s">
        <v>17292</v>
      </c>
      <c r="C7217" s="5" t="s">
        <v>33</v>
      </c>
      <c r="D7217" s="5" t="s">
        <v>34</v>
      </c>
      <c r="E7217" s="5" t="s">
        <v>35</v>
      </c>
      <c r="F7217" s="9" t="s">
        <v>36</v>
      </c>
      <c r="G7217" s="9" t="s">
        <v>443</v>
      </c>
      <c r="H7217" s="5" t="s">
        <v>21</v>
      </c>
      <c r="I7217" s="5" t="s">
        <v>17294</v>
      </c>
      <c r="J7217" s="12" t="str">
        <f>HYPERLINK("https://www.boe.es/gazeta/dias/1808/04/22/pdfs/GMD-C-1808-38.pdf#page=16","Abrir facsímil")</f>
        <v>Abrir facsímil</v>
      </c>
      <c r="K7217" s="15" t="s">
        <v>23</v>
      </c>
    </row>
    <row r="7218" spans="1:11" ht="42" customHeight="1">
      <c r="A7218" s="4" t="s">
        <v>17291</v>
      </c>
      <c r="B7218" s="5" t="s">
        <v>17292</v>
      </c>
      <c r="C7218" s="5" t="s">
        <v>33</v>
      </c>
      <c r="D7218" s="5" t="s">
        <v>34</v>
      </c>
      <c r="E7218" s="5" t="s">
        <v>35</v>
      </c>
      <c r="F7218" s="9" t="s">
        <v>36</v>
      </c>
      <c r="G7218" s="9" t="s">
        <v>199</v>
      </c>
      <c r="H7218" s="5" t="s">
        <v>21</v>
      </c>
      <c r="I7218" s="5" t="s">
        <v>17295</v>
      </c>
      <c r="J7218" s="12" t="str">
        <f>HYPERLINK("https://www.boe.es/gazeta/dias/1808/04/22/pdfs/GMD-C-1808-38.pdf#page=2","Abrir facsímil")</f>
        <v>Abrir facsímil</v>
      </c>
      <c r="K7218" s="15" t="s">
        <v>23</v>
      </c>
    </row>
    <row r="7219" spans="1:11" ht="42" customHeight="1">
      <c r="A7219" s="4" t="s">
        <v>17291</v>
      </c>
      <c r="B7219" s="5" t="s">
        <v>17292</v>
      </c>
      <c r="C7219" s="5" t="s">
        <v>33</v>
      </c>
      <c r="D7219" s="5" t="s">
        <v>34</v>
      </c>
      <c r="E7219" s="5" t="s">
        <v>35</v>
      </c>
      <c r="F7219" s="9" t="s">
        <v>36</v>
      </c>
      <c r="G7219" s="9" t="s">
        <v>284</v>
      </c>
      <c r="H7219" s="5" t="s">
        <v>21</v>
      </c>
      <c r="I7219" s="5" t="s">
        <v>17296</v>
      </c>
      <c r="J7219" s="12" t="str">
        <f>HYPERLINK("https://www.boe.es/gazeta/dias/1808/04/22/pdfs/GMD-C-1808-38.pdf#page=35","Abrir facsímil")</f>
        <v>Abrir facsímil</v>
      </c>
      <c r="K7219" s="15" t="s">
        <v>23</v>
      </c>
    </row>
    <row r="7220" spans="1:11" ht="42" customHeight="1">
      <c r="A7220" s="4" t="s">
        <v>17291</v>
      </c>
      <c r="B7220" s="5" t="s">
        <v>17292</v>
      </c>
      <c r="C7220" s="5" t="s">
        <v>33</v>
      </c>
      <c r="D7220" s="5" t="s">
        <v>34</v>
      </c>
      <c r="E7220" s="5" t="s">
        <v>35</v>
      </c>
      <c r="F7220" s="9" t="s">
        <v>36</v>
      </c>
      <c r="G7220" s="9" t="s">
        <v>144</v>
      </c>
      <c r="H7220" s="5" t="s">
        <v>21</v>
      </c>
      <c r="I7220" s="5" t="s">
        <v>17297</v>
      </c>
      <c r="J7220" s="12" t="str">
        <f>HYPERLINK("https://www.boe.es/gazeta/dias/1808/04/22/pdfs/GMD-C-1808-38.pdf#page=40","Abrir facsímil")</f>
        <v>Abrir facsímil</v>
      </c>
      <c r="K7220" s="15" t="s">
        <v>23</v>
      </c>
    </row>
    <row r="7221" spans="1:11" ht="42" customHeight="1">
      <c r="A7221" s="4" t="s">
        <v>17298</v>
      </c>
      <c r="B7221" s="5" t="s">
        <v>17299</v>
      </c>
      <c r="C7221" s="5" t="s">
        <v>389</v>
      </c>
      <c r="D7221" s="5" t="s">
        <v>390</v>
      </c>
      <c r="E7221" s="5" t="s">
        <v>572</v>
      </c>
      <c r="F7221" s="9" t="s">
        <v>573</v>
      </c>
      <c r="G7221" s="9">
        <v>23</v>
      </c>
      <c r="H7221" s="5" t="s">
        <v>21</v>
      </c>
      <c r="I7221" s="5" t="s">
        <v>17300</v>
      </c>
      <c r="J7221" s="12" t="str">
        <f>HYPERLINK("https://www.boe.es/gazeta/dias/1808/01/05/pdfs/GMD-1808-2.pdf#page=11","Abrir facsímil")</f>
        <v>Abrir facsímil</v>
      </c>
      <c r="K7221" s="15" t="s">
        <v>23</v>
      </c>
    </row>
    <row r="7222" spans="1:11" ht="42" customHeight="1">
      <c r="A7222" s="4" t="s">
        <v>17301</v>
      </c>
      <c r="B7222" s="5" t="s">
        <v>17302</v>
      </c>
      <c r="C7222" s="5" t="s">
        <v>17</v>
      </c>
      <c r="D7222" s="5" t="s">
        <v>18</v>
      </c>
      <c r="E7222" s="5" t="s">
        <v>54</v>
      </c>
      <c r="F7222" s="9" t="s">
        <v>55</v>
      </c>
      <c r="G7222" s="9">
        <v>1083</v>
      </c>
      <c r="H7222" s="5" t="s">
        <v>21</v>
      </c>
      <c r="I7222" s="5" t="s">
        <v>17303</v>
      </c>
      <c r="J7222" s="12" t="str">
        <f>HYPERLINK("https://www.boe.es/gazeta/dias/1808/08/26/pdfs/GMD-1808-117.pdf#page=5","Abrir facsímil")</f>
        <v>Abrir facsímil</v>
      </c>
      <c r="K7222" s="15" t="s">
        <v>23</v>
      </c>
    </row>
    <row r="7223" spans="1:11" ht="42" customHeight="1">
      <c r="A7223" s="4" t="s">
        <v>17301</v>
      </c>
      <c r="B7223" s="5" t="s">
        <v>17302</v>
      </c>
      <c r="C7223" s="5" t="s">
        <v>17</v>
      </c>
      <c r="D7223" s="5" t="s">
        <v>18</v>
      </c>
      <c r="E7223" s="5" t="s">
        <v>68</v>
      </c>
      <c r="F7223" s="9" t="s">
        <v>69</v>
      </c>
      <c r="G7223" s="9">
        <v>1336</v>
      </c>
      <c r="H7223" s="5" t="s">
        <v>21</v>
      </c>
      <c r="I7223" s="5" t="s">
        <v>17304</v>
      </c>
      <c r="J7223" s="12" t="str">
        <f>HYPERLINK("https://www.boe.es/gazeta/dias/1808/10/21/pdfs/GMD-1808-136.pdf#page=8","Abrir facsímil")</f>
        <v>Abrir facsímil</v>
      </c>
      <c r="K7223" s="15" t="s">
        <v>23</v>
      </c>
    </row>
    <row r="7224" spans="1:11" ht="42" customHeight="1">
      <c r="A7224" s="4" t="s">
        <v>17301</v>
      </c>
      <c r="B7224" s="5" t="s">
        <v>17302</v>
      </c>
      <c r="C7224" s="5" t="s">
        <v>94</v>
      </c>
      <c r="D7224" s="5" t="s">
        <v>95</v>
      </c>
      <c r="E7224" s="5" t="s">
        <v>89</v>
      </c>
      <c r="F7224" s="9" t="s">
        <v>2031</v>
      </c>
      <c r="G7224" s="9">
        <v>344</v>
      </c>
      <c r="H7224" s="5" t="s">
        <v>21</v>
      </c>
      <c r="I7224" s="5" t="s">
        <v>17305</v>
      </c>
      <c r="J7224" s="12" t="str">
        <f>HYPERLINK("https://www.boe.es/gazeta/dias/1808/10/25/pdfs/GMS-1808-43.pdf#page=8","Abrir facsímil")</f>
        <v>Abrir facsímil</v>
      </c>
      <c r="K7224" s="15" t="s">
        <v>23</v>
      </c>
    </row>
    <row r="7225" spans="1:11" ht="42" customHeight="1">
      <c r="A7225" s="4" t="s">
        <v>17301</v>
      </c>
      <c r="B7225" s="5" t="s">
        <v>17302</v>
      </c>
      <c r="C7225" s="5" t="s">
        <v>17</v>
      </c>
      <c r="D7225" s="5" t="s">
        <v>18</v>
      </c>
      <c r="E7225" s="5" t="s">
        <v>197</v>
      </c>
      <c r="F7225" s="9" t="s">
        <v>857</v>
      </c>
      <c r="G7225" s="9">
        <v>356</v>
      </c>
      <c r="H7225" s="5" t="s">
        <v>21</v>
      </c>
      <c r="I7225" s="5" t="s">
        <v>17306</v>
      </c>
      <c r="J7225" s="12" t="str">
        <f>HYPERLINK("https://www.boe.es/gazeta/dias/1808/11/01/pdfs/GMS-1808-45.pdf#page=4","Abrir facsímil")</f>
        <v>Abrir facsímil</v>
      </c>
      <c r="K7225" s="15" t="s">
        <v>23</v>
      </c>
    </row>
    <row r="7226" spans="1:11" ht="42" customHeight="1">
      <c r="A7226" s="4" t="s">
        <v>17301</v>
      </c>
      <c r="B7226" s="5" t="s">
        <v>17302</v>
      </c>
      <c r="C7226" s="5" t="s">
        <v>94</v>
      </c>
      <c r="D7226" s="5" t="s">
        <v>95</v>
      </c>
      <c r="E7226" s="5" t="s">
        <v>2524</v>
      </c>
      <c r="F7226" s="9" t="s">
        <v>4648</v>
      </c>
      <c r="G7226" s="9">
        <v>476</v>
      </c>
      <c r="H7226" s="5" t="s">
        <v>21</v>
      </c>
      <c r="I7226" s="5" t="s">
        <v>17307</v>
      </c>
      <c r="J7226" s="12" t="str">
        <f>HYPERLINK("https://www.boe.es/gazeta/dias/1808/12/23/pdfs/GMS-1808-60.pdf#page=4","Abrir facsímil")</f>
        <v>Abrir facsímil</v>
      </c>
      <c r="K7226" s="15" t="s">
        <v>23</v>
      </c>
    </row>
    <row r="7227" spans="1:11" ht="42" customHeight="1">
      <c r="A7227" s="4" t="s">
        <v>17308</v>
      </c>
      <c r="B7227" s="5" t="s">
        <v>17308</v>
      </c>
      <c r="C7227" s="5" t="s">
        <v>33</v>
      </c>
      <c r="D7227" s="5" t="s">
        <v>34</v>
      </c>
      <c r="E7227" s="5" t="s">
        <v>115</v>
      </c>
      <c r="F7227" s="9" t="s">
        <v>116</v>
      </c>
      <c r="G7227" s="9" t="s">
        <v>75</v>
      </c>
      <c r="H7227" s="5" t="s">
        <v>21</v>
      </c>
      <c r="I7227" s="5" t="s">
        <v>17309</v>
      </c>
      <c r="J7227" s="12" t="str">
        <f>HYPERLINK("https://www.boe.es/gazeta/dias/1808/09/16/pdfs/GMD-C-1808-125.pdf#page=4","Abrir facsímil")</f>
        <v>Abrir facsímil</v>
      </c>
      <c r="K7227" s="15" t="s">
        <v>23</v>
      </c>
    </row>
    <row r="7228" spans="1:11" ht="42" customHeight="1">
      <c r="A7228" s="4" t="s">
        <v>17310</v>
      </c>
      <c r="B7228" s="5" t="s">
        <v>17311</v>
      </c>
      <c r="C7228" s="5" t="s">
        <v>33</v>
      </c>
      <c r="D7228" s="5" t="s">
        <v>34</v>
      </c>
      <c r="E7228" s="5" t="s">
        <v>35</v>
      </c>
      <c r="F7228" s="9" t="s">
        <v>36</v>
      </c>
      <c r="G7228" s="9" t="s">
        <v>814</v>
      </c>
      <c r="H7228" s="5" t="s">
        <v>21</v>
      </c>
      <c r="I7228" s="5" t="s">
        <v>17312</v>
      </c>
      <c r="J7228" s="12" t="str">
        <f>HYPERLINK("https://www.boe.es/gazeta/dias/1808/04/22/pdfs/GMD-C-1808-38.pdf#page=25","Abrir facsímil")</f>
        <v>Abrir facsímil</v>
      </c>
      <c r="K7228" s="15" t="s">
        <v>23</v>
      </c>
    </row>
    <row r="7229" spans="1:11" ht="42" customHeight="1">
      <c r="A7229" s="4" t="s">
        <v>17313</v>
      </c>
      <c r="B7229" s="5" t="s">
        <v>17314</v>
      </c>
      <c r="C7229" s="5" t="s">
        <v>17</v>
      </c>
      <c r="D7229" s="5" t="s">
        <v>18</v>
      </c>
      <c r="E7229" s="5" t="s">
        <v>65</v>
      </c>
      <c r="F7229" s="9" t="s">
        <v>66</v>
      </c>
      <c r="G7229" s="9">
        <v>1307</v>
      </c>
      <c r="H7229" s="5" t="s">
        <v>21</v>
      </c>
      <c r="I7229" s="5" t="s">
        <v>17315</v>
      </c>
      <c r="J7229" s="12" t="str">
        <f>HYPERLINK("https://www.boe.es/gazeta/dias/1808/10/18/pdfs/GMD-1808-135.pdf#page=7","Abrir facsímil")</f>
        <v>Abrir facsímil</v>
      </c>
      <c r="K7229" s="15" t="s">
        <v>23</v>
      </c>
    </row>
    <row r="7230" spans="1:11" ht="42" customHeight="1">
      <c r="A7230" s="4" t="s">
        <v>17316</v>
      </c>
      <c r="B7230" s="5" t="s">
        <v>17316</v>
      </c>
      <c r="C7230" s="5" t="s">
        <v>101</v>
      </c>
      <c r="D7230" s="5" t="s">
        <v>102</v>
      </c>
      <c r="E7230" s="5" t="s">
        <v>228</v>
      </c>
      <c r="F7230" s="9" t="s">
        <v>229</v>
      </c>
      <c r="G7230" s="9">
        <v>831</v>
      </c>
      <c r="H7230" s="5" t="s">
        <v>21</v>
      </c>
      <c r="I7230" s="5" t="s">
        <v>17317</v>
      </c>
      <c r="J7230" s="12" t="str">
        <f>HYPERLINK("https://www.boe.es/gazeta/dias/1808/07/18/pdfs/GMD-1808-90.pdf#page=1","Abrir facsímil")</f>
        <v>Abrir facsímil</v>
      </c>
      <c r="K7230" s="15" t="s">
        <v>23</v>
      </c>
    </row>
    <row r="7231" spans="1:11" ht="42" customHeight="1">
      <c r="A7231" s="4" t="s">
        <v>17318</v>
      </c>
      <c r="B7231" s="5" t="s">
        <v>17319</v>
      </c>
      <c r="C7231" s="5" t="s">
        <v>33</v>
      </c>
      <c r="D7231" s="5" t="s">
        <v>34</v>
      </c>
      <c r="E7231" s="5" t="s">
        <v>456</v>
      </c>
      <c r="F7231" s="9" t="s">
        <v>748</v>
      </c>
      <c r="G7231" s="9" t="s">
        <v>106</v>
      </c>
      <c r="H7231" s="5" t="s">
        <v>21</v>
      </c>
      <c r="I7231" s="5" t="s">
        <v>17320</v>
      </c>
      <c r="J7231" s="12" t="str">
        <f>HYPERLINK("https://www.boe.es/gazeta/dias/1808/10/14/pdfs/GMD-C-1808-134.pdf#page=3","Abrir facsímil")</f>
        <v>Abrir facsímil</v>
      </c>
      <c r="K7231" s="15" t="s">
        <v>23</v>
      </c>
    </row>
    <row r="7232" spans="1:11" ht="42" customHeight="1">
      <c r="A7232" s="4" t="s">
        <v>17321</v>
      </c>
      <c r="B7232" s="5" t="s">
        <v>17322</v>
      </c>
      <c r="C7232" s="5" t="s">
        <v>33</v>
      </c>
      <c r="D7232" s="5" t="s">
        <v>34</v>
      </c>
      <c r="E7232" s="5" t="s">
        <v>197</v>
      </c>
      <c r="F7232" s="9" t="s">
        <v>198</v>
      </c>
      <c r="G7232" s="9" t="s">
        <v>117</v>
      </c>
      <c r="H7232" s="5" t="s">
        <v>21</v>
      </c>
      <c r="I7232" s="5" t="s">
        <v>17323</v>
      </c>
      <c r="J7232" s="12" t="str">
        <f>HYPERLINK("https://www.boe.es/gazeta/dias/1808/11/01/pdfs/GMD-D-1808-140.pdf#page=1","Abrir facsímil")</f>
        <v>Abrir facsímil</v>
      </c>
      <c r="K7232" s="15" t="s">
        <v>23</v>
      </c>
    </row>
    <row r="7233" spans="1:11" ht="42" customHeight="1">
      <c r="A7233" s="4" t="s">
        <v>17324</v>
      </c>
      <c r="B7233" s="5" t="s">
        <v>17325</v>
      </c>
      <c r="C7233" s="5" t="s">
        <v>17</v>
      </c>
      <c r="D7233" s="5" t="s">
        <v>18</v>
      </c>
      <c r="E7233" s="5" t="s">
        <v>207</v>
      </c>
      <c r="F7233" s="9" t="s">
        <v>208</v>
      </c>
      <c r="G7233" s="9">
        <v>196</v>
      </c>
      <c r="H7233" s="5" t="s">
        <v>21</v>
      </c>
      <c r="I7233" s="5" t="s">
        <v>17326</v>
      </c>
      <c r="J7233" s="12" t="str">
        <f>HYPERLINK("https://www.boe.es/gazeta/dias/1808/02/23/pdfs/GMD-1808-16.pdf#page=10","Abrir facsímil")</f>
        <v>Abrir facsímil</v>
      </c>
      <c r="K7233" s="15" t="s">
        <v>23</v>
      </c>
    </row>
    <row r="7234" spans="1:11" ht="42" customHeight="1">
      <c r="A7234" s="4" t="s">
        <v>17327</v>
      </c>
      <c r="B7234" s="5" t="s">
        <v>17328</v>
      </c>
      <c r="C7234" s="5" t="s">
        <v>33</v>
      </c>
      <c r="D7234" s="5" t="s">
        <v>34</v>
      </c>
      <c r="E7234" s="5" t="s">
        <v>363</v>
      </c>
      <c r="F7234" s="9" t="s">
        <v>364</v>
      </c>
      <c r="G7234" s="9" t="s">
        <v>106</v>
      </c>
      <c r="H7234" s="5" t="s">
        <v>21</v>
      </c>
      <c r="I7234" s="5" t="s">
        <v>17329</v>
      </c>
      <c r="J7234" s="12" t="str">
        <f>HYPERLINK("https://www.boe.es/gazeta/dias/1808/09/20/pdfs/GMD-C-1808-126.pdf#page=3","Abrir facsímil")</f>
        <v>Abrir facsímil</v>
      </c>
      <c r="K7234" s="15" t="s">
        <v>23</v>
      </c>
    </row>
    <row r="7235" spans="1:11" ht="42" customHeight="1">
      <c r="A7235" s="4" t="s">
        <v>17330</v>
      </c>
      <c r="B7235" s="5" t="s">
        <v>17331</v>
      </c>
      <c r="C7235" s="5" t="s">
        <v>33</v>
      </c>
      <c r="D7235" s="5" t="s">
        <v>34</v>
      </c>
      <c r="E7235" s="5" t="s">
        <v>125</v>
      </c>
      <c r="F7235" s="9" t="s">
        <v>126</v>
      </c>
      <c r="G7235" s="9" t="s">
        <v>117</v>
      </c>
      <c r="H7235" s="5" t="s">
        <v>21</v>
      </c>
      <c r="I7235" s="5" t="s">
        <v>17332</v>
      </c>
      <c r="J7235" s="12" t="str">
        <f>HYPERLINK("https://www.boe.es/gazeta/dias/1808/10/07/pdfs/GMD-C-1808-132.pdf#page=1","Abrir facsímil")</f>
        <v>Abrir facsímil</v>
      </c>
      <c r="K7235" s="15" t="s">
        <v>23</v>
      </c>
    </row>
    <row r="7236" spans="1:11" ht="42" customHeight="1">
      <c r="A7236" s="4" t="s">
        <v>17333</v>
      </c>
      <c r="B7236" s="5" t="s">
        <v>17334</v>
      </c>
      <c r="C7236" s="5" t="s">
        <v>33</v>
      </c>
      <c r="D7236" s="5" t="s">
        <v>34</v>
      </c>
      <c r="E7236" s="5" t="s">
        <v>35</v>
      </c>
      <c r="F7236" s="9" t="s">
        <v>36</v>
      </c>
      <c r="G7236" s="9" t="s">
        <v>867</v>
      </c>
      <c r="H7236" s="5" t="s">
        <v>21</v>
      </c>
      <c r="I7236" s="5" t="s">
        <v>17335</v>
      </c>
      <c r="J7236" s="12" t="str">
        <f>HYPERLINK("https://www.boe.es/gazeta/dias/1808/04/22/pdfs/GMD-C-1808-38.pdf#page=19","Abrir facsímil")</f>
        <v>Abrir facsímil</v>
      </c>
      <c r="K7236" s="15" t="s">
        <v>23</v>
      </c>
    </row>
    <row r="7237" spans="1:11" ht="42" customHeight="1">
      <c r="A7237" s="4" t="s">
        <v>17333</v>
      </c>
      <c r="B7237" s="5" t="s">
        <v>17334</v>
      </c>
      <c r="C7237" s="5" t="s">
        <v>33</v>
      </c>
      <c r="D7237" s="5" t="s">
        <v>34</v>
      </c>
      <c r="E7237" s="5" t="s">
        <v>35</v>
      </c>
      <c r="F7237" s="9" t="s">
        <v>36</v>
      </c>
      <c r="G7237" s="9" t="s">
        <v>135</v>
      </c>
      <c r="H7237" s="5" t="s">
        <v>21</v>
      </c>
      <c r="I7237" s="5" t="s">
        <v>17336</v>
      </c>
      <c r="J7237" s="12" t="str">
        <f>HYPERLINK("https://www.boe.es/gazeta/dias/1808/04/22/pdfs/GMD-C-1808-38.pdf#page=26","Abrir facsímil")</f>
        <v>Abrir facsímil</v>
      </c>
      <c r="K7237" s="15" t="s">
        <v>23</v>
      </c>
    </row>
    <row r="7238" spans="1:11" ht="42" customHeight="1">
      <c r="A7238" s="4" t="s">
        <v>17337</v>
      </c>
      <c r="B7238" s="5" t="s">
        <v>17338</v>
      </c>
      <c r="C7238" s="5" t="s">
        <v>17</v>
      </c>
      <c r="D7238" s="5" t="s">
        <v>18</v>
      </c>
      <c r="E7238" s="5" t="s">
        <v>1466</v>
      </c>
      <c r="F7238" s="9" t="s">
        <v>1467</v>
      </c>
      <c r="G7238" s="9">
        <v>58</v>
      </c>
      <c r="H7238" s="5" t="s">
        <v>21</v>
      </c>
      <c r="I7238" s="5" t="s">
        <v>17339</v>
      </c>
      <c r="J7238" s="12" t="str">
        <f>HYPERLINK("https://www.boe.es/gazeta/dias/1808/01/15/pdfs/GMD-1808-5.pdf#page=10","Abrir facsímil")</f>
        <v>Abrir facsímil</v>
      </c>
      <c r="K7238" s="15" t="s">
        <v>23</v>
      </c>
    </row>
    <row r="7239" spans="1:11" ht="42" customHeight="1">
      <c r="A7239" s="4" t="s">
        <v>17340</v>
      </c>
      <c r="B7239" s="5" t="s">
        <v>17341</v>
      </c>
      <c r="C7239" s="5" t="s">
        <v>260</v>
      </c>
      <c r="D7239" s="5" t="s">
        <v>42</v>
      </c>
      <c r="E7239" s="5" t="s">
        <v>115</v>
      </c>
      <c r="F7239" s="9" t="s">
        <v>1650</v>
      </c>
      <c r="G7239" s="9">
        <v>1177</v>
      </c>
      <c r="H7239" s="5" t="s">
        <v>21</v>
      </c>
      <c r="I7239" s="5" t="s">
        <v>17342</v>
      </c>
      <c r="J7239" s="12" t="str">
        <f>HYPERLINK("https://www.boe.es/gazeta/dias/1808/09/16/pdfs/GMD-1808-125.pdf#page=9","Abrir facsímil")</f>
        <v>Abrir facsímil</v>
      </c>
      <c r="K7239" s="15" t="s">
        <v>23</v>
      </c>
    </row>
    <row r="7240" spans="1:11" ht="42" customHeight="1">
      <c r="A7240" s="4" t="s">
        <v>17343</v>
      </c>
      <c r="B7240" s="5" t="s">
        <v>17344</v>
      </c>
      <c r="C7240" s="5" t="s">
        <v>33</v>
      </c>
      <c r="D7240" s="5" t="s">
        <v>34</v>
      </c>
      <c r="E7240" s="5" t="s">
        <v>35</v>
      </c>
      <c r="F7240" s="9" t="s">
        <v>36</v>
      </c>
      <c r="G7240" s="9" t="s">
        <v>313</v>
      </c>
      <c r="H7240" s="5" t="s">
        <v>21</v>
      </c>
      <c r="I7240" s="5" t="s">
        <v>17345</v>
      </c>
      <c r="J7240" s="12" t="str">
        <f>HYPERLINK("https://www.boe.es/gazeta/dias/1808/04/22/pdfs/GMD-C-1808-38.pdf#page=29","Abrir facsímil")</f>
        <v>Abrir facsímil</v>
      </c>
      <c r="K7240" s="15" t="s">
        <v>23</v>
      </c>
    </row>
    <row r="7241" spans="1:11" ht="42" customHeight="1">
      <c r="A7241" s="4" t="s">
        <v>17346</v>
      </c>
      <c r="B7241" s="5" t="s">
        <v>17347</v>
      </c>
      <c r="C7241" s="5" t="s">
        <v>33</v>
      </c>
      <c r="D7241" s="5" t="s">
        <v>34</v>
      </c>
      <c r="E7241" s="5" t="s">
        <v>35</v>
      </c>
      <c r="F7241" s="9" t="s">
        <v>36</v>
      </c>
      <c r="G7241" s="9" t="s">
        <v>80</v>
      </c>
      <c r="H7241" s="5" t="s">
        <v>21</v>
      </c>
      <c r="I7241" s="5" t="s">
        <v>17348</v>
      </c>
      <c r="J7241" s="12" t="str">
        <f>HYPERLINK("https://www.boe.es/gazeta/dias/1808/04/22/pdfs/GMD-C-1808-38.pdf#page=18","Abrir facsímil")</f>
        <v>Abrir facsímil</v>
      </c>
      <c r="K7241" s="15" t="s">
        <v>23</v>
      </c>
    </row>
    <row r="7242" spans="1:11" ht="42" customHeight="1">
      <c r="A7242" s="4" t="s">
        <v>17349</v>
      </c>
      <c r="B7242" s="5" t="s">
        <v>17350</v>
      </c>
      <c r="C7242" s="5" t="s">
        <v>33</v>
      </c>
      <c r="D7242" s="5" t="s">
        <v>34</v>
      </c>
      <c r="E7242" s="5" t="s">
        <v>28</v>
      </c>
      <c r="F7242" s="9" t="s">
        <v>446</v>
      </c>
      <c r="G7242" s="9" t="s">
        <v>199</v>
      </c>
      <c r="H7242" s="5" t="s">
        <v>21</v>
      </c>
      <c r="I7242" s="5" t="s">
        <v>17351</v>
      </c>
      <c r="J7242" s="12" t="str">
        <f>HYPERLINK("https://www.boe.es/gazeta/dias/1808/11/04/pdfs/GMD-D-1808-141.pdf#page=2","Abrir facsímil")</f>
        <v>Abrir facsímil</v>
      </c>
      <c r="K7242" s="15" t="s">
        <v>23</v>
      </c>
    </row>
    <row r="7243" spans="1:11" ht="42" customHeight="1">
      <c r="A7243" s="4" t="s">
        <v>17352</v>
      </c>
      <c r="B7243" s="5" t="s">
        <v>17353</v>
      </c>
      <c r="C7243" s="5" t="s">
        <v>33</v>
      </c>
      <c r="D7243" s="5" t="s">
        <v>34</v>
      </c>
      <c r="E7243" s="5" t="s">
        <v>391</v>
      </c>
      <c r="F7243" s="9" t="s">
        <v>588</v>
      </c>
      <c r="G7243" s="9" t="s">
        <v>117</v>
      </c>
      <c r="H7243" s="5" t="s">
        <v>21</v>
      </c>
      <c r="I7243" s="5" t="s">
        <v>17354</v>
      </c>
      <c r="J7243" s="12" t="str">
        <f>HYPERLINK("https://www.boe.es/gazeta/dias/1808/09/27/pdfs/GMD-C-1808-128.pdf#page=1","Abrir facsímil")</f>
        <v>Abrir facsímil</v>
      </c>
      <c r="K7243" s="15" t="s">
        <v>23</v>
      </c>
    </row>
    <row r="7244" spans="1:11" ht="42" customHeight="1">
      <c r="A7244" s="4" t="s">
        <v>17355</v>
      </c>
      <c r="B7244" s="5" t="s">
        <v>17356</v>
      </c>
      <c r="C7244" s="5" t="s">
        <v>41</v>
      </c>
      <c r="D7244" s="5" t="s">
        <v>42</v>
      </c>
      <c r="E7244" s="5" t="s">
        <v>35</v>
      </c>
      <c r="F7244" s="9" t="s">
        <v>36</v>
      </c>
      <c r="G7244" s="9" t="s">
        <v>1178</v>
      </c>
      <c r="H7244" s="5" t="s">
        <v>21</v>
      </c>
      <c r="I7244" s="5" t="s">
        <v>17357</v>
      </c>
      <c r="J7244" s="12" t="str">
        <f>HYPERLINK("https://www.boe.es/gazeta/dias/1808/04/22/pdfs/GMD-C-1808-38.pdf#page=9","Abrir facsímil")</f>
        <v>Abrir facsímil</v>
      </c>
      <c r="K7244" s="15" t="s">
        <v>23</v>
      </c>
    </row>
    <row r="7245" spans="1:11" ht="42" customHeight="1">
      <c r="A7245" s="4" t="s">
        <v>17358</v>
      </c>
      <c r="B7245" s="5" t="s">
        <v>17359</v>
      </c>
      <c r="C7245" s="5" t="s">
        <v>33</v>
      </c>
      <c r="D7245" s="5" t="s">
        <v>34</v>
      </c>
      <c r="E7245" s="5" t="s">
        <v>197</v>
      </c>
      <c r="F7245" s="9" t="s">
        <v>198</v>
      </c>
      <c r="G7245" s="9" t="s">
        <v>199</v>
      </c>
      <c r="H7245" s="5" t="s">
        <v>21</v>
      </c>
      <c r="I7245" s="5" t="s">
        <v>17360</v>
      </c>
      <c r="J7245" s="12" t="str">
        <f>HYPERLINK("https://www.boe.es/gazeta/dias/1808/11/01/pdfs/GMD-D-1808-140.pdf#page=2","Abrir facsímil")</f>
        <v>Abrir facsímil</v>
      </c>
      <c r="K7245" s="15" t="s">
        <v>23</v>
      </c>
    </row>
    <row r="7246" spans="1:11" ht="42" customHeight="1">
      <c r="A7246" s="4" t="s">
        <v>17361</v>
      </c>
      <c r="B7246" s="5" t="s">
        <v>17362</v>
      </c>
      <c r="C7246" s="5" t="s">
        <v>33</v>
      </c>
      <c r="D7246" s="5" t="s">
        <v>34</v>
      </c>
      <c r="E7246" s="5" t="s">
        <v>456</v>
      </c>
      <c r="F7246" s="9" t="s">
        <v>748</v>
      </c>
      <c r="G7246" s="9" t="s">
        <v>117</v>
      </c>
      <c r="H7246" s="5" t="s">
        <v>21</v>
      </c>
      <c r="I7246" s="5" t="s">
        <v>17363</v>
      </c>
      <c r="J7246" s="12" t="str">
        <f>HYPERLINK("https://www.boe.es/gazeta/dias/1808/10/14/pdfs/GMD-C-1808-134.pdf#page=1","Abrir facsímil")</f>
        <v>Abrir facsímil</v>
      </c>
      <c r="K7246" s="15" t="s">
        <v>23</v>
      </c>
    </row>
    <row r="7247" spans="1:11" ht="42" customHeight="1">
      <c r="A7247" s="4" t="s">
        <v>17364</v>
      </c>
      <c r="B7247" s="5" t="s">
        <v>17365</v>
      </c>
      <c r="C7247" s="5" t="s">
        <v>260</v>
      </c>
      <c r="D7247" s="5" t="s">
        <v>42</v>
      </c>
      <c r="E7247" s="5" t="s">
        <v>334</v>
      </c>
      <c r="F7247" s="9" t="s">
        <v>1814</v>
      </c>
      <c r="G7247" s="9">
        <v>1247</v>
      </c>
      <c r="H7247" s="5" t="s">
        <v>21</v>
      </c>
      <c r="I7247" s="5" t="s">
        <v>17366</v>
      </c>
      <c r="J7247" s="12" t="str">
        <f>HYPERLINK("https://www.boe.es/gazeta/dias/1808/10/04/pdfs/GMD-1808-131.pdf#page=15","Abrir facsímil")</f>
        <v>Abrir facsímil</v>
      </c>
      <c r="K7247" s="15" t="s">
        <v>23</v>
      </c>
    </row>
    <row r="7248" spans="1:11" ht="42" customHeight="1">
      <c r="A7248" s="4" t="s">
        <v>17367</v>
      </c>
      <c r="B7248" s="5" t="s">
        <v>17368</v>
      </c>
      <c r="C7248" s="5" t="s">
        <v>17</v>
      </c>
      <c r="D7248" s="5" t="s">
        <v>18</v>
      </c>
      <c r="E7248" s="5" t="s">
        <v>508</v>
      </c>
      <c r="F7248" s="9" t="s">
        <v>509</v>
      </c>
      <c r="G7248" s="9">
        <v>1019</v>
      </c>
      <c r="H7248" s="5" t="s">
        <v>21</v>
      </c>
      <c r="I7248" s="5" t="s">
        <v>17369</v>
      </c>
      <c r="J7248" s="12" t="str">
        <f>HYPERLINK("https://www.boe.es/gazeta/dias/1808/08/16/pdfs/GMD-1808-113.pdf#page=11","Abrir facsímil")</f>
        <v>Abrir facsímil</v>
      </c>
      <c r="K7248" s="15" t="s">
        <v>23</v>
      </c>
    </row>
    <row r="7249" spans="1:11" ht="42" customHeight="1">
      <c r="A7249" s="4" t="s">
        <v>17367</v>
      </c>
      <c r="B7249" s="5" t="s">
        <v>17368</v>
      </c>
      <c r="C7249" s="5" t="s">
        <v>33</v>
      </c>
      <c r="D7249" s="5" t="s">
        <v>34</v>
      </c>
      <c r="E7249" s="5" t="s">
        <v>391</v>
      </c>
      <c r="F7249" s="9" t="s">
        <v>588</v>
      </c>
      <c r="G7249" s="9" t="s">
        <v>117</v>
      </c>
      <c r="H7249" s="5" t="s">
        <v>21</v>
      </c>
      <c r="I7249" s="5" t="s">
        <v>17370</v>
      </c>
      <c r="J7249" s="12" t="str">
        <f>HYPERLINK("https://www.boe.es/gazeta/dias/1808/09/27/pdfs/GMD-C-1808-128.pdf#page=1","Abrir facsímil")</f>
        <v>Abrir facsímil</v>
      </c>
      <c r="K7249" s="15" t="s">
        <v>23</v>
      </c>
    </row>
    <row r="7250" spans="1:11" ht="42" customHeight="1">
      <c r="A7250" s="4" t="s">
        <v>17371</v>
      </c>
      <c r="B7250" s="5" t="s">
        <v>17372</v>
      </c>
      <c r="C7250" s="5" t="s">
        <v>33</v>
      </c>
      <c r="D7250" s="5" t="s">
        <v>34</v>
      </c>
      <c r="E7250" s="5" t="s">
        <v>363</v>
      </c>
      <c r="F7250" s="9" t="s">
        <v>364</v>
      </c>
      <c r="G7250" s="9" t="s">
        <v>199</v>
      </c>
      <c r="H7250" s="5" t="s">
        <v>21</v>
      </c>
      <c r="I7250" s="5" t="s">
        <v>17373</v>
      </c>
      <c r="J7250" s="12" t="str">
        <f>HYPERLINK("https://www.boe.es/gazeta/dias/1808/09/20/pdfs/GMD-C-1808-126.pdf#page=2","Abrir facsímil")</f>
        <v>Abrir facsímil</v>
      </c>
      <c r="K7250" s="15" t="s">
        <v>23</v>
      </c>
    </row>
    <row r="7251" spans="1:11" ht="42" customHeight="1">
      <c r="A7251" s="4" t="s">
        <v>17374</v>
      </c>
      <c r="B7251" s="5" t="s">
        <v>17375</v>
      </c>
      <c r="C7251" s="5" t="s">
        <v>94</v>
      </c>
      <c r="D7251" s="5" t="s">
        <v>95</v>
      </c>
      <c r="E7251" s="5" t="s">
        <v>1385</v>
      </c>
      <c r="F7251" s="9" t="s">
        <v>1386</v>
      </c>
      <c r="G7251" s="9">
        <v>231</v>
      </c>
      <c r="H7251" s="5" t="s">
        <v>21</v>
      </c>
      <c r="I7251" s="5" t="s">
        <v>17376</v>
      </c>
      <c r="J7251" s="12" t="str">
        <f>HYPERLINK("https://www.boe.es/gazeta/dias/1808/03/04/pdfs/GMD-1808-19.pdf#page=9","Abrir facsímil")</f>
        <v>Abrir facsímil</v>
      </c>
      <c r="K7251" s="15" t="s">
        <v>23</v>
      </c>
    </row>
    <row r="7252" spans="1:11" ht="42" customHeight="1">
      <c r="A7252" s="4" t="s">
        <v>17377</v>
      </c>
      <c r="B7252" s="5" t="s">
        <v>17378</v>
      </c>
      <c r="C7252" s="5" t="s">
        <v>17</v>
      </c>
      <c r="D7252" s="5" t="s">
        <v>18</v>
      </c>
      <c r="E7252" s="5" t="s">
        <v>139</v>
      </c>
      <c r="F7252" s="9" t="s">
        <v>140</v>
      </c>
      <c r="G7252" s="9">
        <v>1204</v>
      </c>
      <c r="H7252" s="5" t="s">
        <v>21</v>
      </c>
      <c r="I7252" s="5" t="s">
        <v>17379</v>
      </c>
      <c r="J7252" s="12" t="str">
        <f>HYPERLINK("https://www.boe.es/gazeta/dias/1808/09/23/pdfs/GMD-1808-127.pdf#page=12","Abrir facsímil")</f>
        <v>Abrir facsímil</v>
      </c>
      <c r="K7252" s="15" t="s">
        <v>23</v>
      </c>
    </row>
    <row r="7253" spans="1:11" ht="42" customHeight="1">
      <c r="A7253" s="4" t="s">
        <v>17380</v>
      </c>
      <c r="B7253" s="5" t="s">
        <v>17381</v>
      </c>
      <c r="C7253" s="5" t="s">
        <v>33</v>
      </c>
      <c r="D7253" s="5" t="s">
        <v>34</v>
      </c>
      <c r="E7253" s="5" t="s">
        <v>35</v>
      </c>
      <c r="F7253" s="9" t="s">
        <v>36</v>
      </c>
      <c r="G7253" s="9" t="s">
        <v>284</v>
      </c>
      <c r="H7253" s="5" t="s">
        <v>21</v>
      </c>
      <c r="I7253" s="5" t="s">
        <v>17382</v>
      </c>
      <c r="J7253" s="12" t="str">
        <f>HYPERLINK("https://www.boe.es/gazeta/dias/1808/04/22/pdfs/GMD-C-1808-38.pdf#page=35","Abrir facsímil")</f>
        <v>Abrir facsímil</v>
      </c>
      <c r="K7253" s="15" t="s">
        <v>23</v>
      </c>
    </row>
    <row r="7254" spans="1:11" ht="42" customHeight="1">
      <c r="A7254" s="4" t="s">
        <v>17383</v>
      </c>
      <c r="B7254" s="5" t="s">
        <v>17384</v>
      </c>
      <c r="C7254" s="5" t="s">
        <v>33</v>
      </c>
      <c r="D7254" s="5" t="s">
        <v>34</v>
      </c>
      <c r="E7254" s="5" t="s">
        <v>461</v>
      </c>
      <c r="F7254" s="9" t="s">
        <v>462</v>
      </c>
      <c r="G7254" s="9" t="s">
        <v>75</v>
      </c>
      <c r="H7254" s="5" t="s">
        <v>21</v>
      </c>
      <c r="I7254" s="5" t="s">
        <v>17385</v>
      </c>
      <c r="J7254" s="12" t="str">
        <f>HYPERLINK("https://www.boe.es/gazeta/dias/1808/11/08/pdfs/GMD-D-1808-142.pdf#page=4","Abrir facsímil")</f>
        <v>Abrir facsímil</v>
      </c>
      <c r="K7254" s="15" t="s">
        <v>23</v>
      </c>
    </row>
    <row r="7255" spans="1:11" ht="42" customHeight="1">
      <c r="A7255" s="4" t="s">
        <v>17386</v>
      </c>
      <c r="B7255" s="5" t="s">
        <v>17387</v>
      </c>
      <c r="C7255" s="5" t="s">
        <v>33</v>
      </c>
      <c r="D7255" s="5" t="s">
        <v>34</v>
      </c>
      <c r="E7255" s="5" t="s">
        <v>73</v>
      </c>
      <c r="F7255" s="9" t="s">
        <v>74</v>
      </c>
      <c r="G7255" s="9" t="s">
        <v>106</v>
      </c>
      <c r="H7255" s="5" t="s">
        <v>21</v>
      </c>
      <c r="I7255" s="5" t="s">
        <v>17388</v>
      </c>
      <c r="J7255" s="12" t="str">
        <f>HYPERLINK("https://www.boe.es/gazeta/dias/1808/11/11/pdfs/GMD-D-1808-143.pdf#page=3","Abrir facsímil")</f>
        <v>Abrir facsímil</v>
      </c>
      <c r="K7255" s="15" t="s">
        <v>23</v>
      </c>
    </row>
    <row r="7256" spans="1:11" ht="42" customHeight="1">
      <c r="A7256" s="4" t="s">
        <v>17389</v>
      </c>
      <c r="B7256" s="5" t="s">
        <v>17390</v>
      </c>
      <c r="C7256" s="5" t="s">
        <v>260</v>
      </c>
      <c r="D7256" s="5" t="s">
        <v>42</v>
      </c>
      <c r="E7256" s="5" t="s">
        <v>269</v>
      </c>
      <c r="F7256" s="9" t="s">
        <v>270</v>
      </c>
      <c r="G7256" s="9">
        <v>69</v>
      </c>
      <c r="H7256" s="5" t="s">
        <v>21</v>
      </c>
      <c r="I7256" s="5" t="s">
        <v>17391</v>
      </c>
      <c r="J7256" s="12" t="str">
        <f>HYPERLINK("https://www.boe.es/gazeta/dias/1808/01/19/pdfs/GMD-1808-6.pdf#page=9","Abrir facsímil")</f>
        <v>Abrir facsímil</v>
      </c>
      <c r="K7256" s="15" t="s">
        <v>23</v>
      </c>
    </row>
    <row r="7257" spans="1:11" ht="42" customHeight="1">
      <c r="A7257" s="4" t="s">
        <v>17392</v>
      </c>
      <c r="B7257" s="5" t="s">
        <v>17393</v>
      </c>
      <c r="C7257" s="5" t="s">
        <v>33</v>
      </c>
      <c r="D7257" s="5" t="s">
        <v>34</v>
      </c>
      <c r="E7257" s="5" t="s">
        <v>35</v>
      </c>
      <c r="F7257" s="9" t="s">
        <v>36</v>
      </c>
      <c r="G7257" s="9" t="s">
        <v>1075</v>
      </c>
      <c r="H7257" s="5" t="s">
        <v>21</v>
      </c>
      <c r="I7257" s="5" t="s">
        <v>17394</v>
      </c>
      <c r="J7257" s="12" t="str">
        <f>HYPERLINK("https://www.boe.es/gazeta/dias/1808/04/22/pdfs/GMD-C-1808-38.pdf#page=32","Abrir facsímil")</f>
        <v>Abrir facsímil</v>
      </c>
      <c r="K7257" s="15" t="s">
        <v>23</v>
      </c>
    </row>
    <row r="7258" spans="1:11" ht="42" customHeight="1">
      <c r="A7258" s="4" t="s">
        <v>17395</v>
      </c>
      <c r="B7258" s="5" t="s">
        <v>17396</v>
      </c>
      <c r="C7258" s="5" t="s">
        <v>33</v>
      </c>
      <c r="D7258" s="5" t="s">
        <v>34</v>
      </c>
      <c r="E7258" s="5" t="s">
        <v>35</v>
      </c>
      <c r="F7258" s="9" t="s">
        <v>36</v>
      </c>
      <c r="G7258" s="9" t="s">
        <v>47</v>
      </c>
      <c r="H7258" s="5" t="s">
        <v>21</v>
      </c>
      <c r="I7258" s="5" t="s">
        <v>17397</v>
      </c>
      <c r="J7258" s="12" t="str">
        <f>HYPERLINK("https://www.boe.es/gazeta/dias/1808/04/22/pdfs/GMD-C-1808-38.pdf#page=13","Abrir facsímil")</f>
        <v>Abrir facsímil</v>
      </c>
      <c r="K7258" s="15" t="s">
        <v>23</v>
      </c>
    </row>
    <row r="7259" spans="1:11" ht="42" customHeight="1">
      <c r="A7259" s="4" t="s">
        <v>17398</v>
      </c>
      <c r="B7259" s="5" t="s">
        <v>17398</v>
      </c>
      <c r="C7259" s="5" t="s">
        <v>101</v>
      </c>
      <c r="D7259" s="5" t="s">
        <v>102</v>
      </c>
      <c r="E7259" s="5" t="s">
        <v>3439</v>
      </c>
      <c r="F7259" s="9" t="s">
        <v>3440</v>
      </c>
      <c r="G7259" s="9">
        <v>939</v>
      </c>
      <c r="H7259" s="5" t="s">
        <v>21</v>
      </c>
      <c r="I7259" s="5" t="s">
        <v>17399</v>
      </c>
      <c r="J7259" s="12" t="str">
        <f>HYPERLINK("https://www.boe.es/gazeta/dias/1808/07/31/pdfs/GMD-1808-103.pdf#page=5","Abrir facsímil")</f>
        <v>Abrir facsímil</v>
      </c>
      <c r="K7259" s="15" t="s">
        <v>23</v>
      </c>
    </row>
    <row r="7260" spans="1:11" ht="42" customHeight="1">
      <c r="A7260" s="4" t="s">
        <v>17400</v>
      </c>
      <c r="B7260" s="5" t="s">
        <v>17401</v>
      </c>
      <c r="C7260" s="5" t="s">
        <v>17</v>
      </c>
      <c r="D7260" s="5" t="s">
        <v>18</v>
      </c>
      <c r="E7260" s="5" t="s">
        <v>130</v>
      </c>
      <c r="F7260" s="9" t="s">
        <v>131</v>
      </c>
      <c r="G7260" s="9">
        <v>1603</v>
      </c>
      <c r="H7260" s="5" t="s">
        <v>21</v>
      </c>
      <c r="I7260" s="5" t="s">
        <v>17402</v>
      </c>
      <c r="J7260" s="12" t="str">
        <f>HYPERLINK("https://www.boe.es/gazeta/dias/1808/12/15/pdfs/GMD-1808-155.pdf#page=7","Abrir facsímil")</f>
        <v>Abrir facsímil</v>
      </c>
      <c r="K7260" s="15" t="s">
        <v>23</v>
      </c>
    </row>
    <row r="7261" spans="1:11" ht="42" customHeight="1">
      <c r="A7261" s="4" t="s">
        <v>17403</v>
      </c>
      <c r="B7261" s="5" t="s">
        <v>17404</v>
      </c>
      <c r="C7261" s="5" t="s">
        <v>33</v>
      </c>
      <c r="D7261" s="5" t="s">
        <v>34</v>
      </c>
      <c r="E7261" s="5" t="s">
        <v>456</v>
      </c>
      <c r="F7261" s="9" t="s">
        <v>748</v>
      </c>
      <c r="G7261" s="9" t="s">
        <v>106</v>
      </c>
      <c r="H7261" s="5" t="s">
        <v>21</v>
      </c>
      <c r="I7261" s="5" t="s">
        <v>17405</v>
      </c>
      <c r="J7261" s="12" t="str">
        <f>HYPERLINK("https://www.boe.es/gazeta/dias/1808/10/14/pdfs/GMD-C-1808-134.pdf#page=3","Abrir facsímil")</f>
        <v>Abrir facsímil</v>
      </c>
      <c r="K7261" s="15" t="s">
        <v>23</v>
      </c>
    </row>
    <row r="7262" spans="1:11" ht="42" customHeight="1">
      <c r="A7262" s="4" t="s">
        <v>17406</v>
      </c>
      <c r="B7262" s="5" t="s">
        <v>17407</v>
      </c>
      <c r="C7262" s="5" t="s">
        <v>33</v>
      </c>
      <c r="D7262" s="5" t="s">
        <v>34</v>
      </c>
      <c r="E7262" s="5" t="s">
        <v>35</v>
      </c>
      <c r="F7262" s="9" t="s">
        <v>36</v>
      </c>
      <c r="G7262" s="9" t="s">
        <v>162</v>
      </c>
      <c r="H7262" s="5" t="s">
        <v>21</v>
      </c>
      <c r="I7262" s="5" t="s">
        <v>17408</v>
      </c>
      <c r="J7262" s="12" t="str">
        <f>HYPERLINK("https://www.boe.es/gazeta/dias/1808/04/22/pdfs/GMD-C-1808-38.pdf#page=31","Abrir facsímil")</f>
        <v>Abrir facsímil</v>
      </c>
      <c r="K7262" s="15" t="s">
        <v>23</v>
      </c>
    </row>
    <row r="7263" spans="1:11" ht="42" customHeight="1">
      <c r="A7263" s="4" t="s">
        <v>17409</v>
      </c>
      <c r="B7263" s="5" t="s">
        <v>17409</v>
      </c>
      <c r="C7263" s="5" t="s">
        <v>17</v>
      </c>
      <c r="D7263" s="5" t="s">
        <v>18</v>
      </c>
      <c r="E7263" s="5" t="s">
        <v>1148</v>
      </c>
      <c r="F7263" s="9" t="s">
        <v>1149</v>
      </c>
      <c r="G7263" s="9">
        <v>508</v>
      </c>
      <c r="H7263" s="5" t="s">
        <v>21</v>
      </c>
      <c r="I7263" s="5" t="s">
        <v>17410</v>
      </c>
      <c r="J7263" s="12" t="str">
        <f>HYPERLINK("https://www.boe.es/gazeta/dias/1808/05/27/pdfs/GMD-1808-50.pdf#page=12","Abrir facsímil")</f>
        <v>Abrir facsímil</v>
      </c>
      <c r="K7263" s="15" t="s">
        <v>23</v>
      </c>
    </row>
    <row r="7264" spans="1:11" ht="42" customHeight="1">
      <c r="A7264" s="4" t="s">
        <v>17411</v>
      </c>
      <c r="B7264" s="5" t="s">
        <v>17411</v>
      </c>
      <c r="C7264" s="5" t="s">
        <v>17</v>
      </c>
      <c r="D7264" s="5" t="s">
        <v>18</v>
      </c>
      <c r="E7264" s="5" t="s">
        <v>339</v>
      </c>
      <c r="F7264" s="9" t="s">
        <v>340</v>
      </c>
      <c r="G7264" s="9">
        <v>81</v>
      </c>
      <c r="H7264" s="5" t="s">
        <v>21</v>
      </c>
      <c r="I7264" s="5" t="s">
        <v>17412</v>
      </c>
      <c r="J7264" s="12" t="str">
        <f>HYPERLINK("https://www.boe.es/gazeta/dias/1808/01/22/pdfs/GMD-1808-7.pdf#page=9","Abrir facsímil")</f>
        <v>Abrir facsímil</v>
      </c>
      <c r="K7264" s="15" t="s">
        <v>23</v>
      </c>
    </row>
    <row r="7265" spans="1:11" ht="42" customHeight="1">
      <c r="A7265" s="4" t="s">
        <v>17413</v>
      </c>
      <c r="B7265" s="5" t="s">
        <v>17414</v>
      </c>
      <c r="C7265" s="5" t="s">
        <v>41</v>
      </c>
      <c r="D7265" s="5" t="s">
        <v>42</v>
      </c>
      <c r="E7265" s="5" t="s">
        <v>153</v>
      </c>
      <c r="F7265" s="9" t="s">
        <v>154</v>
      </c>
      <c r="G7265" s="9" t="s">
        <v>117</v>
      </c>
      <c r="H7265" s="5" t="s">
        <v>21</v>
      </c>
      <c r="I7265" s="5" t="s">
        <v>17415</v>
      </c>
      <c r="J7265" s="12" t="str">
        <f>HYPERLINK("https://www.boe.es/gazeta/dias/1808/09/09/pdfs/GMD-C-1808-121.pdf#page=1","Abrir facsímil")</f>
        <v>Abrir facsímil</v>
      </c>
      <c r="K7265" s="15" t="s">
        <v>23</v>
      </c>
    </row>
    <row r="7266" spans="1:11" ht="42" customHeight="1">
      <c r="A7266" s="4" t="s">
        <v>17413</v>
      </c>
      <c r="B7266" s="5" t="s">
        <v>17414</v>
      </c>
      <c r="C7266" s="5" t="s">
        <v>94</v>
      </c>
      <c r="D7266" s="5" t="s">
        <v>95</v>
      </c>
      <c r="E7266" s="5" t="s">
        <v>68</v>
      </c>
      <c r="F7266" s="9" t="s">
        <v>69</v>
      </c>
      <c r="G7266" s="9">
        <v>1339</v>
      </c>
      <c r="H7266" s="5" t="s">
        <v>21</v>
      </c>
      <c r="I7266" s="5" t="s">
        <v>17416</v>
      </c>
      <c r="J7266" s="12" t="str">
        <f>HYPERLINK("https://www.boe.es/gazeta/dias/1808/10/21/pdfs/GMD-1808-136.pdf#page=11","Abrir facsímil")</f>
        <v>Abrir facsímil</v>
      </c>
      <c r="K7266" s="15" t="s">
        <v>23</v>
      </c>
    </row>
    <row r="7267" spans="1:11" ht="42" customHeight="1">
      <c r="A7267" s="4" t="s">
        <v>17417</v>
      </c>
      <c r="B7267" s="5" t="s">
        <v>17418</v>
      </c>
      <c r="C7267" s="5" t="s">
        <v>33</v>
      </c>
      <c r="D7267" s="5" t="s">
        <v>34</v>
      </c>
      <c r="E7267" s="5" t="s">
        <v>35</v>
      </c>
      <c r="F7267" s="9" t="s">
        <v>36</v>
      </c>
      <c r="G7267" s="9" t="s">
        <v>1860</v>
      </c>
      <c r="H7267" s="5" t="s">
        <v>21</v>
      </c>
      <c r="I7267" s="5" t="s">
        <v>17419</v>
      </c>
      <c r="J7267" s="12" t="str">
        <f>HYPERLINK("https://www.boe.es/gazeta/dias/1808/04/22/pdfs/GMD-C-1808-38.pdf#page=37","Abrir facsímil")</f>
        <v>Abrir facsímil</v>
      </c>
      <c r="K7267" s="15" t="s">
        <v>23</v>
      </c>
    </row>
    <row r="7268" spans="1:11" ht="42" customHeight="1">
      <c r="A7268" s="4" t="s">
        <v>17420</v>
      </c>
      <c r="B7268" s="5" t="s">
        <v>17421</v>
      </c>
      <c r="C7268" s="5" t="s">
        <v>33</v>
      </c>
      <c r="D7268" s="5" t="s">
        <v>34</v>
      </c>
      <c r="E7268" s="5" t="s">
        <v>35</v>
      </c>
      <c r="F7268" s="9" t="s">
        <v>36</v>
      </c>
      <c r="G7268" s="9" t="s">
        <v>37</v>
      </c>
      <c r="H7268" s="5" t="s">
        <v>21</v>
      </c>
      <c r="I7268" s="5" t="s">
        <v>17422</v>
      </c>
      <c r="J7268" s="12" t="str">
        <f>HYPERLINK("https://www.boe.es/gazeta/dias/1808/04/22/pdfs/GMD-C-1808-38.pdf#page=33","Abrir facsímil")</f>
        <v>Abrir facsímil</v>
      </c>
      <c r="K7268" s="15" t="s">
        <v>23</v>
      </c>
    </row>
    <row r="7269" spans="1:11" ht="42" customHeight="1">
      <c r="A7269" s="4" t="s">
        <v>17423</v>
      </c>
      <c r="B7269" s="5" t="s">
        <v>17424</v>
      </c>
      <c r="C7269" s="5" t="s">
        <v>33</v>
      </c>
      <c r="D7269" s="5" t="s">
        <v>34</v>
      </c>
      <c r="E7269" s="5" t="s">
        <v>139</v>
      </c>
      <c r="F7269" s="9" t="s">
        <v>1089</v>
      </c>
      <c r="G7269" s="9" t="s">
        <v>75</v>
      </c>
      <c r="H7269" s="5" t="s">
        <v>21</v>
      </c>
      <c r="I7269" s="5" t="s">
        <v>17425</v>
      </c>
      <c r="J7269" s="12" t="str">
        <f>HYPERLINK("https://www.boe.es/gazeta/dias/1808/09/23/pdfs/GMD-C-1808-127.pdf#page=4","Abrir facsímil")</f>
        <v>Abrir facsímil</v>
      </c>
      <c r="K7269" s="15" t="s">
        <v>23</v>
      </c>
    </row>
    <row r="7270" spans="1:11" ht="42" customHeight="1">
      <c r="A7270" s="4" t="s">
        <v>17423</v>
      </c>
      <c r="B7270" s="5" t="s">
        <v>17424</v>
      </c>
      <c r="C7270" s="5" t="s">
        <v>17</v>
      </c>
      <c r="D7270" s="5" t="s">
        <v>18</v>
      </c>
      <c r="E7270" s="5" t="s">
        <v>558</v>
      </c>
      <c r="F7270" s="9" t="s">
        <v>559</v>
      </c>
      <c r="G7270" s="9">
        <v>1545</v>
      </c>
      <c r="H7270" s="5" t="s">
        <v>21</v>
      </c>
      <c r="I7270" s="5" t="s">
        <v>17426</v>
      </c>
      <c r="J7270" s="12" t="str">
        <f>HYPERLINK("https://www.boe.es/gazeta/dias/1808/11/25/pdfs/GMD-1808-147.pdf#page=11","Abrir facsímil")</f>
        <v>Abrir facsímil</v>
      </c>
      <c r="K7270" s="15" t="s">
        <v>23</v>
      </c>
    </row>
    <row r="7271" spans="1:11" ht="42" customHeight="1">
      <c r="A7271" s="4" t="s">
        <v>17427</v>
      </c>
      <c r="B7271" s="5" t="s">
        <v>17428</v>
      </c>
      <c r="C7271" s="5" t="s">
        <v>33</v>
      </c>
      <c r="D7271" s="5" t="s">
        <v>34</v>
      </c>
      <c r="E7271" s="5" t="s">
        <v>456</v>
      </c>
      <c r="F7271" s="9" t="s">
        <v>748</v>
      </c>
      <c r="G7271" s="9" t="s">
        <v>199</v>
      </c>
      <c r="H7271" s="5" t="s">
        <v>21</v>
      </c>
      <c r="I7271" s="5" t="s">
        <v>17429</v>
      </c>
      <c r="J7271" s="12" t="str">
        <f>HYPERLINK("https://www.boe.es/gazeta/dias/1808/10/14/pdfs/GMD-C-1808-134.pdf#page=2","Abrir facsímil")</f>
        <v>Abrir facsímil</v>
      </c>
      <c r="K7271" s="15" t="s">
        <v>23</v>
      </c>
    </row>
    <row r="7272" spans="1:11" ht="42" customHeight="1">
      <c r="A7272" s="4" t="s">
        <v>17430</v>
      </c>
      <c r="B7272" s="5" t="s">
        <v>17431</v>
      </c>
      <c r="C7272" s="5" t="s">
        <v>17</v>
      </c>
      <c r="D7272" s="5" t="s">
        <v>18</v>
      </c>
      <c r="E7272" s="5" t="s">
        <v>513</v>
      </c>
      <c r="F7272" s="9" t="s">
        <v>514</v>
      </c>
      <c r="G7272" s="9">
        <v>288</v>
      </c>
      <c r="H7272" s="5" t="s">
        <v>21</v>
      </c>
      <c r="I7272" s="5" t="s">
        <v>17432</v>
      </c>
      <c r="J7272" s="12" t="str">
        <f>HYPERLINK("https://www.boe.es/gazeta/dias/1808/03/22/pdfs/GMD-1808-24.pdf#page=10","Abrir facsímil")</f>
        <v>Abrir facsímil</v>
      </c>
      <c r="K7272" s="15" t="s">
        <v>23</v>
      </c>
    </row>
    <row r="7273" spans="1:11" ht="42" customHeight="1">
      <c r="A7273" s="4" t="s">
        <v>17433</v>
      </c>
      <c r="B7273" s="5" t="s">
        <v>17434</v>
      </c>
      <c r="C7273" s="5" t="s">
        <v>17</v>
      </c>
      <c r="D7273" s="5" t="s">
        <v>18</v>
      </c>
      <c r="E7273" s="5" t="s">
        <v>634</v>
      </c>
      <c r="F7273" s="9" t="s">
        <v>635</v>
      </c>
      <c r="G7273" s="9">
        <v>918</v>
      </c>
      <c r="H7273" s="5" t="s">
        <v>21</v>
      </c>
      <c r="I7273" s="5" t="s">
        <v>17435</v>
      </c>
      <c r="J7273" s="12" t="str">
        <f>HYPERLINK("https://www.boe.es/gazeta/dias/1808/07/28/pdfs/GMD-1808-100.pdf#page=8","Abrir facsímil")</f>
        <v>Abrir facsímil</v>
      </c>
      <c r="K7273" s="15" t="s">
        <v>23</v>
      </c>
    </row>
    <row r="7274" spans="1:11" ht="42" customHeight="1">
      <c r="A7274" s="4" t="s">
        <v>17436</v>
      </c>
      <c r="B7274" s="5" t="s">
        <v>17437</v>
      </c>
      <c r="C7274" s="5" t="s">
        <v>260</v>
      </c>
      <c r="D7274" s="5" t="s">
        <v>42</v>
      </c>
      <c r="E7274" s="5" t="s">
        <v>35</v>
      </c>
      <c r="F7274" s="9" t="s">
        <v>3452</v>
      </c>
      <c r="G7274" s="9">
        <v>402</v>
      </c>
      <c r="H7274" s="5" t="s">
        <v>21</v>
      </c>
      <c r="I7274" s="5" t="s">
        <v>17438</v>
      </c>
      <c r="J7274" s="12" t="str">
        <f>HYPERLINK("https://www.boe.es/gazeta/dias/1808/04/22/pdfs/GMD-1808-38.pdf#page=10","Abrir facsímil")</f>
        <v>Abrir facsímil</v>
      </c>
      <c r="K7274" s="15" t="s">
        <v>23</v>
      </c>
    </row>
    <row r="7275" spans="1:11" ht="42" customHeight="1">
      <c r="A7275" s="4" t="s">
        <v>17439</v>
      </c>
      <c r="B7275" s="5" t="s">
        <v>17440</v>
      </c>
      <c r="C7275" s="5" t="s">
        <v>17</v>
      </c>
      <c r="D7275" s="5" t="s">
        <v>18</v>
      </c>
      <c r="E7275" s="5" t="s">
        <v>139</v>
      </c>
      <c r="F7275" s="9" t="s">
        <v>140</v>
      </c>
      <c r="G7275" s="9">
        <v>1203</v>
      </c>
      <c r="H7275" s="5" t="s">
        <v>21</v>
      </c>
      <c r="I7275" s="5" t="s">
        <v>17441</v>
      </c>
      <c r="J7275" s="12" t="str">
        <f>HYPERLINK("https://www.boe.es/gazeta/dias/1808/09/23/pdfs/GMD-1808-127.pdf#page=11","Abrir facsímil")</f>
        <v>Abrir facsímil</v>
      </c>
      <c r="K7275" s="15" t="s">
        <v>23</v>
      </c>
    </row>
    <row r="7276" spans="1:11" ht="42" customHeight="1">
      <c r="A7276" s="4" t="s">
        <v>17439</v>
      </c>
      <c r="B7276" s="5" t="s">
        <v>17440</v>
      </c>
      <c r="C7276" s="5" t="s">
        <v>33</v>
      </c>
      <c r="D7276" s="5" t="s">
        <v>34</v>
      </c>
      <c r="E7276" s="5" t="s">
        <v>68</v>
      </c>
      <c r="F7276" s="9" t="s">
        <v>309</v>
      </c>
      <c r="G7276" s="9" t="s">
        <v>106</v>
      </c>
      <c r="H7276" s="5" t="s">
        <v>21</v>
      </c>
      <c r="I7276" s="5" t="s">
        <v>17442</v>
      </c>
      <c r="J7276" s="12" t="str">
        <f>HYPERLINK("https://www.boe.es/gazeta/dias/1808/10/21/pdfs/GMD-D-1808-136.pdf#page=3","Abrir facsímil")</f>
        <v>Abrir facsímil</v>
      </c>
      <c r="K7276" s="15" t="s">
        <v>23</v>
      </c>
    </row>
    <row r="7277" spans="1:11" ht="42" customHeight="1">
      <c r="A7277" s="4" t="s">
        <v>17443</v>
      </c>
      <c r="B7277" s="5" t="s">
        <v>17444</v>
      </c>
      <c r="C7277" s="5" t="s">
        <v>94</v>
      </c>
      <c r="D7277" s="5" t="s">
        <v>95</v>
      </c>
      <c r="E7277" s="5" t="s">
        <v>68</v>
      </c>
      <c r="F7277" s="9" t="s">
        <v>69</v>
      </c>
      <c r="G7277" s="9">
        <v>1339</v>
      </c>
      <c r="H7277" s="5" t="s">
        <v>21</v>
      </c>
      <c r="I7277" s="5" t="s">
        <v>17445</v>
      </c>
      <c r="J7277" s="12" t="str">
        <f>HYPERLINK("https://www.boe.es/gazeta/dias/1808/10/21/pdfs/GMD-1808-136.pdf#page=11","Abrir facsímil")</f>
        <v>Abrir facsímil</v>
      </c>
      <c r="K7277" s="15" t="s">
        <v>23</v>
      </c>
    </row>
    <row r="7278" spans="1:11" ht="42" customHeight="1">
      <c r="A7278" s="4" t="s">
        <v>17443</v>
      </c>
      <c r="B7278" s="5" t="s">
        <v>17444</v>
      </c>
      <c r="C7278" s="5" t="s">
        <v>41</v>
      </c>
      <c r="D7278" s="5" t="s">
        <v>42</v>
      </c>
      <c r="E7278" s="5" t="s">
        <v>461</v>
      </c>
      <c r="F7278" s="9" t="s">
        <v>462</v>
      </c>
      <c r="G7278" s="9" t="s">
        <v>75</v>
      </c>
      <c r="H7278" s="5" t="s">
        <v>21</v>
      </c>
      <c r="I7278" s="5" t="s">
        <v>17446</v>
      </c>
      <c r="J7278" s="12" t="str">
        <f>HYPERLINK("https://www.boe.es/gazeta/dias/1808/11/08/pdfs/GMD-D-1808-142.pdf#page=4","Abrir facsímil")</f>
        <v>Abrir facsímil</v>
      </c>
      <c r="K7278" s="15" t="s">
        <v>23</v>
      </c>
    </row>
    <row r="7279" spans="1:11" ht="42" customHeight="1">
      <c r="A7279" s="4" t="s">
        <v>17447</v>
      </c>
      <c r="B7279" s="5" t="s">
        <v>17448</v>
      </c>
      <c r="C7279" s="5" t="s">
        <v>94</v>
      </c>
      <c r="D7279" s="5" t="s">
        <v>95</v>
      </c>
      <c r="E7279" s="5" t="s">
        <v>139</v>
      </c>
      <c r="F7279" s="9" t="s">
        <v>140</v>
      </c>
      <c r="G7279" s="9">
        <v>1202</v>
      </c>
      <c r="H7279" s="5" t="s">
        <v>21</v>
      </c>
      <c r="I7279" s="5" t="s">
        <v>17449</v>
      </c>
      <c r="J7279" s="12" t="str">
        <f>HYPERLINK("https://www.boe.es/gazeta/dias/1808/09/23/pdfs/GMD-1808-127.pdf#page=10","Abrir facsímil")</f>
        <v>Abrir facsímil</v>
      </c>
      <c r="K7279" s="15" t="s">
        <v>23</v>
      </c>
    </row>
    <row r="7280" spans="1:11" ht="42" customHeight="1">
      <c r="A7280" s="4" t="s">
        <v>17447</v>
      </c>
      <c r="B7280" s="5" t="s">
        <v>17448</v>
      </c>
      <c r="C7280" s="5" t="s">
        <v>17</v>
      </c>
      <c r="D7280" s="5" t="s">
        <v>18</v>
      </c>
      <c r="E7280" s="5" t="s">
        <v>719</v>
      </c>
      <c r="F7280" s="9" t="s">
        <v>720</v>
      </c>
      <c r="G7280" s="9">
        <v>1609</v>
      </c>
      <c r="H7280" s="5" t="s">
        <v>21</v>
      </c>
      <c r="I7280" s="5" t="s">
        <v>17450</v>
      </c>
      <c r="J7280" s="12" t="str">
        <f>HYPERLINK("https://www.boe.es/gazeta/dias/1808/12/16/pdfs/GMD-1808-156.pdf#page=1","Abrir facsímil")</f>
        <v>Abrir facsímil</v>
      </c>
      <c r="K7280" s="15" t="s">
        <v>23</v>
      </c>
    </row>
    <row r="7281" spans="1:11" ht="42" customHeight="1">
      <c r="A7281" s="4" t="s">
        <v>17451</v>
      </c>
      <c r="B7281" s="5" t="s">
        <v>17452</v>
      </c>
      <c r="C7281" s="5" t="s">
        <v>33</v>
      </c>
      <c r="D7281" s="5" t="s">
        <v>34</v>
      </c>
      <c r="E7281" s="5" t="s">
        <v>35</v>
      </c>
      <c r="F7281" s="9" t="s">
        <v>36</v>
      </c>
      <c r="G7281" s="9" t="s">
        <v>284</v>
      </c>
      <c r="H7281" s="5" t="s">
        <v>21</v>
      </c>
      <c r="I7281" s="5" t="s">
        <v>17453</v>
      </c>
      <c r="J7281" s="12" t="str">
        <f>HYPERLINK("https://www.boe.es/gazeta/dias/1808/04/22/pdfs/GMD-C-1808-38.pdf#page=35","Abrir facsímil")</f>
        <v>Abrir facsímil</v>
      </c>
      <c r="K7281" s="15" t="s">
        <v>23</v>
      </c>
    </row>
    <row r="7282" spans="1:11" ht="42" customHeight="1">
      <c r="A7282" s="4" t="s">
        <v>17454</v>
      </c>
      <c r="B7282" s="5" t="s">
        <v>17455</v>
      </c>
      <c r="C7282" s="5" t="s">
        <v>41</v>
      </c>
      <c r="D7282" s="5" t="s">
        <v>42</v>
      </c>
      <c r="E7282" s="5" t="s">
        <v>461</v>
      </c>
      <c r="F7282" s="9" t="s">
        <v>462</v>
      </c>
      <c r="G7282" s="9" t="s">
        <v>199</v>
      </c>
      <c r="H7282" s="5" t="s">
        <v>21</v>
      </c>
      <c r="I7282" s="5" t="s">
        <v>17456</v>
      </c>
      <c r="J7282" s="12" t="str">
        <f>HYPERLINK("https://www.boe.es/gazeta/dias/1808/11/08/pdfs/GMD-D-1808-142.pdf#page=2","Abrir facsímil")</f>
        <v>Abrir facsímil</v>
      </c>
      <c r="K7282" s="15" t="s">
        <v>23</v>
      </c>
    </row>
    <row r="7283" spans="1:11" ht="42" customHeight="1">
      <c r="A7283" s="4" t="s">
        <v>17457</v>
      </c>
      <c r="B7283" s="5" t="s">
        <v>17458</v>
      </c>
      <c r="C7283" s="5" t="s">
        <v>41</v>
      </c>
      <c r="D7283" s="5" t="s">
        <v>42</v>
      </c>
      <c r="E7283" s="5" t="s">
        <v>35</v>
      </c>
      <c r="F7283" s="9" t="s">
        <v>36</v>
      </c>
      <c r="G7283" s="9" t="s">
        <v>43</v>
      </c>
      <c r="H7283" s="5" t="s">
        <v>21</v>
      </c>
      <c r="I7283" s="5" t="s">
        <v>17459</v>
      </c>
      <c r="J7283" s="12" t="str">
        <f>HYPERLINK("https://www.boe.es/gazeta/dias/1808/04/22/pdfs/GMD-C-1808-38.pdf#page=30","Abrir facsímil")</f>
        <v>Abrir facsímil</v>
      </c>
      <c r="K7283" s="15" t="s">
        <v>23</v>
      </c>
    </row>
    <row r="7284" spans="1:11" ht="42" customHeight="1">
      <c r="A7284" s="4" t="s">
        <v>17460</v>
      </c>
      <c r="B7284" s="5" t="s">
        <v>17461</v>
      </c>
      <c r="C7284" s="5" t="s">
        <v>17</v>
      </c>
      <c r="D7284" s="5" t="s">
        <v>18</v>
      </c>
      <c r="E7284" s="5" t="s">
        <v>110</v>
      </c>
      <c r="F7284" s="9" t="s">
        <v>111</v>
      </c>
      <c r="G7284" s="9">
        <v>1380</v>
      </c>
      <c r="H7284" s="5" t="s">
        <v>21</v>
      </c>
      <c r="I7284" s="5" t="s">
        <v>17462</v>
      </c>
      <c r="J7284" s="12" t="str">
        <f>HYPERLINK("https://www.boe.es/gazeta/dias/1808/10/28/pdfs/GMD-1808-138.pdf#page=6","Abrir facsímil")</f>
        <v>Abrir facsímil</v>
      </c>
      <c r="K7284" s="15" t="s">
        <v>23</v>
      </c>
    </row>
    <row r="7285" spans="1:11" ht="42" customHeight="1">
      <c r="A7285" s="4" t="s">
        <v>17463</v>
      </c>
      <c r="B7285" s="5" t="s">
        <v>17464</v>
      </c>
      <c r="C7285" s="5" t="s">
        <v>33</v>
      </c>
      <c r="D7285" s="5" t="s">
        <v>34</v>
      </c>
      <c r="E7285" s="5" t="s">
        <v>35</v>
      </c>
      <c r="F7285" s="9" t="s">
        <v>36</v>
      </c>
      <c r="G7285" s="9" t="s">
        <v>43</v>
      </c>
      <c r="H7285" s="5" t="s">
        <v>21</v>
      </c>
      <c r="I7285" s="5" t="s">
        <v>17465</v>
      </c>
      <c r="J7285" s="12" t="str">
        <f>HYPERLINK("https://www.boe.es/gazeta/dias/1808/04/22/pdfs/GMD-C-1808-38.pdf#page=30","Abrir facsímil")</f>
        <v>Abrir facsímil</v>
      </c>
      <c r="K7285" s="15" t="s">
        <v>23</v>
      </c>
    </row>
    <row r="7286" spans="1:11" ht="42" customHeight="1">
      <c r="A7286" s="4" t="s">
        <v>17463</v>
      </c>
      <c r="B7286" s="5" t="s">
        <v>17464</v>
      </c>
      <c r="C7286" s="5" t="s">
        <v>17</v>
      </c>
      <c r="D7286" s="5" t="s">
        <v>18</v>
      </c>
      <c r="E7286" s="5" t="s">
        <v>558</v>
      </c>
      <c r="F7286" s="9" t="s">
        <v>559</v>
      </c>
      <c r="G7286" s="9">
        <v>1544</v>
      </c>
      <c r="H7286" s="5" t="s">
        <v>21</v>
      </c>
      <c r="I7286" s="5" t="s">
        <v>17466</v>
      </c>
      <c r="J7286" s="12" t="str">
        <f>HYPERLINK("https://www.boe.es/gazeta/dias/1808/11/25/pdfs/GMD-1808-147.pdf#page=10","Abrir facsímil")</f>
        <v>Abrir facsímil</v>
      </c>
      <c r="K7286" s="15" t="s">
        <v>23</v>
      </c>
    </row>
    <row r="7287" spans="1:11" ht="42" customHeight="1">
      <c r="A7287" s="4" t="s">
        <v>17467</v>
      </c>
      <c r="B7287" s="5" t="s">
        <v>17468</v>
      </c>
      <c r="C7287" s="5" t="s">
        <v>94</v>
      </c>
      <c r="D7287" s="5" t="s">
        <v>95</v>
      </c>
      <c r="E7287" s="5" t="s">
        <v>3216</v>
      </c>
      <c r="F7287" s="9" t="s">
        <v>3217</v>
      </c>
      <c r="G7287" s="9">
        <v>6</v>
      </c>
      <c r="H7287" s="5" t="s">
        <v>21</v>
      </c>
      <c r="I7287" s="5" t="s">
        <v>17469</v>
      </c>
      <c r="J7287" s="12" t="str">
        <f>HYPERLINK("https://www.boe.es/gazeta/dias/1808/06/01/pdfs/GMS-1808-1.pdf#page=6","Abrir facsímil")</f>
        <v>Abrir facsímil</v>
      </c>
      <c r="K7287" s="15" t="s">
        <v>23</v>
      </c>
    </row>
    <row r="7288" spans="1:11" ht="42" customHeight="1">
      <c r="A7288" s="4" t="s">
        <v>17470</v>
      </c>
      <c r="B7288" s="5" t="s">
        <v>17471</v>
      </c>
      <c r="C7288" s="5" t="s">
        <v>17</v>
      </c>
      <c r="D7288" s="5" t="s">
        <v>18</v>
      </c>
      <c r="E7288" s="5" t="s">
        <v>130</v>
      </c>
      <c r="F7288" s="9" t="s">
        <v>131</v>
      </c>
      <c r="G7288" s="9">
        <v>1603</v>
      </c>
      <c r="H7288" s="5" t="s">
        <v>21</v>
      </c>
      <c r="I7288" s="5" t="s">
        <v>17472</v>
      </c>
      <c r="J7288" s="12" t="str">
        <f>HYPERLINK("https://www.boe.es/gazeta/dias/1808/12/15/pdfs/GMD-1808-155.pdf#page=7","Abrir facsímil")</f>
        <v>Abrir facsímil</v>
      </c>
      <c r="K7288" s="15" t="s">
        <v>23</v>
      </c>
    </row>
    <row r="7289" spans="1:11" ht="42" customHeight="1">
      <c r="A7289" s="4" t="s">
        <v>17473</v>
      </c>
      <c r="B7289" s="5" t="s">
        <v>17474</v>
      </c>
      <c r="C7289" s="5" t="s">
        <v>17</v>
      </c>
      <c r="D7289" s="5" t="s">
        <v>18</v>
      </c>
      <c r="E7289" s="5" t="s">
        <v>269</v>
      </c>
      <c r="F7289" s="9" t="s">
        <v>270</v>
      </c>
      <c r="G7289" s="9">
        <v>69</v>
      </c>
      <c r="H7289" s="5" t="s">
        <v>21</v>
      </c>
      <c r="I7289" s="5" t="s">
        <v>17475</v>
      </c>
      <c r="J7289" s="12" t="str">
        <f>HYPERLINK("https://www.boe.es/gazeta/dias/1808/01/19/pdfs/GMD-1808-6.pdf#page=9","Abrir facsímil")</f>
        <v>Abrir facsímil</v>
      </c>
      <c r="K7289" s="15" t="s">
        <v>23</v>
      </c>
    </row>
    <row r="7290" spans="1:11" ht="42" customHeight="1">
      <c r="A7290" s="4" t="s">
        <v>17476</v>
      </c>
      <c r="B7290" s="5" t="s">
        <v>17477</v>
      </c>
      <c r="C7290" s="5" t="s">
        <v>17</v>
      </c>
      <c r="D7290" s="5" t="s">
        <v>18</v>
      </c>
      <c r="E7290" s="5" t="s">
        <v>65</v>
      </c>
      <c r="F7290" s="9" t="s">
        <v>66</v>
      </c>
      <c r="G7290" s="9">
        <v>1307</v>
      </c>
      <c r="H7290" s="5" t="s">
        <v>21</v>
      </c>
      <c r="I7290" s="5" t="s">
        <v>17478</v>
      </c>
      <c r="J7290" s="12" t="str">
        <f>HYPERLINK("https://www.boe.es/gazeta/dias/1808/10/18/pdfs/GMD-1808-135.pdf#page=7","Abrir facsímil")</f>
        <v>Abrir facsímil</v>
      </c>
      <c r="K7290" s="15" t="s">
        <v>23</v>
      </c>
    </row>
    <row r="7291" spans="1:11" ht="42" customHeight="1">
      <c r="A7291" s="4" t="s">
        <v>17479</v>
      </c>
      <c r="B7291" s="5" t="s">
        <v>17480</v>
      </c>
      <c r="C7291" s="5" t="s">
        <v>33</v>
      </c>
      <c r="D7291" s="5" t="s">
        <v>34</v>
      </c>
      <c r="E7291" s="5" t="s">
        <v>35</v>
      </c>
      <c r="F7291" s="9" t="s">
        <v>36</v>
      </c>
      <c r="G7291" s="9" t="s">
        <v>277</v>
      </c>
      <c r="H7291" s="5" t="s">
        <v>21</v>
      </c>
      <c r="I7291" s="5" t="s">
        <v>17481</v>
      </c>
      <c r="J7291" s="12" t="str">
        <f>HYPERLINK("https://www.boe.es/gazeta/dias/1808/04/22/pdfs/GMD-C-1808-38.pdf#page=34","Abrir facsímil")</f>
        <v>Abrir facsímil</v>
      </c>
      <c r="K7291" s="15" t="s">
        <v>23</v>
      </c>
    </row>
    <row r="7292" spans="1:11" ht="42" customHeight="1">
      <c r="A7292" s="4" t="s">
        <v>17482</v>
      </c>
      <c r="B7292" s="5" t="s">
        <v>17483</v>
      </c>
      <c r="C7292" s="5" t="s">
        <v>33</v>
      </c>
      <c r="D7292" s="5" t="s">
        <v>34</v>
      </c>
      <c r="E7292" s="5" t="s">
        <v>35</v>
      </c>
      <c r="F7292" s="9" t="s">
        <v>36</v>
      </c>
      <c r="G7292" s="9" t="s">
        <v>135</v>
      </c>
      <c r="H7292" s="5" t="s">
        <v>21</v>
      </c>
      <c r="I7292" s="5" t="s">
        <v>17484</v>
      </c>
      <c r="J7292" s="12" t="str">
        <f>HYPERLINK("https://www.boe.es/gazeta/dias/1808/04/22/pdfs/GMD-C-1808-38.pdf#page=26","Abrir facsímil")</f>
        <v>Abrir facsímil</v>
      </c>
      <c r="K7292" s="15" t="s">
        <v>23</v>
      </c>
    </row>
    <row r="7293" spans="1:11" ht="42" customHeight="1">
      <c r="A7293" s="4" t="s">
        <v>17485</v>
      </c>
      <c r="B7293" s="5" t="s">
        <v>17486</v>
      </c>
      <c r="C7293" s="5" t="s">
        <v>94</v>
      </c>
      <c r="D7293" s="5" t="s">
        <v>95</v>
      </c>
      <c r="E7293" s="5" t="s">
        <v>68</v>
      </c>
      <c r="F7293" s="9" t="s">
        <v>849</v>
      </c>
      <c r="G7293" s="9">
        <v>1350</v>
      </c>
      <c r="H7293" s="5" t="s">
        <v>21</v>
      </c>
      <c r="I7293" s="5" t="s">
        <v>17487</v>
      </c>
      <c r="J7293" s="12" t="str">
        <f>HYPERLINK("https://www.boe.es/gazeta/dias/1808/10/21/pdfs/GMD-C-1808-136.pdf#page=10","Abrir facsímil")</f>
        <v>Abrir facsímil</v>
      </c>
      <c r="K7293" s="15" t="s">
        <v>23</v>
      </c>
    </row>
    <row r="7294" spans="1:11" ht="42" customHeight="1">
      <c r="A7294" s="4" t="s">
        <v>17488</v>
      </c>
      <c r="B7294" s="5" t="s">
        <v>17489</v>
      </c>
      <c r="C7294" s="5" t="s">
        <v>33</v>
      </c>
      <c r="D7294" s="5" t="s">
        <v>34</v>
      </c>
      <c r="E7294" s="5" t="s">
        <v>68</v>
      </c>
      <c r="F7294" s="9" t="s">
        <v>309</v>
      </c>
      <c r="G7294" s="9" t="s">
        <v>106</v>
      </c>
      <c r="H7294" s="5" t="s">
        <v>21</v>
      </c>
      <c r="I7294" s="5" t="s">
        <v>17490</v>
      </c>
      <c r="J7294" s="12" t="str">
        <f>HYPERLINK("https://www.boe.es/gazeta/dias/1808/10/21/pdfs/GMD-D-1808-136.pdf#page=3","Abrir facsímil")</f>
        <v>Abrir facsímil</v>
      </c>
      <c r="K7294" s="15" t="s">
        <v>23</v>
      </c>
    </row>
    <row r="7295" spans="1:11" ht="42" customHeight="1">
      <c r="A7295" s="4" t="s">
        <v>17491</v>
      </c>
      <c r="B7295" s="5" t="s">
        <v>17492</v>
      </c>
      <c r="C7295" s="5" t="s">
        <v>41</v>
      </c>
      <c r="D7295" s="5" t="s">
        <v>42</v>
      </c>
      <c r="E7295" s="5" t="s">
        <v>28</v>
      </c>
      <c r="F7295" s="9" t="s">
        <v>29</v>
      </c>
      <c r="G7295" s="9">
        <v>1427</v>
      </c>
      <c r="H7295" s="5" t="s">
        <v>21</v>
      </c>
      <c r="I7295" s="5" t="s">
        <v>17493</v>
      </c>
      <c r="J7295" s="12" t="str">
        <f>HYPERLINK("https://www.boe.es/gazeta/dias/1808/11/04/pdfs/GMD-1808-141.pdf#page=9","Abrir facsímil")</f>
        <v>Abrir facsímil</v>
      </c>
      <c r="K7295" s="15" t="s">
        <v>23</v>
      </c>
    </row>
    <row r="7296" spans="1:11" ht="42" customHeight="1">
      <c r="A7296" s="4" t="s">
        <v>17494</v>
      </c>
      <c r="B7296" s="5" t="s">
        <v>17494</v>
      </c>
      <c r="C7296" s="5" t="s">
        <v>389</v>
      </c>
      <c r="D7296" s="5" t="s">
        <v>390</v>
      </c>
      <c r="E7296" s="5" t="s">
        <v>684</v>
      </c>
      <c r="F7296" s="9" t="s">
        <v>685</v>
      </c>
      <c r="G7296" s="9">
        <v>378</v>
      </c>
      <c r="H7296" s="5" t="s">
        <v>21</v>
      </c>
      <c r="I7296" s="5" t="s">
        <v>17495</v>
      </c>
      <c r="J7296" s="12" t="str">
        <f>HYPERLINK("https://www.boe.es/gazeta/dias/1808/04/15/pdfs/GMD-1808-35.pdf#page=4","Abrir facsímil")</f>
        <v>Abrir facsímil</v>
      </c>
      <c r="K7296" s="15" t="s">
        <v>23</v>
      </c>
    </row>
    <row r="7297" spans="1:11" ht="42" customHeight="1">
      <c r="A7297" s="4" t="s">
        <v>17496</v>
      </c>
      <c r="B7297" s="5" t="s">
        <v>17497</v>
      </c>
      <c r="C7297" s="5" t="s">
        <v>94</v>
      </c>
      <c r="D7297" s="5" t="s">
        <v>95</v>
      </c>
      <c r="E7297" s="5" t="s">
        <v>35</v>
      </c>
      <c r="F7297" s="9" t="s">
        <v>36</v>
      </c>
      <c r="G7297" s="9" t="s">
        <v>273</v>
      </c>
      <c r="H7297" s="5" t="s">
        <v>21</v>
      </c>
      <c r="I7297" s="5" t="s">
        <v>17498</v>
      </c>
      <c r="J7297" s="12" t="str">
        <f>HYPERLINK("https://www.boe.es/gazeta/dias/1808/04/22/pdfs/GMD-C-1808-38.pdf#page=12","Abrir facsímil")</f>
        <v>Abrir facsímil</v>
      </c>
      <c r="K7297" s="15" t="s">
        <v>23</v>
      </c>
    </row>
    <row r="7298" spans="1:11" ht="42" customHeight="1">
      <c r="A7298" s="4" t="s">
        <v>17499</v>
      </c>
      <c r="B7298" s="5" t="s">
        <v>17500</v>
      </c>
      <c r="C7298" s="5" t="s">
        <v>17</v>
      </c>
      <c r="D7298" s="5" t="s">
        <v>18</v>
      </c>
      <c r="E7298" s="5" t="s">
        <v>84</v>
      </c>
      <c r="F7298" s="9" t="s">
        <v>85</v>
      </c>
      <c r="G7298" s="9">
        <v>1155</v>
      </c>
      <c r="H7298" s="5" t="s">
        <v>21</v>
      </c>
      <c r="I7298" s="5" t="s">
        <v>17501</v>
      </c>
      <c r="J7298" s="12" t="str">
        <f>HYPERLINK("https://www.boe.es/gazeta/dias/1808/09/13/pdfs/GMD-1808-123.pdf#page=3","Abrir facsímil")</f>
        <v>Abrir facsímil</v>
      </c>
      <c r="K7298" s="15" t="s">
        <v>23</v>
      </c>
    </row>
    <row r="7299" spans="1:11" ht="42" customHeight="1">
      <c r="A7299" s="4" t="s">
        <v>17502</v>
      </c>
      <c r="B7299" s="5" t="s">
        <v>17502</v>
      </c>
      <c r="C7299" s="5" t="s">
        <v>41</v>
      </c>
      <c r="D7299" s="5" t="s">
        <v>42</v>
      </c>
      <c r="E7299" s="5" t="s">
        <v>68</v>
      </c>
      <c r="F7299" s="9" t="s">
        <v>69</v>
      </c>
      <c r="G7299" s="9">
        <v>1336</v>
      </c>
      <c r="H7299" s="5" t="s">
        <v>21</v>
      </c>
      <c r="I7299" s="5" t="s">
        <v>17503</v>
      </c>
      <c r="J7299" s="12" t="str">
        <f>HYPERLINK("https://www.boe.es/gazeta/dias/1808/10/21/pdfs/GMD-1808-136.pdf#page=8","Abrir facsímil")</f>
        <v>Abrir facsímil</v>
      </c>
      <c r="K7299" s="15" t="s">
        <v>23</v>
      </c>
    </row>
    <row r="7300" spans="1:11" ht="42" customHeight="1">
      <c r="A7300" s="4" t="s">
        <v>17504</v>
      </c>
      <c r="B7300" s="5" t="s">
        <v>17505</v>
      </c>
      <c r="C7300" s="5" t="s">
        <v>260</v>
      </c>
      <c r="D7300" s="5" t="s">
        <v>42</v>
      </c>
      <c r="E7300" s="5" t="s">
        <v>96</v>
      </c>
      <c r="F7300" s="9" t="s">
        <v>97</v>
      </c>
      <c r="G7300" s="9">
        <v>265</v>
      </c>
      <c r="H7300" s="5" t="s">
        <v>21</v>
      </c>
      <c r="I7300" s="5" t="s">
        <v>17506</v>
      </c>
      <c r="J7300" s="12" t="str">
        <f>HYPERLINK("https://www.boe.es/gazeta/dias/1808/03/15/pdfs/GMD-1808-22.pdf#page=7","Abrir facsímil")</f>
        <v>Abrir facsímil</v>
      </c>
      <c r="K7300" s="15" t="s">
        <v>23</v>
      </c>
    </row>
    <row r="7301" spans="1:11" ht="42" customHeight="1">
      <c r="A7301" s="4" t="s">
        <v>17507</v>
      </c>
      <c r="B7301" s="5" t="s">
        <v>17508</v>
      </c>
      <c r="C7301" s="5" t="s">
        <v>33</v>
      </c>
      <c r="D7301" s="5" t="s">
        <v>34</v>
      </c>
      <c r="E7301" s="5" t="s">
        <v>65</v>
      </c>
      <c r="F7301" s="9" t="s">
        <v>105</v>
      </c>
      <c r="G7301" s="9" t="s">
        <v>75</v>
      </c>
      <c r="H7301" s="5" t="s">
        <v>21</v>
      </c>
      <c r="I7301" s="5" t="s">
        <v>17509</v>
      </c>
      <c r="J7301" s="12" t="str">
        <f>HYPERLINK("https://www.boe.es/gazeta/dias/1808/10/18/pdfs/GMD-D-1808-135.pdf#page=4","Abrir facsímil")</f>
        <v>Abrir facsímil</v>
      </c>
      <c r="K7301" s="15" t="s">
        <v>23</v>
      </c>
    </row>
    <row r="7302" spans="1:11" ht="42" customHeight="1">
      <c r="A7302" s="4" t="s">
        <v>17510</v>
      </c>
      <c r="B7302" s="5" t="s">
        <v>17511</v>
      </c>
      <c r="C7302" s="5" t="s">
        <v>33</v>
      </c>
      <c r="D7302" s="5" t="s">
        <v>34</v>
      </c>
      <c r="E7302" s="5" t="s">
        <v>35</v>
      </c>
      <c r="F7302" s="9" t="s">
        <v>36</v>
      </c>
      <c r="G7302" s="9" t="s">
        <v>299</v>
      </c>
      <c r="H7302" s="5" t="s">
        <v>21</v>
      </c>
      <c r="I7302" s="5" t="s">
        <v>17512</v>
      </c>
      <c r="J7302" s="12" t="str">
        <f>HYPERLINK("https://www.boe.es/gazeta/dias/1808/04/22/pdfs/GMD-C-1808-38.pdf#page=14","Abrir facsímil")</f>
        <v>Abrir facsímil</v>
      </c>
      <c r="K7302" s="15" t="s">
        <v>23</v>
      </c>
    </row>
    <row r="7303" spans="1:11" ht="42" customHeight="1">
      <c r="A7303" s="4" t="s">
        <v>17513</v>
      </c>
      <c r="B7303" s="5" t="s">
        <v>17514</v>
      </c>
      <c r="C7303" s="5" t="s">
        <v>94</v>
      </c>
      <c r="D7303" s="5" t="s">
        <v>95</v>
      </c>
      <c r="E7303" s="5" t="s">
        <v>513</v>
      </c>
      <c r="F7303" s="9" t="s">
        <v>514</v>
      </c>
      <c r="G7303" s="9">
        <v>286</v>
      </c>
      <c r="H7303" s="5" t="s">
        <v>21</v>
      </c>
      <c r="I7303" s="5" t="s">
        <v>17515</v>
      </c>
      <c r="J7303" s="12" t="str">
        <f>HYPERLINK("https://www.boe.es/gazeta/dias/1808/03/22/pdfs/GMD-1808-24.pdf#page=8","Abrir facsímil")</f>
        <v>Abrir facsímil</v>
      </c>
      <c r="K7303" s="15" t="s">
        <v>23</v>
      </c>
    </row>
    <row r="7304" spans="1:11" ht="42" customHeight="1">
      <c r="A7304" s="4" t="s">
        <v>17516</v>
      </c>
      <c r="B7304" s="5" t="s">
        <v>17517</v>
      </c>
      <c r="C7304" s="5" t="s">
        <v>17</v>
      </c>
      <c r="D7304" s="5" t="s">
        <v>18</v>
      </c>
      <c r="E7304" s="5" t="s">
        <v>218</v>
      </c>
      <c r="F7304" s="9" t="s">
        <v>219</v>
      </c>
      <c r="G7304" s="9">
        <v>329</v>
      </c>
      <c r="H7304" s="5" t="s">
        <v>21</v>
      </c>
      <c r="I7304" s="5" t="s">
        <v>17518</v>
      </c>
      <c r="J7304" s="12" t="str">
        <f>HYPERLINK("https://www.boe.es/gazeta/dias/1808/04/01/pdfs/GMD-1808-29.pdf#page=5","Abrir facsímil")</f>
        <v>Abrir facsímil</v>
      </c>
      <c r="K7304" s="15" t="s">
        <v>23</v>
      </c>
    </row>
    <row r="7305" spans="1:11" ht="42" customHeight="1">
      <c r="A7305" s="4" t="s">
        <v>17519</v>
      </c>
      <c r="B7305" s="5" t="s">
        <v>17520</v>
      </c>
      <c r="C7305" s="5" t="s">
        <v>94</v>
      </c>
      <c r="D7305" s="5" t="s">
        <v>95</v>
      </c>
      <c r="E7305" s="5" t="s">
        <v>180</v>
      </c>
      <c r="F7305" s="9" t="s">
        <v>2568</v>
      </c>
      <c r="G7305" s="9">
        <v>1494</v>
      </c>
      <c r="H7305" s="5" t="s">
        <v>21</v>
      </c>
      <c r="I7305" s="5" t="s">
        <v>17521</v>
      </c>
      <c r="J7305" s="12" t="str">
        <f>HYPERLINK("https://www.boe.es/gazeta/dias/1808/11/15/pdfs/GMD-1808-144.pdf#page=8","Abrir facsímil")</f>
        <v>Abrir facsímil</v>
      </c>
      <c r="K7305" s="15" t="s">
        <v>23</v>
      </c>
    </row>
    <row r="7306" spans="1:11" ht="42" customHeight="1">
      <c r="A7306" s="4" t="s">
        <v>17522</v>
      </c>
      <c r="B7306" s="5" t="s">
        <v>17523</v>
      </c>
      <c r="C7306" s="5" t="s">
        <v>17</v>
      </c>
      <c r="D7306" s="5" t="s">
        <v>18</v>
      </c>
      <c r="E7306" s="5" t="s">
        <v>203</v>
      </c>
      <c r="F7306" s="9" t="s">
        <v>204</v>
      </c>
      <c r="G7306" s="9">
        <v>140</v>
      </c>
      <c r="H7306" s="5" t="s">
        <v>21</v>
      </c>
      <c r="I7306" s="5" t="s">
        <v>17524</v>
      </c>
      <c r="J7306" s="12" t="str">
        <f>HYPERLINK("https://www.boe.es/gazeta/dias/1808/02/09/pdfs/GMD-1808-12.pdf#page=8","Abrir facsímil")</f>
        <v>Abrir facsímil</v>
      </c>
      <c r="K7306" s="15" t="s">
        <v>23</v>
      </c>
    </row>
    <row r="7307" spans="1:11" ht="42" customHeight="1">
      <c r="A7307" s="4" t="s">
        <v>17525</v>
      </c>
      <c r="B7307" s="5" t="s">
        <v>17525</v>
      </c>
      <c r="C7307" s="5" t="s">
        <v>17</v>
      </c>
      <c r="D7307" s="5" t="s">
        <v>18</v>
      </c>
      <c r="E7307" s="5" t="s">
        <v>84</v>
      </c>
      <c r="F7307" s="9" t="s">
        <v>1381</v>
      </c>
      <c r="G7307" s="9">
        <v>242</v>
      </c>
      <c r="H7307" s="5" t="s">
        <v>21</v>
      </c>
      <c r="I7307" s="5" t="s">
        <v>17526</v>
      </c>
      <c r="J7307" s="12" t="str">
        <f>HYPERLINK("https://www.boe.es/gazeta/dias/1808/09/13/pdfs/GMS-1808-31.pdf#page=2","Abrir facsímil")</f>
        <v>Abrir facsímil</v>
      </c>
      <c r="K7307" s="15" t="s">
        <v>23</v>
      </c>
    </row>
    <row r="7308" spans="1:11" ht="42" customHeight="1">
      <c r="A7308" s="4" t="s">
        <v>17527</v>
      </c>
      <c r="B7308" s="5" t="s">
        <v>17527</v>
      </c>
      <c r="C7308" s="5" t="s">
        <v>101</v>
      </c>
      <c r="D7308" s="5" t="s">
        <v>102</v>
      </c>
      <c r="E7308" s="5" t="s">
        <v>572</v>
      </c>
      <c r="F7308" s="9" t="s">
        <v>573</v>
      </c>
      <c r="G7308" s="9">
        <v>17</v>
      </c>
      <c r="H7308" s="5" t="s">
        <v>21</v>
      </c>
      <c r="I7308" s="5" t="s">
        <v>17528</v>
      </c>
      <c r="J7308" s="12" t="str">
        <f>HYPERLINK("https://www.boe.es/gazeta/dias/1808/01/05/pdfs/GMD-1808-2.pdf#page=5","Abrir facsímil")</f>
        <v>Abrir facsímil</v>
      </c>
      <c r="K7308" s="15" t="s">
        <v>23</v>
      </c>
    </row>
    <row r="7309" spans="1:11" ht="42" customHeight="1">
      <c r="A7309" s="4" t="s">
        <v>17527</v>
      </c>
      <c r="B7309" s="5" t="s">
        <v>17527</v>
      </c>
      <c r="C7309" s="5" t="s">
        <v>17</v>
      </c>
      <c r="D7309" s="5" t="s">
        <v>18</v>
      </c>
      <c r="E7309" s="5" t="s">
        <v>877</v>
      </c>
      <c r="F7309" s="9" t="s">
        <v>878</v>
      </c>
      <c r="G7309" s="9">
        <v>112</v>
      </c>
      <c r="H7309" s="5" t="s">
        <v>21</v>
      </c>
      <c r="I7309" s="5" t="s">
        <v>17529</v>
      </c>
      <c r="J7309" s="12" t="str">
        <f>HYPERLINK("https://www.boe.es/gazeta/dias/1808/02/02/pdfs/GMD-1808-10.pdf#page=4","Abrir facsímil")</f>
        <v>Abrir facsímil</v>
      </c>
      <c r="K7309" s="15" t="s">
        <v>23</v>
      </c>
    </row>
    <row r="7310" spans="1:11" ht="42" customHeight="1">
      <c r="A7310" s="4" t="s">
        <v>17527</v>
      </c>
      <c r="B7310" s="5" t="s">
        <v>17527</v>
      </c>
      <c r="C7310" s="5" t="s">
        <v>17</v>
      </c>
      <c r="D7310" s="5" t="s">
        <v>18</v>
      </c>
      <c r="E7310" s="5" t="s">
        <v>469</v>
      </c>
      <c r="F7310" s="9" t="s">
        <v>470</v>
      </c>
      <c r="G7310" s="9">
        <v>149</v>
      </c>
      <c r="H7310" s="5" t="s">
        <v>21</v>
      </c>
      <c r="I7310" s="5" t="s">
        <v>17530</v>
      </c>
      <c r="J7310" s="12" t="str">
        <f>HYPERLINK("https://www.boe.es/gazeta/dias/1808/02/12/pdfs/GMD-1808-13.pdf#page=5","Abrir facsímil")</f>
        <v>Abrir facsímil</v>
      </c>
      <c r="K7310" s="15" t="s">
        <v>23</v>
      </c>
    </row>
    <row r="7311" spans="1:11" ht="42" customHeight="1">
      <c r="A7311" s="4" t="s">
        <v>17527</v>
      </c>
      <c r="B7311" s="5" t="s">
        <v>17527</v>
      </c>
      <c r="C7311" s="5" t="s">
        <v>17</v>
      </c>
      <c r="D7311" s="5" t="s">
        <v>18</v>
      </c>
      <c r="E7311" s="5" t="s">
        <v>2159</v>
      </c>
      <c r="F7311" s="9" t="s">
        <v>2160</v>
      </c>
      <c r="G7311" s="9">
        <v>174</v>
      </c>
      <c r="H7311" s="5" t="s">
        <v>21</v>
      </c>
      <c r="I7311" s="5" t="s">
        <v>17531</v>
      </c>
      <c r="J7311" s="12" t="str">
        <f>HYPERLINK("https://www.boe.es/gazeta/dias/1808/02/19/pdfs/GMD-1808-15.pdf#page=4","Abrir facsímil")</f>
        <v>Abrir facsímil</v>
      </c>
      <c r="K7311" s="15" t="s">
        <v>23</v>
      </c>
    </row>
    <row r="7312" spans="1:11" ht="42" customHeight="1">
      <c r="A7312" s="4" t="s">
        <v>17527</v>
      </c>
      <c r="B7312" s="5" t="s">
        <v>17527</v>
      </c>
      <c r="C7312" s="5" t="s">
        <v>101</v>
      </c>
      <c r="D7312" s="5" t="s">
        <v>102</v>
      </c>
      <c r="E7312" s="5" t="s">
        <v>1361</v>
      </c>
      <c r="F7312" s="9" t="s">
        <v>1362</v>
      </c>
      <c r="G7312" s="9">
        <v>465</v>
      </c>
      <c r="H7312" s="5" t="s">
        <v>21</v>
      </c>
      <c r="I7312" s="5" t="s">
        <v>17532</v>
      </c>
      <c r="J7312" s="12" t="str">
        <f>HYPERLINK("https://www.boe.es/gazeta/dias/1808/05/17/pdfs/GMD-1808-47.pdf#page=5","Abrir facsímil")</f>
        <v>Abrir facsímil</v>
      </c>
      <c r="K7312" s="15" t="s">
        <v>23</v>
      </c>
    </row>
    <row r="7313" spans="1:11" ht="42" customHeight="1">
      <c r="A7313" s="4" t="s">
        <v>17527</v>
      </c>
      <c r="B7313" s="5" t="s">
        <v>17527</v>
      </c>
      <c r="C7313" s="5" t="s">
        <v>17</v>
      </c>
      <c r="D7313" s="5" t="s">
        <v>18</v>
      </c>
      <c r="E7313" s="5" t="s">
        <v>1148</v>
      </c>
      <c r="F7313" s="9" t="s">
        <v>1149</v>
      </c>
      <c r="G7313" s="9">
        <v>502</v>
      </c>
      <c r="H7313" s="5" t="s">
        <v>21</v>
      </c>
      <c r="I7313" s="5" t="s">
        <v>17533</v>
      </c>
      <c r="J7313" s="12" t="str">
        <f>HYPERLINK("https://www.boe.es/gazeta/dias/1808/05/27/pdfs/GMD-1808-50.pdf#page=6","Abrir facsímil")</f>
        <v>Abrir facsímil</v>
      </c>
      <c r="K7313" s="15" t="s">
        <v>23</v>
      </c>
    </row>
    <row r="7314" spans="1:11" ht="42" customHeight="1">
      <c r="A7314" s="4" t="s">
        <v>17527</v>
      </c>
      <c r="B7314" s="5" t="s">
        <v>17527</v>
      </c>
      <c r="C7314" s="5" t="s">
        <v>17</v>
      </c>
      <c r="D7314" s="5" t="s">
        <v>18</v>
      </c>
      <c r="E7314" s="5" t="s">
        <v>61</v>
      </c>
      <c r="F7314" s="9" t="s">
        <v>2876</v>
      </c>
      <c r="G7314" s="9">
        <v>307</v>
      </c>
      <c r="H7314" s="5" t="s">
        <v>21</v>
      </c>
      <c r="I7314" s="5" t="s">
        <v>17534</v>
      </c>
      <c r="J7314" s="12" t="str">
        <f>HYPERLINK("https://www.boe.es/gazeta/dias/1808/10/11/pdfs/GMS-1808-39.pdf#page=3","Abrir facsímil")</f>
        <v>Abrir facsímil</v>
      </c>
      <c r="K7314" s="15" t="s">
        <v>23</v>
      </c>
    </row>
    <row r="7315" spans="1:11" ht="42" customHeight="1">
      <c r="A7315" s="4" t="s">
        <v>17527</v>
      </c>
      <c r="B7315" s="5" t="s">
        <v>17527</v>
      </c>
      <c r="C7315" s="5" t="s">
        <v>17</v>
      </c>
      <c r="D7315" s="5" t="s">
        <v>18</v>
      </c>
      <c r="E7315" s="5" t="s">
        <v>89</v>
      </c>
      <c r="F7315" s="9" t="s">
        <v>90</v>
      </c>
      <c r="G7315" s="9">
        <v>1353</v>
      </c>
      <c r="H7315" s="5" t="s">
        <v>21</v>
      </c>
      <c r="I7315" s="5" t="s">
        <v>17535</v>
      </c>
      <c r="J7315" s="12" t="str">
        <f>HYPERLINK("https://www.boe.es/gazeta/dias/1808/10/25/pdfs/GMD-1808-137.pdf#page=1","Abrir facsímil")</f>
        <v>Abrir facsímil</v>
      </c>
      <c r="K7315" s="15" t="s">
        <v>23</v>
      </c>
    </row>
    <row r="7316" spans="1:11" ht="42" customHeight="1">
      <c r="A7316" s="4" t="s">
        <v>17536</v>
      </c>
      <c r="B7316" s="5" t="s">
        <v>17536</v>
      </c>
      <c r="C7316" s="5" t="s">
        <v>389</v>
      </c>
      <c r="D7316" s="5" t="s">
        <v>390</v>
      </c>
      <c r="E7316" s="5" t="s">
        <v>991</v>
      </c>
      <c r="F7316" s="9" t="s">
        <v>992</v>
      </c>
      <c r="G7316" s="9">
        <v>213</v>
      </c>
      <c r="H7316" s="5" t="s">
        <v>21</v>
      </c>
      <c r="I7316" s="5" t="s">
        <v>17537</v>
      </c>
      <c r="J7316" s="12" t="str">
        <f>HYPERLINK("https://www.boe.es/gazeta/dias/1808/03/01/pdfs/GMD-1808-18.pdf#page=3","Abrir facsímil")</f>
        <v>Abrir facsímil</v>
      </c>
      <c r="K7316" s="15" t="s">
        <v>23</v>
      </c>
    </row>
    <row r="7317" spans="1:11" ht="42" customHeight="1">
      <c r="A7317" s="4" t="s">
        <v>17538</v>
      </c>
      <c r="B7317" s="5" t="s">
        <v>17539</v>
      </c>
      <c r="C7317" s="5" t="s">
        <v>94</v>
      </c>
      <c r="D7317" s="5" t="s">
        <v>95</v>
      </c>
      <c r="E7317" s="5" t="s">
        <v>203</v>
      </c>
      <c r="F7317" s="9" t="s">
        <v>204</v>
      </c>
      <c r="G7317" s="9">
        <v>142</v>
      </c>
      <c r="H7317" s="5" t="s">
        <v>21</v>
      </c>
      <c r="I7317" s="5" t="s">
        <v>17540</v>
      </c>
      <c r="J7317" s="12" t="str">
        <f>HYPERLINK("https://www.boe.es/gazeta/dias/1808/02/09/pdfs/GMD-1808-12.pdf#page=10","Abrir facsímil")</f>
        <v>Abrir facsímil</v>
      </c>
      <c r="K7317" s="15" t="s">
        <v>23</v>
      </c>
    </row>
    <row r="7318" spans="1:11" ht="42" customHeight="1">
      <c r="A7318" s="4" t="s">
        <v>17541</v>
      </c>
      <c r="B7318" s="5" t="s">
        <v>17542</v>
      </c>
      <c r="C7318" s="5" t="s">
        <v>33</v>
      </c>
      <c r="D7318" s="5" t="s">
        <v>34</v>
      </c>
      <c r="E7318" s="5" t="s">
        <v>334</v>
      </c>
      <c r="F7318" s="9" t="s">
        <v>335</v>
      </c>
      <c r="G7318" s="9">
        <v>1251</v>
      </c>
      <c r="H7318" s="5" t="s">
        <v>21</v>
      </c>
      <c r="I7318" s="5" t="s">
        <v>17543</v>
      </c>
      <c r="J7318" s="12" t="str">
        <f>HYPERLINK("https://www.boe.es/gazeta/dias/1808/10/04/pdfs/GMD-C-1808-131.pdf#page=3","Abrir facsímil")</f>
        <v>Abrir facsímil</v>
      </c>
      <c r="K7318" s="15" t="s">
        <v>23</v>
      </c>
    </row>
    <row r="7319" spans="1:11" ht="42" customHeight="1">
      <c r="A7319" s="4" t="s">
        <v>17544</v>
      </c>
      <c r="B7319" s="5" t="s">
        <v>17545</v>
      </c>
      <c r="C7319" s="5" t="s">
        <v>41</v>
      </c>
      <c r="D7319" s="5" t="s">
        <v>42</v>
      </c>
      <c r="E7319" s="5" t="s">
        <v>35</v>
      </c>
      <c r="F7319" s="9" t="s">
        <v>36</v>
      </c>
      <c r="G7319" s="9" t="s">
        <v>4783</v>
      </c>
      <c r="H7319" s="5" t="s">
        <v>21</v>
      </c>
      <c r="I7319" s="5" t="s">
        <v>17546</v>
      </c>
      <c r="J7319" s="12" t="str">
        <f>HYPERLINK("https://www.boe.es/gazeta/dias/1808/04/22/pdfs/GMD-C-1808-38.pdf#page=36","Abrir facsímil")</f>
        <v>Abrir facsímil</v>
      </c>
      <c r="K7319" s="15" t="s">
        <v>23</v>
      </c>
    </row>
    <row r="7320" spans="1:11" ht="42" customHeight="1">
      <c r="A7320" s="4" t="s">
        <v>17547</v>
      </c>
      <c r="B7320" s="5" t="s">
        <v>17548</v>
      </c>
      <c r="C7320" s="5" t="s">
        <v>33</v>
      </c>
      <c r="D7320" s="5" t="s">
        <v>34</v>
      </c>
      <c r="E7320" s="5" t="s">
        <v>461</v>
      </c>
      <c r="F7320" s="9" t="s">
        <v>462</v>
      </c>
      <c r="G7320" s="9" t="s">
        <v>106</v>
      </c>
      <c r="H7320" s="5" t="s">
        <v>21</v>
      </c>
      <c r="I7320" s="5" t="s">
        <v>17549</v>
      </c>
      <c r="J7320" s="12" t="str">
        <f>HYPERLINK("https://www.boe.es/gazeta/dias/1808/11/08/pdfs/GMD-D-1808-142.pdf#page=3","Abrir facsímil")</f>
        <v>Abrir facsímil</v>
      </c>
      <c r="K7320" s="15" t="s">
        <v>23</v>
      </c>
    </row>
    <row r="7321" spans="1:11" ht="42" customHeight="1">
      <c r="A7321" s="4" t="s">
        <v>17550</v>
      </c>
      <c r="B7321" s="5" t="s">
        <v>17551</v>
      </c>
      <c r="C7321" s="5" t="s">
        <v>260</v>
      </c>
      <c r="D7321" s="5" t="s">
        <v>42</v>
      </c>
      <c r="E7321" s="5" t="s">
        <v>153</v>
      </c>
      <c r="F7321" s="9" t="s">
        <v>1185</v>
      </c>
      <c r="G7321" s="9">
        <v>1150</v>
      </c>
      <c r="H7321" s="5" t="s">
        <v>21</v>
      </c>
      <c r="I7321" s="5" t="s">
        <v>17552</v>
      </c>
      <c r="J7321" s="12" t="str">
        <f>HYPERLINK("https://www.boe.es/gazeta/dias/1808/09/09/pdfs/GMD-1808-121.pdf#page=8","Abrir facsímil")</f>
        <v>Abrir facsímil</v>
      </c>
      <c r="K7321" s="15" t="s">
        <v>23</v>
      </c>
    </row>
    <row r="7322" spans="1:11" ht="42" customHeight="1">
      <c r="A7322" s="4" t="s">
        <v>17553</v>
      </c>
      <c r="B7322" s="5" t="s">
        <v>17554</v>
      </c>
      <c r="C7322" s="5" t="s">
        <v>17</v>
      </c>
      <c r="D7322" s="5" t="s">
        <v>18</v>
      </c>
      <c r="E7322" s="5" t="s">
        <v>558</v>
      </c>
      <c r="F7322" s="9" t="s">
        <v>559</v>
      </c>
      <c r="G7322" s="9">
        <v>1545</v>
      </c>
      <c r="H7322" s="5" t="s">
        <v>21</v>
      </c>
      <c r="I7322" s="5" t="s">
        <v>17555</v>
      </c>
      <c r="J7322" s="12" t="str">
        <f>HYPERLINK("https://www.boe.es/gazeta/dias/1808/11/25/pdfs/GMD-1808-147.pdf#page=11","Abrir facsímil")</f>
        <v>Abrir facsímil</v>
      </c>
      <c r="K7322" s="15" t="s">
        <v>23</v>
      </c>
    </row>
    <row r="7323" spans="1:11" ht="42" customHeight="1">
      <c r="A7323" s="4" t="s">
        <v>17556</v>
      </c>
      <c r="B7323" s="5" t="s">
        <v>17557</v>
      </c>
      <c r="C7323" s="5" t="s">
        <v>389</v>
      </c>
      <c r="D7323" s="5" t="s">
        <v>390</v>
      </c>
      <c r="E7323" s="5" t="s">
        <v>461</v>
      </c>
      <c r="F7323" s="9" t="s">
        <v>462</v>
      </c>
      <c r="G7323" s="9" t="s">
        <v>106</v>
      </c>
      <c r="H7323" s="5" t="s">
        <v>21</v>
      </c>
      <c r="I7323" s="5" t="s">
        <v>17558</v>
      </c>
      <c r="J7323" s="12" t="str">
        <f>HYPERLINK("https://www.boe.es/gazeta/dias/1808/11/08/pdfs/GMD-D-1808-142.pdf#page=3","Abrir facsímil")</f>
        <v>Abrir facsímil</v>
      </c>
      <c r="K7323" s="15" t="s">
        <v>23</v>
      </c>
    </row>
    <row r="7324" spans="1:11" ht="42" customHeight="1">
      <c r="A7324" s="4" t="s">
        <v>17559</v>
      </c>
      <c r="B7324" s="5" t="s">
        <v>17560</v>
      </c>
      <c r="C7324" s="5" t="s">
        <v>94</v>
      </c>
      <c r="D7324" s="5" t="s">
        <v>95</v>
      </c>
      <c r="E7324" s="5" t="s">
        <v>974</v>
      </c>
      <c r="F7324" s="9" t="s">
        <v>975</v>
      </c>
      <c r="G7324" s="9">
        <v>391</v>
      </c>
      <c r="H7324" s="5" t="s">
        <v>21</v>
      </c>
      <c r="I7324" s="5" t="s">
        <v>17561</v>
      </c>
      <c r="J7324" s="12" t="str">
        <f>HYPERLINK("https://www.boe.es/gazeta/dias/1808/04/19/pdfs/GMD-1808-37.pdf#page=7","Abrir facsímil")</f>
        <v>Abrir facsímil</v>
      </c>
      <c r="K7324" s="15" t="s">
        <v>23</v>
      </c>
    </row>
    <row r="7325" spans="1:11" ht="42" customHeight="1">
      <c r="A7325" s="4" t="s">
        <v>17562</v>
      </c>
      <c r="B7325" s="5" t="s">
        <v>17563</v>
      </c>
      <c r="C7325" s="5" t="s">
        <v>260</v>
      </c>
      <c r="D7325" s="5" t="s">
        <v>42</v>
      </c>
      <c r="E7325" s="5" t="s">
        <v>35</v>
      </c>
      <c r="F7325" s="9" t="s">
        <v>36</v>
      </c>
      <c r="G7325" s="9" t="s">
        <v>43</v>
      </c>
      <c r="H7325" s="5" t="s">
        <v>21</v>
      </c>
      <c r="I7325" s="5" t="s">
        <v>17564</v>
      </c>
      <c r="J7325" s="12" t="str">
        <f>HYPERLINK("https://www.boe.es/gazeta/dias/1808/04/22/pdfs/GMD-C-1808-38.pdf#page=30","Abrir facsímil")</f>
        <v>Abrir facsímil</v>
      </c>
      <c r="K7325" s="15" t="s">
        <v>23</v>
      </c>
    </row>
    <row r="7326" spans="1:11" ht="42" customHeight="1">
      <c r="A7326" s="4" t="s">
        <v>17565</v>
      </c>
      <c r="B7326" s="5" t="s">
        <v>17566</v>
      </c>
      <c r="C7326" s="5" t="s">
        <v>17</v>
      </c>
      <c r="D7326" s="5" t="s">
        <v>18</v>
      </c>
      <c r="E7326" s="5" t="s">
        <v>3097</v>
      </c>
      <c r="F7326" s="9" t="s">
        <v>3098</v>
      </c>
      <c r="G7326" s="9">
        <v>826</v>
      </c>
      <c r="H7326" s="5" t="s">
        <v>21</v>
      </c>
      <c r="I7326" s="5" t="s">
        <v>17567</v>
      </c>
      <c r="J7326" s="12" t="str">
        <f>HYPERLINK("https://www.boe.es/gazeta/dias/1808/07/17/pdfs/GMD-1808-89.pdf#page=4","Abrir facsímil")</f>
        <v>Abrir facsímil</v>
      </c>
      <c r="K7326" s="15" t="s">
        <v>23</v>
      </c>
    </row>
    <row r="7327" spans="1:11" ht="42" customHeight="1">
      <c r="A7327" s="4" t="s">
        <v>17568</v>
      </c>
      <c r="B7327" s="5" t="s">
        <v>17569</v>
      </c>
      <c r="C7327" s="5" t="s">
        <v>33</v>
      </c>
      <c r="D7327" s="5" t="s">
        <v>34</v>
      </c>
      <c r="E7327" s="5" t="s">
        <v>28</v>
      </c>
      <c r="F7327" s="9" t="s">
        <v>446</v>
      </c>
      <c r="G7327" s="9" t="s">
        <v>199</v>
      </c>
      <c r="H7327" s="5" t="s">
        <v>21</v>
      </c>
      <c r="I7327" s="5" t="s">
        <v>17570</v>
      </c>
      <c r="J7327" s="12" t="str">
        <f>HYPERLINK("https://www.boe.es/gazeta/dias/1808/11/04/pdfs/GMD-D-1808-141.pdf#page=2","Abrir facsímil")</f>
        <v>Abrir facsímil</v>
      </c>
      <c r="K7327" s="15" t="s">
        <v>23</v>
      </c>
    </row>
    <row r="7328" spans="1:11" ht="42" customHeight="1">
      <c r="A7328" s="4" t="s">
        <v>17571</v>
      </c>
      <c r="B7328" s="5" t="s">
        <v>17572</v>
      </c>
      <c r="C7328" s="5" t="s">
        <v>33</v>
      </c>
      <c r="D7328" s="5" t="s">
        <v>34</v>
      </c>
      <c r="E7328" s="5" t="s">
        <v>65</v>
      </c>
      <c r="F7328" s="9" t="s">
        <v>691</v>
      </c>
      <c r="G7328" s="9">
        <v>1327</v>
      </c>
      <c r="H7328" s="5" t="s">
        <v>21</v>
      </c>
      <c r="I7328" s="5" t="s">
        <v>17573</v>
      </c>
      <c r="J7328" s="12" t="str">
        <f>HYPERLINK("https://www.boe.es/gazeta/dias/1808/10/18/pdfs/GMD-C-1808-135.pdf#page=11","Abrir facsímil")</f>
        <v>Abrir facsímil</v>
      </c>
      <c r="K7328" s="15" t="s">
        <v>23</v>
      </c>
    </row>
    <row r="7329" spans="1:11" ht="42" customHeight="1">
      <c r="A7329" s="4" t="s">
        <v>17574</v>
      </c>
      <c r="B7329" s="5" t="s">
        <v>17575</v>
      </c>
      <c r="C7329" s="5" t="s">
        <v>33</v>
      </c>
      <c r="D7329" s="5" t="s">
        <v>34</v>
      </c>
      <c r="E7329" s="5" t="s">
        <v>180</v>
      </c>
      <c r="F7329" s="9" t="s">
        <v>768</v>
      </c>
      <c r="G7329" s="9" t="s">
        <v>106</v>
      </c>
      <c r="H7329" s="5" t="s">
        <v>21</v>
      </c>
      <c r="I7329" s="5" t="s">
        <v>17576</v>
      </c>
      <c r="J7329" s="12" t="str">
        <f>HYPERLINK("https://www.boe.es/gazeta/dias/1808/11/15/pdfs/GMD-D-1808-144.pdf#page=3","Abrir facsímil")</f>
        <v>Abrir facsímil</v>
      </c>
      <c r="K7329" s="15" t="s">
        <v>23</v>
      </c>
    </row>
    <row r="7330" spans="1:11" ht="42" customHeight="1">
      <c r="A7330" s="4" t="s">
        <v>17577</v>
      </c>
      <c r="B7330" s="5" t="s">
        <v>17578</v>
      </c>
      <c r="C7330" s="5" t="s">
        <v>33</v>
      </c>
      <c r="D7330" s="5" t="s">
        <v>34</v>
      </c>
      <c r="E7330" s="5" t="s">
        <v>35</v>
      </c>
      <c r="F7330" s="9" t="s">
        <v>36</v>
      </c>
      <c r="G7330" s="9" t="s">
        <v>284</v>
      </c>
      <c r="H7330" s="5" t="s">
        <v>21</v>
      </c>
      <c r="I7330" s="5" t="s">
        <v>17579</v>
      </c>
      <c r="J7330" s="12" t="str">
        <f>HYPERLINK("https://www.boe.es/gazeta/dias/1808/04/22/pdfs/GMD-C-1808-38.pdf#page=35","Abrir facsímil")</f>
        <v>Abrir facsímil</v>
      </c>
      <c r="K7330" s="15" t="s">
        <v>23</v>
      </c>
    </row>
    <row r="7331" spans="1:11" ht="42" customHeight="1">
      <c r="A7331" s="4" t="s">
        <v>17580</v>
      </c>
      <c r="B7331" s="5" t="s">
        <v>17581</v>
      </c>
      <c r="C7331" s="5" t="s">
        <v>41</v>
      </c>
      <c r="D7331" s="5" t="s">
        <v>42</v>
      </c>
      <c r="E7331" s="5" t="s">
        <v>35</v>
      </c>
      <c r="F7331" s="9" t="s">
        <v>36</v>
      </c>
      <c r="G7331" s="9" t="s">
        <v>135</v>
      </c>
      <c r="H7331" s="5" t="s">
        <v>21</v>
      </c>
      <c r="I7331" s="5" t="s">
        <v>17582</v>
      </c>
      <c r="J7331" s="12" t="str">
        <f>HYPERLINK("https://www.boe.es/gazeta/dias/1808/04/22/pdfs/GMD-C-1808-38.pdf#page=26","Abrir facsímil")</f>
        <v>Abrir facsímil</v>
      </c>
      <c r="K7331" s="15" t="s">
        <v>23</v>
      </c>
    </row>
    <row r="7332" spans="1:11" ht="42" customHeight="1">
      <c r="A7332" s="4" t="s">
        <v>17583</v>
      </c>
      <c r="B7332" s="5" t="s">
        <v>17584</v>
      </c>
      <c r="C7332" s="5" t="s">
        <v>389</v>
      </c>
      <c r="D7332" s="5" t="s">
        <v>390</v>
      </c>
      <c r="E7332" s="5" t="s">
        <v>197</v>
      </c>
      <c r="F7332" s="9" t="s">
        <v>790</v>
      </c>
      <c r="G7332" s="9">
        <v>1410</v>
      </c>
      <c r="H7332" s="5" t="s">
        <v>21</v>
      </c>
      <c r="I7332" s="5" t="s">
        <v>17585</v>
      </c>
      <c r="J7332" s="12" t="str">
        <f>HYPERLINK("https://www.boe.es/gazeta/dias/1808/11/01/pdfs/GMD-1808-140.pdf#page=12","Abrir facsímil")</f>
        <v>Abrir facsímil</v>
      </c>
      <c r="K7332" s="15" t="s">
        <v>23</v>
      </c>
    </row>
    <row r="7333" spans="1:11" ht="42" customHeight="1">
      <c r="A7333" s="4" t="s">
        <v>17586</v>
      </c>
      <c r="B7333" s="5" t="s">
        <v>17587</v>
      </c>
      <c r="C7333" s="5" t="s">
        <v>17</v>
      </c>
      <c r="D7333" s="5" t="s">
        <v>18</v>
      </c>
      <c r="E7333" s="5" t="s">
        <v>1385</v>
      </c>
      <c r="F7333" s="9" t="s">
        <v>1386</v>
      </c>
      <c r="G7333" s="9">
        <v>230</v>
      </c>
      <c r="H7333" s="5" t="s">
        <v>21</v>
      </c>
      <c r="I7333" s="5" t="s">
        <v>17588</v>
      </c>
      <c r="J7333" s="12" t="str">
        <f>HYPERLINK("https://www.boe.es/gazeta/dias/1808/03/04/pdfs/GMD-1808-19.pdf#page=8","Abrir facsímil")</f>
        <v>Abrir facsímil</v>
      </c>
      <c r="K7333" s="15" t="s">
        <v>23</v>
      </c>
    </row>
    <row r="7334" spans="1:11" ht="42" customHeight="1">
      <c r="A7334" s="4" t="s">
        <v>17586</v>
      </c>
      <c r="B7334" s="5" t="s">
        <v>17587</v>
      </c>
      <c r="C7334" s="5" t="s">
        <v>17</v>
      </c>
      <c r="D7334" s="5" t="s">
        <v>18</v>
      </c>
      <c r="E7334" s="5" t="s">
        <v>1258</v>
      </c>
      <c r="F7334" s="9" t="s">
        <v>1259</v>
      </c>
      <c r="G7334" s="9">
        <v>890</v>
      </c>
      <c r="H7334" s="5" t="s">
        <v>21</v>
      </c>
      <c r="I7334" s="5" t="s">
        <v>17589</v>
      </c>
      <c r="J7334" s="12" t="str">
        <f>HYPERLINK("https://www.boe.es/gazeta/dias/1808/07/25/pdfs/GMD-1808-97.pdf#page=4","Abrir facsímil")</f>
        <v>Abrir facsímil</v>
      </c>
      <c r="K7334" s="15" t="s">
        <v>23</v>
      </c>
    </row>
    <row r="7335" spans="1:11" ht="42" customHeight="1">
      <c r="A7335" s="4" t="s">
        <v>17590</v>
      </c>
      <c r="B7335" s="5" t="s">
        <v>17591</v>
      </c>
      <c r="C7335" s="5" t="s">
        <v>33</v>
      </c>
      <c r="D7335" s="5" t="s">
        <v>34</v>
      </c>
      <c r="E7335" s="5" t="s">
        <v>73</v>
      </c>
      <c r="F7335" s="9" t="s">
        <v>74</v>
      </c>
      <c r="G7335" s="9" t="s">
        <v>75</v>
      </c>
      <c r="H7335" s="5" t="s">
        <v>21</v>
      </c>
      <c r="I7335" s="5" t="s">
        <v>17592</v>
      </c>
      <c r="J7335" s="12" t="str">
        <f>HYPERLINK("https://www.boe.es/gazeta/dias/1808/11/11/pdfs/GMD-D-1808-143.pdf#page=4","Abrir facsímil")</f>
        <v>Abrir facsímil</v>
      </c>
      <c r="K7335" s="15" t="s">
        <v>23</v>
      </c>
    </row>
    <row r="7336" spans="1:11" ht="42" customHeight="1">
      <c r="A7336" s="4" t="s">
        <v>17593</v>
      </c>
      <c r="B7336" s="5" t="s">
        <v>17593</v>
      </c>
      <c r="C7336" s="5" t="s">
        <v>260</v>
      </c>
      <c r="D7336" s="5" t="s">
        <v>42</v>
      </c>
      <c r="E7336" s="5" t="s">
        <v>192</v>
      </c>
      <c r="F7336" s="9" t="s">
        <v>9673</v>
      </c>
      <c r="G7336" s="9">
        <v>96</v>
      </c>
      <c r="H7336" s="5" t="s">
        <v>21</v>
      </c>
      <c r="I7336" s="5" t="s">
        <v>17594</v>
      </c>
      <c r="J7336" s="12" t="str">
        <f>HYPERLINK("https://www.boe.es/gazeta/dias/1808/07/09/pdfs/GMS-1808-12.pdf#page=8","Abrir facsímil")</f>
        <v>Abrir facsímil</v>
      </c>
      <c r="K7336" s="15" t="s">
        <v>23</v>
      </c>
    </row>
    <row r="7337" spans="1:11" ht="42" customHeight="1">
      <c r="A7337" s="4" t="s">
        <v>17595</v>
      </c>
      <c r="B7337" s="5" t="s">
        <v>17596</v>
      </c>
      <c r="C7337" s="5" t="s">
        <v>41</v>
      </c>
      <c r="D7337" s="5" t="s">
        <v>42</v>
      </c>
      <c r="E7337" s="5" t="s">
        <v>558</v>
      </c>
      <c r="F7337" s="9" t="s">
        <v>758</v>
      </c>
      <c r="G7337" s="9" t="s">
        <v>199</v>
      </c>
      <c r="H7337" s="5" t="s">
        <v>21</v>
      </c>
      <c r="I7337" s="5" t="s">
        <v>17597</v>
      </c>
      <c r="J7337" s="12" t="str">
        <f>HYPERLINK("https://www.boe.es/gazeta/dias/1808/11/25/pdfs/GMD-E-1808-147.pdf#page=2","Abrir facsímil")</f>
        <v>Abrir facsímil</v>
      </c>
      <c r="K7337" s="15" t="s">
        <v>23</v>
      </c>
    </row>
    <row r="7338" spans="1:11" ht="42" customHeight="1">
      <c r="A7338" s="4" t="s">
        <v>17598</v>
      </c>
      <c r="B7338" s="5" t="s">
        <v>17599</v>
      </c>
      <c r="C7338" s="5" t="s">
        <v>17</v>
      </c>
      <c r="D7338" s="5" t="s">
        <v>18</v>
      </c>
      <c r="E7338" s="5" t="s">
        <v>28</v>
      </c>
      <c r="F7338" s="9" t="s">
        <v>29</v>
      </c>
      <c r="G7338" s="9">
        <v>1427</v>
      </c>
      <c r="H7338" s="5" t="s">
        <v>21</v>
      </c>
      <c r="I7338" s="5" t="s">
        <v>17600</v>
      </c>
      <c r="J7338" s="12" t="str">
        <f>HYPERLINK("https://www.boe.es/gazeta/dias/1808/11/04/pdfs/GMD-1808-141.pdf#page=9","Abrir facsímil")</f>
        <v>Abrir facsímil</v>
      </c>
      <c r="K7338" s="15" t="s">
        <v>23</v>
      </c>
    </row>
    <row r="7339" spans="1:11" ht="42" customHeight="1">
      <c r="A7339" s="4" t="s">
        <v>17601</v>
      </c>
      <c r="B7339" s="5" t="s">
        <v>17602</v>
      </c>
      <c r="C7339" s="5" t="s">
        <v>33</v>
      </c>
      <c r="D7339" s="5" t="s">
        <v>34</v>
      </c>
      <c r="E7339" s="5" t="s">
        <v>115</v>
      </c>
      <c r="F7339" s="9" t="s">
        <v>116</v>
      </c>
      <c r="G7339" s="9" t="s">
        <v>75</v>
      </c>
      <c r="H7339" s="5" t="s">
        <v>21</v>
      </c>
      <c r="I7339" s="5" t="s">
        <v>17603</v>
      </c>
      <c r="J7339" s="12" t="str">
        <f>HYPERLINK("https://www.boe.es/gazeta/dias/1808/09/16/pdfs/GMD-C-1808-125.pdf#page=4","Abrir facsímil")</f>
        <v>Abrir facsímil</v>
      </c>
      <c r="K7339" s="15" t="s">
        <v>23</v>
      </c>
    </row>
    <row r="7340" spans="1:11" ht="42" customHeight="1">
      <c r="A7340" s="4" t="s">
        <v>17601</v>
      </c>
      <c r="B7340" s="5" t="s">
        <v>17602</v>
      </c>
      <c r="C7340" s="5" t="s">
        <v>94</v>
      </c>
      <c r="D7340" s="5" t="s">
        <v>95</v>
      </c>
      <c r="E7340" s="5" t="s">
        <v>363</v>
      </c>
      <c r="F7340" s="9" t="s">
        <v>1224</v>
      </c>
      <c r="G7340" s="9">
        <v>1189</v>
      </c>
      <c r="H7340" s="5" t="s">
        <v>21</v>
      </c>
      <c r="I7340" s="5" t="s">
        <v>17604</v>
      </c>
      <c r="J7340" s="12" t="str">
        <f>HYPERLINK("https://www.boe.es/gazeta/dias/1808/09/20/pdfs/GMD-1808-126.pdf#page=9","Abrir facsímil")</f>
        <v>Abrir facsímil</v>
      </c>
      <c r="K7340" s="15" t="s">
        <v>23</v>
      </c>
    </row>
    <row r="7341" spans="1:11" ht="42" customHeight="1">
      <c r="A7341" s="4" t="s">
        <v>17605</v>
      </c>
      <c r="B7341" s="5" t="s">
        <v>17606</v>
      </c>
      <c r="C7341" s="5" t="s">
        <v>17</v>
      </c>
      <c r="D7341" s="5" t="s">
        <v>18</v>
      </c>
      <c r="E7341" s="5" t="s">
        <v>61</v>
      </c>
      <c r="F7341" s="9" t="s">
        <v>62</v>
      </c>
      <c r="G7341" s="9">
        <v>1285</v>
      </c>
      <c r="H7341" s="5" t="s">
        <v>21</v>
      </c>
      <c r="I7341" s="5" t="s">
        <v>17607</v>
      </c>
      <c r="J7341" s="12" t="str">
        <f>HYPERLINK("https://www.boe.es/gazeta/dias/1808/10/11/pdfs/GMD-1808-133.pdf#page=13","Abrir facsímil")</f>
        <v>Abrir facsímil</v>
      </c>
      <c r="K7341" s="15" t="s">
        <v>23</v>
      </c>
    </row>
    <row r="7342" spans="1:11" ht="42" customHeight="1">
      <c r="A7342" s="4" t="s">
        <v>17608</v>
      </c>
      <c r="B7342" s="5" t="s">
        <v>17609</v>
      </c>
      <c r="C7342" s="5" t="s">
        <v>41</v>
      </c>
      <c r="D7342" s="5" t="s">
        <v>42</v>
      </c>
      <c r="E7342" s="5" t="s">
        <v>461</v>
      </c>
      <c r="F7342" s="9" t="s">
        <v>462</v>
      </c>
      <c r="G7342" s="9" t="s">
        <v>106</v>
      </c>
      <c r="H7342" s="5" t="s">
        <v>21</v>
      </c>
      <c r="I7342" s="5" t="s">
        <v>17610</v>
      </c>
      <c r="J7342" s="12" t="str">
        <f>HYPERLINK("https://www.boe.es/gazeta/dias/1808/11/08/pdfs/GMD-D-1808-142.pdf#page=3","Abrir facsímil")</f>
        <v>Abrir facsímil</v>
      </c>
      <c r="K7342" s="15" t="s">
        <v>23</v>
      </c>
    </row>
    <row r="7343" spans="1:11" ht="42" customHeight="1">
      <c r="A7343" s="4" t="s">
        <v>17611</v>
      </c>
      <c r="B7343" s="5" t="s">
        <v>17612</v>
      </c>
      <c r="C7343" s="5" t="s">
        <v>33</v>
      </c>
      <c r="D7343" s="5" t="s">
        <v>34</v>
      </c>
      <c r="E7343" s="5" t="s">
        <v>73</v>
      </c>
      <c r="F7343" s="9" t="s">
        <v>74</v>
      </c>
      <c r="G7343" s="9" t="s">
        <v>75</v>
      </c>
      <c r="H7343" s="5" t="s">
        <v>21</v>
      </c>
      <c r="I7343" s="5" t="s">
        <v>17613</v>
      </c>
      <c r="J7343" s="12" t="str">
        <f>HYPERLINK("https://www.boe.es/gazeta/dias/1808/11/11/pdfs/GMD-D-1808-143.pdf#page=4","Abrir facsímil")</f>
        <v>Abrir facsímil</v>
      </c>
      <c r="K7343" s="15" t="s">
        <v>23</v>
      </c>
    </row>
    <row r="7344" spans="1:11" ht="42" customHeight="1">
      <c r="A7344" s="4" t="s">
        <v>17614</v>
      </c>
      <c r="B7344" s="5" t="s">
        <v>17615</v>
      </c>
      <c r="C7344" s="5" t="s">
        <v>94</v>
      </c>
      <c r="D7344" s="5" t="s">
        <v>95</v>
      </c>
      <c r="E7344" s="5" t="s">
        <v>96</v>
      </c>
      <c r="F7344" s="9" t="s">
        <v>97</v>
      </c>
      <c r="G7344" s="9">
        <v>266</v>
      </c>
      <c r="H7344" s="5" t="s">
        <v>21</v>
      </c>
      <c r="I7344" s="5" t="s">
        <v>17616</v>
      </c>
      <c r="J7344" s="12" t="str">
        <f>HYPERLINK("https://www.boe.es/gazeta/dias/1808/03/15/pdfs/GMD-1808-22.pdf#page=8","Abrir facsímil")</f>
        <v>Abrir facsímil</v>
      </c>
      <c r="K7344" s="15" t="s">
        <v>23</v>
      </c>
    </row>
    <row r="7345" spans="1:11" ht="42" customHeight="1">
      <c r="A7345" s="4" t="s">
        <v>17617</v>
      </c>
      <c r="B7345" s="5" t="s">
        <v>17618</v>
      </c>
      <c r="C7345" s="5" t="s">
        <v>94</v>
      </c>
      <c r="D7345" s="5" t="s">
        <v>95</v>
      </c>
      <c r="E7345" s="5" t="s">
        <v>210</v>
      </c>
      <c r="F7345" s="9" t="s">
        <v>211</v>
      </c>
      <c r="G7345" s="9">
        <v>254</v>
      </c>
      <c r="H7345" s="5" t="s">
        <v>21</v>
      </c>
      <c r="I7345" s="5" t="s">
        <v>17619</v>
      </c>
      <c r="J7345" s="12" t="str">
        <f>HYPERLINK("https://www.boe.es/gazeta/dias/1808/03/11/pdfs/GMD-1808-21.pdf#page=8","Abrir facsímil")</f>
        <v>Abrir facsímil</v>
      </c>
      <c r="K7345" s="15" t="s">
        <v>23</v>
      </c>
    </row>
    <row r="7346" spans="1:11" ht="42" customHeight="1">
      <c r="A7346" s="4" t="s">
        <v>17620</v>
      </c>
      <c r="B7346" s="5" t="s">
        <v>17621</v>
      </c>
      <c r="C7346" s="5" t="s">
        <v>94</v>
      </c>
      <c r="D7346" s="5" t="s">
        <v>95</v>
      </c>
      <c r="E7346" s="5" t="s">
        <v>663</v>
      </c>
      <c r="F7346" s="9" t="s">
        <v>664</v>
      </c>
      <c r="G7346" s="9">
        <v>208</v>
      </c>
      <c r="H7346" s="5" t="s">
        <v>21</v>
      </c>
      <c r="I7346" s="5" t="s">
        <v>17622</v>
      </c>
      <c r="J7346" s="12" t="str">
        <f>HYPERLINK("https://www.boe.es/gazeta/dias/1808/02/26/pdfs/GMD-1808-17.pdf#page=10","Abrir facsímil")</f>
        <v>Abrir facsímil</v>
      </c>
      <c r="K7346" s="15" t="s">
        <v>23</v>
      </c>
    </row>
    <row r="7347" spans="1:11" ht="42" customHeight="1">
      <c r="A7347" s="4" t="s">
        <v>17623</v>
      </c>
      <c r="B7347" s="5" t="s">
        <v>17624</v>
      </c>
      <c r="C7347" s="5" t="s">
        <v>17</v>
      </c>
      <c r="D7347" s="5" t="s">
        <v>18</v>
      </c>
      <c r="E7347" s="5" t="s">
        <v>130</v>
      </c>
      <c r="F7347" s="9" t="s">
        <v>131</v>
      </c>
      <c r="G7347" s="9">
        <v>1602</v>
      </c>
      <c r="H7347" s="5" t="s">
        <v>21</v>
      </c>
      <c r="I7347" s="5" t="s">
        <v>17625</v>
      </c>
      <c r="J7347" s="12" t="str">
        <f>HYPERLINK("https://www.boe.es/gazeta/dias/1808/12/15/pdfs/GMD-1808-155.pdf#page=6","Abrir facsímil")</f>
        <v>Abrir facsímil</v>
      </c>
      <c r="K7347" s="15" t="s">
        <v>23</v>
      </c>
    </row>
    <row r="7348" spans="1:11" ht="42" customHeight="1">
      <c r="A7348" s="4" t="s">
        <v>17626</v>
      </c>
      <c r="B7348" s="5" t="s">
        <v>17627</v>
      </c>
      <c r="C7348" s="5" t="s">
        <v>389</v>
      </c>
      <c r="D7348" s="5" t="s">
        <v>390</v>
      </c>
      <c r="E7348" s="5" t="s">
        <v>1671</v>
      </c>
      <c r="F7348" s="9" t="s">
        <v>1672</v>
      </c>
      <c r="G7348" s="9">
        <v>484</v>
      </c>
      <c r="H7348" s="5" t="s">
        <v>21</v>
      </c>
      <c r="I7348" s="5" t="s">
        <v>17628</v>
      </c>
      <c r="J7348" s="12" t="str">
        <f>HYPERLINK("https://www.boe.es/gazeta/dias/1808/05/20/pdfs/GMD-1808-48.pdf#page=12","Abrir facsímil")</f>
        <v>Abrir facsímil</v>
      </c>
      <c r="K7348" s="15" t="s">
        <v>23</v>
      </c>
    </row>
    <row r="7349" spans="1:11" ht="42" customHeight="1">
      <c r="A7349" s="4" t="s">
        <v>17629</v>
      </c>
      <c r="B7349" s="5" t="s">
        <v>17630</v>
      </c>
      <c r="C7349" s="5" t="s">
        <v>41</v>
      </c>
      <c r="D7349" s="5" t="s">
        <v>42</v>
      </c>
      <c r="E7349" s="5" t="s">
        <v>35</v>
      </c>
      <c r="F7349" s="9" t="s">
        <v>36</v>
      </c>
      <c r="G7349" s="9" t="s">
        <v>37</v>
      </c>
      <c r="H7349" s="5" t="s">
        <v>21</v>
      </c>
      <c r="I7349" s="5" t="s">
        <v>17631</v>
      </c>
      <c r="J7349" s="12" t="str">
        <f>HYPERLINK("https://www.boe.es/gazeta/dias/1808/04/22/pdfs/GMD-C-1808-38.pdf#page=33","Abrir facsímil")</f>
        <v>Abrir facsímil</v>
      </c>
      <c r="K7349" s="15" t="s">
        <v>23</v>
      </c>
    </row>
    <row r="7350" spans="1:11" ht="42" customHeight="1">
      <c r="A7350" s="4" t="s">
        <v>17632</v>
      </c>
      <c r="B7350" s="5" t="s">
        <v>17633</v>
      </c>
      <c r="C7350" s="5" t="s">
        <v>17</v>
      </c>
      <c r="D7350" s="5" t="s">
        <v>18</v>
      </c>
      <c r="E7350" s="5" t="s">
        <v>130</v>
      </c>
      <c r="F7350" s="9" t="s">
        <v>131</v>
      </c>
      <c r="G7350" s="9">
        <v>1604</v>
      </c>
      <c r="H7350" s="5" t="s">
        <v>21</v>
      </c>
      <c r="I7350" s="5" t="s">
        <v>17634</v>
      </c>
      <c r="J7350" s="12" t="str">
        <f>HYPERLINK("https://www.boe.es/gazeta/dias/1808/12/15/pdfs/GMD-1808-155.pdf#page=8","Abrir facsímil")</f>
        <v>Abrir facsímil</v>
      </c>
      <c r="K7350" s="15" t="s">
        <v>23</v>
      </c>
    </row>
    <row r="7351" spans="1:11" ht="42" customHeight="1">
      <c r="A7351" s="4" t="s">
        <v>17635</v>
      </c>
      <c r="B7351" s="5" t="s">
        <v>17636</v>
      </c>
      <c r="C7351" s="5" t="s">
        <v>33</v>
      </c>
      <c r="D7351" s="5" t="s">
        <v>34</v>
      </c>
      <c r="E7351" s="5" t="s">
        <v>89</v>
      </c>
      <c r="F7351" s="9" t="s">
        <v>563</v>
      </c>
      <c r="G7351" s="9" t="s">
        <v>117</v>
      </c>
      <c r="H7351" s="5" t="s">
        <v>21</v>
      </c>
      <c r="I7351" s="5" t="s">
        <v>17637</v>
      </c>
      <c r="J7351" s="12" t="str">
        <f>HYPERLINK("https://www.boe.es/gazeta/dias/1808/10/25/pdfs/GMD-D-1808-137.pdf#page=1","Abrir facsímil")</f>
        <v>Abrir facsímil</v>
      </c>
      <c r="K7351" s="15" t="s">
        <v>23</v>
      </c>
    </row>
    <row r="7352" spans="1:11" ht="42" customHeight="1">
      <c r="A7352" s="4" t="s">
        <v>17638</v>
      </c>
      <c r="B7352" s="5" t="s">
        <v>17639</v>
      </c>
      <c r="C7352" s="5" t="s">
        <v>33</v>
      </c>
      <c r="D7352" s="5" t="s">
        <v>34</v>
      </c>
      <c r="E7352" s="5" t="s">
        <v>461</v>
      </c>
      <c r="F7352" s="9" t="s">
        <v>462</v>
      </c>
      <c r="G7352" s="9" t="s">
        <v>199</v>
      </c>
      <c r="H7352" s="5" t="s">
        <v>21</v>
      </c>
      <c r="I7352" s="5" t="s">
        <v>17640</v>
      </c>
      <c r="J7352" s="12" t="str">
        <f>HYPERLINK("https://www.boe.es/gazeta/dias/1808/11/08/pdfs/GMD-D-1808-142.pdf#page=2","Abrir facsímil")</f>
        <v>Abrir facsímil</v>
      </c>
      <c r="K7352" s="15" t="s">
        <v>23</v>
      </c>
    </row>
    <row r="7353" spans="1:11" ht="42" customHeight="1">
      <c r="A7353" s="4" t="s">
        <v>17638</v>
      </c>
      <c r="B7353" s="5" t="s">
        <v>17639</v>
      </c>
      <c r="C7353" s="5" t="s">
        <v>17</v>
      </c>
      <c r="D7353" s="5" t="s">
        <v>18</v>
      </c>
      <c r="E7353" s="5" t="s">
        <v>73</v>
      </c>
      <c r="F7353" s="9" t="s">
        <v>581</v>
      </c>
      <c r="G7353" s="9">
        <v>1469</v>
      </c>
      <c r="H7353" s="5" t="s">
        <v>21</v>
      </c>
      <c r="I7353" s="5" t="s">
        <v>17641</v>
      </c>
      <c r="J7353" s="12" t="str">
        <f>HYPERLINK("https://www.boe.es/gazeta/dias/1808/11/11/pdfs/GMD-1808-143.pdf#page=11","Abrir facsímil")</f>
        <v>Abrir facsímil</v>
      </c>
      <c r="K7353" s="15" t="s">
        <v>23</v>
      </c>
    </row>
    <row r="7354" spans="1:11" ht="42" customHeight="1">
      <c r="A7354" s="4" t="s">
        <v>17642</v>
      </c>
      <c r="B7354" s="5" t="s">
        <v>17643</v>
      </c>
      <c r="C7354" s="5" t="s">
        <v>33</v>
      </c>
      <c r="D7354" s="5" t="s">
        <v>34</v>
      </c>
      <c r="E7354" s="5" t="s">
        <v>35</v>
      </c>
      <c r="F7354" s="9" t="s">
        <v>36</v>
      </c>
      <c r="G7354" s="9" t="s">
        <v>498</v>
      </c>
      <c r="H7354" s="5" t="s">
        <v>21</v>
      </c>
      <c r="I7354" s="5" t="s">
        <v>17644</v>
      </c>
      <c r="J7354" s="12" t="str">
        <f>HYPERLINK("https://www.boe.es/gazeta/dias/1808/04/22/pdfs/GMD-C-1808-38.pdf#page=22","Abrir facsímil")</f>
        <v>Abrir facsímil</v>
      </c>
      <c r="K7354" s="15" t="s">
        <v>23</v>
      </c>
    </row>
    <row r="7355" spans="1:11" ht="42" customHeight="1">
      <c r="A7355" s="4" t="s">
        <v>17642</v>
      </c>
      <c r="B7355" s="5" t="s">
        <v>17643</v>
      </c>
      <c r="C7355" s="5" t="s">
        <v>33</v>
      </c>
      <c r="D7355" s="5" t="s">
        <v>34</v>
      </c>
      <c r="E7355" s="5" t="s">
        <v>89</v>
      </c>
      <c r="F7355" s="9" t="s">
        <v>563</v>
      </c>
      <c r="G7355" s="9" t="s">
        <v>117</v>
      </c>
      <c r="H7355" s="5" t="s">
        <v>21</v>
      </c>
      <c r="I7355" s="5" t="s">
        <v>17645</v>
      </c>
      <c r="J7355" s="12" t="str">
        <f>HYPERLINK("https://www.boe.es/gazeta/dias/1808/10/25/pdfs/GMD-D-1808-137.pdf#page=1","Abrir facsímil")</f>
        <v>Abrir facsímil</v>
      </c>
      <c r="K7355" s="15" t="s">
        <v>23</v>
      </c>
    </row>
    <row r="7356" spans="1:11" ht="42" customHeight="1">
      <c r="A7356" s="4" t="s">
        <v>17646</v>
      </c>
      <c r="B7356" s="5" t="s">
        <v>17647</v>
      </c>
      <c r="C7356" s="5" t="s">
        <v>94</v>
      </c>
      <c r="D7356" s="5" t="s">
        <v>95</v>
      </c>
      <c r="E7356" s="5" t="s">
        <v>1385</v>
      </c>
      <c r="F7356" s="9" t="s">
        <v>1386</v>
      </c>
      <c r="G7356" s="9">
        <v>231</v>
      </c>
      <c r="H7356" s="5" t="s">
        <v>21</v>
      </c>
      <c r="I7356" s="5" t="s">
        <v>17648</v>
      </c>
      <c r="J7356" s="12" t="str">
        <f>HYPERLINK("https://www.boe.es/gazeta/dias/1808/03/04/pdfs/GMD-1808-19.pdf#page=9","Abrir facsímil")</f>
        <v>Abrir facsímil</v>
      </c>
      <c r="K7356" s="15" t="s">
        <v>23</v>
      </c>
    </row>
    <row r="7357" spans="1:11" ht="42" customHeight="1">
      <c r="A7357" s="4" t="s">
        <v>17646</v>
      </c>
      <c r="B7357" s="5" t="s">
        <v>17647</v>
      </c>
      <c r="C7357" s="5" t="s">
        <v>17</v>
      </c>
      <c r="D7357" s="5" t="s">
        <v>18</v>
      </c>
      <c r="E7357" s="5" t="s">
        <v>334</v>
      </c>
      <c r="F7357" s="9" t="s">
        <v>1814</v>
      </c>
      <c r="G7357" s="9">
        <v>1245</v>
      </c>
      <c r="H7357" s="5" t="s">
        <v>21</v>
      </c>
      <c r="I7357" s="5" t="s">
        <v>17649</v>
      </c>
      <c r="J7357" s="12" t="str">
        <f>HYPERLINK("https://www.boe.es/gazeta/dias/1808/10/04/pdfs/GMD-1808-131.pdf#page=13","Abrir facsímil")</f>
        <v>Abrir facsímil</v>
      </c>
      <c r="K7357" s="15" t="s">
        <v>23</v>
      </c>
    </row>
    <row r="7358" spans="1:11" ht="42" customHeight="1">
      <c r="A7358" s="4" t="s">
        <v>17646</v>
      </c>
      <c r="B7358" s="5" t="s">
        <v>17647</v>
      </c>
      <c r="C7358" s="5" t="s">
        <v>33</v>
      </c>
      <c r="D7358" s="5" t="s">
        <v>34</v>
      </c>
      <c r="E7358" s="5" t="s">
        <v>427</v>
      </c>
      <c r="F7358" s="9" t="s">
        <v>428</v>
      </c>
      <c r="G7358" s="9" t="s">
        <v>75</v>
      </c>
      <c r="H7358" s="5" t="s">
        <v>21</v>
      </c>
      <c r="I7358" s="5" t="s">
        <v>17650</v>
      </c>
      <c r="J7358" s="12" t="str">
        <f>HYPERLINK("https://www.boe.es/gazeta/dias/1808/11/22/pdfs/GMD-D-1808-146.pdf#page=4","Abrir facsímil")</f>
        <v>Abrir facsímil</v>
      </c>
      <c r="K7358" s="15" t="s">
        <v>23</v>
      </c>
    </row>
    <row r="7359" spans="1:11" ht="42" customHeight="1">
      <c r="A7359" s="4" t="s">
        <v>17651</v>
      </c>
      <c r="B7359" s="5" t="s">
        <v>17651</v>
      </c>
      <c r="C7359" s="5" t="s">
        <v>41</v>
      </c>
      <c r="D7359" s="5" t="s">
        <v>42</v>
      </c>
      <c r="E7359" s="5" t="s">
        <v>508</v>
      </c>
      <c r="F7359" s="9" t="s">
        <v>509</v>
      </c>
      <c r="G7359" s="9">
        <v>1019</v>
      </c>
      <c r="H7359" s="5" t="s">
        <v>21</v>
      </c>
      <c r="I7359" s="5" t="s">
        <v>17652</v>
      </c>
      <c r="J7359" s="12" t="str">
        <f>HYPERLINK("https://www.boe.es/gazeta/dias/1808/08/16/pdfs/GMD-1808-113.pdf#page=11","Abrir facsímil")</f>
        <v>Abrir facsímil</v>
      </c>
      <c r="K7359" s="15" t="s">
        <v>23</v>
      </c>
    </row>
    <row r="7360" spans="1:11" ht="42" customHeight="1">
      <c r="A7360" s="4" t="s">
        <v>17651</v>
      </c>
      <c r="B7360" s="5" t="s">
        <v>17651</v>
      </c>
      <c r="C7360" s="5" t="s">
        <v>94</v>
      </c>
      <c r="D7360" s="5" t="s">
        <v>95</v>
      </c>
      <c r="E7360" s="5" t="s">
        <v>139</v>
      </c>
      <c r="F7360" s="9" t="s">
        <v>140</v>
      </c>
      <c r="G7360" s="9">
        <v>1202</v>
      </c>
      <c r="H7360" s="5" t="s">
        <v>21</v>
      </c>
      <c r="I7360" s="5" t="s">
        <v>17653</v>
      </c>
      <c r="J7360" s="12" t="str">
        <f>HYPERLINK("https://www.boe.es/gazeta/dias/1808/09/23/pdfs/GMD-1808-127.pdf#page=10","Abrir facsímil")</f>
        <v>Abrir facsímil</v>
      </c>
      <c r="K7360" s="15" t="s">
        <v>23</v>
      </c>
    </row>
    <row r="7361" spans="1:11" ht="42" customHeight="1">
      <c r="A7361" s="4" t="s">
        <v>17651</v>
      </c>
      <c r="B7361" s="5" t="s">
        <v>17651</v>
      </c>
      <c r="C7361" s="5" t="s">
        <v>389</v>
      </c>
      <c r="D7361" s="5" t="s">
        <v>390</v>
      </c>
      <c r="E7361" s="5" t="s">
        <v>139</v>
      </c>
      <c r="F7361" s="9" t="s">
        <v>1089</v>
      </c>
      <c r="G7361" s="9" t="s">
        <v>75</v>
      </c>
      <c r="H7361" s="5" t="s">
        <v>21</v>
      </c>
      <c r="I7361" s="5" t="s">
        <v>17654</v>
      </c>
      <c r="J7361" s="12" t="str">
        <f>HYPERLINK("https://www.boe.es/gazeta/dias/1808/09/23/pdfs/GMD-C-1808-127.pdf#page=4","Abrir facsímil")</f>
        <v>Abrir facsímil</v>
      </c>
      <c r="K7361" s="15" t="s">
        <v>23</v>
      </c>
    </row>
    <row r="7362" spans="1:11" ht="42" customHeight="1">
      <c r="A7362" s="4" t="s">
        <v>17655</v>
      </c>
      <c r="B7362" s="5" t="s">
        <v>17656</v>
      </c>
      <c r="C7362" s="5" t="s">
        <v>41</v>
      </c>
      <c r="D7362" s="5" t="s">
        <v>42</v>
      </c>
      <c r="E7362" s="5" t="s">
        <v>19</v>
      </c>
      <c r="F7362" s="9" t="s">
        <v>59</v>
      </c>
      <c r="G7362" s="9">
        <v>1230</v>
      </c>
      <c r="H7362" s="5" t="s">
        <v>21</v>
      </c>
      <c r="I7362" s="5" t="s">
        <v>17657</v>
      </c>
      <c r="J7362" s="12" t="str">
        <f>HYPERLINK("https://www.boe.es/gazeta/dias/1808/09/30/pdfs/GMD-1808-130.pdf#page=10","Abrir facsímil")</f>
        <v>Abrir facsímil</v>
      </c>
      <c r="K7362" s="15" t="s">
        <v>23</v>
      </c>
    </row>
    <row r="7363" spans="1:11" ht="42" customHeight="1">
      <c r="A7363" s="4" t="s">
        <v>17655</v>
      </c>
      <c r="B7363" s="5" t="s">
        <v>17656</v>
      </c>
      <c r="C7363" s="5" t="s">
        <v>33</v>
      </c>
      <c r="D7363" s="5" t="s">
        <v>34</v>
      </c>
      <c r="E7363" s="5" t="s">
        <v>89</v>
      </c>
      <c r="F7363" s="9" t="s">
        <v>563</v>
      </c>
      <c r="G7363" s="9" t="s">
        <v>199</v>
      </c>
      <c r="H7363" s="5" t="s">
        <v>21</v>
      </c>
      <c r="I7363" s="5" t="s">
        <v>17658</v>
      </c>
      <c r="J7363" s="12" t="str">
        <f>HYPERLINK("https://www.boe.es/gazeta/dias/1808/10/25/pdfs/GMD-D-1808-137.pdf#page=2","Abrir facsímil")</f>
        <v>Abrir facsímil</v>
      </c>
      <c r="K7363" s="15" t="s">
        <v>23</v>
      </c>
    </row>
    <row r="7364" spans="1:11" ht="42" customHeight="1">
      <c r="A7364" s="4" t="s">
        <v>17659</v>
      </c>
      <c r="B7364" s="5" t="s">
        <v>17660</v>
      </c>
      <c r="C7364" s="5" t="s">
        <v>389</v>
      </c>
      <c r="D7364" s="5" t="s">
        <v>390</v>
      </c>
      <c r="E7364" s="5" t="s">
        <v>1821</v>
      </c>
      <c r="F7364" s="9" t="s">
        <v>1874</v>
      </c>
      <c r="G7364" s="9">
        <v>630</v>
      </c>
      <c r="H7364" s="5" t="s">
        <v>21</v>
      </c>
      <c r="I7364" s="5" t="s">
        <v>17661</v>
      </c>
      <c r="J7364" s="12" t="str">
        <f>HYPERLINK("https://www.boe.es/gazeta/dias/1808/06/22/pdfs/GMD-1808-64.pdf#page=8","Abrir facsímil")</f>
        <v>Abrir facsímil</v>
      </c>
      <c r="K7364" s="15" t="s">
        <v>23</v>
      </c>
    </row>
    <row r="7365" spans="1:11" ht="42" customHeight="1">
      <c r="A7365" s="4" t="s">
        <v>17659</v>
      </c>
      <c r="B7365" s="5" t="s">
        <v>17660</v>
      </c>
      <c r="C7365" s="5" t="s">
        <v>94</v>
      </c>
      <c r="D7365" s="5" t="s">
        <v>95</v>
      </c>
      <c r="E7365" s="5" t="s">
        <v>115</v>
      </c>
      <c r="F7365" s="9" t="s">
        <v>116</v>
      </c>
      <c r="G7365" s="9" t="s">
        <v>106</v>
      </c>
      <c r="H7365" s="5" t="s">
        <v>21</v>
      </c>
      <c r="I7365" s="5" t="s">
        <v>17662</v>
      </c>
      <c r="J7365" s="12" t="str">
        <f>HYPERLINK("https://www.boe.es/gazeta/dias/1808/09/16/pdfs/GMD-C-1808-125.pdf#page=3","Abrir facsímil")</f>
        <v>Abrir facsímil</v>
      </c>
      <c r="K7365" s="15" t="s">
        <v>23</v>
      </c>
    </row>
    <row r="7366" spans="1:11" ht="42" customHeight="1">
      <c r="A7366" s="4" t="s">
        <v>17659</v>
      </c>
      <c r="B7366" s="5" t="s">
        <v>17660</v>
      </c>
      <c r="C7366" s="5" t="s">
        <v>17</v>
      </c>
      <c r="D7366" s="5" t="s">
        <v>18</v>
      </c>
      <c r="E7366" s="5" t="s">
        <v>334</v>
      </c>
      <c r="F7366" s="9" t="s">
        <v>1814</v>
      </c>
      <c r="G7366" s="9">
        <v>1245</v>
      </c>
      <c r="H7366" s="5" t="s">
        <v>21</v>
      </c>
      <c r="I7366" s="5" t="s">
        <v>17663</v>
      </c>
      <c r="J7366" s="12" t="str">
        <f>HYPERLINK("https://www.boe.es/gazeta/dias/1808/10/04/pdfs/GMD-1808-131.pdf#page=13","Abrir facsímil")</f>
        <v>Abrir facsímil</v>
      </c>
      <c r="K7366" s="15" t="s">
        <v>23</v>
      </c>
    </row>
    <row r="7367" spans="1:11" ht="42" customHeight="1">
      <c r="A7367" s="4" t="s">
        <v>17664</v>
      </c>
      <c r="B7367" s="5" t="s">
        <v>17665</v>
      </c>
      <c r="C7367" s="5" t="s">
        <v>260</v>
      </c>
      <c r="D7367" s="5" t="s">
        <v>42</v>
      </c>
      <c r="E7367" s="5" t="s">
        <v>115</v>
      </c>
      <c r="F7367" s="9" t="s">
        <v>1650</v>
      </c>
      <c r="G7367" s="9">
        <v>1177</v>
      </c>
      <c r="H7367" s="5" t="s">
        <v>21</v>
      </c>
      <c r="I7367" s="5" t="s">
        <v>17666</v>
      </c>
      <c r="J7367" s="12" t="str">
        <f>HYPERLINK("https://www.boe.es/gazeta/dias/1808/09/16/pdfs/GMD-1808-125.pdf#page=9","Abrir facsímil")</f>
        <v>Abrir facsímil</v>
      </c>
      <c r="K7367" s="15" t="s">
        <v>23</v>
      </c>
    </row>
    <row r="7368" spans="1:11" ht="42" customHeight="1">
      <c r="A7368" s="4" t="s">
        <v>17664</v>
      </c>
      <c r="B7368" s="5" t="s">
        <v>17665</v>
      </c>
      <c r="C7368" s="5" t="s">
        <v>33</v>
      </c>
      <c r="D7368" s="5" t="s">
        <v>34</v>
      </c>
      <c r="E7368" s="5" t="s">
        <v>115</v>
      </c>
      <c r="F7368" s="9" t="s">
        <v>116</v>
      </c>
      <c r="G7368" s="9" t="s">
        <v>117</v>
      </c>
      <c r="H7368" s="5" t="s">
        <v>21</v>
      </c>
      <c r="I7368" s="5" t="s">
        <v>17667</v>
      </c>
      <c r="J7368" s="12" t="str">
        <f>HYPERLINK("https://www.boe.es/gazeta/dias/1808/09/16/pdfs/GMD-C-1808-125.pdf#page=1","Abrir facsímil")</f>
        <v>Abrir facsímil</v>
      </c>
      <c r="K7368" s="15" t="s">
        <v>23</v>
      </c>
    </row>
    <row r="7369" spans="1:11" ht="42" customHeight="1">
      <c r="A7369" s="4" t="s">
        <v>17668</v>
      </c>
      <c r="B7369" s="5" t="s">
        <v>17669</v>
      </c>
      <c r="C7369" s="5" t="s">
        <v>33</v>
      </c>
      <c r="D7369" s="5" t="s">
        <v>34</v>
      </c>
      <c r="E7369" s="5" t="s">
        <v>115</v>
      </c>
      <c r="F7369" s="9" t="s">
        <v>116</v>
      </c>
      <c r="G7369" s="9" t="s">
        <v>117</v>
      </c>
      <c r="H7369" s="5" t="s">
        <v>21</v>
      </c>
      <c r="I7369" s="5" t="s">
        <v>17670</v>
      </c>
      <c r="J7369" s="12" t="str">
        <f>HYPERLINK("https://www.boe.es/gazeta/dias/1808/09/16/pdfs/GMD-C-1808-125.pdf#page=1","Abrir facsímil")</f>
        <v>Abrir facsímil</v>
      </c>
      <c r="K7369" s="15" t="s">
        <v>23</v>
      </c>
    </row>
    <row r="7370" spans="1:11" ht="42" customHeight="1">
      <c r="A7370" s="4" t="s">
        <v>17671</v>
      </c>
      <c r="B7370" s="5" t="s">
        <v>17672</v>
      </c>
      <c r="C7370" s="5" t="s">
        <v>17</v>
      </c>
      <c r="D7370" s="5" t="s">
        <v>18</v>
      </c>
      <c r="E7370" s="5" t="s">
        <v>256</v>
      </c>
      <c r="F7370" s="9" t="s">
        <v>257</v>
      </c>
      <c r="G7370" s="9">
        <v>534</v>
      </c>
      <c r="H7370" s="5" t="s">
        <v>21</v>
      </c>
      <c r="I7370" s="5" t="s">
        <v>17673</v>
      </c>
      <c r="J7370" s="12" t="str">
        <f>HYPERLINK("https://www.boe.es/gazeta/dias/1808/06/03/pdfs/GMD-1808-53.pdf#page=12","Abrir facsímil")</f>
        <v>Abrir facsímil</v>
      </c>
      <c r="K7370" s="15" t="s">
        <v>23</v>
      </c>
    </row>
    <row r="7371" spans="1:11" ht="42" customHeight="1">
      <c r="A7371" s="4" t="s">
        <v>17674</v>
      </c>
      <c r="B7371" s="5" t="s">
        <v>17674</v>
      </c>
      <c r="C7371" s="5" t="s">
        <v>41</v>
      </c>
      <c r="D7371" s="5" t="s">
        <v>42</v>
      </c>
      <c r="E7371" s="5" t="s">
        <v>1385</v>
      </c>
      <c r="F7371" s="9" t="s">
        <v>1386</v>
      </c>
      <c r="G7371" s="9">
        <v>231</v>
      </c>
      <c r="H7371" s="5" t="s">
        <v>21</v>
      </c>
      <c r="I7371" s="5" t="s">
        <v>17675</v>
      </c>
      <c r="J7371" s="12" t="str">
        <f>HYPERLINK("https://www.boe.es/gazeta/dias/1808/03/04/pdfs/GMD-1808-19.pdf#page=9","Abrir facsímil")</f>
        <v>Abrir facsímil</v>
      </c>
      <c r="K7371" s="15" t="s">
        <v>23</v>
      </c>
    </row>
    <row r="7372" spans="1:11" ht="42" customHeight="1">
      <c r="A7372" s="4" t="s">
        <v>17676</v>
      </c>
      <c r="B7372" s="5" t="s">
        <v>17677</v>
      </c>
      <c r="C7372" s="5" t="s">
        <v>17</v>
      </c>
      <c r="D7372" s="5" t="s">
        <v>18</v>
      </c>
      <c r="E7372" s="5" t="s">
        <v>130</v>
      </c>
      <c r="F7372" s="9" t="s">
        <v>131</v>
      </c>
      <c r="G7372" s="9">
        <v>1603</v>
      </c>
      <c r="H7372" s="5" t="s">
        <v>21</v>
      </c>
      <c r="I7372" s="5" t="s">
        <v>17678</v>
      </c>
      <c r="J7372" s="12" t="str">
        <f>HYPERLINK("https://www.boe.es/gazeta/dias/1808/12/15/pdfs/GMD-1808-155.pdf#page=7","Abrir facsímil")</f>
        <v>Abrir facsímil</v>
      </c>
      <c r="K7372" s="15" t="s">
        <v>23</v>
      </c>
    </row>
    <row r="7373" spans="1:11" ht="42" customHeight="1">
      <c r="A7373" s="4" t="s">
        <v>17679</v>
      </c>
      <c r="B7373" s="5" t="s">
        <v>17680</v>
      </c>
      <c r="C7373" s="5" t="s">
        <v>17</v>
      </c>
      <c r="D7373" s="5" t="s">
        <v>18</v>
      </c>
      <c r="E7373" s="5" t="s">
        <v>125</v>
      </c>
      <c r="F7373" s="9" t="s">
        <v>397</v>
      </c>
      <c r="G7373" s="9">
        <v>1270</v>
      </c>
      <c r="H7373" s="5" t="s">
        <v>21</v>
      </c>
      <c r="I7373" s="5" t="s">
        <v>17681</v>
      </c>
      <c r="J7373" s="12" t="str">
        <f>HYPERLINK("https://www.boe.es/gazeta/dias/1808/10/07/pdfs/GMD-1808-132.pdf#page=10","Abrir facsímil")</f>
        <v>Abrir facsímil</v>
      </c>
      <c r="K7373" s="15" t="s">
        <v>23</v>
      </c>
    </row>
    <row r="7374" spans="1:11" ht="42" customHeight="1">
      <c r="A7374" s="4" t="s">
        <v>17682</v>
      </c>
      <c r="B7374" s="5" t="s">
        <v>17683</v>
      </c>
      <c r="C7374" s="5" t="s">
        <v>17</v>
      </c>
      <c r="D7374" s="5" t="s">
        <v>18</v>
      </c>
      <c r="E7374" s="5" t="s">
        <v>130</v>
      </c>
      <c r="F7374" s="9" t="s">
        <v>131</v>
      </c>
      <c r="G7374" s="9">
        <v>1603</v>
      </c>
      <c r="H7374" s="5" t="s">
        <v>21</v>
      </c>
      <c r="I7374" s="5" t="s">
        <v>17684</v>
      </c>
      <c r="J7374" s="12" t="str">
        <f>HYPERLINK("https://www.boe.es/gazeta/dias/1808/12/15/pdfs/GMD-1808-155.pdf#page=7","Abrir facsímil")</f>
        <v>Abrir facsímil</v>
      </c>
      <c r="K7374" s="15" t="s">
        <v>23</v>
      </c>
    </row>
    <row r="7375" spans="1:11" ht="42" customHeight="1">
      <c r="A7375" s="4" t="s">
        <v>17685</v>
      </c>
      <c r="B7375" s="5" t="s">
        <v>17686</v>
      </c>
      <c r="C7375" s="5" t="s">
        <v>33</v>
      </c>
      <c r="D7375" s="5" t="s">
        <v>34</v>
      </c>
      <c r="E7375" s="5" t="s">
        <v>65</v>
      </c>
      <c r="F7375" s="9" t="s">
        <v>691</v>
      </c>
      <c r="G7375" s="9">
        <v>1327</v>
      </c>
      <c r="H7375" s="5" t="s">
        <v>21</v>
      </c>
      <c r="I7375" s="5" t="s">
        <v>17687</v>
      </c>
      <c r="J7375" s="12" t="str">
        <f>HYPERLINK("https://www.boe.es/gazeta/dias/1808/10/18/pdfs/GMD-C-1808-135.pdf#page=11","Abrir facsímil")</f>
        <v>Abrir facsímil</v>
      </c>
      <c r="K7375" s="15" t="s">
        <v>23</v>
      </c>
    </row>
    <row r="7376" spans="1:11" ht="42" customHeight="1">
      <c r="A7376" s="4" t="s">
        <v>17688</v>
      </c>
      <c r="B7376" s="5" t="s">
        <v>17689</v>
      </c>
      <c r="C7376" s="5" t="s">
        <v>94</v>
      </c>
      <c r="D7376" s="5" t="s">
        <v>95</v>
      </c>
      <c r="E7376" s="5" t="s">
        <v>548</v>
      </c>
      <c r="F7376" s="9" t="s">
        <v>549</v>
      </c>
      <c r="G7376" s="9">
        <v>277</v>
      </c>
      <c r="H7376" s="5" t="s">
        <v>21</v>
      </c>
      <c r="I7376" s="5" t="s">
        <v>17690</v>
      </c>
      <c r="J7376" s="12" t="str">
        <f>HYPERLINK("https://www.boe.es/gazeta/dias/1808/03/18/pdfs/GMD-1808-23.pdf#page=7","Abrir facsímil")</f>
        <v>Abrir facsímil</v>
      </c>
      <c r="K7376" s="15" t="s">
        <v>23</v>
      </c>
    </row>
    <row r="7377" spans="1:11" ht="42" customHeight="1">
      <c r="A7377" s="4" t="s">
        <v>17691</v>
      </c>
      <c r="B7377" s="5" t="s">
        <v>17691</v>
      </c>
      <c r="C7377" s="5" t="s">
        <v>17</v>
      </c>
      <c r="D7377" s="5" t="s">
        <v>18</v>
      </c>
      <c r="E7377" s="5" t="s">
        <v>427</v>
      </c>
      <c r="F7377" s="9" t="s">
        <v>1802</v>
      </c>
      <c r="G7377" s="9">
        <v>1523</v>
      </c>
      <c r="H7377" s="5" t="s">
        <v>21</v>
      </c>
      <c r="I7377" s="5" t="s">
        <v>17692</v>
      </c>
      <c r="J7377" s="12" t="str">
        <f>HYPERLINK("https://www.boe.es/gazeta/dias/1808/11/22/pdfs/GMD-1808-146.pdf#page=9","Abrir facsímil")</f>
        <v>Abrir facsímil</v>
      </c>
      <c r="K7377" s="15" t="s">
        <v>23</v>
      </c>
    </row>
    <row r="7378" spans="1:11" ht="42" customHeight="1">
      <c r="A7378" s="4" t="s">
        <v>17693</v>
      </c>
      <c r="B7378" s="5" t="s">
        <v>17693</v>
      </c>
      <c r="C7378" s="5" t="s">
        <v>17</v>
      </c>
      <c r="D7378" s="5" t="s">
        <v>18</v>
      </c>
      <c r="E7378" s="5" t="s">
        <v>61</v>
      </c>
      <c r="F7378" s="9" t="s">
        <v>62</v>
      </c>
      <c r="G7378" s="9">
        <v>1286</v>
      </c>
      <c r="H7378" s="5" t="s">
        <v>21</v>
      </c>
      <c r="I7378" s="5" t="s">
        <v>17694</v>
      </c>
      <c r="J7378" s="12" t="str">
        <f>HYPERLINK("https://www.boe.es/gazeta/dias/1808/10/11/pdfs/GMD-1808-133.pdf#page=14","Abrir facsímil")</f>
        <v>Abrir facsímil</v>
      </c>
      <c r="K7378" s="15" t="s">
        <v>23</v>
      </c>
    </row>
    <row r="7379" spans="1:11" ht="42" customHeight="1">
      <c r="A7379" s="4" t="s">
        <v>17695</v>
      </c>
      <c r="B7379" s="5" t="s">
        <v>17695</v>
      </c>
      <c r="C7379" s="5" t="s">
        <v>33</v>
      </c>
      <c r="D7379" s="5" t="s">
        <v>34</v>
      </c>
      <c r="E7379" s="5" t="s">
        <v>456</v>
      </c>
      <c r="F7379" s="9" t="s">
        <v>748</v>
      </c>
      <c r="G7379" s="9" t="s">
        <v>106</v>
      </c>
      <c r="H7379" s="5" t="s">
        <v>21</v>
      </c>
      <c r="I7379" s="5" t="s">
        <v>17696</v>
      </c>
      <c r="J7379" s="12" t="str">
        <f>HYPERLINK("https://www.boe.es/gazeta/dias/1808/10/14/pdfs/GMD-C-1808-134.pdf#page=3","Abrir facsímil")</f>
        <v>Abrir facsímil</v>
      </c>
      <c r="K7379" s="15" t="s">
        <v>23</v>
      </c>
    </row>
    <row r="7380" spans="1:11" ht="42" customHeight="1">
      <c r="A7380" s="4" t="s">
        <v>17697</v>
      </c>
      <c r="B7380" s="5" t="s">
        <v>17697</v>
      </c>
      <c r="C7380" s="5" t="s">
        <v>33</v>
      </c>
      <c r="D7380" s="5" t="s">
        <v>34</v>
      </c>
      <c r="E7380" s="5" t="s">
        <v>35</v>
      </c>
      <c r="F7380" s="9" t="s">
        <v>36</v>
      </c>
      <c r="G7380" s="9" t="s">
        <v>795</v>
      </c>
      <c r="H7380" s="5" t="s">
        <v>21</v>
      </c>
      <c r="I7380" s="5" t="s">
        <v>17698</v>
      </c>
      <c r="J7380" s="12" t="str">
        <f>HYPERLINK("https://www.boe.es/gazeta/dias/1808/04/22/pdfs/GMD-C-1808-38.pdf#page=21","Abrir facsímil")</f>
        <v>Abrir facsímil</v>
      </c>
      <c r="K7380" s="15" t="s">
        <v>23</v>
      </c>
    </row>
    <row r="7381" spans="1:11" ht="42" customHeight="1">
      <c r="A7381" s="4" t="s">
        <v>17699</v>
      </c>
      <c r="B7381" s="5" t="s">
        <v>17700</v>
      </c>
      <c r="C7381" s="5" t="s">
        <v>33</v>
      </c>
      <c r="D7381" s="5" t="s">
        <v>34</v>
      </c>
      <c r="E7381" s="5" t="s">
        <v>35</v>
      </c>
      <c r="F7381" s="9" t="s">
        <v>36</v>
      </c>
      <c r="G7381" s="9" t="s">
        <v>80</v>
      </c>
      <c r="H7381" s="5" t="s">
        <v>21</v>
      </c>
      <c r="I7381" s="5" t="s">
        <v>17701</v>
      </c>
      <c r="J7381" s="12" t="str">
        <f>HYPERLINK("https://www.boe.es/gazeta/dias/1808/04/22/pdfs/GMD-C-1808-38.pdf#page=18","Abrir facsímil")</f>
        <v>Abrir facsímil</v>
      </c>
      <c r="K7381" s="15" t="s">
        <v>23</v>
      </c>
    </row>
    <row r="7382" spans="1:11" ht="42" customHeight="1">
      <c r="A7382" s="4" t="s">
        <v>17702</v>
      </c>
      <c r="B7382" s="5" t="s">
        <v>17703</v>
      </c>
      <c r="C7382" s="5" t="s">
        <v>94</v>
      </c>
      <c r="D7382" s="5" t="s">
        <v>95</v>
      </c>
      <c r="E7382" s="5" t="s">
        <v>269</v>
      </c>
      <c r="F7382" s="9" t="s">
        <v>270</v>
      </c>
      <c r="G7382" s="9">
        <v>69</v>
      </c>
      <c r="H7382" s="5" t="s">
        <v>21</v>
      </c>
      <c r="I7382" s="5" t="s">
        <v>17704</v>
      </c>
      <c r="J7382" s="12" t="str">
        <f>HYPERLINK("https://www.boe.es/gazeta/dias/1808/01/19/pdfs/GMD-1808-6.pdf#page=9","Abrir facsímil")</f>
        <v>Abrir facsímil</v>
      </c>
      <c r="K7382" s="15" t="s">
        <v>23</v>
      </c>
    </row>
    <row r="7383" spans="1:11" ht="42" customHeight="1">
      <c r="A7383" s="4" t="s">
        <v>17705</v>
      </c>
      <c r="B7383" s="5" t="s">
        <v>17706</v>
      </c>
      <c r="C7383" s="5" t="s">
        <v>33</v>
      </c>
      <c r="D7383" s="5" t="s">
        <v>34</v>
      </c>
      <c r="E7383" s="5" t="s">
        <v>153</v>
      </c>
      <c r="F7383" s="9" t="s">
        <v>154</v>
      </c>
      <c r="G7383" s="9" t="s">
        <v>106</v>
      </c>
      <c r="H7383" s="5" t="s">
        <v>21</v>
      </c>
      <c r="I7383" s="5" t="s">
        <v>17707</v>
      </c>
      <c r="J7383" s="12" t="str">
        <f>HYPERLINK("https://www.boe.es/gazeta/dias/1808/09/09/pdfs/GMD-C-1808-121.pdf#page=3","Abrir facsímil")</f>
        <v>Abrir facsímil</v>
      </c>
      <c r="K7383" s="15" t="s">
        <v>23</v>
      </c>
    </row>
    <row r="7384" spans="1:11" ht="42" customHeight="1">
      <c r="A7384" s="4" t="s">
        <v>17708</v>
      </c>
      <c r="B7384" s="5" t="s">
        <v>17708</v>
      </c>
      <c r="C7384" s="5" t="s">
        <v>33</v>
      </c>
      <c r="D7384" s="5" t="s">
        <v>34</v>
      </c>
      <c r="E7384" s="5" t="s">
        <v>35</v>
      </c>
      <c r="F7384" s="9" t="s">
        <v>36</v>
      </c>
      <c r="G7384" s="9" t="s">
        <v>985</v>
      </c>
      <c r="H7384" s="5" t="s">
        <v>21</v>
      </c>
      <c r="I7384" s="5" t="s">
        <v>17709</v>
      </c>
      <c r="J7384" s="12" t="str">
        <f>HYPERLINK("https://www.boe.es/gazeta/dias/1808/04/22/pdfs/GMD-C-1808-38.pdf#page=39","Abrir facsímil")</f>
        <v>Abrir facsímil</v>
      </c>
      <c r="K7384" s="15" t="s">
        <v>23</v>
      </c>
    </row>
    <row r="7385" spans="1:11" ht="42" customHeight="1">
      <c r="A7385" s="4" t="s">
        <v>17710</v>
      </c>
      <c r="B7385" s="5" t="s">
        <v>17710</v>
      </c>
      <c r="C7385" s="5" t="s">
        <v>17</v>
      </c>
      <c r="D7385" s="5" t="s">
        <v>18</v>
      </c>
      <c r="E7385" s="5" t="s">
        <v>391</v>
      </c>
      <c r="F7385" s="9" t="s">
        <v>392</v>
      </c>
      <c r="G7385" s="9">
        <v>1212</v>
      </c>
      <c r="H7385" s="5" t="s">
        <v>21</v>
      </c>
      <c r="I7385" s="5" t="s">
        <v>17711</v>
      </c>
      <c r="J7385" s="12" t="str">
        <f>HYPERLINK("https://www.boe.es/gazeta/dias/1808/09/27/pdfs/GMD-1808-128.pdf#page=8","Abrir facsímil")</f>
        <v>Abrir facsímil</v>
      </c>
      <c r="K7385" s="15" t="s">
        <v>23</v>
      </c>
    </row>
    <row r="7386" spans="1:11" ht="42" customHeight="1">
      <c r="A7386" s="4" t="s">
        <v>17712</v>
      </c>
      <c r="B7386" s="5" t="s">
        <v>17712</v>
      </c>
      <c r="C7386" s="5" t="s">
        <v>26</v>
      </c>
      <c r="D7386" s="5" t="s">
        <v>27</v>
      </c>
      <c r="E7386" s="5" t="s">
        <v>28</v>
      </c>
      <c r="F7386" s="9" t="s">
        <v>446</v>
      </c>
      <c r="G7386" s="9" t="s">
        <v>106</v>
      </c>
      <c r="H7386" s="5" t="s">
        <v>21</v>
      </c>
      <c r="I7386" s="5" t="s">
        <v>17713</v>
      </c>
      <c r="J7386" s="12" t="str">
        <f>HYPERLINK("https://www.boe.es/gazeta/dias/1808/11/04/pdfs/GMD-D-1808-141.pdf#page=3","Abrir facsímil")</f>
        <v>Abrir facsímil</v>
      </c>
      <c r="K7386" s="15" t="s">
        <v>23</v>
      </c>
    </row>
    <row r="7387" spans="1:11" ht="42" customHeight="1">
      <c r="A7387" s="4" t="s">
        <v>17714</v>
      </c>
      <c r="B7387" s="5" t="s">
        <v>17714</v>
      </c>
      <c r="C7387" s="5" t="s">
        <v>260</v>
      </c>
      <c r="D7387" s="5" t="s">
        <v>42</v>
      </c>
      <c r="E7387" s="5" t="s">
        <v>469</v>
      </c>
      <c r="F7387" s="9" t="s">
        <v>470</v>
      </c>
      <c r="G7387" s="9">
        <v>153</v>
      </c>
      <c r="H7387" s="5" t="s">
        <v>21</v>
      </c>
      <c r="I7387" s="5" t="s">
        <v>17715</v>
      </c>
      <c r="J7387" s="12" t="str">
        <f>HYPERLINK("https://www.boe.es/gazeta/dias/1808/02/12/pdfs/GMD-1808-13.pdf#page=9","Abrir facsímil")</f>
        <v>Abrir facsímil</v>
      </c>
      <c r="K7387" s="15" t="s">
        <v>23</v>
      </c>
    </row>
    <row r="7388" spans="1:11" ht="42" customHeight="1">
      <c r="A7388" s="4" t="s">
        <v>17716</v>
      </c>
      <c r="B7388" s="5" t="s">
        <v>17716</v>
      </c>
      <c r="C7388" s="5" t="s">
        <v>94</v>
      </c>
      <c r="D7388" s="5" t="s">
        <v>95</v>
      </c>
      <c r="E7388" s="5" t="s">
        <v>54</v>
      </c>
      <c r="F7388" s="9" t="s">
        <v>55</v>
      </c>
      <c r="G7388" s="9">
        <v>1087</v>
      </c>
      <c r="H7388" s="5" t="s">
        <v>21</v>
      </c>
      <c r="I7388" s="5" t="s">
        <v>17717</v>
      </c>
      <c r="J7388" s="12" t="str">
        <f>HYPERLINK("https://www.boe.es/gazeta/dias/1808/08/26/pdfs/GMD-1808-117.pdf#page=9","Abrir facsímil")</f>
        <v>Abrir facsímil</v>
      </c>
      <c r="K7388" s="15" t="s">
        <v>23</v>
      </c>
    </row>
    <row r="7389" spans="1:11" ht="42" customHeight="1">
      <c r="A7389" s="4" t="s">
        <v>17718</v>
      </c>
      <c r="B7389" s="5" t="s">
        <v>17718</v>
      </c>
      <c r="C7389" s="5" t="s">
        <v>33</v>
      </c>
      <c r="D7389" s="5" t="s">
        <v>34</v>
      </c>
      <c r="E7389" s="5" t="s">
        <v>65</v>
      </c>
      <c r="F7389" s="9" t="s">
        <v>105</v>
      </c>
      <c r="G7389" s="9" t="s">
        <v>199</v>
      </c>
      <c r="H7389" s="5" t="s">
        <v>21</v>
      </c>
      <c r="I7389" s="5" t="s">
        <v>17719</v>
      </c>
      <c r="J7389" s="12" t="str">
        <f>HYPERLINK("https://www.boe.es/gazeta/dias/1808/10/18/pdfs/GMD-D-1808-135.pdf#page=2","Abrir facsímil")</f>
        <v>Abrir facsímil</v>
      </c>
      <c r="K7389" s="15" t="s">
        <v>23</v>
      </c>
    </row>
    <row r="7390" spans="1:11" ht="42" customHeight="1">
      <c r="A7390" s="4" t="s">
        <v>17720</v>
      </c>
      <c r="B7390" s="5" t="s">
        <v>17720</v>
      </c>
      <c r="C7390" s="5" t="s">
        <v>17</v>
      </c>
      <c r="D7390" s="5" t="s">
        <v>18</v>
      </c>
      <c r="E7390" s="5" t="s">
        <v>61</v>
      </c>
      <c r="F7390" s="9" t="s">
        <v>62</v>
      </c>
      <c r="G7390" s="9">
        <v>1286</v>
      </c>
      <c r="H7390" s="5" t="s">
        <v>21</v>
      </c>
      <c r="I7390" s="5" t="s">
        <v>17721</v>
      </c>
      <c r="J7390" s="12" t="str">
        <f>HYPERLINK("https://www.boe.es/gazeta/dias/1808/10/11/pdfs/GMD-1808-133.pdf#page=14","Abrir facsímil")</f>
        <v>Abrir facsímil</v>
      </c>
      <c r="K7390" s="15" t="s">
        <v>23</v>
      </c>
    </row>
    <row r="7391" spans="1:11" ht="42" customHeight="1">
      <c r="A7391" s="4" t="s">
        <v>17722</v>
      </c>
      <c r="B7391" s="5" t="s">
        <v>17723</v>
      </c>
      <c r="C7391" s="5" t="s">
        <v>389</v>
      </c>
      <c r="D7391" s="5" t="s">
        <v>390</v>
      </c>
      <c r="E7391" s="5" t="s">
        <v>35</v>
      </c>
      <c r="F7391" s="9" t="s">
        <v>36</v>
      </c>
      <c r="G7391" s="9" t="s">
        <v>75</v>
      </c>
      <c r="H7391" s="5" t="s">
        <v>21</v>
      </c>
      <c r="I7391" s="5" t="s">
        <v>17724</v>
      </c>
      <c r="J7391" s="12" t="str">
        <f>HYPERLINK("https://www.boe.es/gazeta/dias/1808/04/22/pdfs/GMD-C-1808-38.pdf#page=4","Abrir facsímil")</f>
        <v>Abrir facsímil</v>
      </c>
      <c r="K7391" s="15" t="s">
        <v>23</v>
      </c>
    </row>
    <row r="7392" spans="1:11" ht="42" customHeight="1">
      <c r="A7392" s="4" t="s">
        <v>17725</v>
      </c>
      <c r="B7392" s="5" t="s">
        <v>17726</v>
      </c>
      <c r="C7392" s="5" t="s">
        <v>41</v>
      </c>
      <c r="D7392" s="5" t="s">
        <v>42</v>
      </c>
      <c r="E7392" s="5" t="s">
        <v>139</v>
      </c>
      <c r="F7392" s="9" t="s">
        <v>1089</v>
      </c>
      <c r="G7392" s="9" t="s">
        <v>199</v>
      </c>
      <c r="H7392" s="5" t="s">
        <v>21</v>
      </c>
      <c r="I7392" s="5" t="s">
        <v>17727</v>
      </c>
      <c r="J7392" s="12" t="str">
        <f>HYPERLINK("https://www.boe.es/gazeta/dias/1808/09/23/pdfs/GMD-C-1808-127.pdf#page=2","Abrir facsímil")</f>
        <v>Abrir facsímil</v>
      </c>
      <c r="K7392" s="15" t="s">
        <v>23</v>
      </c>
    </row>
    <row r="7393" spans="1:11" ht="42" customHeight="1">
      <c r="A7393" s="4" t="s">
        <v>17725</v>
      </c>
      <c r="B7393" s="5" t="s">
        <v>17726</v>
      </c>
      <c r="C7393" s="5" t="s">
        <v>17</v>
      </c>
      <c r="D7393" s="5" t="s">
        <v>18</v>
      </c>
      <c r="E7393" s="5" t="s">
        <v>130</v>
      </c>
      <c r="F7393" s="9" t="s">
        <v>131</v>
      </c>
      <c r="G7393" s="9">
        <v>1604</v>
      </c>
      <c r="H7393" s="5" t="s">
        <v>21</v>
      </c>
      <c r="I7393" s="5" t="s">
        <v>17728</v>
      </c>
      <c r="J7393" s="12" t="str">
        <f>HYPERLINK("https://www.boe.es/gazeta/dias/1808/12/15/pdfs/GMD-1808-155.pdf#page=8","Abrir facsímil")</f>
        <v>Abrir facsímil</v>
      </c>
      <c r="K7393" s="15" t="s">
        <v>23</v>
      </c>
    </row>
    <row r="7394" spans="1:11" ht="42" customHeight="1">
      <c r="A7394" s="4" t="s">
        <v>17729</v>
      </c>
      <c r="B7394" s="5" t="s">
        <v>17730</v>
      </c>
      <c r="C7394" s="5" t="s">
        <v>17</v>
      </c>
      <c r="D7394" s="5" t="s">
        <v>18</v>
      </c>
      <c r="E7394" s="5" t="s">
        <v>719</v>
      </c>
      <c r="F7394" s="9" t="s">
        <v>720</v>
      </c>
      <c r="G7394" s="9">
        <v>1611</v>
      </c>
      <c r="H7394" s="5" t="s">
        <v>21</v>
      </c>
      <c r="I7394" s="5" t="s">
        <v>17731</v>
      </c>
      <c r="J7394" s="12" t="str">
        <f>HYPERLINK("https://www.boe.es/gazeta/dias/1808/12/16/pdfs/GMD-1808-156.pdf#page=3","Abrir facsímil")</f>
        <v>Abrir facsímil</v>
      </c>
      <c r="K7394" s="15" t="s">
        <v>23</v>
      </c>
    </row>
    <row r="7395" spans="1:11" ht="42" customHeight="1">
      <c r="A7395" s="4" t="s">
        <v>17732</v>
      </c>
      <c r="B7395" s="5" t="s">
        <v>17733</v>
      </c>
      <c r="C7395" s="5" t="s">
        <v>17</v>
      </c>
      <c r="D7395" s="5" t="s">
        <v>18</v>
      </c>
      <c r="E7395" s="5" t="s">
        <v>558</v>
      </c>
      <c r="F7395" s="9" t="s">
        <v>559</v>
      </c>
      <c r="G7395" s="9">
        <v>1544</v>
      </c>
      <c r="H7395" s="5" t="s">
        <v>21</v>
      </c>
      <c r="I7395" s="5" t="s">
        <v>17734</v>
      </c>
      <c r="J7395" s="12" t="str">
        <f>HYPERLINK("https://www.boe.es/gazeta/dias/1808/11/25/pdfs/GMD-1808-147.pdf#page=10","Abrir facsímil")</f>
        <v>Abrir facsímil</v>
      </c>
      <c r="K7395" s="15" t="s">
        <v>23</v>
      </c>
    </row>
    <row r="7396" spans="1:11" ht="42" customHeight="1">
      <c r="A7396" s="4" t="s">
        <v>17735</v>
      </c>
      <c r="B7396" s="5" t="s">
        <v>17736</v>
      </c>
      <c r="C7396" s="5" t="s">
        <v>33</v>
      </c>
      <c r="D7396" s="5" t="s">
        <v>34</v>
      </c>
      <c r="E7396" s="5" t="s">
        <v>558</v>
      </c>
      <c r="F7396" s="9" t="s">
        <v>758</v>
      </c>
      <c r="G7396" s="9" t="s">
        <v>199</v>
      </c>
      <c r="H7396" s="5" t="s">
        <v>21</v>
      </c>
      <c r="I7396" s="5" t="s">
        <v>17737</v>
      </c>
      <c r="J7396" s="12" t="str">
        <f>HYPERLINK("https://www.boe.es/gazeta/dias/1808/11/25/pdfs/GMD-E-1808-147.pdf#page=2","Abrir facsímil")</f>
        <v>Abrir facsímil</v>
      </c>
      <c r="K7396" s="15" t="s">
        <v>23</v>
      </c>
    </row>
    <row r="7397" spans="1:11" ht="42" customHeight="1">
      <c r="A7397" s="4" t="s">
        <v>17738</v>
      </c>
      <c r="B7397" s="5" t="s">
        <v>17739</v>
      </c>
      <c r="C7397" s="5" t="s">
        <v>17</v>
      </c>
      <c r="D7397" s="5" t="s">
        <v>18</v>
      </c>
      <c r="E7397" s="5" t="s">
        <v>558</v>
      </c>
      <c r="F7397" s="9" t="s">
        <v>559</v>
      </c>
      <c r="G7397" s="9">
        <v>1545</v>
      </c>
      <c r="H7397" s="5" t="s">
        <v>21</v>
      </c>
      <c r="I7397" s="5" t="s">
        <v>17740</v>
      </c>
      <c r="J7397" s="12" t="str">
        <f>HYPERLINK("https://www.boe.es/gazeta/dias/1808/11/25/pdfs/GMD-1808-147.pdf#page=11","Abrir facsímil")</f>
        <v>Abrir facsímil</v>
      </c>
      <c r="K7397" s="15" t="s">
        <v>23</v>
      </c>
    </row>
    <row r="7398" spans="1:11" ht="42" customHeight="1">
      <c r="A7398" s="4" t="s">
        <v>17741</v>
      </c>
      <c r="B7398" s="5" t="s">
        <v>17742</v>
      </c>
      <c r="C7398" s="5" t="s">
        <v>94</v>
      </c>
      <c r="D7398" s="5" t="s">
        <v>95</v>
      </c>
      <c r="E7398" s="5" t="s">
        <v>572</v>
      </c>
      <c r="F7398" s="9" t="s">
        <v>573</v>
      </c>
      <c r="G7398" s="9">
        <v>21</v>
      </c>
      <c r="H7398" s="5" t="s">
        <v>21</v>
      </c>
      <c r="I7398" s="5" t="s">
        <v>17743</v>
      </c>
      <c r="J7398" s="12" t="str">
        <f>HYPERLINK("https://www.boe.es/gazeta/dias/1808/01/05/pdfs/GMD-1808-2.pdf#page=9","Abrir facsímil")</f>
        <v>Abrir facsímil</v>
      </c>
      <c r="K7398" s="15" t="s">
        <v>23</v>
      </c>
    </row>
    <row r="7399" spans="1:11" ht="42" customHeight="1">
      <c r="A7399" s="4" t="s">
        <v>17741</v>
      </c>
      <c r="B7399" s="5" t="s">
        <v>17742</v>
      </c>
      <c r="C7399" s="5" t="s">
        <v>94</v>
      </c>
      <c r="D7399" s="5" t="s">
        <v>95</v>
      </c>
      <c r="E7399" s="5" t="s">
        <v>1472</v>
      </c>
      <c r="F7399" s="9" t="s">
        <v>1473</v>
      </c>
      <c r="G7399" s="9">
        <v>93</v>
      </c>
      <c r="H7399" s="5" t="s">
        <v>21</v>
      </c>
      <c r="I7399" s="5" t="s">
        <v>17744</v>
      </c>
      <c r="J7399" s="12" t="str">
        <f>HYPERLINK("https://www.boe.es/gazeta/dias/1808/01/26/pdfs/GMD-1808-8.pdf#page=9","Abrir facsímil")</f>
        <v>Abrir facsímil</v>
      </c>
      <c r="K7399" s="15" t="s">
        <v>23</v>
      </c>
    </row>
    <row r="7400" spans="1:11" ht="42" customHeight="1">
      <c r="A7400" s="4" t="s">
        <v>17741</v>
      </c>
      <c r="B7400" s="5" t="s">
        <v>17742</v>
      </c>
      <c r="C7400" s="5" t="s">
        <v>17</v>
      </c>
      <c r="D7400" s="5" t="s">
        <v>18</v>
      </c>
      <c r="E7400" s="5" t="s">
        <v>180</v>
      </c>
      <c r="F7400" s="9" t="s">
        <v>2568</v>
      </c>
      <c r="G7400" s="9">
        <v>1498</v>
      </c>
      <c r="H7400" s="5" t="s">
        <v>21</v>
      </c>
      <c r="I7400" s="5" t="s">
        <v>17745</v>
      </c>
      <c r="J7400" s="12" t="str">
        <f>HYPERLINK("https://www.boe.es/gazeta/dias/1808/11/15/pdfs/GMD-1808-144.pdf#page=12","Abrir facsímil")</f>
        <v>Abrir facsímil</v>
      </c>
      <c r="K7400" s="15" t="s">
        <v>23</v>
      </c>
    </row>
    <row r="7401" spans="1:11" ht="42" customHeight="1">
      <c r="A7401" s="4" t="s">
        <v>17746</v>
      </c>
      <c r="B7401" s="5" t="s">
        <v>17747</v>
      </c>
      <c r="C7401" s="5" t="s">
        <v>26</v>
      </c>
      <c r="D7401" s="5" t="s">
        <v>27</v>
      </c>
      <c r="E7401" s="5" t="s">
        <v>19</v>
      </c>
      <c r="F7401" s="9" t="s">
        <v>59</v>
      </c>
      <c r="G7401" s="9">
        <v>1229</v>
      </c>
      <c r="H7401" s="5" t="s">
        <v>21</v>
      </c>
      <c r="I7401" s="5" t="s">
        <v>17748</v>
      </c>
      <c r="J7401" s="12" t="str">
        <f>HYPERLINK("https://www.boe.es/gazeta/dias/1808/09/30/pdfs/GMD-1808-130.pdf#page=9","Abrir facsímil")</f>
        <v>Abrir facsímil</v>
      </c>
      <c r="K7401" s="15" t="s">
        <v>23</v>
      </c>
    </row>
    <row r="7402" spans="1:11" ht="42" customHeight="1">
      <c r="A7402" s="4" t="s">
        <v>17749</v>
      </c>
      <c r="B7402" s="5" t="s">
        <v>17750</v>
      </c>
      <c r="C7402" s="5" t="s">
        <v>33</v>
      </c>
      <c r="D7402" s="5" t="s">
        <v>34</v>
      </c>
      <c r="E7402" s="5" t="s">
        <v>35</v>
      </c>
      <c r="F7402" s="9" t="s">
        <v>36</v>
      </c>
      <c r="G7402" s="9" t="s">
        <v>43</v>
      </c>
      <c r="H7402" s="5" t="s">
        <v>21</v>
      </c>
      <c r="I7402" s="5" t="s">
        <v>17751</v>
      </c>
      <c r="J7402" s="12" t="str">
        <f>HYPERLINK("https://www.boe.es/gazeta/dias/1808/04/22/pdfs/GMD-C-1808-38.pdf#page=30","Abrir facsímil")</f>
        <v>Abrir facsímil</v>
      </c>
      <c r="K7402" s="15" t="s">
        <v>23</v>
      </c>
    </row>
    <row r="7403" spans="1:11" ht="42" customHeight="1">
      <c r="A7403" s="4" t="s">
        <v>17752</v>
      </c>
      <c r="B7403" s="5" t="s">
        <v>17753</v>
      </c>
      <c r="C7403" s="5" t="s">
        <v>33</v>
      </c>
      <c r="D7403" s="5" t="s">
        <v>34</v>
      </c>
      <c r="E7403" s="5" t="s">
        <v>35</v>
      </c>
      <c r="F7403" s="9" t="s">
        <v>36</v>
      </c>
      <c r="G7403" s="9" t="s">
        <v>313</v>
      </c>
      <c r="H7403" s="5" t="s">
        <v>21</v>
      </c>
      <c r="I7403" s="5" t="s">
        <v>17754</v>
      </c>
      <c r="J7403" s="12" t="str">
        <f>HYPERLINK("https://www.boe.es/gazeta/dias/1808/04/22/pdfs/GMD-C-1808-38.pdf#page=29","Abrir facsímil")</f>
        <v>Abrir facsímil</v>
      </c>
      <c r="K7403" s="15" t="s">
        <v>23</v>
      </c>
    </row>
    <row r="7404" spans="1:11" ht="42" customHeight="1">
      <c r="A7404" s="4" t="s">
        <v>17755</v>
      </c>
      <c r="B7404" s="5" t="s">
        <v>17756</v>
      </c>
      <c r="C7404" s="5" t="s">
        <v>94</v>
      </c>
      <c r="D7404" s="5" t="s">
        <v>95</v>
      </c>
      <c r="E7404" s="5" t="s">
        <v>478</v>
      </c>
      <c r="F7404" s="9" t="s">
        <v>479</v>
      </c>
      <c r="G7404" s="9">
        <v>241</v>
      </c>
      <c r="H7404" s="5" t="s">
        <v>21</v>
      </c>
      <c r="I7404" s="5" t="s">
        <v>17757</v>
      </c>
      <c r="J7404" s="12" t="str">
        <f>HYPERLINK("https://www.boe.es/gazeta/dias/1808/03/08/pdfs/GMD-1808-20.pdf#page=7","Abrir facsímil")</f>
        <v>Abrir facsímil</v>
      </c>
      <c r="K7404" s="15" t="s">
        <v>23</v>
      </c>
    </row>
    <row r="7405" spans="1:11" ht="42" customHeight="1">
      <c r="A7405" s="4" t="s">
        <v>17758</v>
      </c>
      <c r="B7405" s="5" t="s">
        <v>17759</v>
      </c>
      <c r="C7405" s="5" t="s">
        <v>33</v>
      </c>
      <c r="D7405" s="5" t="s">
        <v>34</v>
      </c>
      <c r="E7405" s="5" t="s">
        <v>35</v>
      </c>
      <c r="F7405" s="9" t="s">
        <v>36</v>
      </c>
      <c r="G7405" s="9" t="s">
        <v>498</v>
      </c>
      <c r="H7405" s="5" t="s">
        <v>21</v>
      </c>
      <c r="I7405" s="5" t="s">
        <v>17760</v>
      </c>
      <c r="J7405" s="12" t="str">
        <f>HYPERLINK("https://www.boe.es/gazeta/dias/1808/04/22/pdfs/GMD-C-1808-38.pdf#page=22","Abrir facsímil")</f>
        <v>Abrir facsímil</v>
      </c>
      <c r="K7405" s="15" t="s">
        <v>23</v>
      </c>
    </row>
    <row r="7406" spans="1:11" ht="42" customHeight="1">
      <c r="A7406" s="4" t="s">
        <v>17761</v>
      </c>
      <c r="B7406" s="5" t="s">
        <v>17761</v>
      </c>
      <c r="C7406" s="5" t="s">
        <v>17</v>
      </c>
      <c r="D7406" s="5" t="s">
        <v>18</v>
      </c>
      <c r="E7406" s="5" t="s">
        <v>2524</v>
      </c>
      <c r="F7406" s="9" t="s">
        <v>4648</v>
      </c>
      <c r="G7406" s="9">
        <v>477</v>
      </c>
      <c r="H7406" s="5" t="s">
        <v>21</v>
      </c>
      <c r="I7406" s="5" t="s">
        <v>17762</v>
      </c>
      <c r="J7406" s="12" t="str">
        <f>HYPERLINK("https://www.boe.es/gazeta/dias/1808/12/23/pdfs/GMS-1808-60.pdf#page=5","Abrir facsímil")</f>
        <v>Abrir facsímil</v>
      </c>
      <c r="K7406" s="15" t="s">
        <v>23</v>
      </c>
    </row>
    <row r="7407" spans="1:11" ht="42" customHeight="1">
      <c r="A7407" s="4" t="s">
        <v>17763</v>
      </c>
      <c r="B7407" s="5" t="s">
        <v>17764</v>
      </c>
      <c r="C7407" s="5" t="s">
        <v>26</v>
      </c>
      <c r="D7407" s="5" t="s">
        <v>27</v>
      </c>
      <c r="E7407" s="5" t="s">
        <v>427</v>
      </c>
      <c r="F7407" s="9" t="s">
        <v>428</v>
      </c>
      <c r="G7407" s="9" t="s">
        <v>117</v>
      </c>
      <c r="H7407" s="5" t="s">
        <v>21</v>
      </c>
      <c r="I7407" s="5" t="s">
        <v>17765</v>
      </c>
      <c r="J7407" s="12" t="str">
        <f>HYPERLINK("https://www.boe.es/gazeta/dias/1808/11/22/pdfs/GMD-D-1808-146.pdf#page=1","Abrir facsímil")</f>
        <v>Abrir facsímil</v>
      </c>
      <c r="K7407" s="15" t="s">
        <v>23</v>
      </c>
    </row>
    <row r="7408" spans="1:11" ht="42" customHeight="1">
      <c r="A7408" s="4" t="s">
        <v>17766</v>
      </c>
      <c r="B7408" s="5" t="s">
        <v>17767</v>
      </c>
      <c r="C7408" s="5" t="s">
        <v>17</v>
      </c>
      <c r="D7408" s="5" t="s">
        <v>18</v>
      </c>
      <c r="E7408" s="5" t="s">
        <v>130</v>
      </c>
      <c r="F7408" s="9" t="s">
        <v>131</v>
      </c>
      <c r="G7408" s="9">
        <v>1601</v>
      </c>
      <c r="H7408" s="5" t="s">
        <v>21</v>
      </c>
      <c r="I7408" s="5" t="s">
        <v>17768</v>
      </c>
      <c r="J7408" s="12" t="str">
        <f>HYPERLINK("https://www.boe.es/gazeta/dias/1808/12/15/pdfs/GMD-1808-155.pdf#page=5","Abrir facsímil")</f>
        <v>Abrir facsímil</v>
      </c>
      <c r="K7408" s="15" t="s">
        <v>23</v>
      </c>
    </row>
    <row r="7409" spans="1:11" ht="42" customHeight="1">
      <c r="A7409" s="4" t="s">
        <v>17769</v>
      </c>
      <c r="B7409" s="5" t="s">
        <v>17769</v>
      </c>
      <c r="C7409" s="5" t="s">
        <v>389</v>
      </c>
      <c r="D7409" s="5" t="s">
        <v>390</v>
      </c>
      <c r="E7409" s="5" t="s">
        <v>65</v>
      </c>
      <c r="F7409" s="9" t="s">
        <v>105</v>
      </c>
      <c r="G7409" s="9" t="s">
        <v>117</v>
      </c>
      <c r="H7409" s="5" t="s">
        <v>21</v>
      </c>
      <c r="I7409" s="5" t="s">
        <v>17770</v>
      </c>
      <c r="J7409" s="12" t="str">
        <f>HYPERLINK("https://www.boe.es/gazeta/dias/1808/10/18/pdfs/GMD-D-1808-135.pdf#page=1","Abrir facsímil")</f>
        <v>Abrir facsímil</v>
      </c>
      <c r="K7409" s="15" t="s">
        <v>23</v>
      </c>
    </row>
    <row r="7410" spans="1:11" ht="42" customHeight="1">
      <c r="A7410" s="4" t="s">
        <v>17771</v>
      </c>
      <c r="B7410" s="5" t="s">
        <v>17771</v>
      </c>
      <c r="C7410" s="5" t="s">
        <v>33</v>
      </c>
      <c r="D7410" s="5" t="s">
        <v>34</v>
      </c>
      <c r="E7410" s="5" t="s">
        <v>35</v>
      </c>
      <c r="F7410" s="9" t="s">
        <v>36</v>
      </c>
      <c r="G7410" s="9" t="s">
        <v>144</v>
      </c>
      <c r="H7410" s="5" t="s">
        <v>21</v>
      </c>
      <c r="I7410" s="5" t="s">
        <v>17772</v>
      </c>
      <c r="J7410" s="12" t="str">
        <f>HYPERLINK("https://www.boe.es/gazeta/dias/1808/04/22/pdfs/GMD-C-1808-38.pdf#page=40","Abrir facsímil")</f>
        <v>Abrir facsímil</v>
      </c>
      <c r="K7410" s="15" t="s">
        <v>23</v>
      </c>
    </row>
    <row r="7411" spans="1:11" ht="42" customHeight="1">
      <c r="A7411" s="4" t="s">
        <v>17773</v>
      </c>
      <c r="B7411" s="5" t="s">
        <v>17773</v>
      </c>
      <c r="C7411" s="5" t="s">
        <v>17</v>
      </c>
      <c r="D7411" s="5" t="s">
        <v>18</v>
      </c>
      <c r="E7411" s="5" t="s">
        <v>130</v>
      </c>
      <c r="F7411" s="9" t="s">
        <v>131</v>
      </c>
      <c r="G7411" s="9">
        <v>1603</v>
      </c>
      <c r="H7411" s="5" t="s">
        <v>21</v>
      </c>
      <c r="I7411" s="5" t="s">
        <v>17774</v>
      </c>
      <c r="J7411" s="12" t="str">
        <f>HYPERLINK("https://www.boe.es/gazeta/dias/1808/12/15/pdfs/GMD-1808-155.pdf#page=7","Abrir facsímil")</f>
        <v>Abrir facsímil</v>
      </c>
      <c r="K7411" s="15" t="s">
        <v>23</v>
      </c>
    </row>
    <row r="7412" spans="1:11" ht="42" customHeight="1">
      <c r="A7412" s="4" t="s">
        <v>17775</v>
      </c>
      <c r="B7412" s="5" t="s">
        <v>17776</v>
      </c>
      <c r="C7412" s="5" t="s">
        <v>33</v>
      </c>
      <c r="D7412" s="5" t="s">
        <v>34</v>
      </c>
      <c r="E7412" s="5" t="s">
        <v>35</v>
      </c>
      <c r="F7412" s="9" t="s">
        <v>36</v>
      </c>
      <c r="G7412" s="9" t="s">
        <v>80</v>
      </c>
      <c r="H7412" s="5" t="s">
        <v>21</v>
      </c>
      <c r="I7412" s="5" t="s">
        <v>17777</v>
      </c>
      <c r="J7412" s="12" t="str">
        <f>HYPERLINK("https://www.boe.es/gazeta/dias/1808/04/22/pdfs/GMD-C-1808-38.pdf#page=18","Abrir facsímil")</f>
        <v>Abrir facsímil</v>
      </c>
      <c r="K7412" s="15" t="s">
        <v>23</v>
      </c>
    </row>
    <row r="7413" spans="1:11" ht="42" customHeight="1">
      <c r="A7413" s="4" t="s">
        <v>17778</v>
      </c>
      <c r="B7413" s="5" t="s">
        <v>17778</v>
      </c>
      <c r="C7413" s="5" t="s">
        <v>101</v>
      </c>
      <c r="D7413" s="5" t="s">
        <v>102</v>
      </c>
      <c r="E7413" s="5" t="s">
        <v>210</v>
      </c>
      <c r="F7413" s="9" t="s">
        <v>211</v>
      </c>
      <c r="G7413" s="9">
        <v>249</v>
      </c>
      <c r="H7413" s="5" t="s">
        <v>21</v>
      </c>
      <c r="I7413" s="5" t="s">
        <v>17779</v>
      </c>
      <c r="J7413" s="12" t="str">
        <f>HYPERLINK("https://www.boe.es/gazeta/dias/1808/03/11/pdfs/GMD-1808-21.pdf#page=3","Abrir facsímil")</f>
        <v>Abrir facsímil</v>
      </c>
      <c r="K7413" s="15" t="s">
        <v>23</v>
      </c>
    </row>
    <row r="7414" spans="1:11" ht="42" customHeight="1">
      <c r="A7414" s="4" t="s">
        <v>17780</v>
      </c>
      <c r="B7414" s="5" t="s">
        <v>17780</v>
      </c>
      <c r="C7414" s="5" t="s">
        <v>101</v>
      </c>
      <c r="D7414" s="5" t="s">
        <v>102</v>
      </c>
      <c r="E7414" s="5" t="s">
        <v>974</v>
      </c>
      <c r="F7414" s="9" t="s">
        <v>975</v>
      </c>
      <c r="G7414" s="9">
        <v>386</v>
      </c>
      <c r="H7414" s="5" t="s">
        <v>21</v>
      </c>
      <c r="I7414" s="5" t="s">
        <v>17781</v>
      </c>
      <c r="J7414" s="12" t="str">
        <f>HYPERLINK("https://www.boe.es/gazeta/dias/1808/04/19/pdfs/GMD-1808-37.pdf#page=2","Abrir facsímil")</f>
        <v>Abrir facsímil</v>
      </c>
      <c r="K7414" s="15" t="s">
        <v>23</v>
      </c>
    </row>
    <row r="7415" spans="1:11" ht="42" customHeight="1">
      <c r="A7415" s="4" t="s">
        <v>17782</v>
      </c>
      <c r="B7415" s="5" t="s">
        <v>17782</v>
      </c>
      <c r="C7415" s="5" t="s">
        <v>101</v>
      </c>
      <c r="D7415" s="5" t="s">
        <v>102</v>
      </c>
      <c r="E7415" s="5" t="s">
        <v>1671</v>
      </c>
      <c r="F7415" s="9" t="s">
        <v>1672</v>
      </c>
      <c r="G7415" s="9">
        <v>478</v>
      </c>
      <c r="H7415" s="5" t="s">
        <v>21</v>
      </c>
      <c r="I7415" s="5" t="s">
        <v>17783</v>
      </c>
      <c r="J7415" s="12" t="str">
        <f>HYPERLINK("https://www.boe.es/gazeta/dias/1808/05/20/pdfs/GMD-1808-48.pdf#page=6","Abrir facsímil")</f>
        <v>Abrir facsímil</v>
      </c>
      <c r="K7415" s="15" t="s">
        <v>23</v>
      </c>
    </row>
    <row r="7416" spans="1:11" ht="42" customHeight="1">
      <c r="A7416" s="4" t="s">
        <v>17784</v>
      </c>
      <c r="B7416" s="5" t="s">
        <v>17784</v>
      </c>
      <c r="C7416" s="5" t="s">
        <v>101</v>
      </c>
      <c r="D7416" s="5" t="s">
        <v>102</v>
      </c>
      <c r="E7416" s="5" t="s">
        <v>2204</v>
      </c>
      <c r="F7416" s="9" t="s">
        <v>2285</v>
      </c>
      <c r="G7416" s="9">
        <v>679</v>
      </c>
      <c r="H7416" s="5" t="s">
        <v>21</v>
      </c>
      <c r="I7416" s="5" t="s">
        <v>17785</v>
      </c>
      <c r="J7416" s="12" t="str">
        <f>HYPERLINK("https://www.boe.es/gazeta/dias/1808/06/29/pdfs/GMD-1808-71.pdf#page=1","Abrir facsímil")</f>
        <v>Abrir facsímil</v>
      </c>
      <c r="K7416" s="15" t="s">
        <v>23</v>
      </c>
    </row>
    <row r="7417" spans="1:11" ht="42" customHeight="1">
      <c r="A7417" s="4" t="s">
        <v>17786</v>
      </c>
      <c r="B7417" s="5" t="s">
        <v>17787</v>
      </c>
      <c r="C7417" s="5" t="s">
        <v>389</v>
      </c>
      <c r="D7417" s="5" t="s">
        <v>390</v>
      </c>
      <c r="E7417" s="5" t="s">
        <v>513</v>
      </c>
      <c r="F7417" s="9" t="s">
        <v>514</v>
      </c>
      <c r="G7417" s="9">
        <v>290</v>
      </c>
      <c r="H7417" s="5" t="s">
        <v>21</v>
      </c>
      <c r="I7417" s="5" t="s">
        <v>17788</v>
      </c>
      <c r="J7417" s="12" t="str">
        <f>HYPERLINK("https://www.boe.es/gazeta/dias/1808/03/22/pdfs/GMD-1808-24.pdf#page=12","Abrir facsímil")</f>
        <v>Abrir facsímil</v>
      </c>
      <c r="K7417" s="15" t="s">
        <v>23</v>
      </c>
    </row>
    <row r="7418" spans="1:11" ht="42" customHeight="1">
      <c r="A7418" s="4" t="s">
        <v>17786</v>
      </c>
      <c r="B7418" s="5" t="s">
        <v>17787</v>
      </c>
      <c r="C7418" s="5" t="s">
        <v>17</v>
      </c>
      <c r="D7418" s="5" t="s">
        <v>18</v>
      </c>
      <c r="E7418" s="5" t="s">
        <v>153</v>
      </c>
      <c r="F7418" s="9" t="s">
        <v>1185</v>
      </c>
      <c r="G7418" s="9">
        <v>1150</v>
      </c>
      <c r="H7418" s="5" t="s">
        <v>21</v>
      </c>
      <c r="I7418" s="5" t="s">
        <v>17789</v>
      </c>
      <c r="J7418" s="12" t="str">
        <f>HYPERLINK("https://www.boe.es/gazeta/dias/1808/09/09/pdfs/GMD-1808-121.pdf#page=8","Abrir facsímil")</f>
        <v>Abrir facsímil</v>
      </c>
      <c r="K7418" s="15" t="s">
        <v>23</v>
      </c>
    </row>
    <row r="7419" spans="1:11" ht="42" customHeight="1">
      <c r="A7419" s="4" t="s">
        <v>17790</v>
      </c>
      <c r="B7419" s="5" t="s">
        <v>17791</v>
      </c>
      <c r="C7419" s="5" t="s">
        <v>33</v>
      </c>
      <c r="D7419" s="5" t="s">
        <v>34</v>
      </c>
      <c r="E7419" s="5" t="s">
        <v>35</v>
      </c>
      <c r="F7419" s="9" t="s">
        <v>36</v>
      </c>
      <c r="G7419" s="9" t="s">
        <v>322</v>
      </c>
      <c r="H7419" s="5" t="s">
        <v>21</v>
      </c>
      <c r="I7419" s="5" t="s">
        <v>17792</v>
      </c>
      <c r="J7419" s="12" t="str">
        <f>HYPERLINK("https://www.boe.es/gazeta/dias/1808/04/22/pdfs/GMD-C-1808-38.pdf#page=15","Abrir facsímil")</f>
        <v>Abrir facsímil</v>
      </c>
      <c r="K7419" s="15" t="s">
        <v>23</v>
      </c>
    </row>
    <row r="7420" spans="1:11" ht="42" customHeight="1">
      <c r="A7420" s="4" t="s">
        <v>17793</v>
      </c>
      <c r="B7420" s="5" t="s">
        <v>17794</v>
      </c>
      <c r="C7420" s="5" t="s">
        <v>94</v>
      </c>
      <c r="D7420" s="5" t="s">
        <v>95</v>
      </c>
      <c r="E7420" s="5" t="s">
        <v>1472</v>
      </c>
      <c r="F7420" s="9" t="s">
        <v>1473</v>
      </c>
      <c r="G7420" s="9">
        <v>95</v>
      </c>
      <c r="H7420" s="5" t="s">
        <v>21</v>
      </c>
      <c r="I7420" s="5" t="s">
        <v>17795</v>
      </c>
      <c r="J7420" s="12" t="str">
        <f>HYPERLINK("https://www.boe.es/gazeta/dias/1808/01/26/pdfs/GMD-1808-8.pdf#page=11","Abrir facsímil")</f>
        <v>Abrir facsímil</v>
      </c>
      <c r="K7420" s="15" t="s">
        <v>23</v>
      </c>
    </row>
    <row r="7421" spans="1:11" ht="42" customHeight="1">
      <c r="A7421" s="4" t="s">
        <v>17796</v>
      </c>
      <c r="B7421" s="5" t="s">
        <v>17797</v>
      </c>
      <c r="C7421" s="5" t="s">
        <v>17</v>
      </c>
      <c r="D7421" s="5" t="s">
        <v>18</v>
      </c>
      <c r="E7421" s="5" t="s">
        <v>73</v>
      </c>
      <c r="F7421" s="9" t="s">
        <v>581</v>
      </c>
      <c r="G7421" s="9">
        <v>1468</v>
      </c>
      <c r="H7421" s="5" t="s">
        <v>21</v>
      </c>
      <c r="I7421" s="5" t="s">
        <v>17798</v>
      </c>
      <c r="J7421" s="12" t="str">
        <f>HYPERLINK("https://www.boe.es/gazeta/dias/1808/11/11/pdfs/GMD-1808-143.pdf#page=10","Abrir facsímil")</f>
        <v>Abrir facsímil</v>
      </c>
      <c r="K7421" s="15" t="s">
        <v>23</v>
      </c>
    </row>
    <row r="7422" spans="1:11" ht="42" customHeight="1">
      <c r="A7422" s="4" t="s">
        <v>17799</v>
      </c>
      <c r="B7422" s="5" t="s">
        <v>17800</v>
      </c>
      <c r="C7422" s="5" t="s">
        <v>41</v>
      </c>
      <c r="D7422" s="5" t="s">
        <v>42</v>
      </c>
      <c r="E7422" s="5" t="s">
        <v>35</v>
      </c>
      <c r="F7422" s="9" t="s">
        <v>36</v>
      </c>
      <c r="G7422" s="9" t="s">
        <v>1806</v>
      </c>
      <c r="H7422" s="5" t="s">
        <v>21</v>
      </c>
      <c r="I7422" s="5" t="s">
        <v>17801</v>
      </c>
      <c r="J7422" s="12" t="str">
        <f>HYPERLINK("https://www.boe.es/gazeta/dias/1808/04/22/pdfs/GMD-C-1808-38.pdf#page=6","Abrir facsímil")</f>
        <v>Abrir facsímil</v>
      </c>
      <c r="K7422" s="15" t="s">
        <v>23</v>
      </c>
    </row>
    <row r="7423" spans="1:11" ht="42" customHeight="1">
      <c r="A7423" s="4" t="s">
        <v>17802</v>
      </c>
      <c r="B7423" s="5" t="s">
        <v>17803</v>
      </c>
      <c r="C7423" s="5" t="s">
        <v>33</v>
      </c>
      <c r="D7423" s="5" t="s">
        <v>34</v>
      </c>
      <c r="E7423" s="5" t="s">
        <v>139</v>
      </c>
      <c r="F7423" s="9" t="s">
        <v>1089</v>
      </c>
      <c r="G7423" s="9" t="s">
        <v>199</v>
      </c>
      <c r="H7423" s="5" t="s">
        <v>21</v>
      </c>
      <c r="I7423" s="5" t="s">
        <v>17804</v>
      </c>
      <c r="J7423" s="12" t="str">
        <f>HYPERLINK("https://www.boe.es/gazeta/dias/1808/09/23/pdfs/GMD-C-1808-127.pdf#page=2","Abrir facsímil")</f>
        <v>Abrir facsímil</v>
      </c>
      <c r="K7423" s="15" t="s">
        <v>23</v>
      </c>
    </row>
    <row r="7424" spans="1:11" ht="42" customHeight="1">
      <c r="A7424" s="4" t="s">
        <v>17805</v>
      </c>
      <c r="B7424" s="5" t="s">
        <v>17806</v>
      </c>
      <c r="C7424" s="5" t="s">
        <v>17</v>
      </c>
      <c r="D7424" s="5" t="s">
        <v>18</v>
      </c>
      <c r="E7424" s="5" t="s">
        <v>110</v>
      </c>
      <c r="F7424" s="9" t="s">
        <v>111</v>
      </c>
      <c r="G7424" s="9">
        <v>1384</v>
      </c>
      <c r="H7424" s="5" t="s">
        <v>21</v>
      </c>
      <c r="I7424" s="5" t="s">
        <v>17807</v>
      </c>
      <c r="J7424" s="12" t="str">
        <f>HYPERLINK("https://www.boe.es/gazeta/dias/1808/10/28/pdfs/GMD-1808-138.pdf#page=10","Abrir facsímil")</f>
        <v>Abrir facsímil</v>
      </c>
      <c r="K7424" s="15" t="s">
        <v>23</v>
      </c>
    </row>
    <row r="7425" spans="1:11" ht="42" customHeight="1">
      <c r="A7425" s="4" t="s">
        <v>17808</v>
      </c>
      <c r="B7425" s="5" t="s">
        <v>17809</v>
      </c>
      <c r="C7425" s="5" t="s">
        <v>41</v>
      </c>
      <c r="D7425" s="5" t="s">
        <v>42</v>
      </c>
      <c r="E7425" s="5" t="s">
        <v>3791</v>
      </c>
      <c r="F7425" s="9" t="s">
        <v>3792</v>
      </c>
      <c r="G7425" s="9">
        <v>618</v>
      </c>
      <c r="H7425" s="5" t="s">
        <v>21</v>
      </c>
      <c r="I7425" s="5" t="s">
        <v>17810</v>
      </c>
      <c r="J7425" s="12" t="str">
        <f>HYPERLINK("https://www.boe.es/gazeta/dias/1808/06/21/pdfs/GMD-1808-63.pdf#page=8","Abrir facsímil")</f>
        <v>Abrir facsímil</v>
      </c>
      <c r="K7425" s="15" t="s">
        <v>23</v>
      </c>
    </row>
    <row r="7426" spans="1:11" ht="42" customHeight="1">
      <c r="A7426" s="4" t="s">
        <v>17808</v>
      </c>
      <c r="B7426" s="5" t="s">
        <v>17809</v>
      </c>
      <c r="C7426" s="5" t="s">
        <v>41</v>
      </c>
      <c r="D7426" s="5" t="s">
        <v>42</v>
      </c>
      <c r="E7426" s="5" t="s">
        <v>110</v>
      </c>
      <c r="F7426" s="9" t="s">
        <v>828</v>
      </c>
      <c r="G7426" s="9" t="s">
        <v>199</v>
      </c>
      <c r="H7426" s="5" t="s">
        <v>21</v>
      </c>
      <c r="I7426" s="5" t="s">
        <v>17811</v>
      </c>
      <c r="J7426" s="12" t="str">
        <f>HYPERLINK("https://www.boe.es/gazeta/dias/1808/10/28/pdfs/GMD-D-1808-138.pdf#page=2","Abrir facsímil")</f>
        <v>Abrir facsímil</v>
      </c>
      <c r="K7426" s="15" t="s">
        <v>23</v>
      </c>
    </row>
    <row r="7427" spans="1:11" ht="42" customHeight="1">
      <c r="A7427" s="4" t="s">
        <v>17812</v>
      </c>
      <c r="B7427" s="5" t="s">
        <v>17812</v>
      </c>
      <c r="C7427" s="5" t="s">
        <v>41</v>
      </c>
      <c r="D7427" s="5" t="s">
        <v>42</v>
      </c>
      <c r="E7427" s="5" t="s">
        <v>548</v>
      </c>
      <c r="F7427" s="9" t="s">
        <v>549</v>
      </c>
      <c r="G7427" s="9">
        <v>274</v>
      </c>
      <c r="H7427" s="5" t="s">
        <v>21</v>
      </c>
      <c r="I7427" s="5" t="s">
        <v>17813</v>
      </c>
      <c r="J7427" s="12" t="str">
        <f>HYPERLINK("https://www.boe.es/gazeta/dias/1808/03/18/pdfs/GMD-1808-23.pdf#page=4","Abrir facsímil")</f>
        <v>Abrir facsímil</v>
      </c>
      <c r="K7427" s="15" t="s">
        <v>23</v>
      </c>
    </row>
    <row r="7428" spans="1:11" ht="42" customHeight="1">
      <c r="A7428" s="4" t="s">
        <v>17814</v>
      </c>
      <c r="B7428" s="5" t="s">
        <v>17814</v>
      </c>
      <c r="C7428" s="5" t="s">
        <v>94</v>
      </c>
      <c r="D7428" s="5" t="s">
        <v>95</v>
      </c>
      <c r="E7428" s="5" t="s">
        <v>456</v>
      </c>
      <c r="F7428" s="9" t="s">
        <v>457</v>
      </c>
      <c r="G7428" s="9">
        <v>1297</v>
      </c>
      <c r="H7428" s="5" t="s">
        <v>21</v>
      </c>
      <c r="I7428" s="5" t="s">
        <v>17815</v>
      </c>
      <c r="J7428" s="12" t="str">
        <f>HYPERLINK("https://www.boe.es/gazeta/dias/1808/10/14/pdfs/GMD-1808-134.pdf#page=9","Abrir facsímil")</f>
        <v>Abrir facsímil</v>
      </c>
      <c r="K7428" s="15" t="s">
        <v>23</v>
      </c>
    </row>
    <row r="7429" spans="1:11" ht="42" customHeight="1">
      <c r="A7429" s="4" t="s">
        <v>17816</v>
      </c>
      <c r="B7429" s="5" t="s">
        <v>17817</v>
      </c>
      <c r="C7429" s="5" t="s">
        <v>33</v>
      </c>
      <c r="D7429" s="5" t="s">
        <v>34</v>
      </c>
      <c r="E7429" s="5" t="s">
        <v>115</v>
      </c>
      <c r="F7429" s="9" t="s">
        <v>116</v>
      </c>
      <c r="G7429" s="9" t="s">
        <v>106</v>
      </c>
      <c r="H7429" s="5" t="s">
        <v>21</v>
      </c>
      <c r="I7429" s="5" t="s">
        <v>17818</v>
      </c>
      <c r="J7429" s="12" t="str">
        <f>HYPERLINK("https://www.boe.es/gazeta/dias/1808/09/16/pdfs/GMD-C-1808-125.pdf#page=3","Abrir facsímil")</f>
        <v>Abrir facsímil</v>
      </c>
      <c r="K7429" s="15" t="s">
        <v>23</v>
      </c>
    </row>
    <row r="7430" spans="1:11" ht="42" customHeight="1">
      <c r="A7430" s="4" t="s">
        <v>17819</v>
      </c>
      <c r="B7430" s="5" t="s">
        <v>17820</v>
      </c>
      <c r="C7430" s="5" t="s">
        <v>389</v>
      </c>
      <c r="D7430" s="5" t="s">
        <v>390</v>
      </c>
      <c r="E7430" s="5" t="s">
        <v>65</v>
      </c>
      <c r="F7430" s="9" t="s">
        <v>105</v>
      </c>
      <c r="G7430" s="9" t="s">
        <v>117</v>
      </c>
      <c r="H7430" s="5" t="s">
        <v>21</v>
      </c>
      <c r="I7430" s="5" t="s">
        <v>17821</v>
      </c>
      <c r="J7430" s="12" t="str">
        <f>HYPERLINK("https://www.boe.es/gazeta/dias/1808/10/18/pdfs/GMD-D-1808-135.pdf#page=1","Abrir facsímil")</f>
        <v>Abrir facsímil</v>
      </c>
      <c r="K7430" s="15" t="s">
        <v>23</v>
      </c>
    </row>
    <row r="7431" spans="1:11" ht="42" customHeight="1">
      <c r="A7431" s="4" t="s">
        <v>17822</v>
      </c>
      <c r="B7431" s="5" t="s">
        <v>17823</v>
      </c>
      <c r="C7431" s="5" t="s">
        <v>260</v>
      </c>
      <c r="D7431" s="5" t="s">
        <v>42</v>
      </c>
      <c r="E7431" s="5" t="s">
        <v>96</v>
      </c>
      <c r="F7431" s="9" t="s">
        <v>97</v>
      </c>
      <c r="G7431" s="9">
        <v>265</v>
      </c>
      <c r="H7431" s="5" t="s">
        <v>21</v>
      </c>
      <c r="I7431" s="5" t="s">
        <v>17824</v>
      </c>
      <c r="J7431" s="12" t="str">
        <f>HYPERLINK("https://www.boe.es/gazeta/dias/1808/03/15/pdfs/GMD-1808-22.pdf#page=7","Abrir facsímil")</f>
        <v>Abrir facsímil</v>
      </c>
      <c r="K7431" s="15" t="s">
        <v>23</v>
      </c>
    </row>
    <row r="7432" spans="1:11" ht="42" customHeight="1">
      <c r="A7432" s="4" t="s">
        <v>17825</v>
      </c>
      <c r="B7432" s="5" t="s">
        <v>17826</v>
      </c>
      <c r="C7432" s="5" t="s">
        <v>33</v>
      </c>
      <c r="D7432" s="5" t="s">
        <v>34</v>
      </c>
      <c r="E7432" s="5" t="s">
        <v>35</v>
      </c>
      <c r="F7432" s="9" t="s">
        <v>36</v>
      </c>
      <c r="G7432" s="9" t="s">
        <v>4783</v>
      </c>
      <c r="H7432" s="5" t="s">
        <v>21</v>
      </c>
      <c r="I7432" s="5" t="s">
        <v>17827</v>
      </c>
      <c r="J7432" s="12" t="str">
        <f>HYPERLINK("https://www.boe.es/gazeta/dias/1808/04/22/pdfs/GMD-C-1808-38.pdf#page=36","Abrir facsímil")</f>
        <v>Abrir facsímil</v>
      </c>
      <c r="K7432" s="15" t="s">
        <v>23</v>
      </c>
    </row>
    <row r="7433" spans="1:11" ht="42" customHeight="1">
      <c r="A7433" s="4" t="s">
        <v>17828</v>
      </c>
      <c r="B7433" s="5" t="s">
        <v>17829</v>
      </c>
      <c r="C7433" s="5" t="s">
        <v>17</v>
      </c>
      <c r="D7433" s="5" t="s">
        <v>18</v>
      </c>
      <c r="E7433" s="5" t="s">
        <v>215</v>
      </c>
      <c r="F7433" s="9" t="s">
        <v>216</v>
      </c>
      <c r="G7433" s="9">
        <v>298</v>
      </c>
      <c r="H7433" s="5" t="s">
        <v>21</v>
      </c>
      <c r="I7433" s="5" t="s">
        <v>17830</v>
      </c>
      <c r="J7433" s="12" t="str">
        <f>HYPERLINK("https://www.boe.es/gazeta/dias/1808/03/25/pdfs/GMD-1808-25.pdf#page=8","Abrir facsímil")</f>
        <v>Abrir facsímil</v>
      </c>
      <c r="K7433" s="15" t="s">
        <v>23</v>
      </c>
    </row>
    <row r="7434" spans="1:11" ht="42" customHeight="1">
      <c r="A7434" s="4" t="s">
        <v>17828</v>
      </c>
      <c r="B7434" s="5" t="s">
        <v>17829</v>
      </c>
      <c r="C7434" s="5" t="s">
        <v>17</v>
      </c>
      <c r="D7434" s="5" t="s">
        <v>18</v>
      </c>
      <c r="E7434" s="5" t="s">
        <v>2849</v>
      </c>
      <c r="F7434" s="9" t="s">
        <v>2850</v>
      </c>
      <c r="G7434" s="9">
        <v>15</v>
      </c>
      <c r="H7434" s="5" t="s">
        <v>21</v>
      </c>
      <c r="I7434" s="5" t="s">
        <v>17831</v>
      </c>
      <c r="J7434" s="12" t="str">
        <f>HYPERLINK("https://www.boe.es/gazeta/dias/1808/06/04/pdfs/GMS-1808-2.pdf#page=7","Abrir facsímil")</f>
        <v>Abrir facsímil</v>
      </c>
      <c r="K7434" s="15" t="s">
        <v>23</v>
      </c>
    </row>
    <row r="7435" spans="1:11" ht="42" customHeight="1">
      <c r="A7435" s="4" t="s">
        <v>17828</v>
      </c>
      <c r="B7435" s="5" t="s">
        <v>17829</v>
      </c>
      <c r="C7435" s="5" t="s">
        <v>17</v>
      </c>
      <c r="D7435" s="5" t="s">
        <v>18</v>
      </c>
      <c r="E7435" s="5" t="s">
        <v>5928</v>
      </c>
      <c r="F7435" s="9" t="s">
        <v>5929</v>
      </c>
      <c r="G7435" s="9">
        <v>36</v>
      </c>
      <c r="H7435" s="5" t="s">
        <v>21</v>
      </c>
      <c r="I7435" s="5" t="s">
        <v>17832</v>
      </c>
      <c r="J7435" s="12" t="str">
        <f>HYPERLINK("https://www.boe.es/gazeta/dias/1808/06/15/pdfs/GMS-1808-5.pdf#page=4","Abrir facsímil")</f>
        <v>Abrir facsímil</v>
      </c>
      <c r="K7435" s="15" t="s">
        <v>23</v>
      </c>
    </row>
    <row r="7436" spans="1:11" ht="42" customHeight="1">
      <c r="A7436" s="4" t="s">
        <v>17833</v>
      </c>
      <c r="B7436" s="5" t="s">
        <v>17834</v>
      </c>
      <c r="C7436" s="5" t="s">
        <v>94</v>
      </c>
      <c r="D7436" s="5" t="s">
        <v>95</v>
      </c>
      <c r="E7436" s="5" t="s">
        <v>215</v>
      </c>
      <c r="F7436" s="9" t="s">
        <v>216</v>
      </c>
      <c r="G7436" s="9">
        <v>300</v>
      </c>
      <c r="H7436" s="5" t="s">
        <v>21</v>
      </c>
      <c r="I7436" s="5" t="s">
        <v>17835</v>
      </c>
      <c r="J7436" s="12" t="str">
        <f>HYPERLINK("https://www.boe.es/gazeta/dias/1808/03/25/pdfs/GMD-1808-25.pdf#page=10","Abrir facsímil")</f>
        <v>Abrir facsímil</v>
      </c>
      <c r="K7436" s="15" t="s">
        <v>23</v>
      </c>
    </row>
    <row r="7437" spans="1:11" ht="42" customHeight="1">
      <c r="A7437" s="4" t="s">
        <v>17836</v>
      </c>
      <c r="B7437" s="5" t="s">
        <v>17837</v>
      </c>
      <c r="C7437" s="5" t="s">
        <v>17</v>
      </c>
      <c r="D7437" s="5" t="s">
        <v>18</v>
      </c>
      <c r="E7437" s="5" t="s">
        <v>3365</v>
      </c>
      <c r="F7437" s="9" t="s">
        <v>3366</v>
      </c>
      <c r="G7437" s="9">
        <v>123</v>
      </c>
      <c r="H7437" s="5" t="s">
        <v>21</v>
      </c>
      <c r="I7437" s="5" t="s">
        <v>17838</v>
      </c>
      <c r="J7437" s="12" t="str">
        <f>HYPERLINK("https://www.boe.es/gazeta/dias/1808/07/23/pdfs/GMS-1808-16.pdf#page=3","Abrir facsímil")</f>
        <v>Abrir facsímil</v>
      </c>
      <c r="K7437" s="15" t="s">
        <v>23</v>
      </c>
    </row>
    <row r="7438" spans="1:11" ht="42" customHeight="1">
      <c r="A7438" s="4" t="s">
        <v>17839</v>
      </c>
      <c r="B7438" s="5" t="s">
        <v>17839</v>
      </c>
      <c r="C7438" s="5" t="s">
        <v>94</v>
      </c>
      <c r="D7438" s="5" t="s">
        <v>95</v>
      </c>
      <c r="E7438" s="5" t="s">
        <v>68</v>
      </c>
      <c r="F7438" s="9" t="s">
        <v>849</v>
      </c>
      <c r="G7438" s="9">
        <v>1348</v>
      </c>
      <c r="H7438" s="5" t="s">
        <v>21</v>
      </c>
      <c r="I7438" s="5" t="s">
        <v>17840</v>
      </c>
      <c r="J7438" s="12" t="str">
        <f>HYPERLINK("https://www.boe.es/gazeta/dias/1808/10/21/pdfs/GMD-C-1808-136.pdf#page=8","Abrir facsímil")</f>
        <v>Abrir facsímil</v>
      </c>
      <c r="K7438" s="15" t="s">
        <v>23</v>
      </c>
    </row>
    <row r="7439" spans="1:11" ht="42" customHeight="1">
      <c r="A7439" s="4" t="s">
        <v>17841</v>
      </c>
      <c r="B7439" s="5" t="s">
        <v>17842</v>
      </c>
      <c r="C7439" s="5" t="s">
        <v>94</v>
      </c>
      <c r="D7439" s="5" t="s">
        <v>95</v>
      </c>
      <c r="E7439" s="5" t="s">
        <v>2849</v>
      </c>
      <c r="F7439" s="9" t="s">
        <v>2850</v>
      </c>
      <c r="G7439" s="9">
        <v>16</v>
      </c>
      <c r="H7439" s="5" t="s">
        <v>21</v>
      </c>
      <c r="I7439" s="5" t="s">
        <v>17843</v>
      </c>
      <c r="J7439" s="12" t="str">
        <f>HYPERLINK("https://www.boe.es/gazeta/dias/1808/06/04/pdfs/GMS-1808-2.pdf#page=8","Abrir facsímil")</f>
        <v>Abrir facsímil</v>
      </c>
      <c r="K7439" s="15" t="s">
        <v>23</v>
      </c>
    </row>
    <row r="7440" spans="1:11" ht="42" customHeight="1">
      <c r="A7440" s="4" t="s">
        <v>17844</v>
      </c>
      <c r="B7440" s="5" t="s">
        <v>17845</v>
      </c>
      <c r="C7440" s="5" t="s">
        <v>41</v>
      </c>
      <c r="D7440" s="5" t="s">
        <v>42</v>
      </c>
      <c r="E7440" s="5" t="s">
        <v>558</v>
      </c>
      <c r="F7440" s="9" t="s">
        <v>559</v>
      </c>
      <c r="G7440" s="9">
        <v>1546</v>
      </c>
      <c r="H7440" s="5" t="s">
        <v>21</v>
      </c>
      <c r="I7440" s="5" t="s">
        <v>17846</v>
      </c>
      <c r="J7440" s="12" t="str">
        <f>HYPERLINK("https://www.boe.es/gazeta/dias/1808/11/25/pdfs/GMD-1808-147.pdf#page=12","Abrir facsímil")</f>
        <v>Abrir facsímil</v>
      </c>
      <c r="K7440" s="15" t="s">
        <v>23</v>
      </c>
    </row>
    <row r="7441" spans="1:11" ht="42" customHeight="1">
      <c r="A7441" s="4" t="s">
        <v>17847</v>
      </c>
      <c r="B7441" s="5" t="s">
        <v>17848</v>
      </c>
      <c r="C7441" s="5" t="s">
        <v>260</v>
      </c>
      <c r="D7441" s="5" t="s">
        <v>42</v>
      </c>
      <c r="E7441" s="5" t="s">
        <v>461</v>
      </c>
      <c r="F7441" s="9" t="s">
        <v>733</v>
      </c>
      <c r="G7441" s="9">
        <v>1449</v>
      </c>
      <c r="H7441" s="5" t="s">
        <v>21</v>
      </c>
      <c r="I7441" s="5" t="s">
        <v>17849</v>
      </c>
      <c r="J7441" s="12" t="str">
        <f>HYPERLINK("https://www.boe.es/gazeta/dias/1808/11/08/pdfs/GMD-1808-142.pdf#page=11","Abrir facsímil")</f>
        <v>Abrir facsímil</v>
      </c>
      <c r="K7441" s="15" t="s">
        <v>23</v>
      </c>
    </row>
    <row r="7442" spans="1:11" ht="42" customHeight="1">
      <c r="A7442" s="4" t="s">
        <v>17850</v>
      </c>
      <c r="B7442" s="5" t="s">
        <v>17851</v>
      </c>
      <c r="C7442" s="5" t="s">
        <v>33</v>
      </c>
      <c r="D7442" s="5" t="s">
        <v>34</v>
      </c>
      <c r="E7442" s="5" t="s">
        <v>153</v>
      </c>
      <c r="F7442" s="9" t="s">
        <v>154</v>
      </c>
      <c r="G7442" s="9" t="s">
        <v>199</v>
      </c>
      <c r="H7442" s="5" t="s">
        <v>21</v>
      </c>
      <c r="I7442" s="5" t="s">
        <v>17852</v>
      </c>
      <c r="J7442" s="12" t="str">
        <f>HYPERLINK("https://www.boe.es/gazeta/dias/1808/09/09/pdfs/GMD-C-1808-121.pdf#page=2","Abrir facsímil")</f>
        <v>Abrir facsímil</v>
      </c>
      <c r="K7442" s="15" t="s">
        <v>23</v>
      </c>
    </row>
    <row r="7443" spans="1:11" ht="42" customHeight="1">
      <c r="A7443" s="4" t="s">
        <v>17853</v>
      </c>
      <c r="B7443" s="5" t="s">
        <v>17854</v>
      </c>
      <c r="C7443" s="5" t="s">
        <v>33</v>
      </c>
      <c r="D7443" s="5" t="s">
        <v>34</v>
      </c>
      <c r="E7443" s="5" t="s">
        <v>153</v>
      </c>
      <c r="F7443" s="9" t="s">
        <v>154</v>
      </c>
      <c r="G7443" s="9" t="s">
        <v>199</v>
      </c>
      <c r="H7443" s="5" t="s">
        <v>21</v>
      </c>
      <c r="I7443" s="5" t="s">
        <v>17855</v>
      </c>
      <c r="J7443" s="12" t="str">
        <f>HYPERLINK("https://www.boe.es/gazeta/dias/1808/09/09/pdfs/GMD-C-1808-121.pdf#page=2","Abrir facsímil")</f>
        <v>Abrir facsímil</v>
      </c>
      <c r="K7443" s="15" t="s">
        <v>23</v>
      </c>
    </row>
    <row r="7444" spans="1:11" ht="42" customHeight="1">
      <c r="A7444" s="4" t="s">
        <v>17856</v>
      </c>
      <c r="B7444" s="5" t="s">
        <v>17857</v>
      </c>
      <c r="C7444" s="5" t="s">
        <v>17</v>
      </c>
      <c r="D7444" s="5" t="s">
        <v>18</v>
      </c>
      <c r="E7444" s="5" t="s">
        <v>197</v>
      </c>
      <c r="F7444" s="9" t="s">
        <v>790</v>
      </c>
      <c r="G7444" s="9">
        <v>1404</v>
      </c>
      <c r="H7444" s="5" t="s">
        <v>21</v>
      </c>
      <c r="I7444" s="5" t="s">
        <v>17858</v>
      </c>
      <c r="J7444" s="12" t="str">
        <f>HYPERLINK("https://www.boe.es/gazeta/dias/1808/11/01/pdfs/GMD-1808-140.pdf#page=6","Abrir facsímil")</f>
        <v>Abrir facsímil</v>
      </c>
      <c r="K7444" s="15" t="s">
        <v>23</v>
      </c>
    </row>
    <row r="7445" spans="1:11" ht="42" customHeight="1">
      <c r="A7445" s="4" t="s">
        <v>17859</v>
      </c>
      <c r="B7445" s="5" t="s">
        <v>17860</v>
      </c>
      <c r="C7445" s="5" t="s">
        <v>94</v>
      </c>
      <c r="D7445" s="5" t="s">
        <v>95</v>
      </c>
      <c r="E7445" s="5" t="s">
        <v>1385</v>
      </c>
      <c r="F7445" s="9" t="s">
        <v>1386</v>
      </c>
      <c r="G7445" s="9">
        <v>232</v>
      </c>
      <c r="H7445" s="5" t="s">
        <v>21</v>
      </c>
      <c r="I7445" s="5" t="s">
        <v>17861</v>
      </c>
      <c r="J7445" s="12" t="str">
        <f>HYPERLINK("https://www.boe.es/gazeta/dias/1808/03/04/pdfs/GMD-1808-19.pdf#page=10","Abrir facsímil")</f>
        <v>Abrir facsímil</v>
      </c>
      <c r="K7445" s="15" t="s">
        <v>23</v>
      </c>
    </row>
    <row r="7446" spans="1:11" ht="42" customHeight="1">
      <c r="A7446" s="4" t="s">
        <v>17862</v>
      </c>
      <c r="B7446" s="5" t="s">
        <v>17863</v>
      </c>
      <c r="C7446" s="5" t="s">
        <v>389</v>
      </c>
      <c r="D7446" s="5" t="s">
        <v>390</v>
      </c>
      <c r="E7446" s="5" t="s">
        <v>35</v>
      </c>
      <c r="F7446" s="9" t="s">
        <v>3452</v>
      </c>
      <c r="G7446" s="9">
        <v>404</v>
      </c>
      <c r="H7446" s="5" t="s">
        <v>21</v>
      </c>
      <c r="I7446" s="5" t="s">
        <v>17864</v>
      </c>
      <c r="J7446" s="12" t="str">
        <f>HYPERLINK("https://www.boe.es/gazeta/dias/1808/04/22/pdfs/GMD-1808-38.pdf#page=12","Abrir facsímil")</f>
        <v>Abrir facsímil</v>
      </c>
      <c r="K7446" s="15" t="s">
        <v>23</v>
      </c>
    </row>
    <row r="7447" spans="1:11" ht="42" customHeight="1">
      <c r="A7447" s="4" t="s">
        <v>17865</v>
      </c>
      <c r="B7447" s="5" t="s">
        <v>17865</v>
      </c>
      <c r="C7447" s="5" t="s">
        <v>33</v>
      </c>
      <c r="D7447" s="5" t="s">
        <v>34</v>
      </c>
      <c r="E7447" s="5" t="s">
        <v>153</v>
      </c>
      <c r="F7447" s="9" t="s">
        <v>154</v>
      </c>
      <c r="G7447" s="9" t="s">
        <v>106</v>
      </c>
      <c r="H7447" s="5" t="s">
        <v>21</v>
      </c>
      <c r="I7447" s="5" t="s">
        <v>17866</v>
      </c>
      <c r="J7447" s="12" t="str">
        <f>HYPERLINK("https://www.boe.es/gazeta/dias/1808/09/09/pdfs/GMD-C-1808-121.pdf#page=3","Abrir facsímil")</f>
        <v>Abrir facsímil</v>
      </c>
      <c r="K7447" s="15" t="s">
        <v>23</v>
      </c>
    </row>
    <row r="7448" spans="1:11" ht="42" customHeight="1">
      <c r="A7448" s="4" t="s">
        <v>17867</v>
      </c>
      <c r="B7448" s="5" t="s">
        <v>17868</v>
      </c>
      <c r="C7448" s="5" t="s">
        <v>17</v>
      </c>
      <c r="D7448" s="5" t="s">
        <v>18</v>
      </c>
      <c r="E7448" s="5" t="s">
        <v>363</v>
      </c>
      <c r="F7448" s="9" t="s">
        <v>1224</v>
      </c>
      <c r="G7448" s="9">
        <v>1188</v>
      </c>
      <c r="H7448" s="5" t="s">
        <v>21</v>
      </c>
      <c r="I7448" s="5" t="s">
        <v>17869</v>
      </c>
      <c r="J7448" s="12" t="str">
        <f>HYPERLINK("https://www.boe.es/gazeta/dias/1808/09/20/pdfs/GMD-1808-126.pdf#page=8","Abrir facsímil")</f>
        <v>Abrir facsímil</v>
      </c>
      <c r="K7448" s="15" t="s">
        <v>23</v>
      </c>
    </row>
    <row r="7449" spans="1:11" ht="42" customHeight="1">
      <c r="A7449" s="4" t="s">
        <v>17870</v>
      </c>
      <c r="B7449" s="5" t="s">
        <v>17871</v>
      </c>
      <c r="C7449" s="5" t="s">
        <v>33</v>
      </c>
      <c r="D7449" s="5" t="s">
        <v>34</v>
      </c>
      <c r="E7449" s="5" t="s">
        <v>35</v>
      </c>
      <c r="F7449" s="9" t="s">
        <v>36</v>
      </c>
      <c r="G7449" s="9" t="s">
        <v>80</v>
      </c>
      <c r="H7449" s="5" t="s">
        <v>21</v>
      </c>
      <c r="I7449" s="5" t="s">
        <v>17872</v>
      </c>
      <c r="J7449" s="12" t="str">
        <f>HYPERLINK("https://www.boe.es/gazeta/dias/1808/04/22/pdfs/GMD-C-1808-38.pdf#page=18","Abrir facsímil")</f>
        <v>Abrir facsímil</v>
      </c>
      <c r="K7449" s="15" t="s">
        <v>23</v>
      </c>
    </row>
    <row r="7450" spans="1:11" ht="42" customHeight="1">
      <c r="A7450" s="4" t="s">
        <v>17873</v>
      </c>
      <c r="B7450" s="5" t="s">
        <v>17874</v>
      </c>
      <c r="C7450" s="5" t="s">
        <v>94</v>
      </c>
      <c r="D7450" s="5" t="s">
        <v>95</v>
      </c>
      <c r="E7450" s="5" t="s">
        <v>54</v>
      </c>
      <c r="F7450" s="9" t="s">
        <v>55</v>
      </c>
      <c r="G7450" s="9">
        <v>1087</v>
      </c>
      <c r="H7450" s="5" t="s">
        <v>21</v>
      </c>
      <c r="I7450" s="5" t="s">
        <v>17875</v>
      </c>
      <c r="J7450" s="12" t="str">
        <f>HYPERLINK("https://www.boe.es/gazeta/dias/1808/08/26/pdfs/GMD-1808-117.pdf#page=9","Abrir facsímil")</f>
        <v>Abrir facsímil</v>
      </c>
      <c r="K7450" s="15" t="s">
        <v>23</v>
      </c>
    </row>
    <row r="7451" spans="1:11" ht="42" customHeight="1">
      <c r="A7451" s="4" t="s">
        <v>17876</v>
      </c>
      <c r="B7451" s="5" t="s">
        <v>17877</v>
      </c>
      <c r="C7451" s="5" t="s">
        <v>33</v>
      </c>
      <c r="D7451" s="5" t="s">
        <v>34</v>
      </c>
      <c r="E7451" s="5" t="s">
        <v>65</v>
      </c>
      <c r="F7451" s="9" t="s">
        <v>105</v>
      </c>
      <c r="G7451" s="9" t="s">
        <v>106</v>
      </c>
      <c r="H7451" s="5" t="s">
        <v>21</v>
      </c>
      <c r="I7451" s="5" t="s">
        <v>17878</v>
      </c>
      <c r="J7451" s="12" t="str">
        <f>HYPERLINK("https://www.boe.es/gazeta/dias/1808/10/18/pdfs/GMD-D-1808-135.pdf#page=3","Abrir facsímil")</f>
        <v>Abrir facsímil</v>
      </c>
      <c r="K7451" s="15" t="s">
        <v>23</v>
      </c>
    </row>
    <row r="7452" spans="1:11" ht="42" customHeight="1">
      <c r="A7452" s="4" t="s">
        <v>17879</v>
      </c>
      <c r="B7452" s="5" t="s">
        <v>17880</v>
      </c>
      <c r="C7452" s="5" t="s">
        <v>33</v>
      </c>
      <c r="D7452" s="5" t="s">
        <v>34</v>
      </c>
      <c r="E7452" s="5" t="s">
        <v>35</v>
      </c>
      <c r="F7452" s="9" t="s">
        <v>36</v>
      </c>
      <c r="G7452" s="9" t="s">
        <v>655</v>
      </c>
      <c r="H7452" s="5" t="s">
        <v>21</v>
      </c>
      <c r="I7452" s="5" t="s">
        <v>17881</v>
      </c>
      <c r="J7452" s="12" t="str">
        <f>HYPERLINK("https://www.boe.es/gazeta/dias/1808/04/22/pdfs/GMD-C-1808-38.pdf#page=43","Abrir facsímil")</f>
        <v>Abrir facsímil</v>
      </c>
      <c r="K7452" s="15" t="s">
        <v>23</v>
      </c>
    </row>
    <row r="7453" spans="1:11" ht="42" customHeight="1">
      <c r="A7453" s="4" t="s">
        <v>17882</v>
      </c>
      <c r="B7453" s="5" t="s">
        <v>17882</v>
      </c>
      <c r="C7453" s="5" t="s">
        <v>17</v>
      </c>
      <c r="D7453" s="5" t="s">
        <v>18</v>
      </c>
      <c r="E7453" s="5" t="s">
        <v>180</v>
      </c>
      <c r="F7453" s="9" t="s">
        <v>2568</v>
      </c>
      <c r="G7453" s="9">
        <v>1493</v>
      </c>
      <c r="H7453" s="5" t="s">
        <v>21</v>
      </c>
      <c r="I7453" s="5" t="s">
        <v>17883</v>
      </c>
      <c r="J7453" s="12" t="str">
        <f>HYPERLINK("https://www.boe.es/gazeta/dias/1808/11/15/pdfs/GMD-1808-144.pdf#page=7","Abrir facsímil")</f>
        <v>Abrir facsímil</v>
      </c>
      <c r="K7453" s="15" t="s">
        <v>23</v>
      </c>
    </row>
    <row r="7454" spans="1:11" ht="42" customHeight="1">
      <c r="A7454" s="4" t="s">
        <v>17884</v>
      </c>
      <c r="B7454" s="5" t="s">
        <v>17884</v>
      </c>
      <c r="C7454" s="5" t="s">
        <v>41</v>
      </c>
      <c r="D7454" s="5" t="s">
        <v>42</v>
      </c>
      <c r="E7454" s="5" t="s">
        <v>180</v>
      </c>
      <c r="F7454" s="9" t="s">
        <v>2568</v>
      </c>
      <c r="G7454" s="9">
        <v>1492</v>
      </c>
      <c r="H7454" s="5" t="s">
        <v>21</v>
      </c>
      <c r="I7454" s="5" t="s">
        <v>17885</v>
      </c>
      <c r="J7454" s="12" t="str">
        <f>HYPERLINK("https://www.boe.es/gazeta/dias/1808/11/15/pdfs/GMD-1808-144.pdf#page=6","Abrir facsímil")</f>
        <v>Abrir facsímil</v>
      </c>
      <c r="K7454" s="15" t="s">
        <v>23</v>
      </c>
    </row>
    <row r="7455" spans="1:11" ht="42" customHeight="1">
      <c r="A7455" s="4" t="s">
        <v>17886</v>
      </c>
      <c r="B7455" s="5" t="s">
        <v>17886</v>
      </c>
      <c r="C7455" s="5" t="s">
        <v>17</v>
      </c>
      <c r="D7455" s="5" t="s">
        <v>18</v>
      </c>
      <c r="E7455" s="5" t="s">
        <v>7340</v>
      </c>
      <c r="F7455" s="9" t="s">
        <v>7341</v>
      </c>
      <c r="G7455" s="9">
        <v>433</v>
      </c>
      <c r="H7455" s="5" t="s">
        <v>21</v>
      </c>
      <c r="I7455" s="5" t="s">
        <v>17887</v>
      </c>
      <c r="J7455" s="12" t="str">
        <f>HYPERLINK("https://www.boe.es/gazeta/dias/1808/12/06/pdfs/GMS-1808-55.pdf#page=1","Abrir facsímil")</f>
        <v>Abrir facsímil</v>
      </c>
      <c r="K7455" s="15" t="s">
        <v>23</v>
      </c>
    </row>
    <row r="7456" spans="1:11" ht="42" customHeight="1">
      <c r="A7456" s="4" t="s">
        <v>17886</v>
      </c>
      <c r="B7456" s="5" t="s">
        <v>17886</v>
      </c>
      <c r="C7456" s="5" t="s">
        <v>17</v>
      </c>
      <c r="D7456" s="5" t="s">
        <v>18</v>
      </c>
      <c r="E7456" s="5" t="s">
        <v>1286</v>
      </c>
      <c r="F7456" s="9" t="s">
        <v>1287</v>
      </c>
      <c r="G7456" s="9">
        <v>1625</v>
      </c>
      <c r="H7456" s="5" t="s">
        <v>21</v>
      </c>
      <c r="I7456" s="5" t="s">
        <v>17888</v>
      </c>
      <c r="J7456" s="12" t="str">
        <f>HYPERLINK("https://www.boe.es/gazeta/dias/1808/12/17/pdfs/GMD-1808-157.pdf#page=5","Abrir facsímil")</f>
        <v>Abrir facsímil</v>
      </c>
      <c r="K7456" s="15" t="s">
        <v>23</v>
      </c>
    </row>
    <row r="7457" spans="1:11" ht="42" customHeight="1">
      <c r="A7457" s="4" t="s">
        <v>17886</v>
      </c>
      <c r="B7457" s="5" t="s">
        <v>17886</v>
      </c>
      <c r="C7457" s="5" t="s">
        <v>17</v>
      </c>
      <c r="D7457" s="5" t="s">
        <v>18</v>
      </c>
      <c r="E7457" s="5" t="s">
        <v>1286</v>
      </c>
      <c r="F7457" s="9" t="s">
        <v>1287</v>
      </c>
      <c r="G7457" s="9">
        <v>1626</v>
      </c>
      <c r="H7457" s="5" t="s">
        <v>21</v>
      </c>
      <c r="I7457" s="5" t="s">
        <v>17889</v>
      </c>
      <c r="J7457" s="12" t="str">
        <f>HYPERLINK("https://www.boe.es/gazeta/dias/1808/12/17/pdfs/GMD-1808-157.pdf#page=6","Abrir facsímil")</f>
        <v>Abrir facsímil</v>
      </c>
      <c r="K7457" s="15" t="s">
        <v>23</v>
      </c>
    </row>
    <row r="7458" spans="1:11" ht="42" customHeight="1">
      <c r="A7458" s="4" t="s">
        <v>17890</v>
      </c>
      <c r="B7458" s="5" t="s">
        <v>17891</v>
      </c>
      <c r="C7458" s="5" t="s">
        <v>94</v>
      </c>
      <c r="D7458" s="5" t="s">
        <v>95</v>
      </c>
      <c r="E7458" s="5" t="s">
        <v>548</v>
      </c>
      <c r="F7458" s="9" t="s">
        <v>549</v>
      </c>
      <c r="G7458" s="9">
        <v>276</v>
      </c>
      <c r="H7458" s="5" t="s">
        <v>21</v>
      </c>
      <c r="I7458" s="5" t="s">
        <v>17892</v>
      </c>
      <c r="J7458" s="12" t="str">
        <f>HYPERLINK("https://www.boe.es/gazeta/dias/1808/03/18/pdfs/GMD-1808-23.pdf#page=6","Abrir facsímil")</f>
        <v>Abrir facsímil</v>
      </c>
      <c r="K7458" s="15" t="s">
        <v>23</v>
      </c>
    </row>
    <row r="7459" spans="1:11" ht="42" customHeight="1">
      <c r="A7459" s="4" t="s">
        <v>17893</v>
      </c>
      <c r="B7459" s="5" t="s">
        <v>17893</v>
      </c>
      <c r="C7459" s="5" t="s">
        <v>17</v>
      </c>
      <c r="D7459" s="5" t="s">
        <v>18</v>
      </c>
      <c r="E7459" s="5" t="s">
        <v>1385</v>
      </c>
      <c r="F7459" s="9" t="s">
        <v>1386</v>
      </c>
      <c r="G7459" s="9">
        <v>226</v>
      </c>
      <c r="H7459" s="5" t="s">
        <v>21</v>
      </c>
      <c r="I7459" s="5" t="s">
        <v>17894</v>
      </c>
      <c r="J7459" s="12" t="str">
        <f>HYPERLINK("https://www.boe.es/gazeta/dias/1808/03/04/pdfs/GMD-1808-19.pdf#page=4","Abrir facsímil")</f>
        <v>Abrir facsímil</v>
      </c>
      <c r="K7459" s="15" t="s">
        <v>23</v>
      </c>
    </row>
    <row r="7460" spans="1:11" ht="42" customHeight="1">
      <c r="A7460" s="4" t="s">
        <v>17893</v>
      </c>
      <c r="B7460" s="5" t="s">
        <v>17893</v>
      </c>
      <c r="C7460" s="5" t="s">
        <v>94</v>
      </c>
      <c r="D7460" s="5" t="s">
        <v>95</v>
      </c>
      <c r="E7460" s="5" t="s">
        <v>1962</v>
      </c>
      <c r="F7460" s="9" t="s">
        <v>1963</v>
      </c>
      <c r="G7460" s="9">
        <v>729</v>
      </c>
      <c r="H7460" s="5" t="s">
        <v>21</v>
      </c>
      <c r="I7460" s="5" t="s">
        <v>17895</v>
      </c>
      <c r="J7460" s="12" t="str">
        <f>HYPERLINK("https://www.boe.es/gazeta/dias/1808/07/05/pdfs/GMD-1808-77.pdf#page=3","Abrir facsímil")</f>
        <v>Abrir facsímil</v>
      </c>
      <c r="K7460" s="15" t="s">
        <v>23</v>
      </c>
    </row>
    <row r="7461" spans="1:11" ht="42" customHeight="1">
      <c r="A7461" s="4" t="s">
        <v>17896</v>
      </c>
      <c r="B7461" s="5" t="s">
        <v>17896</v>
      </c>
      <c r="C7461" s="5" t="s">
        <v>94</v>
      </c>
      <c r="D7461" s="5" t="s">
        <v>95</v>
      </c>
      <c r="E7461" s="5" t="s">
        <v>1671</v>
      </c>
      <c r="F7461" s="9" t="s">
        <v>1672</v>
      </c>
      <c r="G7461" s="9">
        <v>481</v>
      </c>
      <c r="H7461" s="5" t="s">
        <v>21</v>
      </c>
      <c r="I7461" s="5" t="s">
        <v>17897</v>
      </c>
      <c r="J7461" s="12" t="str">
        <f>HYPERLINK("https://www.boe.es/gazeta/dias/1808/05/20/pdfs/GMD-1808-48.pdf#page=9","Abrir facsímil")</f>
        <v>Abrir facsímil</v>
      </c>
      <c r="K7461" s="15" t="s">
        <v>23</v>
      </c>
    </row>
    <row r="7462" spans="1:11" ht="42" customHeight="1">
      <c r="A7462" s="4" t="s">
        <v>17898</v>
      </c>
      <c r="B7462" s="5" t="s">
        <v>17898</v>
      </c>
      <c r="C7462" s="5" t="s">
        <v>17</v>
      </c>
      <c r="D7462" s="5" t="s">
        <v>18</v>
      </c>
      <c r="E7462" s="5" t="s">
        <v>1258</v>
      </c>
      <c r="F7462" s="9" t="s">
        <v>1259</v>
      </c>
      <c r="G7462" s="9">
        <v>893</v>
      </c>
      <c r="H7462" s="5" t="s">
        <v>21</v>
      </c>
      <c r="I7462" s="5" t="s">
        <v>17899</v>
      </c>
      <c r="J7462" s="12" t="str">
        <f>HYPERLINK("https://www.boe.es/gazeta/dias/1808/07/25/pdfs/GMD-1808-97.pdf#page=7","Abrir facsímil")</f>
        <v>Abrir facsímil</v>
      </c>
      <c r="K7462" s="15" t="s">
        <v>23</v>
      </c>
    </row>
    <row r="7463" spans="1:11" ht="42" customHeight="1">
      <c r="A7463" s="4" t="s">
        <v>17900</v>
      </c>
      <c r="B7463" s="5" t="s">
        <v>17900</v>
      </c>
      <c r="C7463" s="5" t="s">
        <v>101</v>
      </c>
      <c r="D7463" s="5" t="s">
        <v>102</v>
      </c>
      <c r="E7463" s="5" t="s">
        <v>2171</v>
      </c>
      <c r="F7463" s="9" t="s">
        <v>2172</v>
      </c>
      <c r="G7463" s="9">
        <v>772</v>
      </c>
      <c r="H7463" s="5" t="s">
        <v>21</v>
      </c>
      <c r="I7463" s="5" t="s">
        <v>17901</v>
      </c>
      <c r="J7463" s="12" t="str">
        <f>HYPERLINK("https://www.boe.es/gazeta/dias/1808/07/10/pdfs/GMD-1808-82.pdf#page=6","Abrir facsímil")</f>
        <v>Abrir facsímil</v>
      </c>
      <c r="K7463" s="15" t="s">
        <v>23</v>
      </c>
    </row>
    <row r="7464" spans="1:11" ht="42" customHeight="1">
      <c r="A7464" s="4" t="s">
        <v>17902</v>
      </c>
      <c r="B7464" s="5" t="s">
        <v>17902</v>
      </c>
      <c r="C7464" s="5" t="s">
        <v>17</v>
      </c>
      <c r="D7464" s="5" t="s">
        <v>18</v>
      </c>
      <c r="E7464" s="5" t="s">
        <v>3485</v>
      </c>
      <c r="F7464" s="9" t="s">
        <v>3486</v>
      </c>
      <c r="G7464" s="9">
        <v>696</v>
      </c>
      <c r="H7464" s="5" t="s">
        <v>21</v>
      </c>
      <c r="I7464" s="5" t="s">
        <v>17903</v>
      </c>
      <c r="J7464" s="12" t="str">
        <f>HYPERLINK("https://www.boe.es/gazeta/dias/1808/07/01/pdfs/GMD-1808-73.pdf#page=2","Abrir facsímil")</f>
        <v>Abrir facsímil</v>
      </c>
      <c r="K7464" s="15" t="s">
        <v>23</v>
      </c>
    </row>
    <row r="7465" spans="1:11" ht="42" customHeight="1">
      <c r="A7465" s="4" t="s">
        <v>17904</v>
      </c>
      <c r="B7465" s="5" t="s">
        <v>17905</v>
      </c>
      <c r="C7465" s="5" t="s">
        <v>94</v>
      </c>
      <c r="D7465" s="5" t="s">
        <v>95</v>
      </c>
      <c r="E7465" s="5" t="s">
        <v>508</v>
      </c>
      <c r="F7465" s="9" t="s">
        <v>1561</v>
      </c>
      <c r="G7465" s="9">
        <v>1030</v>
      </c>
      <c r="H7465" s="5" t="s">
        <v>21</v>
      </c>
      <c r="I7465" s="5" t="s">
        <v>17906</v>
      </c>
      <c r="J7465" s="12" t="str">
        <f>HYPERLINK("https://www.boe.es/gazeta/dias/1808/08/16/pdfs/GMD-C-1808-113.pdf#page=10","Abrir facsímil")</f>
        <v>Abrir facsímil</v>
      </c>
      <c r="K7465" s="15" t="s">
        <v>23</v>
      </c>
    </row>
    <row r="7466" spans="1:11" ht="42" customHeight="1">
      <c r="A7466" s="4" t="s">
        <v>17907</v>
      </c>
      <c r="B7466" s="5" t="s">
        <v>17908</v>
      </c>
      <c r="C7466" s="5" t="s">
        <v>17</v>
      </c>
      <c r="D7466" s="5" t="s">
        <v>18</v>
      </c>
      <c r="E7466" s="5" t="s">
        <v>19</v>
      </c>
      <c r="F7466" s="9" t="s">
        <v>59</v>
      </c>
      <c r="G7466" s="9">
        <v>1229</v>
      </c>
      <c r="H7466" s="5" t="s">
        <v>21</v>
      </c>
      <c r="I7466" s="5" t="s">
        <v>17909</v>
      </c>
      <c r="J7466" s="12" t="str">
        <f>HYPERLINK("https://www.boe.es/gazeta/dias/1808/09/30/pdfs/GMD-1808-130.pdf#page=9","Abrir facsímil")</f>
        <v>Abrir facsímil</v>
      </c>
      <c r="K7466" s="15" t="s">
        <v>23</v>
      </c>
    </row>
    <row r="7467" spans="1:11" ht="42" customHeight="1">
      <c r="A7467" s="4" t="s">
        <v>17910</v>
      </c>
      <c r="B7467" s="5" t="s">
        <v>17911</v>
      </c>
      <c r="C7467" s="5" t="s">
        <v>17</v>
      </c>
      <c r="D7467" s="5" t="s">
        <v>18</v>
      </c>
      <c r="E7467" s="5" t="s">
        <v>513</v>
      </c>
      <c r="F7467" s="9" t="s">
        <v>514</v>
      </c>
      <c r="G7467" s="9">
        <v>283</v>
      </c>
      <c r="H7467" s="5" t="s">
        <v>21</v>
      </c>
      <c r="I7467" s="5" t="s">
        <v>17912</v>
      </c>
      <c r="J7467" s="12" t="str">
        <f>HYPERLINK("https://www.boe.es/gazeta/dias/1808/03/22/pdfs/GMD-1808-24.pdf#page=5","Abrir facsímil")</f>
        <v>Abrir facsímil</v>
      </c>
      <c r="K7467" s="15" t="s">
        <v>23</v>
      </c>
    </row>
    <row r="7468" spans="1:11" ht="42" customHeight="1">
      <c r="A7468" s="4" t="s">
        <v>17913</v>
      </c>
      <c r="B7468" s="5" t="s">
        <v>17913</v>
      </c>
      <c r="C7468" s="5" t="s">
        <v>17</v>
      </c>
      <c r="D7468" s="5" t="s">
        <v>18</v>
      </c>
      <c r="E7468" s="5" t="s">
        <v>1148</v>
      </c>
      <c r="F7468" s="9" t="s">
        <v>1149</v>
      </c>
      <c r="G7468" s="9">
        <v>502</v>
      </c>
      <c r="H7468" s="5" t="s">
        <v>21</v>
      </c>
      <c r="I7468" s="5" t="s">
        <v>17914</v>
      </c>
      <c r="J7468" s="12" t="str">
        <f>HYPERLINK("https://www.boe.es/gazeta/dias/1808/05/27/pdfs/GMD-1808-50.pdf#page=6","Abrir facsímil")</f>
        <v>Abrir facsímil</v>
      </c>
      <c r="K7468" s="15" t="s">
        <v>23</v>
      </c>
    </row>
    <row r="7469" spans="1:11" ht="42" customHeight="1">
      <c r="A7469" s="4" t="s">
        <v>17915</v>
      </c>
      <c r="B7469" s="5" t="s">
        <v>17915</v>
      </c>
      <c r="C7469" s="5" t="s">
        <v>17</v>
      </c>
      <c r="D7469" s="5" t="s">
        <v>18</v>
      </c>
      <c r="E7469" s="5" t="s">
        <v>832</v>
      </c>
      <c r="F7469" s="9" t="s">
        <v>833</v>
      </c>
      <c r="G7469" s="9">
        <v>514</v>
      </c>
      <c r="H7469" s="5" t="s">
        <v>21</v>
      </c>
      <c r="I7469" s="5" t="s">
        <v>17916</v>
      </c>
      <c r="J7469" s="12" t="str">
        <f>HYPERLINK("https://www.boe.es/gazeta/dias/1808/05/31/pdfs/GMD-1808-52.pdf#page=4","Abrir facsímil")</f>
        <v>Abrir facsímil</v>
      </c>
      <c r="K7469" s="15" t="s">
        <v>23</v>
      </c>
    </row>
    <row r="7470" spans="1:11" ht="42" customHeight="1">
      <c r="A7470" s="4" t="s">
        <v>17917</v>
      </c>
      <c r="B7470" s="5" t="s">
        <v>17917</v>
      </c>
      <c r="C7470" s="5" t="s">
        <v>94</v>
      </c>
      <c r="D7470" s="5" t="s">
        <v>95</v>
      </c>
      <c r="E7470" s="5" t="s">
        <v>1962</v>
      </c>
      <c r="F7470" s="9" t="s">
        <v>1963</v>
      </c>
      <c r="G7470" s="9">
        <v>729</v>
      </c>
      <c r="H7470" s="5" t="s">
        <v>21</v>
      </c>
      <c r="I7470" s="5" t="s">
        <v>17918</v>
      </c>
      <c r="J7470" s="12" t="str">
        <f>HYPERLINK("https://www.boe.es/gazeta/dias/1808/07/05/pdfs/GMD-1808-77.pdf#page=3","Abrir facsímil")</f>
        <v>Abrir facsímil</v>
      </c>
      <c r="K7470" s="15" t="s">
        <v>23</v>
      </c>
    </row>
    <row r="7471" spans="1:11" ht="42" customHeight="1">
      <c r="A7471" s="4" t="s">
        <v>17919</v>
      </c>
      <c r="B7471" s="5" t="s">
        <v>17919</v>
      </c>
      <c r="C7471" s="5" t="s">
        <v>94</v>
      </c>
      <c r="D7471" s="5" t="s">
        <v>95</v>
      </c>
      <c r="E7471" s="5" t="s">
        <v>877</v>
      </c>
      <c r="F7471" s="9" t="s">
        <v>878</v>
      </c>
      <c r="G7471" s="9">
        <v>112</v>
      </c>
      <c r="H7471" s="5" t="s">
        <v>21</v>
      </c>
      <c r="I7471" s="5" t="s">
        <v>17920</v>
      </c>
      <c r="J7471" s="12" t="str">
        <f>HYPERLINK("https://www.boe.es/gazeta/dias/1808/02/02/pdfs/GMD-1808-10.pdf#page=4","Abrir facsímil")</f>
        <v>Abrir facsímil</v>
      </c>
      <c r="K7471" s="15" t="s">
        <v>23</v>
      </c>
    </row>
    <row r="7472" spans="1:11" ht="42" customHeight="1">
      <c r="A7472" s="4" t="s">
        <v>17919</v>
      </c>
      <c r="B7472" s="5" t="s">
        <v>17919</v>
      </c>
      <c r="C7472" s="5" t="s">
        <v>41</v>
      </c>
      <c r="D7472" s="5" t="s">
        <v>42</v>
      </c>
      <c r="E7472" s="5" t="s">
        <v>663</v>
      </c>
      <c r="F7472" s="9" t="s">
        <v>664</v>
      </c>
      <c r="G7472" s="9">
        <v>202</v>
      </c>
      <c r="H7472" s="5" t="s">
        <v>21</v>
      </c>
      <c r="I7472" s="5" t="s">
        <v>17921</v>
      </c>
      <c r="J7472" s="12" t="str">
        <f>HYPERLINK("https://www.boe.es/gazeta/dias/1808/02/26/pdfs/GMD-1808-17.pdf#page=4","Abrir facsímil")</f>
        <v>Abrir facsímil</v>
      </c>
      <c r="K7472" s="15" t="s">
        <v>23</v>
      </c>
    </row>
    <row r="7473" spans="1:11" ht="42" customHeight="1">
      <c r="A7473" s="4" t="s">
        <v>17919</v>
      </c>
      <c r="B7473" s="5" t="s">
        <v>17919</v>
      </c>
      <c r="C7473" s="5" t="s">
        <v>17</v>
      </c>
      <c r="D7473" s="5" t="s">
        <v>18</v>
      </c>
      <c r="E7473" s="5" t="s">
        <v>513</v>
      </c>
      <c r="F7473" s="9" t="s">
        <v>514</v>
      </c>
      <c r="G7473" s="9">
        <v>282</v>
      </c>
      <c r="H7473" s="5" t="s">
        <v>21</v>
      </c>
      <c r="I7473" s="5" t="s">
        <v>17922</v>
      </c>
      <c r="J7473" s="12" t="str">
        <f>HYPERLINK("https://www.boe.es/gazeta/dias/1808/03/22/pdfs/GMD-1808-24.pdf#page=4","Abrir facsímil")</f>
        <v>Abrir facsímil</v>
      </c>
      <c r="K7473" s="15" t="s">
        <v>23</v>
      </c>
    </row>
    <row r="7474" spans="1:11" ht="42" customHeight="1">
      <c r="A7474" s="4" t="s">
        <v>17923</v>
      </c>
      <c r="B7474" s="5" t="s">
        <v>17923</v>
      </c>
      <c r="C7474" s="5" t="s">
        <v>17</v>
      </c>
      <c r="D7474" s="5" t="s">
        <v>18</v>
      </c>
      <c r="E7474" s="5" t="s">
        <v>54</v>
      </c>
      <c r="F7474" s="9" t="s">
        <v>6663</v>
      </c>
      <c r="G7474" s="9">
        <v>203</v>
      </c>
      <c r="H7474" s="5" t="s">
        <v>21</v>
      </c>
      <c r="I7474" s="5" t="s">
        <v>17924</v>
      </c>
      <c r="J7474" s="12" t="str">
        <f>HYPERLINK("https://www.boe.es/gazeta/dias/1808/08/26/pdfs/GMS-1808-26.pdf#page=3","Abrir facsímil")</f>
        <v>Abrir facsímil</v>
      </c>
      <c r="K7474" s="15" t="s">
        <v>23</v>
      </c>
    </row>
    <row r="7475" spans="1:11" ht="42" customHeight="1">
      <c r="A7475" s="4" t="s">
        <v>17925</v>
      </c>
      <c r="B7475" s="5" t="s">
        <v>17926</v>
      </c>
      <c r="C7475" s="5" t="s">
        <v>94</v>
      </c>
      <c r="D7475" s="5" t="s">
        <v>95</v>
      </c>
      <c r="E7475" s="5" t="s">
        <v>28</v>
      </c>
      <c r="F7475" s="9" t="s">
        <v>29</v>
      </c>
      <c r="G7475" s="9">
        <v>1427</v>
      </c>
      <c r="H7475" s="5" t="s">
        <v>21</v>
      </c>
      <c r="I7475" s="5" t="s">
        <v>17927</v>
      </c>
      <c r="J7475" s="12" t="str">
        <f>HYPERLINK("https://www.boe.es/gazeta/dias/1808/11/04/pdfs/GMD-1808-141.pdf#page=9","Abrir facsímil")</f>
        <v>Abrir facsímil</v>
      </c>
      <c r="K7475" s="15" t="s">
        <v>23</v>
      </c>
    </row>
    <row r="7476" spans="1:11" ht="42" customHeight="1">
      <c r="A7476" s="4" t="s">
        <v>17928</v>
      </c>
      <c r="B7476" s="5" t="s">
        <v>17929</v>
      </c>
      <c r="C7476" s="5" t="s">
        <v>41</v>
      </c>
      <c r="D7476" s="5" t="s">
        <v>42</v>
      </c>
      <c r="E7476" s="5" t="s">
        <v>166</v>
      </c>
      <c r="F7476" s="9" t="s">
        <v>400</v>
      </c>
      <c r="G7476" s="9" t="s">
        <v>106</v>
      </c>
      <c r="H7476" s="5" t="s">
        <v>21</v>
      </c>
      <c r="I7476" s="5" t="s">
        <v>17930</v>
      </c>
      <c r="J7476" s="12" t="str">
        <f>HYPERLINK("https://www.boe.es/gazeta/dias/1808/11/18/pdfs/D00069-00072.pdf#page=3","Abrir facsímil")</f>
        <v>Abrir facsímil</v>
      </c>
      <c r="K7476" s="15" t="s">
        <v>23</v>
      </c>
    </row>
    <row r="7477" spans="1:11" ht="42" customHeight="1">
      <c r="A7477" s="4" t="s">
        <v>17931</v>
      </c>
      <c r="B7477" s="5" t="s">
        <v>17932</v>
      </c>
      <c r="C7477" s="5" t="s">
        <v>33</v>
      </c>
      <c r="D7477" s="5" t="s">
        <v>34</v>
      </c>
      <c r="E7477" s="5" t="s">
        <v>35</v>
      </c>
      <c r="F7477" s="9" t="s">
        <v>36</v>
      </c>
      <c r="G7477" s="9" t="s">
        <v>135</v>
      </c>
      <c r="H7477" s="5" t="s">
        <v>21</v>
      </c>
      <c r="I7477" s="5" t="s">
        <v>17933</v>
      </c>
      <c r="J7477" s="12" t="str">
        <f>HYPERLINK("https://www.boe.es/gazeta/dias/1808/04/22/pdfs/GMD-C-1808-38.pdf#page=26","Abrir facsímil")</f>
        <v>Abrir facsímil</v>
      </c>
      <c r="K7477" s="15" t="s">
        <v>23</v>
      </c>
    </row>
    <row r="7478" spans="1:11" ht="42" customHeight="1">
      <c r="A7478" s="4" t="s">
        <v>17934</v>
      </c>
      <c r="B7478" s="5" t="s">
        <v>17934</v>
      </c>
      <c r="C7478" s="5" t="s">
        <v>17</v>
      </c>
      <c r="D7478" s="5" t="s">
        <v>18</v>
      </c>
      <c r="E7478" s="5" t="s">
        <v>130</v>
      </c>
      <c r="F7478" s="9" t="s">
        <v>131</v>
      </c>
      <c r="G7478" s="9">
        <v>1602</v>
      </c>
      <c r="H7478" s="5" t="s">
        <v>21</v>
      </c>
      <c r="I7478" s="5" t="s">
        <v>17935</v>
      </c>
      <c r="J7478" s="12" t="str">
        <f>HYPERLINK("https://www.boe.es/gazeta/dias/1808/12/15/pdfs/GMD-1808-155.pdf#page=6","Abrir facsímil")</f>
        <v>Abrir facsímil</v>
      </c>
      <c r="K7478" s="15" t="s">
        <v>23</v>
      </c>
    </row>
    <row r="7479" spans="1:11" ht="42" customHeight="1">
      <c r="A7479" s="4" t="s">
        <v>17934</v>
      </c>
      <c r="B7479" s="5" t="s">
        <v>17934</v>
      </c>
      <c r="C7479" s="5" t="s">
        <v>17</v>
      </c>
      <c r="D7479" s="5" t="s">
        <v>18</v>
      </c>
      <c r="E7479" s="5" t="s">
        <v>719</v>
      </c>
      <c r="F7479" s="9" t="s">
        <v>720</v>
      </c>
      <c r="G7479" s="9">
        <v>1611</v>
      </c>
      <c r="H7479" s="5" t="s">
        <v>21</v>
      </c>
      <c r="I7479" s="5" t="s">
        <v>17936</v>
      </c>
      <c r="J7479" s="12" t="str">
        <f>HYPERLINK("https://www.boe.es/gazeta/dias/1808/12/16/pdfs/GMD-1808-156.pdf#page=3","Abrir facsímil")</f>
        <v>Abrir facsímil</v>
      </c>
      <c r="K7479" s="15" t="s">
        <v>23</v>
      </c>
    </row>
    <row r="7480" spans="1:11" ht="42" customHeight="1">
      <c r="A7480" s="4" t="s">
        <v>17937</v>
      </c>
      <c r="B7480" s="5" t="s">
        <v>17937</v>
      </c>
      <c r="C7480" s="5" t="s">
        <v>17</v>
      </c>
      <c r="D7480" s="5" t="s">
        <v>18</v>
      </c>
      <c r="E7480" s="5" t="s">
        <v>461</v>
      </c>
      <c r="F7480" s="9" t="s">
        <v>733</v>
      </c>
      <c r="G7480" s="9">
        <v>1448</v>
      </c>
      <c r="H7480" s="5" t="s">
        <v>21</v>
      </c>
      <c r="I7480" s="5" t="s">
        <v>17938</v>
      </c>
      <c r="J7480" s="12" t="str">
        <f>HYPERLINK("https://www.boe.es/gazeta/dias/1808/11/08/pdfs/GMD-1808-142.pdf#page=10","Abrir facsímil")</f>
        <v>Abrir facsímil</v>
      </c>
      <c r="K7480" s="15" t="s">
        <v>23</v>
      </c>
    </row>
    <row r="7481" spans="1:11" ht="42" customHeight="1">
      <c r="A7481" s="4" t="s">
        <v>17939</v>
      </c>
      <c r="B7481" s="5" t="s">
        <v>17939</v>
      </c>
      <c r="C7481" s="5" t="s">
        <v>17</v>
      </c>
      <c r="D7481" s="5" t="s">
        <v>18</v>
      </c>
      <c r="E7481" s="5" t="s">
        <v>61</v>
      </c>
      <c r="F7481" s="9" t="s">
        <v>62</v>
      </c>
      <c r="G7481" s="9">
        <v>1285</v>
      </c>
      <c r="H7481" s="5" t="s">
        <v>21</v>
      </c>
      <c r="I7481" s="5" t="s">
        <v>17940</v>
      </c>
      <c r="J7481" s="12" t="str">
        <f>HYPERLINK("https://www.boe.es/gazeta/dias/1808/10/11/pdfs/GMD-1808-133.pdf#page=13","Abrir facsímil")</f>
        <v>Abrir facsímil</v>
      </c>
      <c r="K7481" s="15" t="s">
        <v>23</v>
      </c>
    </row>
    <row r="7482" spans="1:11" ht="42" customHeight="1">
      <c r="A7482" s="4" t="s">
        <v>17941</v>
      </c>
      <c r="B7482" s="5" t="s">
        <v>17941</v>
      </c>
      <c r="C7482" s="5" t="s">
        <v>33</v>
      </c>
      <c r="D7482" s="5" t="s">
        <v>34</v>
      </c>
      <c r="E7482" s="5" t="s">
        <v>334</v>
      </c>
      <c r="F7482" s="9" t="s">
        <v>335</v>
      </c>
      <c r="G7482" s="9">
        <v>1252</v>
      </c>
      <c r="H7482" s="5" t="s">
        <v>21</v>
      </c>
      <c r="I7482" s="5" t="s">
        <v>17942</v>
      </c>
      <c r="J7482" s="12" t="str">
        <f>HYPERLINK("https://www.boe.es/gazeta/dias/1808/10/04/pdfs/GMD-C-1808-131.pdf#page=4","Abrir facsímil")</f>
        <v>Abrir facsímil</v>
      </c>
      <c r="K7482" s="15" t="s">
        <v>23</v>
      </c>
    </row>
    <row r="7483" spans="1:11" ht="42" customHeight="1">
      <c r="A7483" s="4" t="s">
        <v>17943</v>
      </c>
      <c r="B7483" s="5" t="s">
        <v>17943</v>
      </c>
      <c r="C7483" s="5" t="s">
        <v>17</v>
      </c>
      <c r="D7483" s="5" t="s">
        <v>18</v>
      </c>
      <c r="E7483" s="5" t="s">
        <v>89</v>
      </c>
      <c r="F7483" s="9" t="s">
        <v>90</v>
      </c>
      <c r="G7483" s="9">
        <v>1362</v>
      </c>
      <c r="H7483" s="5" t="s">
        <v>21</v>
      </c>
      <c r="I7483" s="5" t="s">
        <v>17944</v>
      </c>
      <c r="J7483" s="12" t="str">
        <f>HYPERLINK("https://www.boe.es/gazeta/dias/1808/10/25/pdfs/GMD-1808-137.pdf#page=10","Abrir facsímil")</f>
        <v>Abrir facsímil</v>
      </c>
      <c r="K7483" s="15" t="s">
        <v>23</v>
      </c>
    </row>
    <row r="7484" spans="1:11" ht="42" customHeight="1">
      <c r="A7484" s="4" t="s">
        <v>17945</v>
      </c>
      <c r="B7484" s="5" t="s">
        <v>17945</v>
      </c>
      <c r="C7484" s="5" t="s">
        <v>17</v>
      </c>
      <c r="D7484" s="5" t="s">
        <v>18</v>
      </c>
      <c r="E7484" s="5" t="s">
        <v>363</v>
      </c>
      <c r="F7484" s="9" t="s">
        <v>1224</v>
      </c>
      <c r="G7484" s="9">
        <v>1189</v>
      </c>
      <c r="H7484" s="5" t="s">
        <v>21</v>
      </c>
      <c r="I7484" s="5" t="s">
        <v>17946</v>
      </c>
      <c r="J7484" s="12" t="str">
        <f>HYPERLINK("https://www.boe.es/gazeta/dias/1808/09/20/pdfs/GMD-1808-126.pdf#page=9","Abrir facsímil")</f>
        <v>Abrir facsímil</v>
      </c>
      <c r="K7484" s="15" t="s">
        <v>23</v>
      </c>
    </row>
    <row r="7485" spans="1:11" ht="42" customHeight="1">
      <c r="A7485" s="4" t="s">
        <v>17947</v>
      </c>
      <c r="B7485" s="5" t="s">
        <v>17948</v>
      </c>
      <c r="C7485" s="5" t="s">
        <v>33</v>
      </c>
      <c r="D7485" s="5" t="s">
        <v>34</v>
      </c>
      <c r="E7485" s="5" t="s">
        <v>197</v>
      </c>
      <c r="F7485" s="9" t="s">
        <v>198</v>
      </c>
      <c r="G7485" s="9" t="s">
        <v>75</v>
      </c>
      <c r="H7485" s="5" t="s">
        <v>21</v>
      </c>
      <c r="I7485" s="5" t="s">
        <v>17949</v>
      </c>
      <c r="J7485" s="12" t="str">
        <f>HYPERLINK("https://www.boe.es/gazeta/dias/1808/11/01/pdfs/GMD-D-1808-140.pdf#page=4","Abrir facsímil")</f>
        <v>Abrir facsímil</v>
      </c>
      <c r="K7485" s="15" t="s">
        <v>23</v>
      </c>
    </row>
    <row r="7486" spans="1:11" ht="42" customHeight="1">
      <c r="A7486" s="4" t="s">
        <v>17950</v>
      </c>
      <c r="B7486" s="5" t="s">
        <v>17950</v>
      </c>
      <c r="C7486" s="5" t="s">
        <v>33</v>
      </c>
      <c r="D7486" s="5" t="s">
        <v>34</v>
      </c>
      <c r="E7486" s="5" t="s">
        <v>363</v>
      </c>
      <c r="F7486" s="9" t="s">
        <v>364</v>
      </c>
      <c r="G7486" s="9" t="s">
        <v>199</v>
      </c>
      <c r="H7486" s="5" t="s">
        <v>21</v>
      </c>
      <c r="I7486" s="5" t="s">
        <v>17951</v>
      </c>
      <c r="J7486" s="12" t="str">
        <f>HYPERLINK("https://www.boe.es/gazeta/dias/1808/09/20/pdfs/GMD-C-1808-126.pdf#page=2","Abrir facsímil")</f>
        <v>Abrir facsímil</v>
      </c>
      <c r="K7486" s="15" t="s">
        <v>23</v>
      </c>
    </row>
    <row r="7487" spans="1:11" ht="42" customHeight="1">
      <c r="A7487" s="4" t="s">
        <v>17952</v>
      </c>
      <c r="B7487" s="5" t="s">
        <v>17953</v>
      </c>
      <c r="C7487" s="5" t="s">
        <v>33</v>
      </c>
      <c r="D7487" s="5" t="s">
        <v>34</v>
      </c>
      <c r="E7487" s="5" t="s">
        <v>35</v>
      </c>
      <c r="F7487" s="9" t="s">
        <v>36</v>
      </c>
      <c r="G7487" s="9" t="s">
        <v>1075</v>
      </c>
      <c r="H7487" s="5" t="s">
        <v>21</v>
      </c>
      <c r="I7487" s="5" t="s">
        <v>17954</v>
      </c>
      <c r="J7487" s="12" t="str">
        <f>HYPERLINK("https://www.boe.es/gazeta/dias/1808/04/22/pdfs/GMD-C-1808-38.pdf#page=32","Abrir facsímil")</f>
        <v>Abrir facsímil</v>
      </c>
      <c r="K7487" s="15" t="s">
        <v>23</v>
      </c>
    </row>
    <row r="7488" spans="1:11" ht="42" customHeight="1">
      <c r="A7488" s="4" t="s">
        <v>17955</v>
      </c>
      <c r="B7488" s="5" t="s">
        <v>17955</v>
      </c>
      <c r="C7488" s="5" t="s">
        <v>41</v>
      </c>
      <c r="D7488" s="5" t="s">
        <v>42</v>
      </c>
      <c r="E7488" s="5" t="s">
        <v>35</v>
      </c>
      <c r="F7488" s="9" t="s">
        <v>36</v>
      </c>
      <c r="G7488" s="9" t="s">
        <v>43</v>
      </c>
      <c r="H7488" s="5" t="s">
        <v>21</v>
      </c>
      <c r="I7488" s="5" t="s">
        <v>17956</v>
      </c>
      <c r="J7488" s="12" t="str">
        <f>HYPERLINK("https://www.boe.es/gazeta/dias/1808/04/22/pdfs/GMD-C-1808-38.pdf#page=30","Abrir facsímil")</f>
        <v>Abrir facsímil</v>
      </c>
      <c r="K7488" s="15" t="s">
        <v>23</v>
      </c>
    </row>
    <row r="7489" spans="1:11" ht="42" customHeight="1">
      <c r="A7489" s="4" t="s">
        <v>17957</v>
      </c>
      <c r="B7489" s="5" t="s">
        <v>17957</v>
      </c>
      <c r="C7489" s="5" t="s">
        <v>94</v>
      </c>
      <c r="D7489" s="5" t="s">
        <v>95</v>
      </c>
      <c r="E7489" s="5" t="s">
        <v>35</v>
      </c>
      <c r="F7489" s="9" t="s">
        <v>36</v>
      </c>
      <c r="G7489" s="9" t="s">
        <v>135</v>
      </c>
      <c r="H7489" s="5" t="s">
        <v>21</v>
      </c>
      <c r="I7489" s="5" t="s">
        <v>17958</v>
      </c>
      <c r="J7489" s="12" t="str">
        <f>HYPERLINK("https://www.boe.es/gazeta/dias/1808/04/22/pdfs/GMD-C-1808-38.pdf#page=26","Abrir facsímil")</f>
        <v>Abrir facsímil</v>
      </c>
      <c r="K7489" s="15" t="s">
        <v>23</v>
      </c>
    </row>
    <row r="7490" spans="1:11" ht="42" customHeight="1">
      <c r="A7490" s="4" t="s">
        <v>17959</v>
      </c>
      <c r="B7490" s="5" t="s">
        <v>17959</v>
      </c>
      <c r="C7490" s="5" t="s">
        <v>260</v>
      </c>
      <c r="D7490" s="5" t="s">
        <v>42</v>
      </c>
      <c r="E7490" s="5" t="s">
        <v>222</v>
      </c>
      <c r="F7490" s="9" t="s">
        <v>223</v>
      </c>
      <c r="G7490" s="9">
        <v>358</v>
      </c>
      <c r="H7490" s="5" t="s">
        <v>21</v>
      </c>
      <c r="I7490" s="5" t="s">
        <v>17960</v>
      </c>
      <c r="J7490" s="12" t="str">
        <f>HYPERLINK("https://www.boe.es/gazeta/dias/1808/04/08/pdfs/GMD-1808-32.pdf#page=12","Abrir facsímil")</f>
        <v>Abrir facsímil</v>
      </c>
      <c r="K7490" s="15" t="s">
        <v>23</v>
      </c>
    </row>
    <row r="7491" spans="1:11" ht="42" customHeight="1">
      <c r="A7491" s="4" t="s">
        <v>17961</v>
      </c>
      <c r="B7491" s="5" t="s">
        <v>17962</v>
      </c>
      <c r="C7491" s="5" t="s">
        <v>41</v>
      </c>
      <c r="D7491" s="5" t="s">
        <v>42</v>
      </c>
      <c r="E7491" s="5" t="s">
        <v>89</v>
      </c>
      <c r="F7491" s="9" t="s">
        <v>1247</v>
      </c>
      <c r="G7491" s="9">
        <v>1373</v>
      </c>
      <c r="H7491" s="5" t="s">
        <v>21</v>
      </c>
      <c r="I7491" s="5" t="s">
        <v>17963</v>
      </c>
      <c r="J7491" s="12" t="str">
        <f>HYPERLINK("https://www.boe.es/gazeta/dias/1808/10/25/pdfs/GMD-C-1808-137.pdf#page=9","Abrir facsímil")</f>
        <v>Abrir facsímil</v>
      </c>
      <c r="K7491" s="15" t="s">
        <v>23</v>
      </c>
    </row>
    <row r="7492" spans="1:11" ht="42" customHeight="1">
      <c r="A7492" s="4" t="s">
        <v>17964</v>
      </c>
      <c r="B7492" s="5" t="s">
        <v>17965</v>
      </c>
      <c r="C7492" s="5" t="s">
        <v>94</v>
      </c>
      <c r="D7492" s="5" t="s">
        <v>95</v>
      </c>
      <c r="E7492" s="5" t="s">
        <v>68</v>
      </c>
      <c r="F7492" s="9" t="s">
        <v>849</v>
      </c>
      <c r="G7492" s="9">
        <v>1348</v>
      </c>
      <c r="H7492" s="5" t="s">
        <v>21</v>
      </c>
      <c r="I7492" s="5" t="s">
        <v>17966</v>
      </c>
      <c r="J7492" s="12" t="str">
        <f>HYPERLINK("https://www.boe.es/gazeta/dias/1808/10/21/pdfs/GMD-C-1808-136.pdf#page=8","Abrir facsímil")</f>
        <v>Abrir facsímil</v>
      </c>
      <c r="K7492" s="15" t="s">
        <v>23</v>
      </c>
    </row>
    <row r="7493" spans="1:11" ht="42" customHeight="1">
      <c r="A7493" s="4" t="s">
        <v>17967</v>
      </c>
      <c r="B7493" s="5" t="s">
        <v>17967</v>
      </c>
      <c r="C7493" s="5" t="s">
        <v>101</v>
      </c>
      <c r="D7493" s="5" t="s">
        <v>102</v>
      </c>
      <c r="E7493" s="5" t="s">
        <v>493</v>
      </c>
      <c r="F7493" s="9" t="s">
        <v>494</v>
      </c>
      <c r="G7493" s="9">
        <v>40</v>
      </c>
      <c r="H7493" s="5" t="s">
        <v>21</v>
      </c>
      <c r="I7493" s="5" t="s">
        <v>17968</v>
      </c>
      <c r="J7493" s="12" t="str">
        <f>HYPERLINK("https://www.boe.es/gazeta/dias/1808/01/12/pdfs/GMD-1808-4.pdf#page=4","Abrir facsímil")</f>
        <v>Abrir facsímil</v>
      </c>
      <c r="K7493" s="15" t="s">
        <v>23</v>
      </c>
    </row>
    <row r="7494" spans="1:11" ht="42" customHeight="1">
      <c r="A7494" s="4" t="s">
        <v>17969</v>
      </c>
      <c r="B7494" s="5" t="s">
        <v>17969</v>
      </c>
      <c r="C7494" s="5" t="s">
        <v>33</v>
      </c>
      <c r="D7494" s="5" t="s">
        <v>34</v>
      </c>
      <c r="E7494" s="5" t="s">
        <v>558</v>
      </c>
      <c r="F7494" s="9" t="s">
        <v>758</v>
      </c>
      <c r="G7494" s="9" t="s">
        <v>75</v>
      </c>
      <c r="H7494" s="5" t="s">
        <v>21</v>
      </c>
      <c r="I7494" s="5" t="s">
        <v>17970</v>
      </c>
      <c r="J7494" s="12" t="str">
        <f>HYPERLINK("https://www.boe.es/gazeta/dias/1808/11/25/pdfs/GMD-E-1808-147.pdf#page=4","Abrir facsímil")</f>
        <v>Abrir facsímil</v>
      </c>
      <c r="K7494" s="15" t="s">
        <v>23</v>
      </c>
    </row>
    <row r="7495" spans="1:11" ht="42" customHeight="1">
      <c r="A7495" s="4" t="s">
        <v>17971</v>
      </c>
      <c r="B7495" s="5" t="s">
        <v>17971</v>
      </c>
      <c r="C7495" s="5" t="s">
        <v>41</v>
      </c>
      <c r="D7495" s="5" t="s">
        <v>42</v>
      </c>
      <c r="E7495" s="5" t="s">
        <v>73</v>
      </c>
      <c r="F7495" s="9" t="s">
        <v>74</v>
      </c>
      <c r="G7495" s="9" t="s">
        <v>75</v>
      </c>
      <c r="H7495" s="5" t="s">
        <v>21</v>
      </c>
      <c r="I7495" s="5" t="s">
        <v>17972</v>
      </c>
      <c r="J7495" s="12" t="str">
        <f>HYPERLINK("https://www.boe.es/gazeta/dias/1808/11/11/pdfs/GMD-D-1808-143.pdf#page=4","Abrir facsímil")</f>
        <v>Abrir facsímil</v>
      </c>
      <c r="K7495" s="15" t="s">
        <v>23</v>
      </c>
    </row>
    <row r="7496" spans="1:11" ht="42" customHeight="1">
      <c r="A7496" s="4" t="s">
        <v>17973</v>
      </c>
      <c r="B7496" s="5" t="s">
        <v>17974</v>
      </c>
      <c r="C7496" s="5" t="s">
        <v>17</v>
      </c>
      <c r="D7496" s="5" t="s">
        <v>18</v>
      </c>
      <c r="E7496" s="5" t="s">
        <v>68</v>
      </c>
      <c r="F7496" s="9" t="s">
        <v>69</v>
      </c>
      <c r="G7496" s="9">
        <v>1340</v>
      </c>
      <c r="H7496" s="5" t="s">
        <v>21</v>
      </c>
      <c r="I7496" s="5" t="s">
        <v>17975</v>
      </c>
      <c r="J7496" s="12" t="str">
        <f>HYPERLINK("https://www.boe.es/gazeta/dias/1808/10/21/pdfs/GMD-1808-136.pdf#page=12","Abrir facsímil")</f>
        <v>Abrir facsímil</v>
      </c>
      <c r="K7496" s="15" t="s">
        <v>23</v>
      </c>
    </row>
    <row r="7497" spans="1:11" ht="42" customHeight="1">
      <c r="A7497" s="4" t="s">
        <v>17976</v>
      </c>
      <c r="B7497" s="5" t="s">
        <v>17977</v>
      </c>
      <c r="C7497" s="5" t="s">
        <v>33</v>
      </c>
      <c r="D7497" s="5" t="s">
        <v>34</v>
      </c>
      <c r="E7497" s="5" t="s">
        <v>363</v>
      </c>
      <c r="F7497" s="9" t="s">
        <v>364</v>
      </c>
      <c r="G7497" s="9" t="s">
        <v>106</v>
      </c>
      <c r="H7497" s="5" t="s">
        <v>21</v>
      </c>
      <c r="I7497" s="5" t="s">
        <v>17978</v>
      </c>
      <c r="J7497" s="12" t="str">
        <f>HYPERLINK("https://www.boe.es/gazeta/dias/1808/09/20/pdfs/GMD-C-1808-126.pdf#page=3","Abrir facsímil")</f>
        <v>Abrir facsímil</v>
      </c>
      <c r="K7497" s="15" t="s">
        <v>23</v>
      </c>
    </row>
    <row r="7498" spans="1:11" ht="42" customHeight="1">
      <c r="A7498" s="4" t="s">
        <v>17979</v>
      </c>
      <c r="B7498" s="5" t="s">
        <v>17979</v>
      </c>
      <c r="C7498" s="5" t="s">
        <v>101</v>
      </c>
      <c r="D7498" s="5" t="s">
        <v>102</v>
      </c>
      <c r="E7498" s="5" t="s">
        <v>714</v>
      </c>
      <c r="F7498" s="9" t="s">
        <v>2736</v>
      </c>
      <c r="G7498" s="9">
        <v>815</v>
      </c>
      <c r="H7498" s="5" t="s">
        <v>21</v>
      </c>
      <c r="I7498" s="5" t="s">
        <v>17980</v>
      </c>
      <c r="J7498" s="12" t="str">
        <f>HYPERLINK("https://www.boe.es/gazeta/dias/1808/07/16/pdfs/GMD-1808-88.pdf#page=1","Abrir facsímil")</f>
        <v>Abrir facsímil</v>
      </c>
      <c r="K7498" s="15" t="s">
        <v>23</v>
      </c>
    </row>
    <row r="7499" spans="1:11" ht="42" customHeight="1">
      <c r="A7499" s="4" t="s">
        <v>17981</v>
      </c>
      <c r="B7499" s="5" t="s">
        <v>17982</v>
      </c>
      <c r="C7499" s="5" t="s">
        <v>41</v>
      </c>
      <c r="D7499" s="5" t="s">
        <v>42</v>
      </c>
      <c r="E7499" s="5" t="s">
        <v>166</v>
      </c>
      <c r="F7499" s="9" t="s">
        <v>400</v>
      </c>
      <c r="G7499" s="9" t="s">
        <v>106</v>
      </c>
      <c r="H7499" s="5" t="s">
        <v>21</v>
      </c>
      <c r="I7499" s="5" t="s">
        <v>17983</v>
      </c>
      <c r="J7499" s="12" t="str">
        <f>HYPERLINK("https://www.boe.es/gazeta/dias/1808/11/18/pdfs/D00069-00072.pdf#page=3","Abrir facsímil")</f>
        <v>Abrir facsímil</v>
      </c>
      <c r="K7499" s="15" t="s">
        <v>23</v>
      </c>
    </row>
    <row r="7500" spans="1:11" ht="42" customHeight="1">
      <c r="A7500" s="4" t="s">
        <v>17984</v>
      </c>
      <c r="B7500" s="5" t="s">
        <v>17985</v>
      </c>
      <c r="C7500" s="5" t="s">
        <v>17</v>
      </c>
      <c r="D7500" s="5" t="s">
        <v>18</v>
      </c>
      <c r="E7500" s="5" t="s">
        <v>473</v>
      </c>
      <c r="F7500" s="9" t="s">
        <v>4258</v>
      </c>
      <c r="G7500" s="9">
        <v>74</v>
      </c>
      <c r="H7500" s="5" t="s">
        <v>21</v>
      </c>
      <c r="I7500" s="5" t="s">
        <v>17986</v>
      </c>
      <c r="J7500" s="12" t="str">
        <f>HYPERLINK("https://www.boe.es/gazeta/dias/1808/07/02/pdfs/GMS-1808-10.pdf#page=2","Abrir facsímil")</f>
        <v>Abrir facsímil</v>
      </c>
      <c r="K7500" s="15" t="s">
        <v>23</v>
      </c>
    </row>
    <row r="7501" spans="1:11" ht="42" customHeight="1">
      <c r="A7501" s="4" t="s">
        <v>17987</v>
      </c>
      <c r="B7501" s="5" t="s">
        <v>17988</v>
      </c>
      <c r="C7501" s="5" t="s">
        <v>33</v>
      </c>
      <c r="D7501" s="5" t="s">
        <v>34</v>
      </c>
      <c r="E7501" s="5" t="s">
        <v>35</v>
      </c>
      <c r="F7501" s="9" t="s">
        <v>36</v>
      </c>
      <c r="G7501" s="9" t="s">
        <v>1006</v>
      </c>
      <c r="H7501" s="5" t="s">
        <v>21</v>
      </c>
      <c r="I7501" s="5" t="s">
        <v>17989</v>
      </c>
      <c r="J7501" s="12" t="str">
        <f>HYPERLINK("https://www.boe.es/gazeta/dias/1808/04/22/pdfs/GMD-C-1808-38.pdf#page=46","Abrir facsímil")</f>
        <v>Abrir facsímil</v>
      </c>
      <c r="K7501" s="15" t="s">
        <v>23</v>
      </c>
    </row>
    <row r="7502" spans="1:11" ht="42" customHeight="1">
      <c r="A7502" s="4" t="s">
        <v>17990</v>
      </c>
      <c r="B7502" s="5" t="s">
        <v>17991</v>
      </c>
      <c r="C7502" s="5" t="s">
        <v>33</v>
      </c>
      <c r="D7502" s="5" t="s">
        <v>34</v>
      </c>
      <c r="E7502" s="5" t="s">
        <v>35</v>
      </c>
      <c r="F7502" s="9" t="s">
        <v>36</v>
      </c>
      <c r="G7502" s="9" t="s">
        <v>106</v>
      </c>
      <c r="H7502" s="5" t="s">
        <v>21</v>
      </c>
      <c r="I7502" s="5" t="s">
        <v>17992</v>
      </c>
      <c r="J7502" s="12" t="str">
        <f>HYPERLINK("https://www.boe.es/gazeta/dias/1808/04/22/pdfs/GMD-C-1808-38.pdf#page=3","Abrir facsímil")</f>
        <v>Abrir facsímil</v>
      </c>
      <c r="K7502" s="15" t="s">
        <v>23</v>
      </c>
    </row>
    <row r="7503" spans="1:11" ht="42" customHeight="1">
      <c r="A7503" s="4" t="s">
        <v>17993</v>
      </c>
      <c r="B7503" s="5" t="s">
        <v>17993</v>
      </c>
      <c r="C7503" s="5" t="s">
        <v>17</v>
      </c>
      <c r="D7503" s="5" t="s">
        <v>18</v>
      </c>
      <c r="E7503" s="5" t="s">
        <v>1286</v>
      </c>
      <c r="F7503" s="9" t="s">
        <v>1287</v>
      </c>
      <c r="G7503" s="9">
        <v>1626</v>
      </c>
      <c r="H7503" s="5" t="s">
        <v>21</v>
      </c>
      <c r="I7503" s="5" t="s">
        <v>17994</v>
      </c>
      <c r="J7503" s="12" t="str">
        <f>HYPERLINK("https://www.boe.es/gazeta/dias/1808/12/17/pdfs/GMD-1808-157.pdf#page=6","Abrir facsímil")</f>
        <v>Abrir facsímil</v>
      </c>
      <c r="K7503" s="15" t="s">
        <v>23</v>
      </c>
    </row>
    <row r="7504" spans="1:11" ht="42" customHeight="1">
      <c r="A7504" s="4" t="s">
        <v>17995</v>
      </c>
      <c r="B7504" s="5" t="s">
        <v>17996</v>
      </c>
      <c r="C7504" s="5" t="s">
        <v>389</v>
      </c>
      <c r="D7504" s="5" t="s">
        <v>390</v>
      </c>
      <c r="E7504" s="5" t="s">
        <v>35</v>
      </c>
      <c r="F7504" s="9" t="s">
        <v>36</v>
      </c>
      <c r="G7504" s="9" t="s">
        <v>75</v>
      </c>
      <c r="H7504" s="5" t="s">
        <v>21</v>
      </c>
      <c r="I7504" s="5" t="s">
        <v>17997</v>
      </c>
      <c r="J7504" s="12" t="str">
        <f>HYPERLINK("https://www.boe.es/gazeta/dias/1808/04/22/pdfs/GMD-C-1808-38.pdf#page=4","Abrir facsímil")</f>
        <v>Abrir facsímil</v>
      </c>
      <c r="K7504" s="15" t="s">
        <v>23</v>
      </c>
    </row>
    <row r="7505" spans="1:11" ht="42" customHeight="1">
      <c r="A7505" s="4" t="s">
        <v>17998</v>
      </c>
      <c r="B7505" s="5" t="s">
        <v>17999</v>
      </c>
      <c r="C7505" s="5" t="s">
        <v>94</v>
      </c>
      <c r="D7505" s="5" t="s">
        <v>95</v>
      </c>
      <c r="E7505" s="5" t="s">
        <v>54</v>
      </c>
      <c r="F7505" s="9" t="s">
        <v>55</v>
      </c>
      <c r="G7505" s="9">
        <v>1088</v>
      </c>
      <c r="H7505" s="5" t="s">
        <v>21</v>
      </c>
      <c r="I7505" s="5" t="s">
        <v>18000</v>
      </c>
      <c r="J7505" s="12" t="str">
        <f>HYPERLINK("https://www.boe.es/gazeta/dias/1808/08/26/pdfs/GMD-1808-117.pdf#page=10","Abrir facsímil")</f>
        <v>Abrir facsímil</v>
      </c>
      <c r="K7505" s="15" t="s">
        <v>23</v>
      </c>
    </row>
    <row r="7506" spans="1:11" ht="42" customHeight="1">
      <c r="A7506" s="4" t="s">
        <v>18001</v>
      </c>
      <c r="B7506" s="5" t="s">
        <v>18002</v>
      </c>
      <c r="C7506" s="5" t="s">
        <v>389</v>
      </c>
      <c r="D7506" s="5" t="s">
        <v>390</v>
      </c>
      <c r="E7506" s="5" t="s">
        <v>65</v>
      </c>
      <c r="F7506" s="9" t="s">
        <v>105</v>
      </c>
      <c r="G7506" s="9" t="s">
        <v>199</v>
      </c>
      <c r="H7506" s="5" t="s">
        <v>21</v>
      </c>
      <c r="I7506" s="5" t="s">
        <v>18003</v>
      </c>
      <c r="J7506" s="12" t="str">
        <f>HYPERLINK("https://www.boe.es/gazeta/dias/1808/10/18/pdfs/GMD-D-1808-135.pdf#page=2","Abrir facsímil")</f>
        <v>Abrir facsímil</v>
      </c>
      <c r="K7506" s="15" t="s">
        <v>23</v>
      </c>
    </row>
    <row r="7507" spans="1:11" ht="42" customHeight="1">
      <c r="A7507" s="4" t="s">
        <v>18004</v>
      </c>
      <c r="B7507" s="5" t="s">
        <v>18005</v>
      </c>
      <c r="C7507" s="5" t="s">
        <v>389</v>
      </c>
      <c r="D7507" s="5" t="s">
        <v>390</v>
      </c>
      <c r="E7507" s="5" t="s">
        <v>3160</v>
      </c>
      <c r="F7507" s="9" t="s">
        <v>3161</v>
      </c>
      <c r="G7507" s="9">
        <v>574</v>
      </c>
      <c r="H7507" s="5" t="s">
        <v>21</v>
      </c>
      <c r="I7507" s="5" t="s">
        <v>18006</v>
      </c>
      <c r="J7507" s="12" t="str">
        <f>HYPERLINK("https://www.boe.es/gazeta/dias/1808/06/14/pdfs/GMD-1808-57.pdf#page=12","Abrir facsímil")</f>
        <v>Abrir facsímil</v>
      </c>
      <c r="K7507" s="15" t="s">
        <v>23</v>
      </c>
    </row>
    <row r="7508" spans="1:11" ht="42" customHeight="1">
      <c r="A7508" s="4" t="s">
        <v>18007</v>
      </c>
      <c r="B7508" s="5" t="s">
        <v>18008</v>
      </c>
      <c r="C7508" s="5" t="s">
        <v>17</v>
      </c>
      <c r="D7508" s="5" t="s">
        <v>18</v>
      </c>
      <c r="E7508" s="5" t="s">
        <v>125</v>
      </c>
      <c r="F7508" s="9" t="s">
        <v>397</v>
      </c>
      <c r="G7508" s="9">
        <v>1270</v>
      </c>
      <c r="H7508" s="5" t="s">
        <v>21</v>
      </c>
      <c r="I7508" s="5" t="s">
        <v>18009</v>
      </c>
      <c r="J7508" s="12" t="str">
        <f>HYPERLINK("https://www.boe.es/gazeta/dias/1808/10/07/pdfs/GMD-1808-132.pdf#page=10","Abrir facsímil")</f>
        <v>Abrir facsímil</v>
      </c>
      <c r="K7508" s="15" t="s">
        <v>23</v>
      </c>
    </row>
    <row r="7509" spans="1:11" ht="42" customHeight="1">
      <c r="A7509" s="4" t="s">
        <v>18010</v>
      </c>
      <c r="B7509" s="5" t="s">
        <v>18011</v>
      </c>
      <c r="C7509" s="5" t="s">
        <v>33</v>
      </c>
      <c r="D7509" s="5" t="s">
        <v>34</v>
      </c>
      <c r="E7509" s="5" t="s">
        <v>153</v>
      </c>
      <c r="F7509" s="9" t="s">
        <v>154</v>
      </c>
      <c r="G7509" s="9" t="s">
        <v>106</v>
      </c>
      <c r="H7509" s="5" t="s">
        <v>21</v>
      </c>
      <c r="I7509" s="5" t="s">
        <v>18012</v>
      </c>
      <c r="J7509" s="12" t="str">
        <f>HYPERLINK("https://www.boe.es/gazeta/dias/1808/09/09/pdfs/GMD-C-1808-121.pdf#page=3","Abrir facsímil")</f>
        <v>Abrir facsímil</v>
      </c>
      <c r="K7509" s="15" t="s">
        <v>23</v>
      </c>
    </row>
    <row r="7510" spans="1:11" ht="42" customHeight="1">
      <c r="A7510" s="4" t="s">
        <v>18013</v>
      </c>
      <c r="B7510" s="5" t="s">
        <v>18014</v>
      </c>
      <c r="C7510" s="5" t="s">
        <v>17</v>
      </c>
      <c r="D7510" s="5" t="s">
        <v>18</v>
      </c>
      <c r="E7510" s="5" t="s">
        <v>110</v>
      </c>
      <c r="F7510" s="9" t="s">
        <v>111</v>
      </c>
      <c r="G7510" s="9">
        <v>1383</v>
      </c>
      <c r="H7510" s="5" t="s">
        <v>21</v>
      </c>
      <c r="I7510" s="5" t="s">
        <v>18015</v>
      </c>
      <c r="J7510" s="12" t="str">
        <f>HYPERLINK("https://www.boe.es/gazeta/dias/1808/10/28/pdfs/GMD-1808-138.pdf#page=9","Abrir facsímil")</f>
        <v>Abrir facsímil</v>
      </c>
      <c r="K7510" s="15" t="s">
        <v>23</v>
      </c>
    </row>
    <row r="7511" spans="1:11" ht="42" customHeight="1">
      <c r="A7511" s="4" t="s">
        <v>18016</v>
      </c>
      <c r="B7511" s="5" t="s">
        <v>18016</v>
      </c>
      <c r="C7511" s="5" t="s">
        <v>17</v>
      </c>
      <c r="D7511" s="5" t="s">
        <v>18</v>
      </c>
      <c r="E7511" s="5" t="s">
        <v>1893</v>
      </c>
      <c r="F7511" s="9" t="s">
        <v>1894</v>
      </c>
      <c r="G7511" s="9">
        <v>747</v>
      </c>
      <c r="H7511" s="5" t="s">
        <v>21</v>
      </c>
      <c r="I7511" s="5" t="s">
        <v>18017</v>
      </c>
      <c r="J7511" s="12" t="str">
        <f>HYPERLINK("https://www.boe.es/gazeta/dias/1808/07/07/pdfs/GMD-1808-79.pdf#page=5","Abrir facsímil")</f>
        <v>Abrir facsímil</v>
      </c>
      <c r="K7511" s="15" t="s">
        <v>23</v>
      </c>
    </row>
    <row r="7512" spans="1:11" ht="42" customHeight="1">
      <c r="A7512" s="4" t="s">
        <v>18018</v>
      </c>
      <c r="B7512" s="5" t="s">
        <v>18019</v>
      </c>
      <c r="C7512" s="5" t="s">
        <v>94</v>
      </c>
      <c r="D7512" s="5" t="s">
        <v>95</v>
      </c>
      <c r="E7512" s="5" t="s">
        <v>203</v>
      </c>
      <c r="F7512" s="9" t="s">
        <v>204</v>
      </c>
      <c r="G7512" s="9">
        <v>140</v>
      </c>
      <c r="H7512" s="5" t="s">
        <v>21</v>
      </c>
      <c r="I7512" s="5" t="s">
        <v>18020</v>
      </c>
      <c r="J7512" s="12" t="str">
        <f>HYPERLINK("https://www.boe.es/gazeta/dias/1808/02/09/pdfs/GMD-1808-12.pdf#page=8","Abrir facsímil")</f>
        <v>Abrir facsímil</v>
      </c>
      <c r="K7512" s="15" t="s">
        <v>23</v>
      </c>
    </row>
    <row r="7513" spans="1:11" ht="42" customHeight="1">
      <c r="A7513" s="4" t="s">
        <v>18021</v>
      </c>
      <c r="B7513" s="5" t="s">
        <v>18022</v>
      </c>
      <c r="C7513" s="5" t="s">
        <v>33</v>
      </c>
      <c r="D7513" s="5" t="s">
        <v>34</v>
      </c>
      <c r="E7513" s="5" t="s">
        <v>65</v>
      </c>
      <c r="F7513" s="9" t="s">
        <v>105</v>
      </c>
      <c r="G7513" s="9" t="s">
        <v>106</v>
      </c>
      <c r="H7513" s="5" t="s">
        <v>21</v>
      </c>
      <c r="I7513" s="5" t="s">
        <v>18023</v>
      </c>
      <c r="J7513" s="12" t="str">
        <f>HYPERLINK("https://www.boe.es/gazeta/dias/1808/10/18/pdfs/GMD-D-1808-135.pdf#page=3","Abrir facsímil")</f>
        <v>Abrir facsímil</v>
      </c>
      <c r="K7513" s="15" t="s">
        <v>23</v>
      </c>
    </row>
    <row r="7514" spans="1:11" ht="42" customHeight="1">
      <c r="A7514" s="4" t="s">
        <v>18024</v>
      </c>
      <c r="B7514" s="5" t="s">
        <v>18025</v>
      </c>
      <c r="C7514" s="5" t="s">
        <v>33</v>
      </c>
      <c r="D7514" s="5" t="s">
        <v>34</v>
      </c>
      <c r="E7514" s="5" t="s">
        <v>264</v>
      </c>
      <c r="F7514" s="9" t="s">
        <v>318</v>
      </c>
      <c r="G7514" s="9" t="s">
        <v>117</v>
      </c>
      <c r="H7514" s="5" t="s">
        <v>21</v>
      </c>
      <c r="I7514" s="5" t="s">
        <v>18026</v>
      </c>
      <c r="J7514" s="12" t="str">
        <f>HYPERLINK("https://www.boe.es/gazeta/dias/1808/11/29/pdfs/GMD-C-1808-148.pdf#page=1","Abrir facsímil")</f>
        <v>Abrir facsímil</v>
      </c>
      <c r="K7514" s="15" t="s">
        <v>23</v>
      </c>
    </row>
    <row r="7515" spans="1:11" ht="42" customHeight="1">
      <c r="A7515" s="4" t="s">
        <v>18027</v>
      </c>
      <c r="B7515" s="5" t="s">
        <v>18028</v>
      </c>
      <c r="C7515" s="5" t="s">
        <v>17</v>
      </c>
      <c r="D7515" s="5" t="s">
        <v>18</v>
      </c>
      <c r="E7515" s="5" t="s">
        <v>110</v>
      </c>
      <c r="F7515" s="9" t="s">
        <v>111</v>
      </c>
      <c r="G7515" s="9">
        <v>1383</v>
      </c>
      <c r="H7515" s="5" t="s">
        <v>21</v>
      </c>
      <c r="I7515" s="5" t="s">
        <v>18029</v>
      </c>
      <c r="J7515" s="12" t="str">
        <f>HYPERLINK("https://www.boe.es/gazeta/dias/1808/10/28/pdfs/GMD-1808-138.pdf#page=9","Abrir facsímil")</f>
        <v>Abrir facsímil</v>
      </c>
      <c r="K7515" s="15" t="s">
        <v>23</v>
      </c>
    </row>
    <row r="7516" spans="1:11" ht="42" customHeight="1">
      <c r="A7516" s="4" t="s">
        <v>18030</v>
      </c>
      <c r="B7516" s="5" t="s">
        <v>18031</v>
      </c>
      <c r="C7516" s="5" t="s">
        <v>17</v>
      </c>
      <c r="D7516" s="5" t="s">
        <v>18</v>
      </c>
      <c r="E7516" s="5" t="s">
        <v>185</v>
      </c>
      <c r="F7516" s="9" t="s">
        <v>186</v>
      </c>
      <c r="G7516" s="9">
        <v>1097</v>
      </c>
      <c r="H7516" s="5" t="s">
        <v>21</v>
      </c>
      <c r="I7516" s="5" t="s">
        <v>18032</v>
      </c>
      <c r="J7516" s="12" t="str">
        <f>HYPERLINK("https://www.boe.es/gazeta/dias/1808/08/30/pdfs/GMD-1808-118.pdf#page=3","Abrir facsímil")</f>
        <v>Abrir facsímil</v>
      </c>
      <c r="K7516" s="15" t="s">
        <v>23</v>
      </c>
    </row>
    <row r="7517" spans="1:11" ht="42" customHeight="1">
      <c r="A7517" s="4" t="s">
        <v>18033</v>
      </c>
      <c r="B7517" s="5" t="s">
        <v>18034</v>
      </c>
      <c r="C7517" s="5" t="s">
        <v>33</v>
      </c>
      <c r="D7517" s="5" t="s">
        <v>34</v>
      </c>
      <c r="E7517" s="5" t="s">
        <v>110</v>
      </c>
      <c r="F7517" s="9" t="s">
        <v>828</v>
      </c>
      <c r="G7517" s="9" t="s">
        <v>106</v>
      </c>
      <c r="H7517" s="5" t="s">
        <v>21</v>
      </c>
      <c r="I7517" s="5" t="s">
        <v>18035</v>
      </c>
      <c r="J7517" s="12" t="str">
        <f>HYPERLINK("https://www.boe.es/gazeta/dias/1808/10/28/pdfs/GMD-D-1808-138.pdf#page=3","Abrir facsímil")</f>
        <v>Abrir facsímil</v>
      </c>
      <c r="K7517" s="15" t="s">
        <v>23</v>
      </c>
    </row>
    <row r="7518" spans="1:11" ht="42" customHeight="1">
      <c r="A7518" s="4" t="s">
        <v>18036</v>
      </c>
      <c r="B7518" s="5" t="s">
        <v>18037</v>
      </c>
      <c r="C7518" s="5" t="s">
        <v>33</v>
      </c>
      <c r="D7518" s="5" t="s">
        <v>34</v>
      </c>
      <c r="E7518" s="5" t="s">
        <v>35</v>
      </c>
      <c r="F7518" s="9" t="s">
        <v>36</v>
      </c>
      <c r="G7518" s="9" t="s">
        <v>414</v>
      </c>
      <c r="H7518" s="5" t="s">
        <v>21</v>
      </c>
      <c r="I7518" s="5" t="s">
        <v>18038</v>
      </c>
      <c r="J7518" s="12" t="str">
        <f>HYPERLINK("https://www.boe.es/gazeta/dias/1808/04/22/pdfs/GMD-C-1808-38.pdf#page=20","Abrir facsímil")</f>
        <v>Abrir facsímil</v>
      </c>
      <c r="K7518" s="15" t="s">
        <v>23</v>
      </c>
    </row>
    <row r="7519" spans="1:11" ht="42" customHeight="1">
      <c r="A7519" s="4" t="s">
        <v>18039</v>
      </c>
      <c r="B7519" s="5" t="s">
        <v>18040</v>
      </c>
      <c r="C7519" s="5" t="s">
        <v>33</v>
      </c>
      <c r="D7519" s="5" t="s">
        <v>34</v>
      </c>
      <c r="E7519" s="5" t="s">
        <v>35</v>
      </c>
      <c r="F7519" s="9" t="s">
        <v>36</v>
      </c>
      <c r="G7519" s="9" t="s">
        <v>80</v>
      </c>
      <c r="H7519" s="5" t="s">
        <v>21</v>
      </c>
      <c r="I7519" s="5" t="s">
        <v>18041</v>
      </c>
      <c r="J7519" s="12" t="str">
        <f>HYPERLINK("https://www.boe.es/gazeta/dias/1808/04/22/pdfs/GMD-C-1808-38.pdf#page=18","Abrir facsímil")</f>
        <v>Abrir facsímil</v>
      </c>
      <c r="K7519" s="15" t="s">
        <v>23</v>
      </c>
    </row>
    <row r="7520" spans="1:11" ht="42" customHeight="1">
      <c r="A7520" s="4" t="s">
        <v>18042</v>
      </c>
      <c r="B7520" s="5" t="s">
        <v>18043</v>
      </c>
      <c r="C7520" s="5" t="s">
        <v>94</v>
      </c>
      <c r="D7520" s="5" t="s">
        <v>95</v>
      </c>
      <c r="E7520" s="5" t="s">
        <v>215</v>
      </c>
      <c r="F7520" s="9" t="s">
        <v>216</v>
      </c>
      <c r="G7520" s="9">
        <v>298</v>
      </c>
      <c r="H7520" s="5" t="s">
        <v>21</v>
      </c>
      <c r="I7520" s="5" t="s">
        <v>18044</v>
      </c>
      <c r="J7520" s="12" t="str">
        <f>HYPERLINK("https://www.boe.es/gazeta/dias/1808/03/25/pdfs/GMD-1808-25.pdf#page=8","Abrir facsímil")</f>
        <v>Abrir facsímil</v>
      </c>
      <c r="K7520" s="15" t="s">
        <v>23</v>
      </c>
    </row>
    <row r="7521" spans="1:11" ht="42" customHeight="1">
      <c r="A7521" s="4" t="s">
        <v>18045</v>
      </c>
      <c r="B7521" s="5" t="s">
        <v>18046</v>
      </c>
      <c r="C7521" s="5" t="s">
        <v>94</v>
      </c>
      <c r="D7521" s="5" t="s">
        <v>95</v>
      </c>
      <c r="E7521" s="5" t="s">
        <v>572</v>
      </c>
      <c r="F7521" s="9" t="s">
        <v>573</v>
      </c>
      <c r="G7521" s="9">
        <v>19</v>
      </c>
      <c r="H7521" s="5" t="s">
        <v>21</v>
      </c>
      <c r="I7521" s="5" t="s">
        <v>18047</v>
      </c>
      <c r="J7521" s="12" t="str">
        <f>HYPERLINK("https://www.boe.es/gazeta/dias/1808/01/05/pdfs/GMD-1808-2.pdf#page=7","Abrir facsímil")</f>
        <v>Abrir facsímil</v>
      </c>
      <c r="K7521" s="15" t="s">
        <v>23</v>
      </c>
    </row>
    <row r="7522" spans="1:11" ht="42" customHeight="1">
      <c r="A7522" s="4" t="s">
        <v>18048</v>
      </c>
      <c r="B7522" s="5" t="s">
        <v>18049</v>
      </c>
      <c r="C7522" s="5" t="s">
        <v>17</v>
      </c>
      <c r="D7522" s="5" t="s">
        <v>18</v>
      </c>
      <c r="E7522" s="5" t="s">
        <v>228</v>
      </c>
      <c r="F7522" s="9" t="s">
        <v>229</v>
      </c>
      <c r="G7522" s="9">
        <v>838</v>
      </c>
      <c r="H7522" s="5" t="s">
        <v>21</v>
      </c>
      <c r="I7522" s="5" t="s">
        <v>18050</v>
      </c>
      <c r="J7522" s="12" t="str">
        <f>HYPERLINK("https://www.boe.es/gazeta/dias/1808/07/18/pdfs/GMD-1808-90.pdf#page=8","Abrir facsímil")</f>
        <v>Abrir facsímil</v>
      </c>
      <c r="K7522" s="15" t="s">
        <v>23</v>
      </c>
    </row>
    <row r="7523" spans="1:11" ht="42" customHeight="1">
      <c r="A7523" s="4" t="s">
        <v>18051</v>
      </c>
      <c r="B7523" s="5" t="s">
        <v>18051</v>
      </c>
      <c r="C7523" s="5" t="s">
        <v>101</v>
      </c>
      <c r="D7523" s="5" t="s">
        <v>102</v>
      </c>
      <c r="E7523" s="5" t="s">
        <v>2204</v>
      </c>
      <c r="F7523" s="9" t="s">
        <v>2285</v>
      </c>
      <c r="G7523" s="9">
        <v>679</v>
      </c>
      <c r="H7523" s="5" t="s">
        <v>21</v>
      </c>
      <c r="I7523" s="5" t="s">
        <v>18052</v>
      </c>
      <c r="J7523" s="12" t="str">
        <f>HYPERLINK("https://www.boe.es/gazeta/dias/1808/06/29/pdfs/GMD-1808-71.pdf#page=1","Abrir facsímil")</f>
        <v>Abrir facsímil</v>
      </c>
      <c r="K7523" s="15" t="s">
        <v>23</v>
      </c>
    </row>
    <row r="7524" spans="1:11" ht="42" customHeight="1">
      <c r="A7524" s="4" t="s">
        <v>18053</v>
      </c>
      <c r="B7524" s="5" t="s">
        <v>18054</v>
      </c>
      <c r="C7524" s="5" t="s">
        <v>17</v>
      </c>
      <c r="D7524" s="5" t="s">
        <v>18</v>
      </c>
      <c r="E7524" s="5" t="s">
        <v>130</v>
      </c>
      <c r="F7524" s="9" t="s">
        <v>131</v>
      </c>
      <c r="G7524" s="9">
        <v>1601</v>
      </c>
      <c r="H7524" s="5" t="s">
        <v>21</v>
      </c>
      <c r="I7524" s="5" t="s">
        <v>18055</v>
      </c>
      <c r="J7524" s="12" t="str">
        <f>HYPERLINK("https://www.boe.es/gazeta/dias/1808/12/15/pdfs/GMD-1808-155.pdf#page=5","Abrir facsímil")</f>
        <v>Abrir facsímil</v>
      </c>
      <c r="K7524" s="15" t="s">
        <v>23</v>
      </c>
    </row>
    <row r="7525" spans="1:11" ht="42" customHeight="1">
      <c r="A7525" s="4" t="s">
        <v>18056</v>
      </c>
      <c r="B7525" s="5" t="s">
        <v>18056</v>
      </c>
      <c r="C7525" s="5" t="s">
        <v>17</v>
      </c>
      <c r="D7525" s="5" t="s">
        <v>18</v>
      </c>
      <c r="E7525" s="5" t="s">
        <v>2194</v>
      </c>
      <c r="F7525" s="9" t="s">
        <v>3881</v>
      </c>
      <c r="G7525" s="9">
        <v>339</v>
      </c>
      <c r="H7525" s="5" t="s">
        <v>21</v>
      </c>
      <c r="I7525" s="5" t="s">
        <v>18057</v>
      </c>
      <c r="J7525" s="12" t="str">
        <f>HYPERLINK("https://www.boe.es/gazeta/dias/1808/04/05/pdfs/GMD-1808-31.pdf#page=5","Abrir facsímil")</f>
        <v>Abrir facsímil</v>
      </c>
      <c r="K7525" s="15" t="s">
        <v>23</v>
      </c>
    </row>
    <row r="7526" spans="1:11" ht="42" customHeight="1">
      <c r="A7526" s="4" t="s">
        <v>18058</v>
      </c>
      <c r="B7526" s="5" t="s">
        <v>18059</v>
      </c>
      <c r="C7526" s="5" t="s">
        <v>94</v>
      </c>
      <c r="D7526" s="5" t="s">
        <v>95</v>
      </c>
      <c r="E7526" s="5" t="s">
        <v>96</v>
      </c>
      <c r="F7526" s="9" t="s">
        <v>97</v>
      </c>
      <c r="G7526" s="9">
        <v>266</v>
      </c>
      <c r="H7526" s="5" t="s">
        <v>21</v>
      </c>
      <c r="I7526" s="5" t="s">
        <v>18060</v>
      </c>
      <c r="J7526" s="12" t="str">
        <f>HYPERLINK("https://www.boe.es/gazeta/dias/1808/03/15/pdfs/GMD-1808-22.pdf#page=8","Abrir facsímil")</f>
        <v>Abrir facsímil</v>
      </c>
      <c r="K7526" s="15" t="s">
        <v>23</v>
      </c>
    </row>
    <row r="7527" spans="1:11" ht="42" customHeight="1">
      <c r="A7527" s="4" t="s">
        <v>18061</v>
      </c>
      <c r="B7527" s="5" t="s">
        <v>18062</v>
      </c>
      <c r="C7527" s="5" t="s">
        <v>33</v>
      </c>
      <c r="D7527" s="5" t="s">
        <v>34</v>
      </c>
      <c r="E7527" s="5" t="s">
        <v>166</v>
      </c>
      <c r="F7527" s="9" t="s">
        <v>400</v>
      </c>
      <c r="G7527" s="9" t="s">
        <v>106</v>
      </c>
      <c r="H7527" s="5" t="s">
        <v>21</v>
      </c>
      <c r="I7527" s="5" t="s">
        <v>18063</v>
      </c>
      <c r="J7527" s="12" t="str">
        <f>HYPERLINK("https://www.boe.es/gazeta/dias/1808/11/18/pdfs/D00069-00072.pdf#page=3","Abrir facsímil")</f>
        <v>Abrir facsímil</v>
      </c>
      <c r="K7527" s="15" t="s">
        <v>23</v>
      </c>
    </row>
    <row r="7528" spans="1:11" ht="42" customHeight="1">
      <c r="A7528" s="4" t="s">
        <v>18064</v>
      </c>
      <c r="B7528" s="5" t="s">
        <v>18065</v>
      </c>
      <c r="C7528" s="5" t="s">
        <v>33</v>
      </c>
      <c r="D7528" s="5" t="s">
        <v>34</v>
      </c>
      <c r="E7528" s="5" t="s">
        <v>197</v>
      </c>
      <c r="F7528" s="9" t="s">
        <v>198</v>
      </c>
      <c r="G7528" s="9" t="s">
        <v>75</v>
      </c>
      <c r="H7528" s="5" t="s">
        <v>21</v>
      </c>
      <c r="I7528" s="5" t="s">
        <v>18066</v>
      </c>
      <c r="J7528" s="12" t="str">
        <f>HYPERLINK("https://www.boe.es/gazeta/dias/1808/11/01/pdfs/GMD-D-1808-140.pdf#page=4","Abrir facsímil")</f>
        <v>Abrir facsímil</v>
      </c>
      <c r="K7528" s="15" t="s">
        <v>23</v>
      </c>
    </row>
    <row r="7529" spans="1:11" ht="42" customHeight="1">
      <c r="A7529" s="4" t="s">
        <v>18067</v>
      </c>
      <c r="B7529" s="5" t="s">
        <v>18068</v>
      </c>
      <c r="C7529" s="5" t="s">
        <v>17</v>
      </c>
      <c r="D7529" s="5" t="s">
        <v>18</v>
      </c>
      <c r="E7529" s="5" t="s">
        <v>139</v>
      </c>
      <c r="F7529" s="9" t="s">
        <v>140</v>
      </c>
      <c r="G7529" s="9">
        <v>1204</v>
      </c>
      <c r="H7529" s="5" t="s">
        <v>21</v>
      </c>
      <c r="I7529" s="5" t="s">
        <v>18069</v>
      </c>
      <c r="J7529" s="12" t="str">
        <f>HYPERLINK("https://www.boe.es/gazeta/dias/1808/09/23/pdfs/GMD-1808-127.pdf#page=12","Abrir facsímil")</f>
        <v>Abrir facsímil</v>
      </c>
      <c r="K7529" s="15" t="s">
        <v>23</v>
      </c>
    </row>
    <row r="7530" spans="1:11" ht="42" customHeight="1">
      <c r="A7530" s="4" t="s">
        <v>18070</v>
      </c>
      <c r="B7530" s="5" t="s">
        <v>18071</v>
      </c>
      <c r="C7530" s="5" t="s">
        <v>26</v>
      </c>
      <c r="D7530" s="5" t="s">
        <v>27</v>
      </c>
      <c r="E7530" s="5" t="s">
        <v>125</v>
      </c>
      <c r="F7530" s="9" t="s">
        <v>397</v>
      </c>
      <c r="G7530" s="9">
        <v>1269</v>
      </c>
      <c r="H7530" s="5" t="s">
        <v>21</v>
      </c>
      <c r="I7530" s="5" t="s">
        <v>18072</v>
      </c>
      <c r="J7530" s="12" t="str">
        <f>HYPERLINK("https://www.boe.es/gazeta/dias/1808/10/07/pdfs/GMD-1808-132.pdf#page=9","Abrir facsímil")</f>
        <v>Abrir facsímil</v>
      </c>
      <c r="K7530" s="15" t="s">
        <v>23</v>
      </c>
    </row>
    <row r="7531" spans="1:11" ht="42" customHeight="1">
      <c r="A7531" s="4" t="s">
        <v>18073</v>
      </c>
      <c r="B7531" s="5" t="s">
        <v>18074</v>
      </c>
      <c r="C7531" s="5" t="s">
        <v>33</v>
      </c>
      <c r="D7531" s="5" t="s">
        <v>34</v>
      </c>
      <c r="E7531" s="5" t="s">
        <v>334</v>
      </c>
      <c r="F7531" s="9" t="s">
        <v>335</v>
      </c>
      <c r="G7531" s="9">
        <v>1251</v>
      </c>
      <c r="H7531" s="5" t="s">
        <v>21</v>
      </c>
      <c r="I7531" s="5" t="s">
        <v>18075</v>
      </c>
      <c r="J7531" s="12" t="str">
        <f>HYPERLINK("https://www.boe.es/gazeta/dias/1808/10/04/pdfs/GMD-C-1808-131.pdf#page=3","Abrir facsímil")</f>
        <v>Abrir facsímil</v>
      </c>
      <c r="K7531" s="15" t="s">
        <v>23</v>
      </c>
    </row>
    <row r="7532" spans="1:11" ht="42" customHeight="1">
      <c r="A7532" s="4" t="s">
        <v>18076</v>
      </c>
      <c r="B7532" s="5" t="s">
        <v>18077</v>
      </c>
      <c r="C7532" s="5" t="s">
        <v>17</v>
      </c>
      <c r="D7532" s="5" t="s">
        <v>18</v>
      </c>
      <c r="E7532" s="5" t="s">
        <v>139</v>
      </c>
      <c r="F7532" s="9" t="s">
        <v>3587</v>
      </c>
      <c r="G7532" s="9">
        <v>271</v>
      </c>
      <c r="H7532" s="5" t="s">
        <v>21</v>
      </c>
      <c r="I7532" s="5" t="s">
        <v>18078</v>
      </c>
      <c r="J7532" s="12" t="str">
        <f>HYPERLINK("https://www.boe.es/gazeta/dias/1808/09/23/pdfs/GMS-1808-34.pdf#page=7","Abrir facsímil")</f>
        <v>Abrir facsímil</v>
      </c>
      <c r="K7532" s="15" t="s">
        <v>23</v>
      </c>
    </row>
    <row r="7533" spans="1:11" ht="42" customHeight="1">
      <c r="A7533" s="4" t="s">
        <v>18076</v>
      </c>
      <c r="B7533" s="5" t="s">
        <v>18077</v>
      </c>
      <c r="C7533" s="5" t="s">
        <v>17</v>
      </c>
      <c r="D7533" s="5" t="s">
        <v>18</v>
      </c>
      <c r="E7533" s="5" t="s">
        <v>139</v>
      </c>
      <c r="F7533" s="9" t="s">
        <v>3587</v>
      </c>
      <c r="G7533" s="9">
        <v>272</v>
      </c>
      <c r="H7533" s="5" t="s">
        <v>21</v>
      </c>
      <c r="I7533" s="5" t="s">
        <v>18079</v>
      </c>
      <c r="J7533" s="12" t="str">
        <f>HYPERLINK("https://www.boe.es/gazeta/dias/1808/09/23/pdfs/GMS-1808-34.pdf#page=8","Abrir facsímil")</f>
        <v>Abrir facsímil</v>
      </c>
      <c r="K7533" s="15" t="s">
        <v>23</v>
      </c>
    </row>
    <row r="7534" spans="1:11" ht="42" customHeight="1">
      <c r="A7534" s="4" t="s">
        <v>18080</v>
      </c>
      <c r="B7534" s="5" t="s">
        <v>18081</v>
      </c>
      <c r="C7534" s="5" t="s">
        <v>94</v>
      </c>
      <c r="D7534" s="5" t="s">
        <v>95</v>
      </c>
      <c r="E7534" s="5" t="s">
        <v>245</v>
      </c>
      <c r="F7534" s="9" t="s">
        <v>246</v>
      </c>
      <c r="G7534" s="9">
        <v>542</v>
      </c>
      <c r="H7534" s="5" t="s">
        <v>21</v>
      </c>
      <c r="I7534" s="5" t="s">
        <v>18082</v>
      </c>
      <c r="J7534" s="12" t="str">
        <f>HYPERLINK("https://www.boe.es/gazeta/dias/1808/06/07/pdfs/GMD-1808-54.pdf#page=8","Abrir facsímil")</f>
        <v>Abrir facsímil</v>
      </c>
      <c r="K7534" s="15" t="s">
        <v>23</v>
      </c>
    </row>
    <row r="7535" spans="1:11" ht="42" customHeight="1">
      <c r="A7535" s="4" t="s">
        <v>18080</v>
      </c>
      <c r="B7535" s="5" t="s">
        <v>18081</v>
      </c>
      <c r="C7535" s="5" t="s">
        <v>17</v>
      </c>
      <c r="D7535" s="5" t="s">
        <v>18</v>
      </c>
      <c r="E7535" s="5" t="s">
        <v>139</v>
      </c>
      <c r="F7535" s="9" t="s">
        <v>3587</v>
      </c>
      <c r="G7535" s="9">
        <v>271</v>
      </c>
      <c r="H7535" s="5" t="s">
        <v>21</v>
      </c>
      <c r="I7535" s="5" t="s">
        <v>18083</v>
      </c>
      <c r="J7535" s="12" t="str">
        <f>HYPERLINK("https://www.boe.es/gazeta/dias/1808/09/23/pdfs/GMS-1808-34.pdf#page=7","Abrir facsímil")</f>
        <v>Abrir facsímil</v>
      </c>
      <c r="K7535" s="15" t="s">
        <v>23</v>
      </c>
    </row>
    <row r="7536" spans="1:11" ht="42" customHeight="1">
      <c r="A7536" s="4" t="s">
        <v>18084</v>
      </c>
      <c r="B7536" s="5" t="s">
        <v>18085</v>
      </c>
      <c r="C7536" s="5" t="s">
        <v>33</v>
      </c>
      <c r="D7536" s="5" t="s">
        <v>34</v>
      </c>
      <c r="E7536" s="5" t="s">
        <v>35</v>
      </c>
      <c r="F7536" s="9" t="s">
        <v>36</v>
      </c>
      <c r="G7536" s="9" t="s">
        <v>837</v>
      </c>
      <c r="H7536" s="5" t="s">
        <v>21</v>
      </c>
      <c r="I7536" s="5" t="s">
        <v>18086</v>
      </c>
      <c r="J7536" s="12" t="str">
        <f>HYPERLINK("https://www.boe.es/gazeta/dias/1808/04/22/pdfs/GMD-C-1808-38.pdf#page=10","Abrir facsímil")</f>
        <v>Abrir facsímil</v>
      </c>
      <c r="K7536" s="15" t="s">
        <v>23</v>
      </c>
    </row>
    <row r="7537" spans="1:11" ht="42" customHeight="1">
      <c r="A7537" s="4" t="s">
        <v>18087</v>
      </c>
      <c r="B7537" s="5" t="s">
        <v>18088</v>
      </c>
      <c r="C7537" s="5" t="s">
        <v>17</v>
      </c>
      <c r="D7537" s="5" t="s">
        <v>18</v>
      </c>
      <c r="E7537" s="5" t="s">
        <v>130</v>
      </c>
      <c r="F7537" s="9" t="s">
        <v>131</v>
      </c>
      <c r="G7537" s="9">
        <v>1603</v>
      </c>
      <c r="H7537" s="5" t="s">
        <v>21</v>
      </c>
      <c r="I7537" s="5" t="s">
        <v>18089</v>
      </c>
      <c r="J7537" s="12" t="str">
        <f>HYPERLINK("https://www.boe.es/gazeta/dias/1808/12/15/pdfs/GMD-1808-155.pdf#page=7","Abrir facsímil")</f>
        <v>Abrir facsímil</v>
      </c>
      <c r="K7537" s="15" t="s">
        <v>23</v>
      </c>
    </row>
    <row r="7538" spans="1:11" ht="42" customHeight="1">
      <c r="A7538" s="4" t="s">
        <v>18090</v>
      </c>
      <c r="B7538" s="5" t="s">
        <v>18091</v>
      </c>
      <c r="C7538" s="5" t="s">
        <v>17</v>
      </c>
      <c r="D7538" s="5" t="s">
        <v>18</v>
      </c>
      <c r="E7538" s="5" t="s">
        <v>130</v>
      </c>
      <c r="F7538" s="9" t="s">
        <v>131</v>
      </c>
      <c r="G7538" s="9">
        <v>1603</v>
      </c>
      <c r="H7538" s="5" t="s">
        <v>21</v>
      </c>
      <c r="I7538" s="5" t="s">
        <v>18092</v>
      </c>
      <c r="J7538" s="12" t="str">
        <f>HYPERLINK("https://www.boe.es/gazeta/dias/1808/12/15/pdfs/GMD-1808-155.pdf#page=7","Abrir facsímil")</f>
        <v>Abrir facsímil</v>
      </c>
      <c r="K7538" s="15" t="s">
        <v>23</v>
      </c>
    </row>
    <row r="7539" spans="1:11" ht="42" customHeight="1">
      <c r="A7539" s="4" t="s">
        <v>18093</v>
      </c>
      <c r="B7539" s="5" t="s">
        <v>18094</v>
      </c>
      <c r="C7539" s="5" t="s">
        <v>41</v>
      </c>
      <c r="D7539" s="5" t="s">
        <v>42</v>
      </c>
      <c r="E7539" s="5" t="s">
        <v>427</v>
      </c>
      <c r="F7539" s="9" t="s">
        <v>428</v>
      </c>
      <c r="G7539" s="9" t="s">
        <v>106</v>
      </c>
      <c r="H7539" s="5" t="s">
        <v>21</v>
      </c>
      <c r="I7539" s="5" t="s">
        <v>18095</v>
      </c>
      <c r="J7539" s="12" t="str">
        <f>HYPERLINK("https://www.boe.es/gazeta/dias/1808/11/22/pdfs/GMD-D-1808-146.pdf#page=3","Abrir facsímil")</f>
        <v>Abrir facsímil</v>
      </c>
      <c r="K7539" s="15" t="s">
        <v>23</v>
      </c>
    </row>
    <row r="7540" spans="1:11" ht="42" customHeight="1">
      <c r="A7540" s="4" t="s">
        <v>18096</v>
      </c>
      <c r="B7540" s="5" t="s">
        <v>18097</v>
      </c>
      <c r="C7540" s="5" t="s">
        <v>17</v>
      </c>
      <c r="D7540" s="5" t="s">
        <v>18</v>
      </c>
      <c r="E7540" s="5" t="s">
        <v>61</v>
      </c>
      <c r="F7540" s="9" t="s">
        <v>62</v>
      </c>
      <c r="G7540" s="9">
        <v>1286</v>
      </c>
      <c r="H7540" s="5" t="s">
        <v>21</v>
      </c>
      <c r="I7540" s="5" t="s">
        <v>18098</v>
      </c>
      <c r="J7540" s="12" t="str">
        <f>HYPERLINK("https://www.boe.es/gazeta/dias/1808/10/11/pdfs/GMD-1808-133.pdf#page=14","Abrir facsímil")</f>
        <v>Abrir facsímil</v>
      </c>
      <c r="K7540" s="15" t="s">
        <v>23</v>
      </c>
    </row>
    <row r="7541" spans="1:11" ht="42" customHeight="1">
      <c r="A7541" s="4" t="s">
        <v>18099</v>
      </c>
      <c r="B7541" s="5" t="s">
        <v>18099</v>
      </c>
      <c r="C7541" s="5" t="s">
        <v>17</v>
      </c>
      <c r="D7541" s="5" t="s">
        <v>18</v>
      </c>
      <c r="E7541" s="5" t="s">
        <v>185</v>
      </c>
      <c r="F7541" s="9" t="s">
        <v>6822</v>
      </c>
      <c r="G7541" s="9">
        <v>212</v>
      </c>
      <c r="H7541" s="5" t="s">
        <v>21</v>
      </c>
      <c r="I7541" s="5" t="s">
        <v>18100</v>
      </c>
      <c r="J7541" s="12" t="str">
        <f>HYPERLINK("https://www.boe.es/gazeta/dias/1808/08/30/pdfs/GMS-1808-27.pdf#page=4","Abrir facsímil")</f>
        <v>Abrir facsímil</v>
      </c>
      <c r="K7541" s="15" t="s">
        <v>23</v>
      </c>
    </row>
    <row r="7542" spans="1:11" ht="42" customHeight="1">
      <c r="A7542" s="4" t="s">
        <v>18101</v>
      </c>
      <c r="B7542" s="5" t="s">
        <v>18101</v>
      </c>
      <c r="C7542" s="5" t="s">
        <v>94</v>
      </c>
      <c r="D7542" s="5" t="s">
        <v>95</v>
      </c>
      <c r="E7542" s="5" t="s">
        <v>2316</v>
      </c>
      <c r="F7542" s="9" t="s">
        <v>2317</v>
      </c>
      <c r="G7542" s="9">
        <v>1693</v>
      </c>
      <c r="H7542" s="5" t="s">
        <v>21</v>
      </c>
      <c r="I7542" s="5" t="s">
        <v>18102</v>
      </c>
      <c r="J7542" s="12" t="str">
        <f>HYPERLINK("https://www.boe.es/gazeta/dias/1808/12/29/pdfs/GMD-1808-169.pdf#page=3","Abrir facsímil")</f>
        <v>Abrir facsímil</v>
      </c>
      <c r="K7542" s="15" t="s">
        <v>23</v>
      </c>
    </row>
    <row r="7543" spans="1:11" ht="42" customHeight="1">
      <c r="A7543" s="4" t="s">
        <v>18103</v>
      </c>
      <c r="B7543" s="5" t="s">
        <v>18103</v>
      </c>
      <c r="C7543" s="5" t="s">
        <v>17</v>
      </c>
      <c r="D7543" s="5" t="s">
        <v>18</v>
      </c>
      <c r="E7543" s="5" t="s">
        <v>2171</v>
      </c>
      <c r="F7543" s="9" t="s">
        <v>2172</v>
      </c>
      <c r="G7543" s="9">
        <v>773</v>
      </c>
      <c r="H7543" s="5" t="s">
        <v>21</v>
      </c>
      <c r="I7543" s="5" t="s">
        <v>18104</v>
      </c>
      <c r="J7543" s="12" t="str">
        <f>HYPERLINK("https://www.boe.es/gazeta/dias/1808/07/10/pdfs/GMD-1808-82.pdf#page=7","Abrir facsímil")</f>
        <v>Abrir facsímil</v>
      </c>
      <c r="K7543" s="15" t="s">
        <v>23</v>
      </c>
    </row>
    <row r="7544" spans="1:11" ht="42" customHeight="1">
      <c r="A7544" s="4" t="s">
        <v>18105</v>
      </c>
      <c r="B7544" s="5" t="s">
        <v>18106</v>
      </c>
      <c r="C7544" s="5" t="s">
        <v>389</v>
      </c>
      <c r="D7544" s="5" t="s">
        <v>390</v>
      </c>
      <c r="E7544" s="5" t="s">
        <v>1821</v>
      </c>
      <c r="F7544" s="9" t="s">
        <v>1874</v>
      </c>
      <c r="G7544" s="9">
        <v>624</v>
      </c>
      <c r="H7544" s="5" t="s">
        <v>21</v>
      </c>
      <c r="I7544" s="5" t="s">
        <v>18107</v>
      </c>
      <c r="J7544" s="12" t="str">
        <f>HYPERLINK("https://www.boe.es/gazeta/dias/1808/06/22/pdfs/GMD-1808-64.pdf#page=2","Abrir facsímil")</f>
        <v>Abrir facsímil</v>
      </c>
      <c r="K7544" s="15" t="s">
        <v>23</v>
      </c>
    </row>
    <row r="7545" spans="1:11" ht="42" customHeight="1">
      <c r="A7545" s="4" t="s">
        <v>18108</v>
      </c>
      <c r="B7545" s="5" t="s">
        <v>18108</v>
      </c>
      <c r="C7545" s="5" t="s">
        <v>101</v>
      </c>
      <c r="D7545" s="5" t="s">
        <v>102</v>
      </c>
      <c r="E7545" s="5" t="s">
        <v>1962</v>
      </c>
      <c r="F7545" s="9" t="s">
        <v>1963</v>
      </c>
      <c r="G7545" s="9">
        <v>728</v>
      </c>
      <c r="H7545" s="5" t="s">
        <v>21</v>
      </c>
      <c r="I7545" s="5" t="s">
        <v>18109</v>
      </c>
      <c r="J7545" s="12" t="str">
        <f>HYPERLINK("https://www.boe.es/gazeta/dias/1808/07/05/pdfs/GMD-1808-77.pdf#page=2","Abrir facsímil")</f>
        <v>Abrir facsímil</v>
      </c>
      <c r="K7545" s="15" t="s">
        <v>23</v>
      </c>
    </row>
    <row r="7546" spans="1:11" ht="42" customHeight="1">
      <c r="A7546" s="4" t="s">
        <v>18110</v>
      </c>
      <c r="B7546" s="5" t="s">
        <v>18110</v>
      </c>
      <c r="C7546" s="5" t="s">
        <v>94</v>
      </c>
      <c r="D7546" s="5" t="s">
        <v>95</v>
      </c>
      <c r="E7546" s="5" t="s">
        <v>469</v>
      </c>
      <c r="F7546" s="9" t="s">
        <v>470</v>
      </c>
      <c r="G7546" s="9">
        <v>149</v>
      </c>
      <c r="H7546" s="5" t="s">
        <v>21</v>
      </c>
      <c r="I7546" s="5" t="s">
        <v>18111</v>
      </c>
      <c r="J7546" s="12" t="str">
        <f>HYPERLINK("https://www.boe.es/gazeta/dias/1808/02/12/pdfs/GMD-1808-13.pdf#page=5","Abrir facsímil")</f>
        <v>Abrir facsímil</v>
      </c>
      <c r="K7546" s="15" t="s">
        <v>23</v>
      </c>
    </row>
    <row r="7547" spans="1:11" ht="42" customHeight="1">
      <c r="A7547" s="4" t="s">
        <v>18112</v>
      </c>
      <c r="B7547" s="5" t="s">
        <v>18113</v>
      </c>
      <c r="C7547" s="5" t="s">
        <v>33</v>
      </c>
      <c r="D7547" s="5" t="s">
        <v>34</v>
      </c>
      <c r="E7547" s="5" t="s">
        <v>363</v>
      </c>
      <c r="F7547" s="9" t="s">
        <v>364</v>
      </c>
      <c r="G7547" s="9" t="s">
        <v>199</v>
      </c>
      <c r="H7547" s="5" t="s">
        <v>21</v>
      </c>
      <c r="I7547" s="5" t="s">
        <v>18114</v>
      </c>
      <c r="J7547" s="12" t="str">
        <f>HYPERLINK("https://www.boe.es/gazeta/dias/1808/09/20/pdfs/GMD-C-1808-126.pdf#page=2","Abrir facsímil")</f>
        <v>Abrir facsímil</v>
      </c>
      <c r="K7547" s="15" t="s">
        <v>23</v>
      </c>
    </row>
    <row r="7548" spans="1:11" ht="42" customHeight="1">
      <c r="A7548" s="4" t="s">
        <v>18115</v>
      </c>
      <c r="B7548" s="5" t="s">
        <v>18115</v>
      </c>
      <c r="C7548" s="5" t="s">
        <v>389</v>
      </c>
      <c r="D7548" s="5" t="s">
        <v>390</v>
      </c>
      <c r="E7548" s="5" t="s">
        <v>1821</v>
      </c>
      <c r="F7548" s="9" t="s">
        <v>1874</v>
      </c>
      <c r="G7548" s="9">
        <v>625</v>
      </c>
      <c r="H7548" s="5" t="s">
        <v>21</v>
      </c>
      <c r="I7548" s="5" t="s">
        <v>18116</v>
      </c>
      <c r="J7548" s="12" t="str">
        <f>HYPERLINK("https://www.boe.es/gazeta/dias/1808/06/22/pdfs/GMD-1808-64.pdf#page=3","Abrir facsímil")</f>
        <v>Abrir facsímil</v>
      </c>
      <c r="K7548" s="15" t="s">
        <v>23</v>
      </c>
    </row>
    <row r="7549" spans="1:11" ht="42" customHeight="1">
      <c r="A7549" s="4" t="s">
        <v>18117</v>
      </c>
      <c r="B7549" s="5" t="s">
        <v>18117</v>
      </c>
      <c r="C7549" s="5" t="s">
        <v>17</v>
      </c>
      <c r="D7549" s="5" t="s">
        <v>18</v>
      </c>
      <c r="E7549" s="5" t="s">
        <v>469</v>
      </c>
      <c r="F7549" s="9" t="s">
        <v>470</v>
      </c>
      <c r="G7549" s="9">
        <v>146</v>
      </c>
      <c r="H7549" s="5" t="s">
        <v>21</v>
      </c>
      <c r="I7549" s="5" t="s">
        <v>18118</v>
      </c>
      <c r="J7549" s="12" t="str">
        <f>HYPERLINK("https://www.boe.es/gazeta/dias/1808/02/12/pdfs/GMD-1808-13.pdf#page=2","Abrir facsímil")</f>
        <v>Abrir facsímil</v>
      </c>
      <c r="K7549" s="15" t="s">
        <v>23</v>
      </c>
    </row>
    <row r="7550" spans="1:11" ht="42" customHeight="1">
      <c r="A7550" s="4" t="s">
        <v>18119</v>
      </c>
      <c r="B7550" s="5" t="s">
        <v>18119</v>
      </c>
      <c r="C7550" s="5" t="s">
        <v>17</v>
      </c>
      <c r="D7550" s="5" t="s">
        <v>18</v>
      </c>
      <c r="E7550" s="5" t="s">
        <v>1210</v>
      </c>
      <c r="F7550" s="9" t="s">
        <v>1211</v>
      </c>
      <c r="G7550" s="9">
        <v>453</v>
      </c>
      <c r="H7550" s="5" t="s">
        <v>21</v>
      </c>
      <c r="I7550" s="5" t="s">
        <v>18120</v>
      </c>
      <c r="J7550" s="12" t="str">
        <f>HYPERLINK("https://www.boe.es/gazeta/dias/1808/05/13/pdfs/GMD-1808-46.pdf#page=5","Abrir facsímil")</f>
        <v>Abrir facsímil</v>
      </c>
      <c r="K7550" s="15" t="s">
        <v>23</v>
      </c>
    </row>
    <row r="7551" spans="1:11" ht="42" customHeight="1">
      <c r="A7551" s="4" t="s">
        <v>18121</v>
      </c>
      <c r="B7551" s="5" t="s">
        <v>18121</v>
      </c>
      <c r="C7551" s="5" t="s">
        <v>41</v>
      </c>
      <c r="D7551" s="5" t="s">
        <v>42</v>
      </c>
      <c r="E7551" s="5" t="s">
        <v>1385</v>
      </c>
      <c r="F7551" s="9" t="s">
        <v>1386</v>
      </c>
      <c r="G7551" s="9">
        <v>226</v>
      </c>
      <c r="H7551" s="5" t="s">
        <v>21</v>
      </c>
      <c r="I7551" s="5" t="s">
        <v>18122</v>
      </c>
      <c r="J7551" s="12" t="str">
        <f>HYPERLINK("https://www.boe.es/gazeta/dias/1808/03/04/pdfs/GMD-1808-19.pdf#page=4","Abrir facsímil")</f>
        <v>Abrir facsímil</v>
      </c>
      <c r="K7551" s="15" t="s">
        <v>23</v>
      </c>
    </row>
    <row r="7552" spans="1:11" ht="42" customHeight="1">
      <c r="A7552" s="4" t="s">
        <v>18121</v>
      </c>
      <c r="B7552" s="5" t="s">
        <v>18121</v>
      </c>
      <c r="C7552" s="5" t="s">
        <v>94</v>
      </c>
      <c r="D7552" s="5" t="s">
        <v>95</v>
      </c>
      <c r="E7552" s="5" t="s">
        <v>1148</v>
      </c>
      <c r="F7552" s="9" t="s">
        <v>1149</v>
      </c>
      <c r="G7552" s="9">
        <v>502</v>
      </c>
      <c r="H7552" s="5" t="s">
        <v>21</v>
      </c>
      <c r="I7552" s="5" t="s">
        <v>18123</v>
      </c>
      <c r="J7552" s="12" t="str">
        <f>HYPERLINK("https://www.boe.es/gazeta/dias/1808/05/27/pdfs/GMD-1808-50.pdf#page=6","Abrir facsímil")</f>
        <v>Abrir facsímil</v>
      </c>
      <c r="K7552" s="15" t="s">
        <v>23</v>
      </c>
    </row>
    <row r="7553" spans="1:11" ht="42" customHeight="1">
      <c r="A7553" s="4" t="s">
        <v>18124</v>
      </c>
      <c r="B7553" s="5" t="s">
        <v>18125</v>
      </c>
      <c r="C7553" s="5" t="s">
        <v>17</v>
      </c>
      <c r="D7553" s="5" t="s">
        <v>18</v>
      </c>
      <c r="E7553" s="5" t="s">
        <v>1385</v>
      </c>
      <c r="F7553" s="9" t="s">
        <v>1386</v>
      </c>
      <c r="G7553" s="9">
        <v>226</v>
      </c>
      <c r="H7553" s="5" t="s">
        <v>21</v>
      </c>
      <c r="I7553" s="5" t="s">
        <v>18126</v>
      </c>
      <c r="J7553" s="12" t="str">
        <f>HYPERLINK("https://www.boe.es/gazeta/dias/1808/03/04/pdfs/GMD-1808-19.pdf#page=4","Abrir facsímil")</f>
        <v>Abrir facsímil</v>
      </c>
      <c r="K7553" s="15" t="s">
        <v>23</v>
      </c>
    </row>
    <row r="7554" spans="1:11" ht="42" customHeight="1">
      <c r="A7554" s="4" t="s">
        <v>18124</v>
      </c>
      <c r="B7554" s="5" t="s">
        <v>18125</v>
      </c>
      <c r="C7554" s="5" t="s">
        <v>101</v>
      </c>
      <c r="D7554" s="5" t="s">
        <v>102</v>
      </c>
      <c r="E7554" s="5" t="s">
        <v>1676</v>
      </c>
      <c r="F7554" s="9" t="s">
        <v>1677</v>
      </c>
      <c r="G7554" s="9">
        <v>552</v>
      </c>
      <c r="H7554" s="5" t="s">
        <v>21</v>
      </c>
      <c r="I7554" s="5" t="s">
        <v>18127</v>
      </c>
      <c r="J7554" s="12" t="str">
        <f>HYPERLINK("https://www.boe.es/gazeta/dias/1808/06/10/pdfs/GMD-1808-55.pdf#page=6","Abrir facsímil")</f>
        <v>Abrir facsímil</v>
      </c>
      <c r="K7554" s="15" t="s">
        <v>23</v>
      </c>
    </row>
    <row r="7555" spans="1:11" ht="42" customHeight="1">
      <c r="A7555" s="4" t="s">
        <v>18128</v>
      </c>
      <c r="B7555" s="5" t="s">
        <v>18129</v>
      </c>
      <c r="C7555" s="5" t="s">
        <v>17</v>
      </c>
      <c r="D7555" s="5" t="s">
        <v>18</v>
      </c>
      <c r="E7555" s="5" t="s">
        <v>553</v>
      </c>
      <c r="F7555" s="9" t="s">
        <v>3282</v>
      </c>
      <c r="G7555" s="9">
        <v>130</v>
      </c>
      <c r="H7555" s="5" t="s">
        <v>21</v>
      </c>
      <c r="I7555" s="5" t="s">
        <v>18130</v>
      </c>
      <c r="J7555" s="12" t="str">
        <f>HYPERLINK("https://www.boe.es/gazeta/dias/1808/07/27/pdfs/GMS-1808-17.pdf#page=2","Abrir facsímil")</f>
        <v>Abrir facsímil</v>
      </c>
      <c r="K7555" s="15" t="s">
        <v>23</v>
      </c>
    </row>
    <row r="7556" spans="1:11" ht="42" customHeight="1">
      <c r="A7556" s="4" t="s">
        <v>18131</v>
      </c>
      <c r="B7556" s="5" t="s">
        <v>18131</v>
      </c>
      <c r="C7556" s="5" t="s">
        <v>101</v>
      </c>
      <c r="D7556" s="5" t="s">
        <v>102</v>
      </c>
      <c r="E7556" s="5" t="s">
        <v>225</v>
      </c>
      <c r="F7556" s="9" t="s">
        <v>226</v>
      </c>
      <c r="G7556" s="9">
        <v>605</v>
      </c>
      <c r="H7556" s="5" t="s">
        <v>21</v>
      </c>
      <c r="I7556" s="5" t="s">
        <v>18132</v>
      </c>
      <c r="J7556" s="12" t="str">
        <f>HYPERLINK("https://www.boe.es/gazeta/dias/1808/06/20/pdfs/GMD-1808-62.pdf#page=3","Abrir facsímil")</f>
        <v>Abrir facsímil</v>
      </c>
      <c r="K7556" s="15" t="s">
        <v>23</v>
      </c>
    </row>
    <row r="7557" spans="1:11" ht="42" customHeight="1">
      <c r="A7557" s="4" t="s">
        <v>18133</v>
      </c>
      <c r="B7557" s="5" t="s">
        <v>18134</v>
      </c>
      <c r="C7557" s="5" t="s">
        <v>94</v>
      </c>
      <c r="D7557" s="5" t="s">
        <v>95</v>
      </c>
      <c r="E7557" s="5" t="s">
        <v>228</v>
      </c>
      <c r="F7557" s="9" t="s">
        <v>229</v>
      </c>
      <c r="G7557" s="9">
        <v>835</v>
      </c>
      <c r="H7557" s="5" t="s">
        <v>21</v>
      </c>
      <c r="I7557" s="5" t="s">
        <v>18135</v>
      </c>
      <c r="J7557" s="12" t="str">
        <f>HYPERLINK("https://www.boe.es/gazeta/dias/1808/07/18/pdfs/GMD-1808-90.pdf#page=5","Abrir facsímil")</f>
        <v>Abrir facsímil</v>
      </c>
      <c r="K7557" s="15" t="s">
        <v>23</v>
      </c>
    </row>
    <row r="7558" spans="1:11" ht="42" customHeight="1">
      <c r="A7558" s="4" t="s">
        <v>18136</v>
      </c>
      <c r="B7558" s="5" t="s">
        <v>18136</v>
      </c>
      <c r="C7558" s="5" t="s">
        <v>17</v>
      </c>
      <c r="D7558" s="5" t="s">
        <v>18</v>
      </c>
      <c r="E7558" s="5" t="s">
        <v>269</v>
      </c>
      <c r="F7558" s="9" t="s">
        <v>270</v>
      </c>
      <c r="G7558" s="9">
        <v>65</v>
      </c>
      <c r="H7558" s="5" t="s">
        <v>21</v>
      </c>
      <c r="I7558" s="5" t="s">
        <v>18137</v>
      </c>
      <c r="J7558" s="12" t="str">
        <f>HYPERLINK("https://www.boe.es/gazeta/dias/1808/01/19/pdfs/GMD-1808-6.pdf#page=5","Abrir facsímil")</f>
        <v>Abrir facsímil</v>
      </c>
      <c r="K7558" s="15" t="s">
        <v>23</v>
      </c>
    </row>
    <row r="7559" spans="1:11" ht="42" customHeight="1">
      <c r="A7559" s="4" t="s">
        <v>18138</v>
      </c>
      <c r="B7559" s="5" t="s">
        <v>18138</v>
      </c>
      <c r="C7559" s="5" t="s">
        <v>101</v>
      </c>
      <c r="D7559" s="5" t="s">
        <v>102</v>
      </c>
      <c r="E7559" s="5" t="s">
        <v>225</v>
      </c>
      <c r="F7559" s="9" t="s">
        <v>226</v>
      </c>
      <c r="G7559" s="9">
        <v>605</v>
      </c>
      <c r="H7559" s="5" t="s">
        <v>21</v>
      </c>
      <c r="I7559" s="5" t="s">
        <v>18139</v>
      </c>
      <c r="J7559" s="12" t="str">
        <f>HYPERLINK("https://www.boe.es/gazeta/dias/1808/06/20/pdfs/GMD-1808-62.pdf#page=3","Abrir facsímil")</f>
        <v>Abrir facsímil</v>
      </c>
      <c r="K7559" s="15" t="s">
        <v>23</v>
      </c>
    </row>
    <row r="7560" spans="1:11" ht="42" customHeight="1">
      <c r="A7560" s="4" t="s">
        <v>18140</v>
      </c>
      <c r="B7560" s="5" t="s">
        <v>18141</v>
      </c>
      <c r="C7560" s="5" t="s">
        <v>94</v>
      </c>
      <c r="D7560" s="5" t="s">
        <v>95</v>
      </c>
      <c r="E7560" s="5" t="s">
        <v>203</v>
      </c>
      <c r="F7560" s="9" t="s">
        <v>204</v>
      </c>
      <c r="G7560" s="9">
        <v>142</v>
      </c>
      <c r="H7560" s="5" t="s">
        <v>21</v>
      </c>
      <c r="I7560" s="5" t="s">
        <v>18142</v>
      </c>
      <c r="J7560" s="12" t="str">
        <f>HYPERLINK("https://www.boe.es/gazeta/dias/1808/02/09/pdfs/GMD-1808-12.pdf#page=10","Abrir facsímil")</f>
        <v>Abrir facsímil</v>
      </c>
      <c r="K7560" s="15" t="s">
        <v>23</v>
      </c>
    </row>
    <row r="7561" spans="1:11" ht="42" customHeight="1">
      <c r="A7561" s="4" t="s">
        <v>18143</v>
      </c>
      <c r="B7561" s="5" t="s">
        <v>18143</v>
      </c>
      <c r="C7561" s="5" t="s">
        <v>17</v>
      </c>
      <c r="D7561" s="5" t="s">
        <v>18</v>
      </c>
      <c r="E7561" s="5" t="s">
        <v>2316</v>
      </c>
      <c r="F7561" s="9" t="s">
        <v>2317</v>
      </c>
      <c r="G7561" s="9">
        <v>1692</v>
      </c>
      <c r="H7561" s="5" t="s">
        <v>21</v>
      </c>
      <c r="I7561" s="5" t="s">
        <v>18144</v>
      </c>
      <c r="J7561" s="12" t="str">
        <f>HYPERLINK("https://www.boe.es/gazeta/dias/1808/12/29/pdfs/GMD-1808-169.pdf#page=2","Abrir facsímil")</f>
        <v>Abrir facsímil</v>
      </c>
      <c r="K7561" s="15" t="s">
        <v>23</v>
      </c>
    </row>
    <row r="7562" spans="1:11" ht="42" customHeight="1">
      <c r="A7562" s="4" t="s">
        <v>18145</v>
      </c>
      <c r="B7562" s="5" t="s">
        <v>18146</v>
      </c>
      <c r="C7562" s="5" t="s">
        <v>260</v>
      </c>
      <c r="D7562" s="5" t="s">
        <v>42</v>
      </c>
      <c r="E7562" s="5" t="s">
        <v>19</v>
      </c>
      <c r="F7562" s="9" t="s">
        <v>949</v>
      </c>
      <c r="G7562" s="9" t="s">
        <v>75</v>
      </c>
      <c r="H7562" s="5" t="s">
        <v>21</v>
      </c>
      <c r="I7562" s="5" t="s">
        <v>18147</v>
      </c>
      <c r="J7562" s="12" t="str">
        <f>HYPERLINK("https://www.boe.es/gazeta/dias/1808/09/30/pdfs/GMD-C-1808-130.pdf#page=4","Abrir facsímil")</f>
        <v>Abrir facsímil</v>
      </c>
      <c r="K7562" s="15" t="s">
        <v>23</v>
      </c>
    </row>
    <row r="7563" spans="1:11" ht="42" customHeight="1">
      <c r="A7563" s="4" t="s">
        <v>18148</v>
      </c>
      <c r="B7563" s="5" t="s">
        <v>18148</v>
      </c>
      <c r="C7563" s="5" t="s">
        <v>101</v>
      </c>
      <c r="D7563" s="5" t="s">
        <v>102</v>
      </c>
      <c r="E7563" s="5" t="s">
        <v>1415</v>
      </c>
      <c r="F7563" s="9" t="s">
        <v>1416</v>
      </c>
      <c r="G7563" s="9">
        <v>414</v>
      </c>
      <c r="H7563" s="5" t="s">
        <v>21</v>
      </c>
      <c r="I7563" s="5" t="s">
        <v>18149</v>
      </c>
      <c r="J7563" s="12" t="str">
        <f>HYPERLINK("https://www.boe.es/gazeta/dias/1808/04/26/pdfs/GMD-1808-41.pdf#page=6","Abrir facsímil")</f>
        <v>Abrir facsímil</v>
      </c>
      <c r="K7563" s="15" t="s">
        <v>23</v>
      </c>
    </row>
    <row r="7564" spans="1:11" ht="42" customHeight="1">
      <c r="A7564" s="4" t="s">
        <v>18150</v>
      </c>
      <c r="B7564" s="5" t="s">
        <v>18151</v>
      </c>
      <c r="C7564" s="5" t="s">
        <v>41</v>
      </c>
      <c r="D7564" s="5" t="s">
        <v>42</v>
      </c>
      <c r="E7564" s="5" t="s">
        <v>427</v>
      </c>
      <c r="F7564" s="9" t="s">
        <v>428</v>
      </c>
      <c r="G7564" s="9" t="s">
        <v>106</v>
      </c>
      <c r="H7564" s="5" t="s">
        <v>21</v>
      </c>
      <c r="I7564" s="5" t="s">
        <v>18152</v>
      </c>
      <c r="J7564" s="12" t="str">
        <f>HYPERLINK("https://www.boe.es/gazeta/dias/1808/11/22/pdfs/GMD-D-1808-146.pdf#page=3","Abrir facsímil")</f>
        <v>Abrir facsímil</v>
      </c>
      <c r="K7564" s="15" t="s">
        <v>23</v>
      </c>
    </row>
    <row r="7565" spans="1:11" ht="42" customHeight="1">
      <c r="A7565" s="4" t="s">
        <v>18153</v>
      </c>
      <c r="B7565" s="5" t="s">
        <v>18154</v>
      </c>
      <c r="C7565" s="5" t="s">
        <v>33</v>
      </c>
      <c r="D7565" s="5" t="s">
        <v>34</v>
      </c>
      <c r="E7565" s="5" t="s">
        <v>418</v>
      </c>
      <c r="F7565" s="9" t="s">
        <v>419</v>
      </c>
      <c r="G7565" s="9">
        <v>1141</v>
      </c>
      <c r="H7565" s="5" t="s">
        <v>21</v>
      </c>
      <c r="I7565" s="5" t="s">
        <v>18155</v>
      </c>
      <c r="J7565" s="12" t="str">
        <f>HYPERLINK("https://www.boe.es/gazeta/dias/1808/09/06/pdfs/GMD-C-1808-120.pdf#page=15","Abrir facsímil")</f>
        <v>Abrir facsímil</v>
      </c>
      <c r="K7565" s="15" t="s">
        <v>23</v>
      </c>
    </row>
    <row r="7566" spans="1:11" ht="42" customHeight="1">
      <c r="A7566" s="4" t="s">
        <v>18156</v>
      </c>
      <c r="B7566" s="5" t="s">
        <v>18157</v>
      </c>
      <c r="C7566" s="5" t="s">
        <v>33</v>
      </c>
      <c r="D7566" s="5" t="s">
        <v>34</v>
      </c>
      <c r="E7566" s="5" t="s">
        <v>153</v>
      </c>
      <c r="F7566" s="9" t="s">
        <v>154</v>
      </c>
      <c r="G7566" s="9" t="s">
        <v>75</v>
      </c>
      <c r="H7566" s="5" t="s">
        <v>21</v>
      </c>
      <c r="I7566" s="5" t="s">
        <v>18158</v>
      </c>
      <c r="J7566" s="12" t="str">
        <f>HYPERLINK("https://www.boe.es/gazeta/dias/1808/09/09/pdfs/GMD-C-1808-121.pdf#page=4","Abrir facsímil")</f>
        <v>Abrir facsímil</v>
      </c>
      <c r="K7566" s="15" t="s">
        <v>23</v>
      </c>
    </row>
    <row r="7567" spans="1:11" ht="42" customHeight="1">
      <c r="A7567" s="4" t="s">
        <v>18159</v>
      </c>
      <c r="B7567" s="5" t="s">
        <v>18160</v>
      </c>
      <c r="C7567" s="5" t="s">
        <v>17</v>
      </c>
      <c r="D7567" s="5" t="s">
        <v>18</v>
      </c>
      <c r="E7567" s="5" t="s">
        <v>1962</v>
      </c>
      <c r="F7567" s="9" t="s">
        <v>1963</v>
      </c>
      <c r="G7567" s="9">
        <v>734</v>
      </c>
      <c r="H7567" s="5" t="s">
        <v>21</v>
      </c>
      <c r="I7567" s="5" t="s">
        <v>18161</v>
      </c>
      <c r="J7567" s="12" t="str">
        <f>HYPERLINK("https://www.boe.es/gazeta/dias/1808/07/05/pdfs/GMD-1808-77.pdf#page=8","Abrir facsímil")</f>
        <v>Abrir facsímil</v>
      </c>
      <c r="K7567" s="15" t="s">
        <v>23</v>
      </c>
    </row>
    <row r="7568" spans="1:11" ht="42" customHeight="1">
      <c r="A7568" s="4" t="s">
        <v>18162</v>
      </c>
      <c r="B7568" s="5" t="s">
        <v>18163</v>
      </c>
      <c r="C7568" s="5" t="s">
        <v>94</v>
      </c>
      <c r="D7568" s="5" t="s">
        <v>95</v>
      </c>
      <c r="E7568" s="5" t="s">
        <v>290</v>
      </c>
      <c r="F7568" s="9" t="s">
        <v>291</v>
      </c>
      <c r="G7568" s="9">
        <v>1057</v>
      </c>
      <c r="H7568" s="5" t="s">
        <v>21</v>
      </c>
      <c r="I7568" s="5" t="s">
        <v>18164</v>
      </c>
      <c r="J7568" s="12" t="str">
        <f>HYPERLINK("https://www.boe.es/gazeta/dias/1808/08/23/pdfs/GMD-1808-116.pdf#page=3","Abrir facsímil")</f>
        <v>Abrir facsímil</v>
      </c>
      <c r="K7568" s="15" t="s">
        <v>23</v>
      </c>
    </row>
    <row r="7569" spans="1:11" ht="42" customHeight="1">
      <c r="A7569" s="4" t="s">
        <v>18165</v>
      </c>
      <c r="B7569" s="5" t="s">
        <v>18166</v>
      </c>
      <c r="C7569" s="5" t="s">
        <v>33</v>
      </c>
      <c r="D7569" s="5" t="s">
        <v>34</v>
      </c>
      <c r="E7569" s="5" t="s">
        <v>264</v>
      </c>
      <c r="F7569" s="9" t="s">
        <v>318</v>
      </c>
      <c r="G7569" s="9" t="s">
        <v>75</v>
      </c>
      <c r="H7569" s="5" t="s">
        <v>21</v>
      </c>
      <c r="I7569" s="5" t="s">
        <v>18167</v>
      </c>
      <c r="J7569" s="12" t="str">
        <f>HYPERLINK("https://www.boe.es/gazeta/dias/1808/11/29/pdfs/GMD-C-1808-148.pdf#page=4","Abrir facsímil")</f>
        <v>Abrir facsímil</v>
      </c>
      <c r="K7569" s="15" t="s">
        <v>23</v>
      </c>
    </row>
    <row r="7570" spans="1:11" ht="42" customHeight="1">
      <c r="A7570" s="4" t="s">
        <v>18168</v>
      </c>
      <c r="B7570" s="5" t="s">
        <v>18169</v>
      </c>
      <c r="C7570" s="5" t="s">
        <v>389</v>
      </c>
      <c r="D7570" s="5" t="s">
        <v>390</v>
      </c>
      <c r="E7570" s="5" t="s">
        <v>218</v>
      </c>
      <c r="F7570" s="9" t="s">
        <v>219</v>
      </c>
      <c r="G7570" s="9">
        <v>332</v>
      </c>
      <c r="H7570" s="5" t="s">
        <v>21</v>
      </c>
      <c r="I7570" s="5" t="s">
        <v>18170</v>
      </c>
      <c r="J7570" s="12" t="str">
        <f>HYPERLINK("https://www.boe.es/gazeta/dias/1808/04/01/pdfs/GMD-1808-29.pdf#page=8","Abrir facsímil")</f>
        <v>Abrir facsímil</v>
      </c>
      <c r="K7570" s="15" t="s">
        <v>23</v>
      </c>
    </row>
    <row r="7571" spans="1:11" ht="42" customHeight="1">
      <c r="A7571" s="4" t="s">
        <v>18171</v>
      </c>
      <c r="B7571" s="5" t="s">
        <v>18172</v>
      </c>
      <c r="C7571" s="5" t="s">
        <v>94</v>
      </c>
      <c r="D7571" s="5" t="s">
        <v>95</v>
      </c>
      <c r="E7571" s="5" t="s">
        <v>427</v>
      </c>
      <c r="F7571" s="9" t="s">
        <v>1802</v>
      </c>
      <c r="G7571" s="9">
        <v>1518</v>
      </c>
      <c r="H7571" s="5" t="s">
        <v>21</v>
      </c>
      <c r="I7571" s="5" t="s">
        <v>18173</v>
      </c>
      <c r="J7571" s="12" t="str">
        <f>HYPERLINK("https://www.boe.es/gazeta/dias/1808/11/22/pdfs/GMD-1808-146.pdf#page=4","Abrir facsímil")</f>
        <v>Abrir facsímil</v>
      </c>
      <c r="K7571" s="15" t="s">
        <v>23</v>
      </c>
    </row>
    <row r="7572" spans="1:11" ht="42" customHeight="1">
      <c r="A7572" s="4" t="s">
        <v>18174</v>
      </c>
      <c r="B7572" s="5" t="s">
        <v>18175</v>
      </c>
      <c r="C7572" s="5" t="s">
        <v>33</v>
      </c>
      <c r="D7572" s="5" t="s">
        <v>34</v>
      </c>
      <c r="E7572" s="5" t="s">
        <v>110</v>
      </c>
      <c r="F7572" s="9" t="s">
        <v>828</v>
      </c>
      <c r="G7572" s="9" t="s">
        <v>106</v>
      </c>
      <c r="H7572" s="5" t="s">
        <v>21</v>
      </c>
      <c r="I7572" s="5" t="s">
        <v>18176</v>
      </c>
      <c r="J7572" s="12" t="str">
        <f>HYPERLINK("https://www.boe.es/gazeta/dias/1808/10/28/pdfs/GMD-D-1808-138.pdf#page=3","Abrir facsímil")</f>
        <v>Abrir facsímil</v>
      </c>
      <c r="K7572" s="15" t="s">
        <v>23</v>
      </c>
    </row>
    <row r="7573" spans="1:11" ht="42" customHeight="1">
      <c r="A7573" s="4" t="s">
        <v>18177</v>
      </c>
      <c r="B7573" s="5" t="s">
        <v>18177</v>
      </c>
      <c r="C7573" s="5" t="s">
        <v>41</v>
      </c>
      <c r="D7573" s="5" t="s">
        <v>42</v>
      </c>
      <c r="E7573" s="5" t="s">
        <v>28</v>
      </c>
      <c r="F7573" s="9" t="s">
        <v>29</v>
      </c>
      <c r="G7573" s="9">
        <v>1429</v>
      </c>
      <c r="H7573" s="5" t="s">
        <v>21</v>
      </c>
      <c r="I7573" s="5" t="s">
        <v>18178</v>
      </c>
      <c r="J7573" s="12" t="str">
        <f>HYPERLINK("https://www.boe.es/gazeta/dias/1808/11/04/pdfs/GMD-1808-141.pdf#page=11","Abrir facsímil")</f>
        <v>Abrir facsímil</v>
      </c>
      <c r="K7573" s="15" t="s">
        <v>23</v>
      </c>
    </row>
    <row r="7574" spans="1:11" ht="42" customHeight="1">
      <c r="A7574" s="4" t="s">
        <v>18179</v>
      </c>
      <c r="B7574" s="5" t="s">
        <v>18179</v>
      </c>
      <c r="C7574" s="5" t="s">
        <v>17</v>
      </c>
      <c r="D7574" s="5" t="s">
        <v>18</v>
      </c>
      <c r="E7574" s="5" t="s">
        <v>2935</v>
      </c>
      <c r="F7574" s="9" t="s">
        <v>2936</v>
      </c>
      <c r="G7574" s="9">
        <v>426</v>
      </c>
      <c r="H7574" s="5" t="s">
        <v>21</v>
      </c>
      <c r="I7574" s="5" t="s">
        <v>18180</v>
      </c>
      <c r="J7574" s="12" t="str">
        <f>HYPERLINK("https://www.boe.es/gazeta/dias/1808/12/02/pdfs/GMS-1808-54.pdf#page=2","Abrir facsímil")</f>
        <v>Abrir facsímil</v>
      </c>
      <c r="K7574" s="15" t="s">
        <v>23</v>
      </c>
    </row>
    <row r="7575" spans="1:11" ht="42" customHeight="1">
      <c r="A7575" s="4" t="s">
        <v>18181</v>
      </c>
      <c r="B7575" s="5" t="s">
        <v>18182</v>
      </c>
      <c r="C7575" s="5" t="s">
        <v>17</v>
      </c>
      <c r="D7575" s="5" t="s">
        <v>18</v>
      </c>
      <c r="E7575" s="5" t="s">
        <v>130</v>
      </c>
      <c r="F7575" s="9" t="s">
        <v>131</v>
      </c>
      <c r="G7575" s="9">
        <v>1602</v>
      </c>
      <c r="H7575" s="5" t="s">
        <v>21</v>
      </c>
      <c r="I7575" s="5" t="s">
        <v>18183</v>
      </c>
      <c r="J7575" s="12" t="str">
        <f>HYPERLINK("https://www.boe.es/gazeta/dias/1808/12/15/pdfs/GMD-1808-155.pdf#page=6","Abrir facsímil")</f>
        <v>Abrir facsímil</v>
      </c>
      <c r="K7575" s="15" t="s">
        <v>23</v>
      </c>
    </row>
    <row r="7576" spans="1:11" ht="42" customHeight="1">
      <c r="A7576" s="4" t="s">
        <v>18184</v>
      </c>
      <c r="B7576" s="5" t="s">
        <v>18185</v>
      </c>
      <c r="C7576" s="5" t="s">
        <v>41</v>
      </c>
      <c r="D7576" s="5" t="s">
        <v>42</v>
      </c>
      <c r="E7576" s="5" t="s">
        <v>19</v>
      </c>
      <c r="F7576" s="9" t="s">
        <v>59</v>
      </c>
      <c r="G7576" s="9">
        <v>1230</v>
      </c>
      <c r="H7576" s="5" t="s">
        <v>21</v>
      </c>
      <c r="I7576" s="5" t="s">
        <v>18186</v>
      </c>
      <c r="J7576" s="12" t="str">
        <f>HYPERLINK("https://www.boe.es/gazeta/dias/1808/09/30/pdfs/GMD-1808-130.pdf#page=10","Abrir facsímil")</f>
        <v>Abrir facsímil</v>
      </c>
      <c r="K7576" s="15" t="s">
        <v>23</v>
      </c>
    </row>
    <row r="7577" spans="1:11" ht="42" customHeight="1">
      <c r="A7577" s="4" t="s">
        <v>18187</v>
      </c>
      <c r="B7577" s="5" t="s">
        <v>18188</v>
      </c>
      <c r="C7577" s="5" t="s">
        <v>41</v>
      </c>
      <c r="D7577" s="5" t="s">
        <v>42</v>
      </c>
      <c r="E7577" s="5" t="s">
        <v>35</v>
      </c>
      <c r="F7577" s="9" t="s">
        <v>36</v>
      </c>
      <c r="G7577" s="9" t="s">
        <v>1806</v>
      </c>
      <c r="H7577" s="5" t="s">
        <v>21</v>
      </c>
      <c r="I7577" s="5" t="s">
        <v>18189</v>
      </c>
      <c r="J7577" s="12" t="str">
        <f>HYPERLINK("https://www.boe.es/gazeta/dias/1808/04/22/pdfs/GMD-C-1808-38.pdf#page=6","Abrir facsímil")</f>
        <v>Abrir facsímil</v>
      </c>
      <c r="K7577" s="15" t="s">
        <v>23</v>
      </c>
    </row>
    <row r="7578" spans="1:11" ht="42" customHeight="1">
      <c r="A7578" s="4" t="s">
        <v>18190</v>
      </c>
      <c r="B7578" s="5" t="s">
        <v>18190</v>
      </c>
      <c r="C7578" s="5" t="s">
        <v>33</v>
      </c>
      <c r="D7578" s="5" t="s">
        <v>34</v>
      </c>
      <c r="E7578" s="5" t="s">
        <v>363</v>
      </c>
      <c r="F7578" s="9" t="s">
        <v>364</v>
      </c>
      <c r="G7578" s="9" t="s">
        <v>117</v>
      </c>
      <c r="H7578" s="5" t="s">
        <v>21</v>
      </c>
      <c r="I7578" s="5" t="s">
        <v>18191</v>
      </c>
      <c r="J7578" s="12" t="str">
        <f>HYPERLINK("https://www.boe.es/gazeta/dias/1808/09/20/pdfs/GMD-C-1808-126.pdf#page=1","Abrir facsímil")</f>
        <v>Abrir facsímil</v>
      </c>
      <c r="K7578" s="15" t="s">
        <v>23</v>
      </c>
    </row>
    <row r="7579" spans="1:11" ht="42" customHeight="1">
      <c r="A7579" s="4" t="s">
        <v>18192</v>
      </c>
      <c r="B7579" s="5" t="s">
        <v>18192</v>
      </c>
      <c r="C7579" s="5" t="s">
        <v>17</v>
      </c>
      <c r="D7579" s="5" t="s">
        <v>18</v>
      </c>
      <c r="E7579" s="5" t="s">
        <v>1821</v>
      </c>
      <c r="F7579" s="9" t="s">
        <v>1822</v>
      </c>
      <c r="G7579" s="9">
        <v>51</v>
      </c>
      <c r="H7579" s="5" t="s">
        <v>21</v>
      </c>
      <c r="I7579" s="5" t="s">
        <v>18193</v>
      </c>
      <c r="J7579" s="12" t="str">
        <f>HYPERLINK("https://www.boe.es/gazeta/dias/1808/06/22/pdfs/GMS-1808-7.pdf#page=3","Abrir facsímil")</f>
        <v>Abrir facsímil</v>
      </c>
      <c r="K7579" s="15" t="s">
        <v>23</v>
      </c>
    </row>
    <row r="7580" spans="1:11" ht="42" customHeight="1">
      <c r="A7580" s="4" t="s">
        <v>18194</v>
      </c>
      <c r="B7580" s="5" t="s">
        <v>18194</v>
      </c>
      <c r="C7580" s="5" t="s">
        <v>17</v>
      </c>
      <c r="D7580" s="5" t="s">
        <v>18</v>
      </c>
      <c r="E7580" s="5" t="s">
        <v>203</v>
      </c>
      <c r="F7580" s="9" t="s">
        <v>204</v>
      </c>
      <c r="G7580" s="9">
        <v>139</v>
      </c>
      <c r="H7580" s="5" t="s">
        <v>21</v>
      </c>
      <c r="I7580" s="5" t="s">
        <v>18195</v>
      </c>
      <c r="J7580" s="12" t="str">
        <f>HYPERLINK("https://www.boe.es/gazeta/dias/1808/02/09/pdfs/GMD-1808-12.pdf#page=7","Abrir facsímil")</f>
        <v>Abrir facsímil</v>
      </c>
      <c r="K7580" s="15" t="s">
        <v>23</v>
      </c>
    </row>
    <row r="7581" spans="1:11" ht="42" customHeight="1">
      <c r="A7581" s="4" t="s">
        <v>18196</v>
      </c>
      <c r="B7581" s="5" t="s">
        <v>18196</v>
      </c>
      <c r="C7581" s="5" t="s">
        <v>17</v>
      </c>
      <c r="D7581" s="5" t="s">
        <v>18</v>
      </c>
      <c r="E7581" s="5" t="s">
        <v>115</v>
      </c>
      <c r="F7581" s="9" t="s">
        <v>1650</v>
      </c>
      <c r="G7581" s="9">
        <v>1177</v>
      </c>
      <c r="H7581" s="5" t="s">
        <v>21</v>
      </c>
      <c r="I7581" s="5" t="s">
        <v>18197</v>
      </c>
      <c r="J7581" s="12" t="str">
        <f>HYPERLINK("https://www.boe.es/gazeta/dias/1808/09/16/pdfs/GMD-1808-125.pdf#page=9","Abrir facsímil")</f>
        <v>Abrir facsímil</v>
      </c>
      <c r="K7581" s="15" t="s">
        <v>23</v>
      </c>
    </row>
    <row r="7582" spans="1:11" ht="42" customHeight="1">
      <c r="A7582" s="4" t="s">
        <v>18198</v>
      </c>
      <c r="B7582" s="5" t="s">
        <v>18199</v>
      </c>
      <c r="C7582" s="5" t="s">
        <v>17</v>
      </c>
      <c r="D7582" s="5" t="s">
        <v>18</v>
      </c>
      <c r="E7582" s="5" t="s">
        <v>130</v>
      </c>
      <c r="F7582" s="9" t="s">
        <v>131</v>
      </c>
      <c r="G7582" s="9">
        <v>1603</v>
      </c>
      <c r="H7582" s="5" t="s">
        <v>21</v>
      </c>
      <c r="I7582" s="5" t="s">
        <v>18200</v>
      </c>
      <c r="J7582" s="12" t="str">
        <f>HYPERLINK("https://www.boe.es/gazeta/dias/1808/12/15/pdfs/GMD-1808-155.pdf#page=7","Abrir facsímil")</f>
        <v>Abrir facsímil</v>
      </c>
      <c r="K7582" s="15" t="s">
        <v>23</v>
      </c>
    </row>
    <row r="7583" spans="1:11" ht="42" customHeight="1">
      <c r="A7583" s="4" t="s">
        <v>18201</v>
      </c>
      <c r="B7583" s="5" t="s">
        <v>18202</v>
      </c>
      <c r="C7583" s="5" t="s">
        <v>33</v>
      </c>
      <c r="D7583" s="5" t="s">
        <v>34</v>
      </c>
      <c r="E7583" s="5" t="s">
        <v>363</v>
      </c>
      <c r="F7583" s="9" t="s">
        <v>364</v>
      </c>
      <c r="G7583" s="9" t="s">
        <v>199</v>
      </c>
      <c r="H7583" s="5" t="s">
        <v>21</v>
      </c>
      <c r="I7583" s="5" t="s">
        <v>18203</v>
      </c>
      <c r="J7583" s="12" t="str">
        <f>HYPERLINK("https://www.boe.es/gazeta/dias/1808/09/20/pdfs/GMD-C-1808-126.pdf#page=2","Abrir facsímil")</f>
        <v>Abrir facsímil</v>
      </c>
      <c r="K7583" s="15" t="s">
        <v>23</v>
      </c>
    </row>
    <row r="7584" spans="1:11" ht="42" customHeight="1">
      <c r="A7584" s="4" t="s">
        <v>18204</v>
      </c>
      <c r="B7584" s="5" t="s">
        <v>18205</v>
      </c>
      <c r="C7584" s="5" t="s">
        <v>33</v>
      </c>
      <c r="D7584" s="5" t="s">
        <v>34</v>
      </c>
      <c r="E7584" s="5" t="s">
        <v>391</v>
      </c>
      <c r="F7584" s="9" t="s">
        <v>588</v>
      </c>
      <c r="G7584" s="9" t="s">
        <v>106</v>
      </c>
      <c r="H7584" s="5" t="s">
        <v>21</v>
      </c>
      <c r="I7584" s="5" t="s">
        <v>18206</v>
      </c>
      <c r="J7584" s="12" t="str">
        <f>HYPERLINK("https://www.boe.es/gazeta/dias/1808/09/27/pdfs/GMD-C-1808-128.pdf#page=3","Abrir facsímil")</f>
        <v>Abrir facsímil</v>
      </c>
      <c r="K7584" s="15" t="s">
        <v>23</v>
      </c>
    </row>
    <row r="7585" spans="1:11" ht="42" customHeight="1">
      <c r="A7585" s="4" t="s">
        <v>18207</v>
      </c>
      <c r="B7585" s="5" t="s">
        <v>18207</v>
      </c>
      <c r="C7585" s="5" t="s">
        <v>17</v>
      </c>
      <c r="D7585" s="5" t="s">
        <v>18</v>
      </c>
      <c r="E7585" s="5" t="s">
        <v>919</v>
      </c>
      <c r="F7585" s="9" t="s">
        <v>920</v>
      </c>
      <c r="G7585" s="9">
        <v>495</v>
      </c>
      <c r="H7585" s="5" t="s">
        <v>21</v>
      </c>
      <c r="I7585" s="5" t="s">
        <v>18208</v>
      </c>
      <c r="J7585" s="12" t="str">
        <f>HYPERLINK("https://www.boe.es/gazeta/dias/1808/05/24/pdfs/GMD-1808-49.pdf#page=11","Abrir facsímil")</f>
        <v>Abrir facsímil</v>
      </c>
      <c r="K7585" s="15" t="s">
        <v>23</v>
      </c>
    </row>
    <row r="7586" spans="1:11" ht="42" customHeight="1">
      <c r="A7586" s="4" t="s">
        <v>18209</v>
      </c>
      <c r="B7586" s="5" t="s">
        <v>18209</v>
      </c>
      <c r="C7586" s="5" t="s">
        <v>101</v>
      </c>
      <c r="D7586" s="5" t="s">
        <v>102</v>
      </c>
      <c r="E7586" s="5" t="s">
        <v>120</v>
      </c>
      <c r="F7586" s="9" t="s">
        <v>121</v>
      </c>
      <c r="G7586" s="9">
        <v>307</v>
      </c>
      <c r="H7586" s="5" t="s">
        <v>21</v>
      </c>
      <c r="I7586" s="5" t="s">
        <v>18210</v>
      </c>
      <c r="J7586" s="12" t="str">
        <f>HYPERLINK("https://www.boe.es/gazeta/dias/1808/03/29/pdfs/GMD-1808-27.pdf#page=3","Abrir facsímil")</f>
        <v>Abrir facsímil</v>
      </c>
      <c r="K7586" s="15" t="s">
        <v>23</v>
      </c>
    </row>
    <row r="7587" spans="1:11" ht="42" customHeight="1">
      <c r="A7587" s="4" t="s">
        <v>18211</v>
      </c>
      <c r="B7587" s="5" t="s">
        <v>18212</v>
      </c>
      <c r="C7587" s="5" t="s">
        <v>41</v>
      </c>
      <c r="D7587" s="5" t="s">
        <v>42</v>
      </c>
      <c r="E7587" s="5" t="s">
        <v>2159</v>
      </c>
      <c r="F7587" s="9" t="s">
        <v>2160</v>
      </c>
      <c r="G7587" s="9">
        <v>184</v>
      </c>
      <c r="H7587" s="5" t="s">
        <v>21</v>
      </c>
      <c r="I7587" s="5" t="s">
        <v>18213</v>
      </c>
      <c r="J7587" s="12" t="str">
        <f>HYPERLINK("https://www.boe.es/gazeta/dias/1808/02/19/pdfs/GMD-1808-15.pdf#page=14","Abrir facsímil")</f>
        <v>Abrir facsímil</v>
      </c>
      <c r="K7587" s="15" t="s">
        <v>23</v>
      </c>
    </row>
    <row r="7588" spans="1:11" ht="42" customHeight="1">
      <c r="A7588" s="4" t="s">
        <v>18214</v>
      </c>
      <c r="B7588" s="5" t="s">
        <v>18215</v>
      </c>
      <c r="C7588" s="5" t="s">
        <v>41</v>
      </c>
      <c r="D7588" s="5" t="s">
        <v>42</v>
      </c>
      <c r="E7588" s="5" t="s">
        <v>207</v>
      </c>
      <c r="F7588" s="9" t="s">
        <v>208</v>
      </c>
      <c r="G7588" s="9">
        <v>197</v>
      </c>
      <c r="H7588" s="5" t="s">
        <v>21</v>
      </c>
      <c r="I7588" s="5" t="s">
        <v>18216</v>
      </c>
      <c r="J7588" s="12" t="str">
        <f>HYPERLINK("https://www.boe.es/gazeta/dias/1808/02/23/pdfs/GMD-1808-16.pdf#page=11","Abrir facsímil")</f>
        <v>Abrir facsímil</v>
      </c>
      <c r="K7588" s="15" t="s">
        <v>23</v>
      </c>
    </row>
    <row r="7589" spans="1:11" ht="42" customHeight="1">
      <c r="A7589" s="4" t="s">
        <v>18217</v>
      </c>
      <c r="B7589" s="5" t="s">
        <v>18218</v>
      </c>
      <c r="C7589" s="5" t="s">
        <v>33</v>
      </c>
      <c r="D7589" s="5" t="s">
        <v>34</v>
      </c>
      <c r="E7589" s="5" t="s">
        <v>35</v>
      </c>
      <c r="F7589" s="9" t="s">
        <v>36</v>
      </c>
      <c r="G7589" s="9" t="s">
        <v>299</v>
      </c>
      <c r="H7589" s="5" t="s">
        <v>21</v>
      </c>
      <c r="I7589" s="5" t="s">
        <v>18219</v>
      </c>
      <c r="J7589" s="12" t="str">
        <f>HYPERLINK("https://www.boe.es/gazeta/dias/1808/04/22/pdfs/GMD-C-1808-38.pdf#page=14","Abrir facsímil")</f>
        <v>Abrir facsímil</v>
      </c>
      <c r="K7589" s="15" t="s">
        <v>23</v>
      </c>
    </row>
    <row r="7590" spans="1:11" ht="42" customHeight="1">
      <c r="A7590" s="4" t="s">
        <v>18220</v>
      </c>
      <c r="B7590" s="5" t="s">
        <v>18221</v>
      </c>
      <c r="C7590" s="5" t="s">
        <v>94</v>
      </c>
      <c r="D7590" s="5" t="s">
        <v>95</v>
      </c>
      <c r="E7590" s="5" t="s">
        <v>166</v>
      </c>
      <c r="F7590" s="9" t="s">
        <v>400</v>
      </c>
      <c r="G7590" s="9" t="s">
        <v>199</v>
      </c>
      <c r="H7590" s="5" t="s">
        <v>21</v>
      </c>
      <c r="I7590" s="5" t="s">
        <v>18222</v>
      </c>
      <c r="J7590" s="12" t="str">
        <f>HYPERLINK("https://www.boe.es/gazeta/dias/1808/11/18/pdfs/D00069-00072.pdf#page=2","Abrir facsímil")</f>
        <v>Abrir facsímil</v>
      </c>
      <c r="K7590" s="15" t="s">
        <v>23</v>
      </c>
    </row>
    <row r="7591" spans="1:11" ht="42" customHeight="1">
      <c r="A7591" s="4" t="s">
        <v>18223</v>
      </c>
      <c r="B7591" s="5" t="s">
        <v>18224</v>
      </c>
      <c r="C7591" s="5" t="s">
        <v>94</v>
      </c>
      <c r="D7591" s="5" t="s">
        <v>95</v>
      </c>
      <c r="E7591" s="5" t="s">
        <v>832</v>
      </c>
      <c r="F7591" s="9" t="s">
        <v>833</v>
      </c>
      <c r="G7591" s="9">
        <v>522</v>
      </c>
      <c r="H7591" s="5" t="s">
        <v>21</v>
      </c>
      <c r="I7591" s="5" t="s">
        <v>18225</v>
      </c>
      <c r="J7591" s="12" t="str">
        <f>HYPERLINK("https://www.boe.es/gazeta/dias/1808/05/31/pdfs/GMD-1808-52.pdf#page=12","Abrir facsímil")</f>
        <v>Abrir facsímil</v>
      </c>
      <c r="K7591" s="15" t="s">
        <v>23</v>
      </c>
    </row>
    <row r="7592" spans="1:11" ht="42" customHeight="1">
      <c r="A7592" s="4" t="s">
        <v>18226</v>
      </c>
      <c r="B7592" s="5" t="s">
        <v>18227</v>
      </c>
      <c r="C7592" s="5" t="s">
        <v>17</v>
      </c>
      <c r="D7592" s="5" t="s">
        <v>18</v>
      </c>
      <c r="E7592" s="5" t="s">
        <v>130</v>
      </c>
      <c r="F7592" s="9" t="s">
        <v>131</v>
      </c>
      <c r="G7592" s="9">
        <v>1603</v>
      </c>
      <c r="H7592" s="5" t="s">
        <v>21</v>
      </c>
      <c r="I7592" s="5" t="s">
        <v>18228</v>
      </c>
      <c r="J7592" s="12" t="str">
        <f>HYPERLINK("https://www.boe.es/gazeta/dias/1808/12/15/pdfs/GMD-1808-155.pdf#page=7","Abrir facsímil")</f>
        <v>Abrir facsímil</v>
      </c>
      <c r="K7592" s="15" t="s">
        <v>23</v>
      </c>
    </row>
    <row r="7593" spans="1:11" ht="42" customHeight="1">
      <c r="A7593" s="4" t="s">
        <v>18229</v>
      </c>
      <c r="B7593" s="5" t="s">
        <v>18230</v>
      </c>
      <c r="C7593" s="5" t="s">
        <v>101</v>
      </c>
      <c r="D7593" s="5" t="s">
        <v>102</v>
      </c>
      <c r="E7593" s="5" t="s">
        <v>96</v>
      </c>
      <c r="F7593" s="9" t="s">
        <v>97</v>
      </c>
      <c r="G7593" s="9">
        <v>264</v>
      </c>
      <c r="H7593" s="5" t="s">
        <v>21</v>
      </c>
      <c r="I7593" s="5" t="s">
        <v>18231</v>
      </c>
      <c r="J7593" s="12" t="str">
        <f>HYPERLINK("https://www.boe.es/gazeta/dias/1808/03/15/pdfs/GMD-1808-22.pdf#page=6","Abrir facsímil")</f>
        <v>Abrir facsímil</v>
      </c>
      <c r="K7593" s="15" t="s">
        <v>23</v>
      </c>
    </row>
    <row r="7594" spans="1:11" ht="42" customHeight="1">
      <c r="A7594" s="4" t="s">
        <v>18232</v>
      </c>
      <c r="B7594" s="5" t="s">
        <v>18233</v>
      </c>
      <c r="C7594" s="5" t="s">
        <v>33</v>
      </c>
      <c r="D7594" s="5" t="s">
        <v>34</v>
      </c>
      <c r="E7594" s="5" t="s">
        <v>19</v>
      </c>
      <c r="F7594" s="9" t="s">
        <v>949</v>
      </c>
      <c r="G7594" s="9" t="s">
        <v>199</v>
      </c>
      <c r="H7594" s="5" t="s">
        <v>21</v>
      </c>
      <c r="I7594" s="5" t="s">
        <v>18234</v>
      </c>
      <c r="J7594" s="12" t="str">
        <f>HYPERLINK("https://www.boe.es/gazeta/dias/1808/09/30/pdfs/GMD-C-1808-130.pdf#page=2","Abrir facsímil")</f>
        <v>Abrir facsímil</v>
      </c>
      <c r="K7594" s="15" t="s">
        <v>23</v>
      </c>
    </row>
    <row r="7595" spans="1:11" ht="42" customHeight="1">
      <c r="A7595" s="4" t="s">
        <v>18235</v>
      </c>
      <c r="B7595" s="5" t="s">
        <v>18235</v>
      </c>
      <c r="C7595" s="5" t="s">
        <v>101</v>
      </c>
      <c r="D7595" s="5" t="s">
        <v>102</v>
      </c>
      <c r="E7595" s="5" t="s">
        <v>2603</v>
      </c>
      <c r="F7595" s="9" t="s">
        <v>2604</v>
      </c>
      <c r="G7595" s="9">
        <v>664</v>
      </c>
      <c r="H7595" s="5" t="s">
        <v>21</v>
      </c>
      <c r="I7595" s="5" t="s">
        <v>18236</v>
      </c>
      <c r="J7595" s="12" t="str">
        <f>HYPERLINK("https://www.boe.es/gazeta/dias/1808/06/27/pdfs/GMD-1808-69.pdf#page=2","Abrir facsímil")</f>
        <v>Abrir facsímil</v>
      </c>
      <c r="K7595" s="15" t="s">
        <v>23</v>
      </c>
    </row>
    <row r="7596" spans="1:11" ht="42" customHeight="1">
      <c r="A7596" s="4" t="s">
        <v>18237</v>
      </c>
      <c r="B7596" s="5" t="s">
        <v>18237</v>
      </c>
      <c r="C7596" s="5" t="s">
        <v>94</v>
      </c>
      <c r="D7596" s="5" t="s">
        <v>95</v>
      </c>
      <c r="E7596" s="5" t="s">
        <v>469</v>
      </c>
      <c r="F7596" s="9" t="s">
        <v>470</v>
      </c>
      <c r="G7596" s="9">
        <v>152</v>
      </c>
      <c r="H7596" s="5" t="s">
        <v>21</v>
      </c>
      <c r="I7596" s="5" t="s">
        <v>18238</v>
      </c>
      <c r="J7596" s="12" t="str">
        <f>HYPERLINK("https://www.boe.es/gazeta/dias/1808/02/12/pdfs/GMD-1808-13.pdf#page=8","Abrir facsímil")</f>
        <v>Abrir facsímil</v>
      </c>
      <c r="K7596" s="15" t="s">
        <v>23</v>
      </c>
    </row>
    <row r="7597" spans="1:11" ht="42" customHeight="1">
      <c r="A7597" s="4" t="s">
        <v>18239</v>
      </c>
      <c r="B7597" s="5" t="s">
        <v>18239</v>
      </c>
      <c r="C7597" s="5" t="s">
        <v>41</v>
      </c>
      <c r="D7597" s="5" t="s">
        <v>42</v>
      </c>
      <c r="E7597" s="5" t="s">
        <v>870</v>
      </c>
      <c r="F7597" s="9" t="s">
        <v>871</v>
      </c>
      <c r="G7597" s="9">
        <v>580</v>
      </c>
      <c r="H7597" s="5" t="s">
        <v>21</v>
      </c>
      <c r="I7597" s="5" t="s">
        <v>18240</v>
      </c>
      <c r="J7597" s="12" t="str">
        <f>HYPERLINK("https://www.boe.es/gazeta/dias/1808/06/17/pdfs/GMD-1808-59.pdf#page=2","Abrir facsímil")</f>
        <v>Abrir facsímil</v>
      </c>
      <c r="K7597" s="15" t="s">
        <v>23</v>
      </c>
    </row>
    <row r="7598" spans="1:11" ht="42" customHeight="1">
      <c r="A7598" s="4" t="s">
        <v>18241</v>
      </c>
      <c r="B7598" s="5" t="s">
        <v>18241</v>
      </c>
      <c r="C7598" s="5" t="s">
        <v>33</v>
      </c>
      <c r="D7598" s="5" t="s">
        <v>34</v>
      </c>
      <c r="E7598" s="5" t="s">
        <v>35</v>
      </c>
      <c r="F7598" s="9" t="s">
        <v>36</v>
      </c>
      <c r="G7598" s="9" t="s">
        <v>498</v>
      </c>
      <c r="H7598" s="5" t="s">
        <v>21</v>
      </c>
      <c r="I7598" s="5" t="s">
        <v>18242</v>
      </c>
      <c r="J7598" s="12" t="str">
        <f>HYPERLINK("https://www.boe.es/gazeta/dias/1808/04/22/pdfs/GMD-C-1808-38.pdf#page=22","Abrir facsímil")</f>
        <v>Abrir facsímil</v>
      </c>
      <c r="K7598" s="15" t="s">
        <v>23</v>
      </c>
    </row>
    <row r="7599" spans="1:11" ht="42" customHeight="1">
      <c r="A7599" s="4" t="s">
        <v>18243</v>
      </c>
      <c r="B7599" s="5" t="s">
        <v>18244</v>
      </c>
      <c r="C7599" s="5" t="s">
        <v>26</v>
      </c>
      <c r="D7599" s="5" t="s">
        <v>27</v>
      </c>
      <c r="E7599" s="5" t="s">
        <v>139</v>
      </c>
      <c r="F7599" s="9" t="s">
        <v>1089</v>
      </c>
      <c r="G7599" s="9" t="s">
        <v>199</v>
      </c>
      <c r="H7599" s="5" t="s">
        <v>21</v>
      </c>
      <c r="I7599" s="5" t="s">
        <v>18245</v>
      </c>
      <c r="J7599" s="12" t="str">
        <f>HYPERLINK("https://www.boe.es/gazeta/dias/1808/09/23/pdfs/GMD-C-1808-127.pdf#page=2","Abrir facsímil")</f>
        <v>Abrir facsímil</v>
      </c>
      <c r="K7599" s="15" t="s">
        <v>23</v>
      </c>
    </row>
    <row r="7600" spans="1:11" ht="42" customHeight="1">
      <c r="A7600" s="4" t="s">
        <v>18246</v>
      </c>
      <c r="B7600" s="5" t="s">
        <v>18246</v>
      </c>
      <c r="C7600" s="5" t="s">
        <v>17</v>
      </c>
      <c r="D7600" s="5" t="s">
        <v>18</v>
      </c>
      <c r="E7600" s="5" t="s">
        <v>28</v>
      </c>
      <c r="F7600" s="9" t="s">
        <v>29</v>
      </c>
      <c r="G7600" s="9">
        <v>1429</v>
      </c>
      <c r="H7600" s="5" t="s">
        <v>21</v>
      </c>
      <c r="I7600" s="5" t="s">
        <v>18247</v>
      </c>
      <c r="J7600" s="12" t="str">
        <f>HYPERLINK("https://www.boe.es/gazeta/dias/1808/11/04/pdfs/GMD-1808-141.pdf#page=11","Abrir facsímil")</f>
        <v>Abrir facsímil</v>
      </c>
      <c r="K7600" s="15" t="s">
        <v>23</v>
      </c>
    </row>
    <row r="7601" spans="1:11" ht="42" customHeight="1">
      <c r="A7601" s="4" t="s">
        <v>18248</v>
      </c>
      <c r="B7601" s="5" t="s">
        <v>18248</v>
      </c>
      <c r="C7601" s="5" t="s">
        <v>33</v>
      </c>
      <c r="D7601" s="5" t="s">
        <v>34</v>
      </c>
      <c r="E7601" s="5" t="s">
        <v>391</v>
      </c>
      <c r="F7601" s="9" t="s">
        <v>588</v>
      </c>
      <c r="G7601" s="9" t="s">
        <v>75</v>
      </c>
      <c r="H7601" s="5" t="s">
        <v>21</v>
      </c>
      <c r="I7601" s="5" t="s">
        <v>18249</v>
      </c>
      <c r="J7601" s="12" t="str">
        <f>HYPERLINK("https://www.boe.es/gazeta/dias/1808/09/27/pdfs/GMD-C-1808-128.pdf#page=4","Abrir facsímil")</f>
        <v>Abrir facsímil</v>
      </c>
      <c r="K7601" s="15" t="s">
        <v>23</v>
      </c>
    </row>
    <row r="7602" spans="1:11" ht="42" customHeight="1">
      <c r="A7602" s="4" t="s">
        <v>18250</v>
      </c>
      <c r="B7602" s="5" t="s">
        <v>18250</v>
      </c>
      <c r="C7602" s="5" t="s">
        <v>101</v>
      </c>
      <c r="D7602" s="5" t="s">
        <v>102</v>
      </c>
      <c r="E7602" s="5" t="s">
        <v>225</v>
      </c>
      <c r="F7602" s="9" t="s">
        <v>226</v>
      </c>
      <c r="G7602" s="9">
        <v>605</v>
      </c>
      <c r="H7602" s="5" t="s">
        <v>21</v>
      </c>
      <c r="I7602" s="5" t="s">
        <v>18251</v>
      </c>
      <c r="J7602" s="12" t="str">
        <f>HYPERLINK("https://www.boe.es/gazeta/dias/1808/06/20/pdfs/GMD-1808-62.pdf#page=3","Abrir facsímil")</f>
        <v>Abrir facsímil</v>
      </c>
      <c r="K7602" s="15" t="s">
        <v>23</v>
      </c>
    </row>
    <row r="7603" spans="1:11" ht="42" customHeight="1">
      <c r="A7603" s="4" t="s">
        <v>18252</v>
      </c>
      <c r="B7603" s="5" t="s">
        <v>18252</v>
      </c>
      <c r="C7603" s="5" t="s">
        <v>94</v>
      </c>
      <c r="D7603" s="5" t="s">
        <v>95</v>
      </c>
      <c r="E7603" s="5" t="s">
        <v>54</v>
      </c>
      <c r="F7603" s="9" t="s">
        <v>55</v>
      </c>
      <c r="G7603" s="9">
        <v>1088</v>
      </c>
      <c r="H7603" s="5" t="s">
        <v>21</v>
      </c>
      <c r="I7603" s="5" t="s">
        <v>18253</v>
      </c>
      <c r="J7603" s="12" t="str">
        <f>HYPERLINK("https://www.boe.es/gazeta/dias/1808/08/26/pdfs/GMD-1808-117.pdf#page=10","Abrir facsímil")</f>
        <v>Abrir facsímil</v>
      </c>
      <c r="K7603" s="15" t="s">
        <v>23</v>
      </c>
    </row>
    <row r="7604" spans="1:11" ht="42" customHeight="1">
      <c r="A7604" s="4" t="s">
        <v>18254</v>
      </c>
      <c r="B7604" s="5" t="s">
        <v>18254</v>
      </c>
      <c r="C7604" s="5" t="s">
        <v>17</v>
      </c>
      <c r="D7604" s="5" t="s">
        <v>18</v>
      </c>
      <c r="E7604" s="5" t="s">
        <v>539</v>
      </c>
      <c r="F7604" s="9" t="s">
        <v>908</v>
      </c>
      <c r="G7604" s="9">
        <v>223</v>
      </c>
      <c r="H7604" s="5" t="s">
        <v>21</v>
      </c>
      <c r="I7604" s="5" t="s">
        <v>18255</v>
      </c>
      <c r="J7604" s="12" t="str">
        <f>HYPERLINK("https://www.boe.es/gazeta/dias/1808/09/02/pdfs/GMS-1808-28.pdf#page=7","Abrir facsímil")</f>
        <v>Abrir facsímil</v>
      </c>
      <c r="K7604" s="15" t="s">
        <v>23</v>
      </c>
    </row>
    <row r="7605" spans="1:11" ht="42" customHeight="1">
      <c r="A7605" s="4" t="s">
        <v>18256</v>
      </c>
      <c r="B7605" s="5" t="s">
        <v>18257</v>
      </c>
      <c r="C7605" s="5" t="s">
        <v>33</v>
      </c>
      <c r="D7605" s="5" t="s">
        <v>34</v>
      </c>
      <c r="E7605" s="5" t="s">
        <v>115</v>
      </c>
      <c r="F7605" s="9" t="s">
        <v>116</v>
      </c>
      <c r="G7605" s="9" t="s">
        <v>117</v>
      </c>
      <c r="H7605" s="5" t="s">
        <v>21</v>
      </c>
      <c r="I7605" s="5" t="s">
        <v>18258</v>
      </c>
      <c r="J7605" s="12" t="str">
        <f>HYPERLINK("https://www.boe.es/gazeta/dias/1808/09/16/pdfs/GMD-C-1808-125.pdf#page=1","Abrir facsímil")</f>
        <v>Abrir facsímil</v>
      </c>
      <c r="K7605" s="15" t="s">
        <v>23</v>
      </c>
    </row>
    <row r="7606" spans="1:11" ht="42" customHeight="1">
      <c r="A7606" s="4" t="s">
        <v>18259</v>
      </c>
      <c r="B7606" s="5" t="s">
        <v>18259</v>
      </c>
      <c r="C7606" s="5" t="s">
        <v>389</v>
      </c>
      <c r="D7606" s="5" t="s">
        <v>390</v>
      </c>
      <c r="E7606" s="5" t="s">
        <v>210</v>
      </c>
      <c r="F7606" s="9" t="s">
        <v>211</v>
      </c>
      <c r="G7606" s="9">
        <v>257</v>
      </c>
      <c r="H7606" s="5" t="s">
        <v>21</v>
      </c>
      <c r="I7606" s="5" t="s">
        <v>18260</v>
      </c>
      <c r="J7606" s="12" t="str">
        <f>HYPERLINK("https://www.boe.es/gazeta/dias/1808/03/11/pdfs/GMD-1808-21.pdf#page=11","Abrir facsímil")</f>
        <v>Abrir facsímil</v>
      </c>
      <c r="K7606" s="15" t="s">
        <v>23</v>
      </c>
    </row>
    <row r="7607" spans="1:11" ht="42" customHeight="1">
      <c r="A7607" s="4" t="s">
        <v>18261</v>
      </c>
      <c r="B7607" s="5" t="s">
        <v>18261</v>
      </c>
      <c r="C7607" s="5" t="s">
        <v>33</v>
      </c>
      <c r="D7607" s="5" t="s">
        <v>34</v>
      </c>
      <c r="E7607" s="5" t="s">
        <v>35</v>
      </c>
      <c r="F7607" s="9" t="s">
        <v>36</v>
      </c>
      <c r="G7607" s="9" t="s">
        <v>1178</v>
      </c>
      <c r="H7607" s="5" t="s">
        <v>21</v>
      </c>
      <c r="I7607" s="5" t="s">
        <v>18262</v>
      </c>
      <c r="J7607" s="12" t="str">
        <f>HYPERLINK("https://www.boe.es/gazeta/dias/1808/04/22/pdfs/GMD-C-1808-38.pdf#page=9","Abrir facsímil")</f>
        <v>Abrir facsímil</v>
      </c>
      <c r="K7607" s="15" t="s">
        <v>23</v>
      </c>
    </row>
    <row r="7608" spans="1:11" ht="42" customHeight="1">
      <c r="A7608" s="4" t="s">
        <v>18261</v>
      </c>
      <c r="B7608" s="5" t="s">
        <v>18261</v>
      </c>
      <c r="C7608" s="5" t="s">
        <v>33</v>
      </c>
      <c r="D7608" s="5" t="s">
        <v>34</v>
      </c>
      <c r="E7608" s="5" t="s">
        <v>153</v>
      </c>
      <c r="F7608" s="9" t="s">
        <v>154</v>
      </c>
      <c r="G7608" s="9" t="s">
        <v>117</v>
      </c>
      <c r="H7608" s="5" t="s">
        <v>21</v>
      </c>
      <c r="I7608" s="5" t="s">
        <v>18263</v>
      </c>
      <c r="J7608" s="12" t="str">
        <f>HYPERLINK("https://www.boe.es/gazeta/dias/1808/09/09/pdfs/GMD-C-1808-121.pdf#page=1","Abrir facsímil")</f>
        <v>Abrir facsímil</v>
      </c>
      <c r="K7608" s="15" t="s">
        <v>23</v>
      </c>
    </row>
    <row r="7609" spans="1:11" ht="42" customHeight="1">
      <c r="A7609" s="4" t="s">
        <v>18264</v>
      </c>
      <c r="B7609" s="5" t="s">
        <v>18264</v>
      </c>
      <c r="C7609" s="5" t="s">
        <v>17</v>
      </c>
      <c r="D7609" s="5" t="s">
        <v>18</v>
      </c>
      <c r="E7609" s="5" t="s">
        <v>19</v>
      </c>
      <c r="F7609" s="9" t="s">
        <v>59</v>
      </c>
      <c r="G7609" s="9">
        <v>1230</v>
      </c>
      <c r="H7609" s="5" t="s">
        <v>21</v>
      </c>
      <c r="I7609" s="5" t="s">
        <v>18265</v>
      </c>
      <c r="J7609" s="12" t="str">
        <f>HYPERLINK("https://www.boe.es/gazeta/dias/1808/09/30/pdfs/GMD-1808-130.pdf#page=10","Abrir facsímil")</f>
        <v>Abrir facsímil</v>
      </c>
      <c r="K7609" s="15" t="s">
        <v>23</v>
      </c>
    </row>
    <row r="7610" spans="1:11" ht="42" customHeight="1">
      <c r="A7610" s="4" t="s">
        <v>18266</v>
      </c>
      <c r="B7610" s="5" t="s">
        <v>18266</v>
      </c>
      <c r="C7610" s="5" t="s">
        <v>389</v>
      </c>
      <c r="D7610" s="5" t="s">
        <v>390</v>
      </c>
      <c r="E7610" s="5" t="s">
        <v>207</v>
      </c>
      <c r="F7610" s="9" t="s">
        <v>208</v>
      </c>
      <c r="G7610" s="9">
        <v>198</v>
      </c>
      <c r="H7610" s="5" t="s">
        <v>21</v>
      </c>
      <c r="I7610" s="5" t="s">
        <v>18267</v>
      </c>
      <c r="J7610" s="12" t="str">
        <f>HYPERLINK("https://www.boe.es/gazeta/dias/1808/02/23/pdfs/GMD-1808-16.pdf#page=12","Abrir facsímil")</f>
        <v>Abrir facsímil</v>
      </c>
      <c r="K7610" s="15" t="s">
        <v>23</v>
      </c>
    </row>
    <row r="7611" spans="1:11" ht="42" customHeight="1">
      <c r="A7611" s="4" t="s">
        <v>18268</v>
      </c>
      <c r="B7611" s="5" t="s">
        <v>18268</v>
      </c>
      <c r="C7611" s="5" t="s">
        <v>389</v>
      </c>
      <c r="D7611" s="5" t="s">
        <v>390</v>
      </c>
      <c r="E7611" s="5" t="s">
        <v>832</v>
      </c>
      <c r="F7611" s="9" t="s">
        <v>833</v>
      </c>
      <c r="G7611" s="9">
        <v>521</v>
      </c>
      <c r="H7611" s="5" t="s">
        <v>21</v>
      </c>
      <c r="I7611" s="5" t="s">
        <v>18269</v>
      </c>
      <c r="J7611" s="12" t="str">
        <f>HYPERLINK("https://www.boe.es/gazeta/dias/1808/05/31/pdfs/GMD-1808-52.pdf#page=11","Abrir facsímil")</f>
        <v>Abrir facsímil</v>
      </c>
      <c r="K7611" s="15" t="s">
        <v>23</v>
      </c>
    </row>
    <row r="7612" spans="1:11" ht="42" customHeight="1">
      <c r="A7612" s="4" t="s">
        <v>18270</v>
      </c>
      <c r="B7612" s="5" t="s">
        <v>18270</v>
      </c>
      <c r="C7612" s="5" t="s">
        <v>17</v>
      </c>
      <c r="D7612" s="5" t="s">
        <v>18</v>
      </c>
      <c r="E7612" s="5" t="s">
        <v>391</v>
      </c>
      <c r="F7612" s="9" t="s">
        <v>392</v>
      </c>
      <c r="G7612" s="9">
        <v>1210</v>
      </c>
      <c r="H7612" s="5" t="s">
        <v>21</v>
      </c>
      <c r="I7612" s="5" t="s">
        <v>18271</v>
      </c>
      <c r="J7612" s="12" t="str">
        <f>HYPERLINK("https://www.boe.es/gazeta/dias/1808/09/27/pdfs/GMD-1808-128.pdf#page=6","Abrir facsímil")</f>
        <v>Abrir facsímil</v>
      </c>
      <c r="K7612" s="15" t="s">
        <v>23</v>
      </c>
    </row>
    <row r="7613" spans="1:11" ht="42" customHeight="1">
      <c r="A7613" s="4" t="s">
        <v>18272</v>
      </c>
      <c r="B7613" s="5" t="s">
        <v>18272</v>
      </c>
      <c r="C7613" s="5" t="s">
        <v>94</v>
      </c>
      <c r="D7613" s="5" t="s">
        <v>95</v>
      </c>
      <c r="E7613" s="5" t="s">
        <v>51</v>
      </c>
      <c r="F7613" s="9" t="s">
        <v>52</v>
      </c>
      <c r="G7613" s="9">
        <v>988</v>
      </c>
      <c r="H7613" s="5" t="s">
        <v>21</v>
      </c>
      <c r="I7613" s="5" t="s">
        <v>18273</v>
      </c>
      <c r="J7613" s="12" t="str">
        <f>HYPERLINK("https://www.boe.es/gazeta/dias/1808/08/09/pdfs/GMD-1808-111.pdf#page=4","Abrir facsímil")</f>
        <v>Abrir facsímil</v>
      </c>
      <c r="K7613" s="15" t="s">
        <v>23</v>
      </c>
    </row>
    <row r="7614" spans="1:11" ht="42" customHeight="1">
      <c r="A7614" s="4" t="s">
        <v>18272</v>
      </c>
      <c r="B7614" s="5" t="s">
        <v>18272</v>
      </c>
      <c r="C7614" s="5" t="s">
        <v>94</v>
      </c>
      <c r="D7614" s="5" t="s">
        <v>95</v>
      </c>
      <c r="E7614" s="5" t="s">
        <v>110</v>
      </c>
      <c r="F7614" s="9" t="s">
        <v>4354</v>
      </c>
      <c r="G7614" s="9">
        <v>1391</v>
      </c>
      <c r="H7614" s="5" t="s">
        <v>21</v>
      </c>
      <c r="I7614" s="5" t="s">
        <v>18274</v>
      </c>
      <c r="J7614" s="12" t="str">
        <f>HYPERLINK("https://www.boe.es/gazeta/dias/1808/10/28/pdfs/GMD-C-1808-138.pdf#page=5","Abrir facsímil")</f>
        <v>Abrir facsímil</v>
      </c>
      <c r="K7614" s="15" t="s">
        <v>23</v>
      </c>
    </row>
    <row r="7615" spans="1:11" ht="42" customHeight="1">
      <c r="A7615" s="4" t="s">
        <v>18272</v>
      </c>
      <c r="B7615" s="5" t="s">
        <v>18272</v>
      </c>
      <c r="C7615" s="5" t="s">
        <v>17</v>
      </c>
      <c r="D7615" s="5" t="s">
        <v>18</v>
      </c>
      <c r="E7615" s="5" t="s">
        <v>427</v>
      </c>
      <c r="F7615" s="9" t="s">
        <v>1802</v>
      </c>
      <c r="G7615" s="9">
        <v>1518</v>
      </c>
      <c r="H7615" s="5" t="s">
        <v>21</v>
      </c>
      <c r="I7615" s="5" t="s">
        <v>18275</v>
      </c>
      <c r="J7615" s="12" t="str">
        <f>HYPERLINK("https://www.boe.es/gazeta/dias/1808/11/22/pdfs/GMD-1808-146.pdf#page=4","Abrir facsímil")</f>
        <v>Abrir facsímil</v>
      </c>
      <c r="K7615" s="15" t="s">
        <v>23</v>
      </c>
    </row>
    <row r="7616" spans="1:11" ht="42" customHeight="1">
      <c r="A7616" s="4" t="s">
        <v>18276</v>
      </c>
      <c r="B7616" s="5" t="s">
        <v>18276</v>
      </c>
      <c r="C7616" s="5" t="s">
        <v>17</v>
      </c>
      <c r="D7616" s="5" t="s">
        <v>18</v>
      </c>
      <c r="E7616" s="5" t="s">
        <v>2935</v>
      </c>
      <c r="F7616" s="9" t="s">
        <v>2936</v>
      </c>
      <c r="G7616" s="9">
        <v>432</v>
      </c>
      <c r="H7616" s="5" t="s">
        <v>21</v>
      </c>
      <c r="I7616" s="5" t="s">
        <v>18277</v>
      </c>
      <c r="J7616" s="12" t="str">
        <f>HYPERLINK("https://www.boe.es/gazeta/dias/1808/12/02/pdfs/GMS-1808-54.pdf#page=8","Abrir facsímil")</f>
        <v>Abrir facsímil</v>
      </c>
      <c r="K7616" s="15" t="s">
        <v>23</v>
      </c>
    </row>
    <row r="7617" spans="1:11" ht="42" customHeight="1">
      <c r="A7617" s="4" t="s">
        <v>18278</v>
      </c>
      <c r="B7617" s="5" t="s">
        <v>18278</v>
      </c>
      <c r="C7617" s="5" t="s">
        <v>41</v>
      </c>
      <c r="D7617" s="5" t="s">
        <v>42</v>
      </c>
      <c r="E7617" s="5" t="s">
        <v>54</v>
      </c>
      <c r="F7617" s="9" t="s">
        <v>55</v>
      </c>
      <c r="G7617" s="9">
        <v>1081</v>
      </c>
      <c r="H7617" s="5" t="s">
        <v>21</v>
      </c>
      <c r="I7617" s="5" t="s">
        <v>18279</v>
      </c>
      <c r="J7617" s="12" t="str">
        <f>HYPERLINK("https://www.boe.es/gazeta/dias/1808/08/26/pdfs/GMD-1808-117.pdf#page=3","Abrir facsímil")</f>
        <v>Abrir facsímil</v>
      </c>
      <c r="K7617" s="15" t="s">
        <v>23</v>
      </c>
    </row>
    <row r="7618" spans="1:11" ht="42" customHeight="1">
      <c r="A7618" s="4" t="s">
        <v>18280</v>
      </c>
      <c r="B7618" s="5" t="s">
        <v>18280</v>
      </c>
      <c r="C7618" s="5" t="s">
        <v>94</v>
      </c>
      <c r="D7618" s="5" t="s">
        <v>95</v>
      </c>
      <c r="E7618" s="5" t="s">
        <v>65</v>
      </c>
      <c r="F7618" s="9" t="s">
        <v>691</v>
      </c>
      <c r="G7618" s="9">
        <v>1326</v>
      </c>
      <c r="H7618" s="5" t="s">
        <v>21</v>
      </c>
      <c r="I7618" s="5" t="s">
        <v>18281</v>
      </c>
      <c r="J7618" s="12" t="str">
        <f>HYPERLINK("https://www.boe.es/gazeta/dias/1808/10/18/pdfs/GMD-C-1808-135.pdf#page=10","Abrir facsímil")</f>
        <v>Abrir facsímil</v>
      </c>
      <c r="K7618" s="15" t="s">
        <v>23</v>
      </c>
    </row>
    <row r="7619" spans="1:11" ht="42" customHeight="1">
      <c r="A7619" s="4" t="s">
        <v>18282</v>
      </c>
      <c r="B7619" s="5" t="s">
        <v>18282</v>
      </c>
      <c r="C7619" s="5" t="s">
        <v>94</v>
      </c>
      <c r="D7619" s="5" t="s">
        <v>95</v>
      </c>
      <c r="E7619" s="5" t="s">
        <v>65</v>
      </c>
      <c r="F7619" s="9" t="s">
        <v>691</v>
      </c>
      <c r="G7619" s="9">
        <v>1325</v>
      </c>
      <c r="H7619" s="5" t="s">
        <v>21</v>
      </c>
      <c r="I7619" s="5" t="s">
        <v>18283</v>
      </c>
      <c r="J7619" s="12" t="str">
        <f>HYPERLINK("https://www.boe.es/gazeta/dias/1808/10/18/pdfs/GMD-C-1808-135.pdf#page=9","Abrir facsímil")</f>
        <v>Abrir facsímil</v>
      </c>
      <c r="K7619" s="15" t="s">
        <v>23</v>
      </c>
    </row>
    <row r="7620" spans="1:11" ht="42" customHeight="1">
      <c r="A7620" s="4" t="s">
        <v>18284</v>
      </c>
      <c r="B7620" s="5" t="s">
        <v>18285</v>
      </c>
      <c r="C7620" s="5" t="s">
        <v>94</v>
      </c>
      <c r="D7620" s="5" t="s">
        <v>95</v>
      </c>
      <c r="E7620" s="5" t="s">
        <v>73</v>
      </c>
      <c r="F7620" s="9" t="s">
        <v>1570</v>
      </c>
      <c r="G7620" s="9">
        <v>1484</v>
      </c>
      <c r="H7620" s="5" t="s">
        <v>21</v>
      </c>
      <c r="I7620" s="5" t="s">
        <v>18286</v>
      </c>
      <c r="J7620" s="12" t="str">
        <f>HYPERLINK("https://www.boe.es/gazeta/dias/1808/11/11/pdfs/GMD-C-1808-143.pdf#page=14","Abrir facsímil")</f>
        <v>Abrir facsímil</v>
      </c>
      <c r="K7620" s="15" t="s">
        <v>23</v>
      </c>
    </row>
    <row r="7621" spans="1:11" ht="42" customHeight="1">
      <c r="A7621" s="4" t="s">
        <v>18287</v>
      </c>
      <c r="B7621" s="5" t="s">
        <v>18287</v>
      </c>
      <c r="C7621" s="5" t="s">
        <v>17</v>
      </c>
      <c r="D7621" s="5" t="s">
        <v>18</v>
      </c>
      <c r="E7621" s="5" t="s">
        <v>96</v>
      </c>
      <c r="F7621" s="9" t="s">
        <v>97</v>
      </c>
      <c r="G7621" s="9">
        <v>265</v>
      </c>
      <c r="H7621" s="5" t="s">
        <v>21</v>
      </c>
      <c r="I7621" s="5" t="s">
        <v>18288</v>
      </c>
      <c r="J7621" s="12" t="str">
        <f>HYPERLINK("https://www.boe.es/gazeta/dias/1808/03/15/pdfs/GMD-1808-22.pdf#page=7","Abrir facsímil")</f>
        <v>Abrir facsímil</v>
      </c>
      <c r="K7621" s="15" t="s">
        <v>23</v>
      </c>
    </row>
    <row r="7622" spans="1:11" ht="42" customHeight="1">
      <c r="A7622" s="4" t="s">
        <v>18289</v>
      </c>
      <c r="B7622" s="5" t="s">
        <v>18290</v>
      </c>
      <c r="C7622" s="5" t="s">
        <v>33</v>
      </c>
      <c r="D7622" s="5" t="s">
        <v>34</v>
      </c>
      <c r="E7622" s="5" t="s">
        <v>35</v>
      </c>
      <c r="F7622" s="9" t="s">
        <v>36</v>
      </c>
      <c r="G7622" s="9" t="s">
        <v>284</v>
      </c>
      <c r="H7622" s="5" t="s">
        <v>21</v>
      </c>
      <c r="I7622" s="5" t="s">
        <v>18291</v>
      </c>
      <c r="J7622" s="12" t="str">
        <f>HYPERLINK("https://www.boe.es/gazeta/dias/1808/04/22/pdfs/GMD-C-1808-38.pdf#page=35","Abrir facsímil")</f>
        <v>Abrir facsímil</v>
      </c>
      <c r="K7622" s="15" t="s">
        <v>23</v>
      </c>
    </row>
    <row r="7623" spans="1:11" ht="42" customHeight="1">
      <c r="A7623" s="4" t="s">
        <v>18292</v>
      </c>
      <c r="B7623" s="5" t="s">
        <v>18293</v>
      </c>
      <c r="C7623" s="5" t="s">
        <v>17</v>
      </c>
      <c r="D7623" s="5" t="s">
        <v>18</v>
      </c>
      <c r="E7623" s="5" t="s">
        <v>130</v>
      </c>
      <c r="F7623" s="9" t="s">
        <v>131</v>
      </c>
      <c r="G7623" s="9">
        <v>1604</v>
      </c>
      <c r="H7623" s="5" t="s">
        <v>21</v>
      </c>
      <c r="I7623" s="5" t="s">
        <v>18294</v>
      </c>
      <c r="J7623" s="12" t="str">
        <f>HYPERLINK("https://www.boe.es/gazeta/dias/1808/12/15/pdfs/GMD-1808-155.pdf#page=8","Abrir facsímil")</f>
        <v>Abrir facsímil</v>
      </c>
      <c r="K7623" s="15" t="s">
        <v>23</v>
      </c>
    </row>
    <row r="7624" spans="1:11" ht="42" customHeight="1">
      <c r="A7624" s="4" t="s">
        <v>18295</v>
      </c>
      <c r="B7624" s="5" t="s">
        <v>18295</v>
      </c>
      <c r="C7624" s="5" t="s">
        <v>389</v>
      </c>
      <c r="D7624" s="5" t="s">
        <v>390</v>
      </c>
      <c r="E7624" s="5" t="s">
        <v>339</v>
      </c>
      <c r="F7624" s="9" t="s">
        <v>340</v>
      </c>
      <c r="G7624" s="9">
        <v>83</v>
      </c>
      <c r="H7624" s="5" t="s">
        <v>21</v>
      </c>
      <c r="I7624" s="5" t="s">
        <v>18296</v>
      </c>
      <c r="J7624" s="12" t="str">
        <f>HYPERLINK("https://www.boe.es/gazeta/dias/1808/01/22/pdfs/GMD-1808-7.pdf#page=11","Abrir facsímil")</f>
        <v>Abrir facsímil</v>
      </c>
      <c r="K7624" s="15" t="s">
        <v>23</v>
      </c>
    </row>
    <row r="7625" spans="1:11" ht="42" customHeight="1">
      <c r="A7625" s="4" t="s">
        <v>18297</v>
      </c>
      <c r="B7625" s="5" t="s">
        <v>18298</v>
      </c>
      <c r="C7625" s="5" t="s">
        <v>17</v>
      </c>
      <c r="D7625" s="5" t="s">
        <v>18</v>
      </c>
      <c r="E7625" s="5" t="s">
        <v>558</v>
      </c>
      <c r="F7625" s="9" t="s">
        <v>559</v>
      </c>
      <c r="G7625" s="9">
        <v>1544</v>
      </c>
      <c r="H7625" s="5" t="s">
        <v>21</v>
      </c>
      <c r="I7625" s="5" t="s">
        <v>18299</v>
      </c>
      <c r="J7625" s="12" t="str">
        <f>HYPERLINK("https://www.boe.es/gazeta/dias/1808/11/25/pdfs/GMD-1808-147.pdf#page=10","Abrir facsímil")</f>
        <v>Abrir facsímil</v>
      </c>
      <c r="K7625" s="15" t="s">
        <v>23</v>
      </c>
    </row>
    <row r="7626" spans="1:11" ht="42" customHeight="1">
      <c r="A7626" s="4" t="s">
        <v>18300</v>
      </c>
      <c r="B7626" s="5" t="s">
        <v>18300</v>
      </c>
      <c r="C7626" s="5" t="s">
        <v>33</v>
      </c>
      <c r="D7626" s="5" t="s">
        <v>34</v>
      </c>
      <c r="E7626" s="5" t="s">
        <v>35</v>
      </c>
      <c r="F7626" s="9" t="s">
        <v>36</v>
      </c>
      <c r="G7626" s="9" t="s">
        <v>47</v>
      </c>
      <c r="H7626" s="5" t="s">
        <v>21</v>
      </c>
      <c r="I7626" s="5" t="s">
        <v>18301</v>
      </c>
      <c r="J7626" s="12" t="str">
        <f>HYPERLINK("https://www.boe.es/gazeta/dias/1808/04/22/pdfs/GMD-C-1808-38.pdf#page=13","Abrir facsímil")</f>
        <v>Abrir facsímil</v>
      </c>
      <c r="K7626" s="15" t="s">
        <v>23</v>
      </c>
    </row>
    <row r="7627" spans="1:11" ht="42" customHeight="1">
      <c r="A7627" s="4" t="s">
        <v>18302</v>
      </c>
      <c r="B7627" s="5" t="s">
        <v>18302</v>
      </c>
      <c r="C7627" s="5" t="s">
        <v>17</v>
      </c>
      <c r="D7627" s="5" t="s">
        <v>18</v>
      </c>
      <c r="E7627" s="5" t="s">
        <v>558</v>
      </c>
      <c r="F7627" s="9" t="s">
        <v>559</v>
      </c>
      <c r="G7627" s="9">
        <v>1545</v>
      </c>
      <c r="H7627" s="5" t="s">
        <v>21</v>
      </c>
      <c r="I7627" s="5" t="s">
        <v>18303</v>
      </c>
      <c r="J7627" s="12" t="str">
        <f>HYPERLINK("https://www.boe.es/gazeta/dias/1808/11/25/pdfs/GMD-1808-147.pdf#page=11","Abrir facsímil")</f>
        <v>Abrir facsímil</v>
      </c>
      <c r="K7627" s="15" t="s">
        <v>23</v>
      </c>
    </row>
    <row r="7628" spans="1:11" ht="42" customHeight="1">
      <c r="A7628" s="4" t="s">
        <v>18304</v>
      </c>
      <c r="B7628" s="5" t="s">
        <v>18305</v>
      </c>
      <c r="C7628" s="5" t="s">
        <v>17</v>
      </c>
      <c r="D7628" s="5" t="s">
        <v>18</v>
      </c>
      <c r="E7628" s="5" t="s">
        <v>290</v>
      </c>
      <c r="F7628" s="9" t="s">
        <v>291</v>
      </c>
      <c r="G7628" s="9">
        <v>1060</v>
      </c>
      <c r="H7628" s="5" t="s">
        <v>21</v>
      </c>
      <c r="I7628" s="5" t="s">
        <v>18306</v>
      </c>
      <c r="J7628" s="12" t="str">
        <f>HYPERLINK("https://www.boe.es/gazeta/dias/1808/08/23/pdfs/GMD-1808-116.pdf#page=6","Abrir facsímil")</f>
        <v>Abrir facsímil</v>
      </c>
      <c r="K7628" s="15" t="s">
        <v>23</v>
      </c>
    </row>
    <row r="7629" spans="1:11" ht="42" customHeight="1">
      <c r="A7629" s="4" t="s">
        <v>18307</v>
      </c>
      <c r="B7629" s="5" t="s">
        <v>18307</v>
      </c>
      <c r="C7629" s="5" t="s">
        <v>17</v>
      </c>
      <c r="D7629" s="5" t="s">
        <v>18</v>
      </c>
      <c r="E7629" s="5" t="s">
        <v>28</v>
      </c>
      <c r="F7629" s="9" t="s">
        <v>29</v>
      </c>
      <c r="G7629" s="9">
        <v>1428</v>
      </c>
      <c r="H7629" s="5" t="s">
        <v>21</v>
      </c>
      <c r="I7629" s="5" t="s">
        <v>18308</v>
      </c>
      <c r="J7629" s="12" t="str">
        <f>HYPERLINK("https://www.boe.es/gazeta/dias/1808/11/04/pdfs/GMD-1808-141.pdf#page=10","Abrir facsímil")</f>
        <v>Abrir facsímil</v>
      </c>
      <c r="K7629" s="15" t="s">
        <v>23</v>
      </c>
    </row>
    <row r="7630" spans="1:11" ht="42" customHeight="1">
      <c r="A7630" s="4" t="s">
        <v>18309</v>
      </c>
      <c r="B7630" s="5" t="s">
        <v>18310</v>
      </c>
      <c r="C7630" s="5" t="s">
        <v>33</v>
      </c>
      <c r="D7630" s="5" t="s">
        <v>34</v>
      </c>
      <c r="E7630" s="5" t="s">
        <v>35</v>
      </c>
      <c r="F7630" s="9" t="s">
        <v>36</v>
      </c>
      <c r="G7630" s="9" t="s">
        <v>818</v>
      </c>
      <c r="H7630" s="5" t="s">
        <v>21</v>
      </c>
      <c r="I7630" s="5" t="s">
        <v>18311</v>
      </c>
      <c r="J7630" s="12" t="str">
        <f>HYPERLINK("https://www.boe.es/gazeta/dias/1808/04/22/pdfs/GMD-C-1808-38.pdf#page=7","Abrir facsímil")</f>
        <v>Abrir facsímil</v>
      </c>
      <c r="K7630" s="15" t="s">
        <v>23</v>
      </c>
    </row>
    <row r="7631" spans="1:11" ht="42" customHeight="1">
      <c r="A7631" s="4" t="s">
        <v>18312</v>
      </c>
      <c r="B7631" s="5" t="s">
        <v>18312</v>
      </c>
      <c r="C7631" s="5" t="s">
        <v>33</v>
      </c>
      <c r="D7631" s="5" t="s">
        <v>34</v>
      </c>
      <c r="E7631" s="5" t="s">
        <v>35</v>
      </c>
      <c r="F7631" s="9" t="s">
        <v>36</v>
      </c>
      <c r="G7631" s="9" t="s">
        <v>1075</v>
      </c>
      <c r="H7631" s="5" t="s">
        <v>21</v>
      </c>
      <c r="I7631" s="5" t="s">
        <v>18313</v>
      </c>
      <c r="J7631" s="12" t="str">
        <f>HYPERLINK("https://www.boe.es/gazeta/dias/1808/04/22/pdfs/GMD-C-1808-38.pdf#page=32","Abrir facsímil")</f>
        <v>Abrir facsímil</v>
      </c>
      <c r="K7631" s="15" t="s">
        <v>23</v>
      </c>
    </row>
    <row r="7632" spans="1:11" ht="42" customHeight="1">
      <c r="A7632" s="4" t="s">
        <v>18314</v>
      </c>
      <c r="B7632" s="5" t="s">
        <v>18315</v>
      </c>
      <c r="C7632" s="5" t="s">
        <v>17</v>
      </c>
      <c r="D7632" s="5" t="s">
        <v>18</v>
      </c>
      <c r="E7632" s="5" t="s">
        <v>19</v>
      </c>
      <c r="F7632" s="9" t="s">
        <v>59</v>
      </c>
      <c r="G7632" s="9">
        <v>1229</v>
      </c>
      <c r="H7632" s="5" t="s">
        <v>21</v>
      </c>
      <c r="I7632" s="5" t="s">
        <v>18316</v>
      </c>
      <c r="J7632" s="12" t="str">
        <f>HYPERLINK("https://www.boe.es/gazeta/dias/1808/09/30/pdfs/GMD-1808-130.pdf#page=9","Abrir facsímil")</f>
        <v>Abrir facsímil</v>
      </c>
      <c r="K7632" s="15" t="s">
        <v>23</v>
      </c>
    </row>
    <row r="7633" spans="1:11" ht="42" customHeight="1">
      <c r="A7633" s="4" t="s">
        <v>18317</v>
      </c>
      <c r="B7633" s="5" t="s">
        <v>18318</v>
      </c>
      <c r="C7633" s="5" t="s">
        <v>17</v>
      </c>
      <c r="D7633" s="5" t="s">
        <v>18</v>
      </c>
      <c r="E7633" s="5" t="s">
        <v>125</v>
      </c>
      <c r="F7633" s="9" t="s">
        <v>397</v>
      </c>
      <c r="G7633" s="9">
        <v>1269</v>
      </c>
      <c r="H7633" s="5" t="s">
        <v>21</v>
      </c>
      <c r="I7633" s="5" t="s">
        <v>18319</v>
      </c>
      <c r="J7633" s="12" t="str">
        <f>HYPERLINK("https://www.boe.es/gazeta/dias/1808/10/07/pdfs/GMD-1808-132.pdf#page=9","Abrir facsímil")</f>
        <v>Abrir facsímil</v>
      </c>
      <c r="K7633" s="15" t="s">
        <v>23</v>
      </c>
    </row>
    <row r="7634" spans="1:11" ht="42" customHeight="1">
      <c r="A7634" s="4" t="s">
        <v>18320</v>
      </c>
      <c r="B7634" s="5" t="s">
        <v>18320</v>
      </c>
      <c r="C7634" s="5" t="s">
        <v>33</v>
      </c>
      <c r="D7634" s="5" t="s">
        <v>34</v>
      </c>
      <c r="E7634" s="5" t="s">
        <v>19</v>
      </c>
      <c r="F7634" s="9" t="s">
        <v>949</v>
      </c>
      <c r="G7634" s="9" t="s">
        <v>106</v>
      </c>
      <c r="H7634" s="5" t="s">
        <v>21</v>
      </c>
      <c r="I7634" s="5" t="s">
        <v>18321</v>
      </c>
      <c r="J7634" s="12" t="str">
        <f>HYPERLINK("https://www.boe.es/gazeta/dias/1808/09/30/pdfs/GMD-C-1808-130.pdf#page=3","Abrir facsímil")</f>
        <v>Abrir facsímil</v>
      </c>
      <c r="K7634" s="15" t="s">
        <v>23</v>
      </c>
    </row>
    <row r="7635" spans="1:11" ht="42" customHeight="1">
      <c r="A7635" s="4" t="s">
        <v>18322</v>
      </c>
      <c r="B7635" s="5" t="s">
        <v>18322</v>
      </c>
      <c r="C7635" s="5" t="s">
        <v>17</v>
      </c>
      <c r="D7635" s="5" t="s">
        <v>18</v>
      </c>
      <c r="E7635" s="5" t="s">
        <v>125</v>
      </c>
      <c r="F7635" s="9" t="s">
        <v>397</v>
      </c>
      <c r="G7635" s="9">
        <v>1269</v>
      </c>
      <c r="H7635" s="5" t="s">
        <v>21</v>
      </c>
      <c r="I7635" s="5" t="s">
        <v>18323</v>
      </c>
      <c r="J7635" s="12" t="str">
        <f>HYPERLINK("https://www.boe.es/gazeta/dias/1808/10/07/pdfs/GMD-1808-132.pdf#page=9","Abrir facsímil")</f>
        <v>Abrir facsímil</v>
      </c>
      <c r="K7635" s="15" t="s">
        <v>23</v>
      </c>
    </row>
    <row r="7636" spans="1:11" ht="42" customHeight="1">
      <c r="A7636" s="4" t="s">
        <v>18322</v>
      </c>
      <c r="B7636" s="5" t="s">
        <v>18322</v>
      </c>
      <c r="C7636" s="5" t="s">
        <v>41</v>
      </c>
      <c r="D7636" s="5" t="s">
        <v>42</v>
      </c>
      <c r="E7636" s="5" t="s">
        <v>28</v>
      </c>
      <c r="F7636" s="9" t="s">
        <v>446</v>
      </c>
      <c r="G7636" s="9" t="s">
        <v>106</v>
      </c>
      <c r="H7636" s="5" t="s">
        <v>21</v>
      </c>
      <c r="I7636" s="5" t="s">
        <v>18324</v>
      </c>
      <c r="J7636" s="12" t="str">
        <f>HYPERLINK("https://www.boe.es/gazeta/dias/1808/11/04/pdfs/GMD-D-1808-141.pdf#page=3","Abrir facsímil")</f>
        <v>Abrir facsímil</v>
      </c>
      <c r="K7636" s="15" t="s">
        <v>23</v>
      </c>
    </row>
    <row r="7637" spans="1:11" ht="42" customHeight="1">
      <c r="A7637" s="4" t="s">
        <v>18325</v>
      </c>
      <c r="B7637" s="5" t="s">
        <v>18325</v>
      </c>
      <c r="C7637" s="5" t="s">
        <v>17</v>
      </c>
      <c r="D7637" s="5" t="s">
        <v>18</v>
      </c>
      <c r="E7637" s="5" t="s">
        <v>110</v>
      </c>
      <c r="F7637" s="9" t="s">
        <v>111</v>
      </c>
      <c r="G7637" s="9">
        <v>1384</v>
      </c>
      <c r="H7637" s="5" t="s">
        <v>21</v>
      </c>
      <c r="I7637" s="5" t="s">
        <v>18326</v>
      </c>
      <c r="J7637" s="12" t="str">
        <f>HYPERLINK("https://www.boe.es/gazeta/dias/1808/10/28/pdfs/GMD-1808-138.pdf#page=10","Abrir facsímil")</f>
        <v>Abrir facsímil</v>
      </c>
      <c r="K7637" s="15" t="s">
        <v>23</v>
      </c>
    </row>
    <row r="7638" spans="1:11" ht="42" customHeight="1">
      <c r="A7638" s="4" t="s">
        <v>18327</v>
      </c>
      <c r="B7638" s="5" t="s">
        <v>18327</v>
      </c>
      <c r="C7638" s="5" t="s">
        <v>17</v>
      </c>
      <c r="D7638" s="5" t="s">
        <v>18</v>
      </c>
      <c r="E7638" s="5" t="s">
        <v>139</v>
      </c>
      <c r="F7638" s="9" t="s">
        <v>140</v>
      </c>
      <c r="G7638" s="9">
        <v>1203</v>
      </c>
      <c r="H7638" s="5" t="s">
        <v>21</v>
      </c>
      <c r="I7638" s="5" t="s">
        <v>18328</v>
      </c>
      <c r="J7638" s="12" t="str">
        <f>HYPERLINK("https://www.boe.es/gazeta/dias/1808/09/23/pdfs/GMD-1808-127.pdf#page=11","Abrir facsímil")</f>
        <v>Abrir facsímil</v>
      </c>
      <c r="K7638" s="15" t="s">
        <v>23</v>
      </c>
    </row>
    <row r="7639" spans="1:11" ht="42" customHeight="1">
      <c r="A7639" s="4" t="s">
        <v>18329</v>
      </c>
      <c r="B7639" s="5" t="s">
        <v>18330</v>
      </c>
      <c r="C7639" s="5" t="s">
        <v>33</v>
      </c>
      <c r="D7639" s="5" t="s">
        <v>34</v>
      </c>
      <c r="E7639" s="5" t="s">
        <v>65</v>
      </c>
      <c r="F7639" s="9" t="s">
        <v>691</v>
      </c>
      <c r="G7639" s="9">
        <v>1327</v>
      </c>
      <c r="H7639" s="5" t="s">
        <v>21</v>
      </c>
      <c r="I7639" s="5" t="s">
        <v>18331</v>
      </c>
      <c r="J7639" s="12" t="str">
        <f>HYPERLINK("https://www.boe.es/gazeta/dias/1808/10/18/pdfs/GMD-C-1808-135.pdf#page=11","Abrir facsímil")</f>
        <v>Abrir facsímil</v>
      </c>
      <c r="K7639" s="15" t="s">
        <v>23</v>
      </c>
    </row>
    <row r="7640" spans="1:11" ht="42" customHeight="1">
      <c r="A7640" s="4" t="s">
        <v>18332</v>
      </c>
      <c r="B7640" s="5" t="s">
        <v>18332</v>
      </c>
      <c r="C7640" s="5" t="s">
        <v>17</v>
      </c>
      <c r="D7640" s="5" t="s">
        <v>18</v>
      </c>
      <c r="E7640" s="5" t="s">
        <v>558</v>
      </c>
      <c r="F7640" s="9" t="s">
        <v>559</v>
      </c>
      <c r="G7640" s="9">
        <v>1544</v>
      </c>
      <c r="H7640" s="5" t="s">
        <v>21</v>
      </c>
      <c r="I7640" s="5" t="s">
        <v>18333</v>
      </c>
      <c r="J7640" s="12" t="str">
        <f>HYPERLINK("https://www.boe.es/gazeta/dias/1808/11/25/pdfs/GMD-1808-147.pdf#page=10","Abrir facsímil")</f>
        <v>Abrir facsímil</v>
      </c>
      <c r="K7640" s="15" t="s">
        <v>23</v>
      </c>
    </row>
    <row r="7641" spans="1:11" ht="42" customHeight="1">
      <c r="A7641" s="4" t="s">
        <v>18334</v>
      </c>
      <c r="B7641" s="5" t="s">
        <v>18334</v>
      </c>
      <c r="C7641" s="5" t="s">
        <v>17</v>
      </c>
      <c r="D7641" s="5" t="s">
        <v>18</v>
      </c>
      <c r="E7641" s="5" t="s">
        <v>115</v>
      </c>
      <c r="F7641" s="9" t="s">
        <v>1650</v>
      </c>
      <c r="G7641" s="9">
        <v>1177</v>
      </c>
      <c r="H7641" s="5" t="s">
        <v>21</v>
      </c>
      <c r="I7641" s="5" t="s">
        <v>18335</v>
      </c>
      <c r="J7641" s="12" t="str">
        <f>HYPERLINK("https://www.boe.es/gazeta/dias/1808/09/16/pdfs/GMD-1808-125.pdf#page=9","Abrir facsímil")</f>
        <v>Abrir facsímil</v>
      </c>
      <c r="K7641" s="15" t="s">
        <v>23</v>
      </c>
    </row>
    <row r="7642" spans="1:11" ht="42" customHeight="1">
      <c r="A7642" s="4" t="s">
        <v>18336</v>
      </c>
      <c r="B7642" s="5" t="s">
        <v>18337</v>
      </c>
      <c r="C7642" s="5" t="s">
        <v>33</v>
      </c>
      <c r="D7642" s="5" t="s">
        <v>34</v>
      </c>
      <c r="E7642" s="5" t="s">
        <v>125</v>
      </c>
      <c r="F7642" s="9" t="s">
        <v>126</v>
      </c>
      <c r="G7642" s="9" t="s">
        <v>106</v>
      </c>
      <c r="H7642" s="5" t="s">
        <v>21</v>
      </c>
      <c r="I7642" s="5" t="s">
        <v>18338</v>
      </c>
      <c r="J7642" s="12" t="str">
        <f>HYPERLINK("https://www.boe.es/gazeta/dias/1808/10/07/pdfs/GMD-C-1808-132.pdf#page=3","Abrir facsímil")</f>
        <v>Abrir facsímil</v>
      </c>
      <c r="K7642" s="15" t="s">
        <v>23</v>
      </c>
    </row>
    <row r="7643" spans="1:11" ht="42" customHeight="1">
      <c r="A7643" s="4" t="s">
        <v>18339</v>
      </c>
      <c r="B7643" s="5" t="s">
        <v>18340</v>
      </c>
      <c r="C7643" s="5" t="s">
        <v>33</v>
      </c>
      <c r="D7643" s="5" t="s">
        <v>34</v>
      </c>
      <c r="E7643" s="5" t="s">
        <v>427</v>
      </c>
      <c r="F7643" s="9" t="s">
        <v>428</v>
      </c>
      <c r="G7643" s="9" t="s">
        <v>117</v>
      </c>
      <c r="H7643" s="5" t="s">
        <v>21</v>
      </c>
      <c r="I7643" s="5" t="s">
        <v>18341</v>
      </c>
      <c r="J7643" s="12" t="str">
        <f>HYPERLINK("https://www.boe.es/gazeta/dias/1808/11/22/pdfs/GMD-D-1808-146.pdf#page=1","Abrir facsímil")</f>
        <v>Abrir facsímil</v>
      </c>
      <c r="K7643" s="15" t="s">
        <v>23</v>
      </c>
    </row>
    <row r="7644" spans="1:11" ht="42" customHeight="1">
      <c r="A7644" s="4" t="s">
        <v>18342</v>
      </c>
      <c r="B7644" s="5" t="s">
        <v>18343</v>
      </c>
      <c r="C7644" s="5" t="s">
        <v>33</v>
      </c>
      <c r="D7644" s="5" t="s">
        <v>34</v>
      </c>
      <c r="E7644" s="5" t="s">
        <v>35</v>
      </c>
      <c r="F7644" s="9" t="s">
        <v>36</v>
      </c>
      <c r="G7644" s="9" t="s">
        <v>284</v>
      </c>
      <c r="H7644" s="5" t="s">
        <v>21</v>
      </c>
      <c r="I7644" s="5" t="s">
        <v>18344</v>
      </c>
      <c r="J7644" s="12" t="str">
        <f>HYPERLINK("https://www.boe.es/gazeta/dias/1808/04/22/pdfs/GMD-C-1808-38.pdf#page=35","Abrir facsímil")</f>
        <v>Abrir facsímil</v>
      </c>
      <c r="K7644" s="15" t="s">
        <v>23</v>
      </c>
    </row>
    <row r="7645" spans="1:11" ht="42" customHeight="1">
      <c r="A7645" s="4" t="s">
        <v>18345</v>
      </c>
      <c r="B7645" s="5" t="s">
        <v>18346</v>
      </c>
      <c r="C7645" s="5" t="s">
        <v>260</v>
      </c>
      <c r="D7645" s="5" t="s">
        <v>42</v>
      </c>
      <c r="E7645" s="5" t="s">
        <v>290</v>
      </c>
      <c r="F7645" s="9" t="s">
        <v>291</v>
      </c>
      <c r="G7645" s="9">
        <v>1060</v>
      </c>
      <c r="H7645" s="5" t="s">
        <v>21</v>
      </c>
      <c r="I7645" s="5" t="s">
        <v>18347</v>
      </c>
      <c r="J7645" s="12" t="str">
        <f>HYPERLINK("https://www.boe.es/gazeta/dias/1808/08/23/pdfs/GMD-1808-116.pdf#page=6","Abrir facsímil")</f>
        <v>Abrir facsímil</v>
      </c>
      <c r="K7645" s="15" t="s">
        <v>23</v>
      </c>
    </row>
    <row r="7646" spans="1:11" ht="42" customHeight="1">
      <c r="A7646" s="4" t="s">
        <v>18348</v>
      </c>
      <c r="B7646" s="5" t="s">
        <v>18349</v>
      </c>
      <c r="C7646" s="5" t="s">
        <v>101</v>
      </c>
      <c r="D7646" s="5" t="s">
        <v>102</v>
      </c>
      <c r="E7646" s="5" t="s">
        <v>516</v>
      </c>
      <c r="F7646" s="9" t="s">
        <v>517</v>
      </c>
      <c r="G7646" s="9">
        <v>597</v>
      </c>
      <c r="H7646" s="5" t="s">
        <v>21</v>
      </c>
      <c r="I7646" s="5" t="s">
        <v>18350</v>
      </c>
      <c r="J7646" s="12" t="str">
        <f>HYPERLINK("https://www.boe.es/gazeta/dias/1808/06/19/pdfs/GMD-1808-61.pdf#page=3","Abrir facsímil")</f>
        <v>Abrir facsímil</v>
      </c>
      <c r="K7646" s="15" t="s">
        <v>23</v>
      </c>
    </row>
    <row r="7647" spans="1:11" ht="42" customHeight="1">
      <c r="A7647" s="4" t="s">
        <v>18351</v>
      </c>
      <c r="B7647" s="5" t="s">
        <v>18352</v>
      </c>
      <c r="C7647" s="5" t="s">
        <v>41</v>
      </c>
      <c r="D7647" s="5" t="s">
        <v>42</v>
      </c>
      <c r="E7647" s="5" t="s">
        <v>558</v>
      </c>
      <c r="F7647" s="9" t="s">
        <v>758</v>
      </c>
      <c r="G7647" s="9" t="s">
        <v>75</v>
      </c>
      <c r="H7647" s="5" t="s">
        <v>21</v>
      </c>
      <c r="I7647" s="5" t="s">
        <v>18353</v>
      </c>
      <c r="J7647" s="12" t="str">
        <f>HYPERLINK("https://www.boe.es/gazeta/dias/1808/11/25/pdfs/GMD-E-1808-147.pdf#page=4","Abrir facsímil")</f>
        <v>Abrir facsímil</v>
      </c>
      <c r="K7647" s="15" t="s">
        <v>23</v>
      </c>
    </row>
    <row r="7648" spans="1:11" ht="42" customHeight="1">
      <c r="A7648" s="4" t="s">
        <v>18354</v>
      </c>
      <c r="B7648" s="5" t="s">
        <v>18355</v>
      </c>
      <c r="C7648" s="5" t="s">
        <v>17</v>
      </c>
      <c r="D7648" s="5" t="s">
        <v>18</v>
      </c>
      <c r="E7648" s="5" t="s">
        <v>714</v>
      </c>
      <c r="F7648" s="9" t="s">
        <v>715</v>
      </c>
      <c r="G7648" s="9">
        <v>112</v>
      </c>
      <c r="H7648" s="5" t="s">
        <v>21</v>
      </c>
      <c r="I7648" s="5" t="s">
        <v>18356</v>
      </c>
      <c r="J7648" s="12" t="str">
        <f>HYPERLINK("https://www.boe.es/gazeta/dias/1808/07/16/pdfs/GMS-1808-14.pdf#page=8","Abrir facsímil")</f>
        <v>Abrir facsímil</v>
      </c>
      <c r="K7648" s="15" t="s">
        <v>23</v>
      </c>
    </row>
    <row r="7649" spans="1:11" ht="42" customHeight="1">
      <c r="A7649" s="4" t="s">
        <v>18357</v>
      </c>
      <c r="B7649" s="5" t="s">
        <v>18358</v>
      </c>
      <c r="C7649" s="5" t="s">
        <v>41</v>
      </c>
      <c r="D7649" s="5" t="s">
        <v>42</v>
      </c>
      <c r="E7649" s="5" t="s">
        <v>35</v>
      </c>
      <c r="F7649" s="9" t="s">
        <v>36</v>
      </c>
      <c r="G7649" s="9" t="s">
        <v>299</v>
      </c>
      <c r="H7649" s="5" t="s">
        <v>21</v>
      </c>
      <c r="I7649" s="5" t="s">
        <v>18359</v>
      </c>
      <c r="J7649" s="12" t="str">
        <f>HYPERLINK("https://www.boe.es/gazeta/dias/1808/04/22/pdfs/GMD-C-1808-38.pdf#page=14","Abrir facsímil")</f>
        <v>Abrir facsímil</v>
      </c>
      <c r="K7649" s="15" t="s">
        <v>23</v>
      </c>
    </row>
    <row r="7650" spans="1:11" ht="42" customHeight="1">
      <c r="A7650" s="4" t="s">
        <v>18360</v>
      </c>
      <c r="B7650" s="5" t="s">
        <v>18360</v>
      </c>
      <c r="C7650" s="5" t="s">
        <v>41</v>
      </c>
      <c r="D7650" s="5" t="s">
        <v>42</v>
      </c>
      <c r="E7650" s="5" t="s">
        <v>110</v>
      </c>
      <c r="F7650" s="9" t="s">
        <v>111</v>
      </c>
      <c r="G7650" s="9">
        <v>1384</v>
      </c>
      <c r="H7650" s="5" t="s">
        <v>21</v>
      </c>
      <c r="I7650" s="5" t="s">
        <v>18361</v>
      </c>
      <c r="J7650" s="12" t="str">
        <f>HYPERLINK("https://www.boe.es/gazeta/dias/1808/10/28/pdfs/GMD-1808-138.pdf#page=10","Abrir facsímil")</f>
        <v>Abrir facsímil</v>
      </c>
      <c r="K7650" s="15" t="s">
        <v>23</v>
      </c>
    </row>
    <row r="7651" spans="1:11" ht="42" customHeight="1">
      <c r="A7651" s="4" t="s">
        <v>18362</v>
      </c>
      <c r="B7651" s="5" t="s">
        <v>18363</v>
      </c>
      <c r="C7651" s="5" t="s">
        <v>33</v>
      </c>
      <c r="D7651" s="5" t="s">
        <v>34</v>
      </c>
      <c r="E7651" s="5" t="s">
        <v>89</v>
      </c>
      <c r="F7651" s="9" t="s">
        <v>563</v>
      </c>
      <c r="G7651" s="9" t="s">
        <v>106</v>
      </c>
      <c r="H7651" s="5" t="s">
        <v>21</v>
      </c>
      <c r="I7651" s="5" t="s">
        <v>18364</v>
      </c>
      <c r="J7651" s="12" t="str">
        <f>HYPERLINK("https://www.boe.es/gazeta/dias/1808/10/25/pdfs/GMD-D-1808-137.pdf#page=3","Abrir facsímil")</f>
        <v>Abrir facsímil</v>
      </c>
      <c r="K7651" s="15" t="s">
        <v>23</v>
      </c>
    </row>
    <row r="7652" spans="1:11" ht="42" customHeight="1">
      <c r="A7652" s="4" t="s">
        <v>18365</v>
      </c>
      <c r="B7652" s="5" t="s">
        <v>18366</v>
      </c>
      <c r="C7652" s="5" t="s">
        <v>41</v>
      </c>
      <c r="D7652" s="5" t="s">
        <v>42</v>
      </c>
      <c r="E7652" s="5" t="s">
        <v>19</v>
      </c>
      <c r="F7652" s="9" t="s">
        <v>949</v>
      </c>
      <c r="G7652" s="9" t="s">
        <v>106</v>
      </c>
      <c r="H7652" s="5" t="s">
        <v>21</v>
      </c>
      <c r="I7652" s="5" t="s">
        <v>18367</v>
      </c>
      <c r="J7652" s="12" t="str">
        <f>HYPERLINK("https://www.boe.es/gazeta/dias/1808/09/30/pdfs/GMD-C-1808-130.pdf#page=3","Abrir facsímil")</f>
        <v>Abrir facsímil</v>
      </c>
      <c r="K7652" s="15" t="s">
        <v>23</v>
      </c>
    </row>
    <row r="7653" spans="1:11" ht="42" customHeight="1">
      <c r="A7653" s="4" t="s">
        <v>18368</v>
      </c>
      <c r="B7653" s="5" t="s">
        <v>18369</v>
      </c>
      <c r="C7653" s="5" t="s">
        <v>94</v>
      </c>
      <c r="D7653" s="5" t="s">
        <v>95</v>
      </c>
      <c r="E7653" s="5" t="s">
        <v>513</v>
      </c>
      <c r="F7653" s="9" t="s">
        <v>514</v>
      </c>
      <c r="G7653" s="9">
        <v>286</v>
      </c>
      <c r="H7653" s="5" t="s">
        <v>21</v>
      </c>
      <c r="I7653" s="5" t="s">
        <v>18370</v>
      </c>
      <c r="J7653" s="12" t="str">
        <f>HYPERLINK("https://www.boe.es/gazeta/dias/1808/03/22/pdfs/GMD-1808-24.pdf#page=8","Abrir facsímil")</f>
        <v>Abrir facsímil</v>
      </c>
      <c r="K7653" s="15" t="s">
        <v>23</v>
      </c>
    </row>
    <row r="7654" spans="1:11" ht="42" customHeight="1">
      <c r="A7654" s="4" t="s">
        <v>18371</v>
      </c>
      <c r="B7654" s="5" t="s">
        <v>18371</v>
      </c>
      <c r="C7654" s="5" t="s">
        <v>101</v>
      </c>
      <c r="D7654" s="5" t="s">
        <v>102</v>
      </c>
      <c r="E7654" s="5" t="s">
        <v>225</v>
      </c>
      <c r="F7654" s="9" t="s">
        <v>226</v>
      </c>
      <c r="G7654" s="9">
        <v>605</v>
      </c>
      <c r="H7654" s="5" t="s">
        <v>21</v>
      </c>
      <c r="I7654" s="5" t="s">
        <v>18372</v>
      </c>
      <c r="J7654" s="12" t="str">
        <f>HYPERLINK("https://www.boe.es/gazeta/dias/1808/06/20/pdfs/GMD-1808-62.pdf#page=3","Abrir facsímil")</f>
        <v>Abrir facsímil</v>
      </c>
      <c r="K7654" s="15" t="s">
        <v>23</v>
      </c>
    </row>
    <row r="7655" spans="1:11" ht="42" customHeight="1">
      <c r="A7655" s="4" t="s">
        <v>18373</v>
      </c>
      <c r="B7655" s="5" t="s">
        <v>18373</v>
      </c>
      <c r="C7655" s="5" t="s">
        <v>17</v>
      </c>
      <c r="D7655" s="5" t="s">
        <v>18</v>
      </c>
      <c r="E7655" s="5" t="s">
        <v>28</v>
      </c>
      <c r="F7655" s="9" t="s">
        <v>9084</v>
      </c>
      <c r="G7655" s="9">
        <v>361</v>
      </c>
      <c r="H7655" s="5" t="s">
        <v>21</v>
      </c>
      <c r="I7655" s="5" t="s">
        <v>18374</v>
      </c>
      <c r="J7655" s="12" t="str">
        <f>HYPERLINK("https://www.boe.es/gazeta/dias/1808/11/04/pdfs/GMS-1808-46.pdf#page=1","Abrir facsímil")</f>
        <v>Abrir facsímil</v>
      </c>
      <c r="K7655" s="15" t="s">
        <v>23</v>
      </c>
    </row>
    <row r="7656" spans="1:11" ht="42" customHeight="1">
      <c r="A7656" s="4" t="s">
        <v>18375</v>
      </c>
      <c r="B7656" s="5" t="s">
        <v>18376</v>
      </c>
      <c r="C7656" s="5" t="s">
        <v>17</v>
      </c>
      <c r="D7656" s="5" t="s">
        <v>18</v>
      </c>
      <c r="E7656" s="5" t="s">
        <v>877</v>
      </c>
      <c r="F7656" s="9" t="s">
        <v>878</v>
      </c>
      <c r="G7656" s="9">
        <v>119</v>
      </c>
      <c r="H7656" s="5" t="s">
        <v>21</v>
      </c>
      <c r="I7656" s="5" t="s">
        <v>18377</v>
      </c>
      <c r="J7656" s="12" t="str">
        <f>HYPERLINK("https://www.boe.es/gazeta/dias/1808/02/02/pdfs/GMD-1808-10.pdf#page=11","Abrir facsímil")</f>
        <v>Abrir facsímil</v>
      </c>
      <c r="K7656" s="15" t="s">
        <v>23</v>
      </c>
    </row>
    <row r="7657" spans="1:11" ht="42" customHeight="1">
      <c r="A7657" s="4" t="s">
        <v>18378</v>
      </c>
      <c r="B7657" s="5" t="s">
        <v>18378</v>
      </c>
      <c r="C7657" s="5" t="s">
        <v>94</v>
      </c>
      <c r="D7657" s="5" t="s">
        <v>95</v>
      </c>
      <c r="E7657" s="5" t="s">
        <v>96</v>
      </c>
      <c r="F7657" s="9" t="s">
        <v>97</v>
      </c>
      <c r="G7657" s="9">
        <v>261</v>
      </c>
      <c r="H7657" s="5" t="s">
        <v>21</v>
      </c>
      <c r="I7657" s="5" t="s">
        <v>18379</v>
      </c>
      <c r="J7657" s="12" t="str">
        <f>HYPERLINK("https://www.boe.es/gazeta/dias/1808/03/15/pdfs/GMD-1808-22.pdf#page=3","Abrir facsímil")</f>
        <v>Abrir facsímil</v>
      </c>
      <c r="K7657" s="15" t="s">
        <v>23</v>
      </c>
    </row>
    <row r="7658" spans="1:11" ht="42" customHeight="1">
      <c r="A7658" s="4" t="s">
        <v>18378</v>
      </c>
      <c r="B7658" s="5" t="s">
        <v>18378</v>
      </c>
      <c r="C7658" s="5" t="s">
        <v>101</v>
      </c>
      <c r="D7658" s="5" t="s">
        <v>102</v>
      </c>
      <c r="E7658" s="5" t="s">
        <v>461</v>
      </c>
      <c r="F7658" s="9" t="s">
        <v>733</v>
      </c>
      <c r="G7658" s="9">
        <v>1440</v>
      </c>
      <c r="H7658" s="5" t="s">
        <v>21</v>
      </c>
      <c r="I7658" s="5" t="s">
        <v>18380</v>
      </c>
      <c r="J7658" s="12" t="str">
        <f>HYPERLINK("https://www.boe.es/gazeta/dias/1808/11/08/pdfs/GMD-1808-142.pdf#page=2","Abrir facsímil")</f>
        <v>Abrir facsímil</v>
      </c>
      <c r="K7658" s="15" t="s">
        <v>23</v>
      </c>
    </row>
    <row r="7659" spans="1:11" ht="42" customHeight="1">
      <c r="A7659" s="4" t="s">
        <v>18381</v>
      </c>
      <c r="B7659" s="5" t="s">
        <v>18381</v>
      </c>
      <c r="C7659" s="5" t="s">
        <v>101</v>
      </c>
      <c r="D7659" s="5" t="s">
        <v>102</v>
      </c>
      <c r="E7659" s="5" t="s">
        <v>1484</v>
      </c>
      <c r="F7659" s="9" t="s">
        <v>1485</v>
      </c>
      <c r="G7659" s="9">
        <v>673</v>
      </c>
      <c r="H7659" s="5" t="s">
        <v>21</v>
      </c>
      <c r="I7659" s="5" t="s">
        <v>18382</v>
      </c>
      <c r="J7659" s="12" t="str">
        <f>HYPERLINK("https://www.boe.es/gazeta/dias/1808/06/28/pdfs/GMD-1808-70.pdf#page=3","Abrir facsímil")</f>
        <v>Abrir facsímil</v>
      </c>
      <c r="K7659" s="15" t="s">
        <v>23</v>
      </c>
    </row>
    <row r="7660" spans="1:11" ht="42" customHeight="1">
      <c r="A7660" s="4" t="s">
        <v>18383</v>
      </c>
      <c r="B7660" s="5" t="s">
        <v>18383</v>
      </c>
      <c r="C7660" s="5" t="s">
        <v>101</v>
      </c>
      <c r="D7660" s="5" t="s">
        <v>102</v>
      </c>
      <c r="E7660" s="5" t="s">
        <v>1484</v>
      </c>
      <c r="F7660" s="9" t="s">
        <v>1485</v>
      </c>
      <c r="G7660" s="9">
        <v>673</v>
      </c>
      <c r="H7660" s="5" t="s">
        <v>21</v>
      </c>
      <c r="I7660" s="5" t="s">
        <v>18384</v>
      </c>
      <c r="J7660" s="12" t="str">
        <f>HYPERLINK("https://www.boe.es/gazeta/dias/1808/06/28/pdfs/GMD-1808-70.pdf#page=3","Abrir facsímil")</f>
        <v>Abrir facsímil</v>
      </c>
      <c r="K7660" s="15" t="s">
        <v>23</v>
      </c>
    </row>
    <row r="7661" spans="1:11" ht="42" customHeight="1">
      <c r="A7661" s="4" t="s">
        <v>18383</v>
      </c>
      <c r="B7661" s="5" t="s">
        <v>18383</v>
      </c>
      <c r="C7661" s="5" t="s">
        <v>260</v>
      </c>
      <c r="D7661" s="5" t="s">
        <v>42</v>
      </c>
      <c r="E7661" s="5" t="s">
        <v>4567</v>
      </c>
      <c r="F7661" s="9" t="s">
        <v>4568</v>
      </c>
      <c r="G7661" s="9">
        <v>687</v>
      </c>
      <c r="H7661" s="5" t="s">
        <v>21</v>
      </c>
      <c r="I7661" s="5" t="s">
        <v>18385</v>
      </c>
      <c r="J7661" s="12" t="str">
        <f>HYPERLINK("https://www.boe.es/gazeta/dias/1808/06/30/pdfs/GMD-1808-72.pdf#page=1","Abrir facsímil")</f>
        <v>Abrir facsímil</v>
      </c>
      <c r="K7661" s="15" t="s">
        <v>23</v>
      </c>
    </row>
    <row r="7662" spans="1:11" ht="42" customHeight="1">
      <c r="A7662" s="4" t="s">
        <v>18386</v>
      </c>
      <c r="B7662" s="5" t="s">
        <v>18387</v>
      </c>
      <c r="C7662" s="5" t="s">
        <v>101</v>
      </c>
      <c r="D7662" s="5" t="s">
        <v>102</v>
      </c>
      <c r="E7662" s="5" t="s">
        <v>4567</v>
      </c>
      <c r="F7662" s="9" t="s">
        <v>4568</v>
      </c>
      <c r="G7662" s="9">
        <v>687</v>
      </c>
      <c r="H7662" s="5" t="s">
        <v>21</v>
      </c>
      <c r="I7662" s="5" t="s">
        <v>18388</v>
      </c>
      <c r="J7662" s="12" t="str">
        <f>HYPERLINK("https://www.boe.es/gazeta/dias/1808/06/30/pdfs/GMD-1808-72.pdf#page=1","Abrir facsímil")</f>
        <v>Abrir facsímil</v>
      </c>
      <c r="K7662" s="15" t="s">
        <v>23</v>
      </c>
    </row>
    <row r="7663" spans="1:11" ht="42" customHeight="1">
      <c r="A7663" s="4" t="s">
        <v>18389</v>
      </c>
      <c r="B7663" s="5" t="s">
        <v>18389</v>
      </c>
      <c r="C7663" s="5" t="s">
        <v>101</v>
      </c>
      <c r="D7663" s="5" t="s">
        <v>102</v>
      </c>
      <c r="E7663" s="5" t="s">
        <v>1484</v>
      </c>
      <c r="F7663" s="9" t="s">
        <v>1485</v>
      </c>
      <c r="G7663" s="9">
        <v>673</v>
      </c>
      <c r="H7663" s="5" t="s">
        <v>21</v>
      </c>
      <c r="I7663" s="5" t="s">
        <v>18390</v>
      </c>
      <c r="J7663" s="12" t="str">
        <f>HYPERLINK("https://www.boe.es/gazeta/dias/1808/06/28/pdfs/GMD-1808-70.pdf#page=3","Abrir facsímil")</f>
        <v>Abrir facsímil</v>
      </c>
      <c r="K7663" s="15" t="s">
        <v>23</v>
      </c>
    </row>
    <row r="7664" spans="1:11" ht="42" customHeight="1">
      <c r="A7664" s="4" t="s">
        <v>18391</v>
      </c>
      <c r="B7664" s="5" t="s">
        <v>18392</v>
      </c>
      <c r="C7664" s="5" t="s">
        <v>41</v>
      </c>
      <c r="D7664" s="5" t="s">
        <v>42</v>
      </c>
      <c r="E7664" s="5" t="s">
        <v>363</v>
      </c>
      <c r="F7664" s="9" t="s">
        <v>364</v>
      </c>
      <c r="G7664" s="9" t="s">
        <v>75</v>
      </c>
      <c r="H7664" s="5" t="s">
        <v>21</v>
      </c>
      <c r="I7664" s="5" t="s">
        <v>18393</v>
      </c>
      <c r="J7664" s="12" t="str">
        <f>HYPERLINK("https://www.boe.es/gazeta/dias/1808/09/20/pdfs/GMD-C-1808-126.pdf#page=4","Abrir facsímil")</f>
        <v>Abrir facsímil</v>
      </c>
      <c r="K7664" s="15" t="s">
        <v>23</v>
      </c>
    </row>
    <row r="7665" spans="1:11" ht="42" customHeight="1">
      <c r="A7665" s="4" t="s">
        <v>18394</v>
      </c>
      <c r="B7665" s="5" t="s">
        <v>18394</v>
      </c>
      <c r="C7665" s="5" t="s">
        <v>17</v>
      </c>
      <c r="D7665" s="5" t="s">
        <v>18</v>
      </c>
      <c r="E7665" s="5" t="s">
        <v>334</v>
      </c>
      <c r="F7665" s="9" t="s">
        <v>1814</v>
      </c>
      <c r="G7665" s="9">
        <v>1244</v>
      </c>
      <c r="H7665" s="5" t="s">
        <v>21</v>
      </c>
      <c r="I7665" s="5" t="s">
        <v>18395</v>
      </c>
      <c r="J7665" s="12" t="str">
        <f>HYPERLINK("https://www.boe.es/gazeta/dias/1808/10/04/pdfs/GMD-1808-131.pdf#page=12","Abrir facsímil")</f>
        <v>Abrir facsímil</v>
      </c>
      <c r="K7665" s="15" t="s">
        <v>23</v>
      </c>
    </row>
    <row r="7666" spans="1:11" ht="42" customHeight="1">
      <c r="A7666" s="4" t="s">
        <v>18394</v>
      </c>
      <c r="B7666" s="5" t="s">
        <v>18394</v>
      </c>
      <c r="C7666" s="5" t="s">
        <v>17</v>
      </c>
      <c r="D7666" s="5" t="s">
        <v>18</v>
      </c>
      <c r="E7666" s="5" t="s">
        <v>334</v>
      </c>
      <c r="F7666" s="9" t="s">
        <v>1814</v>
      </c>
      <c r="G7666" s="9">
        <v>1245</v>
      </c>
      <c r="H7666" s="5" t="s">
        <v>21</v>
      </c>
      <c r="I7666" s="5" t="s">
        <v>18396</v>
      </c>
      <c r="J7666" s="12" t="str">
        <f>HYPERLINK("https://www.boe.es/gazeta/dias/1808/10/04/pdfs/GMD-1808-131.pdf#page=13","Abrir facsímil")</f>
        <v>Abrir facsímil</v>
      </c>
      <c r="K7666" s="15" t="s">
        <v>23</v>
      </c>
    </row>
    <row r="7667" spans="1:11" ht="42" customHeight="1">
      <c r="A7667" s="4" t="s">
        <v>18397</v>
      </c>
      <c r="B7667" s="5" t="s">
        <v>18397</v>
      </c>
      <c r="C7667" s="5" t="s">
        <v>101</v>
      </c>
      <c r="D7667" s="5" t="s">
        <v>102</v>
      </c>
      <c r="E7667" s="5" t="s">
        <v>1415</v>
      </c>
      <c r="F7667" s="9" t="s">
        <v>1416</v>
      </c>
      <c r="G7667" s="9">
        <v>412</v>
      </c>
      <c r="H7667" s="5" t="s">
        <v>21</v>
      </c>
      <c r="I7667" s="5" t="s">
        <v>18398</v>
      </c>
      <c r="J7667" s="12" t="str">
        <f>HYPERLINK("https://www.boe.es/gazeta/dias/1808/04/26/pdfs/GMD-1808-41.pdf#page=4","Abrir facsímil")</f>
        <v>Abrir facsímil</v>
      </c>
      <c r="K7667" s="15" t="s">
        <v>23</v>
      </c>
    </row>
    <row r="7668" spans="1:11" ht="42" customHeight="1">
      <c r="A7668" s="4" t="s">
        <v>18397</v>
      </c>
      <c r="B7668" s="5" t="s">
        <v>18397</v>
      </c>
      <c r="C7668" s="5" t="s">
        <v>101</v>
      </c>
      <c r="D7668" s="5" t="s">
        <v>102</v>
      </c>
      <c r="E7668" s="5" t="s">
        <v>228</v>
      </c>
      <c r="F7668" s="9" t="s">
        <v>229</v>
      </c>
      <c r="G7668" s="9">
        <v>834</v>
      </c>
      <c r="H7668" s="5" t="s">
        <v>21</v>
      </c>
      <c r="I7668" s="5" t="s">
        <v>18399</v>
      </c>
      <c r="J7668" s="12" t="str">
        <f>HYPERLINK("https://www.boe.es/gazeta/dias/1808/07/18/pdfs/GMD-1808-90.pdf#page=4","Abrir facsímil")</f>
        <v>Abrir facsímil</v>
      </c>
      <c r="K7668" s="15" t="s">
        <v>23</v>
      </c>
    </row>
    <row r="7669" spans="1:11" ht="42" customHeight="1">
      <c r="A7669" s="4" t="s">
        <v>18400</v>
      </c>
      <c r="B7669" s="5" t="s">
        <v>18401</v>
      </c>
      <c r="C7669" s="5" t="s">
        <v>389</v>
      </c>
      <c r="D7669" s="5" t="s">
        <v>390</v>
      </c>
      <c r="E7669" s="5" t="s">
        <v>180</v>
      </c>
      <c r="F7669" s="9" t="s">
        <v>768</v>
      </c>
      <c r="G7669" s="9" t="s">
        <v>106</v>
      </c>
      <c r="H7669" s="5" t="s">
        <v>21</v>
      </c>
      <c r="I7669" s="5" t="s">
        <v>18402</v>
      </c>
      <c r="J7669" s="12" t="str">
        <f>HYPERLINK("https://www.boe.es/gazeta/dias/1808/11/15/pdfs/GMD-D-1808-144.pdf#page=3","Abrir facsímil")</f>
        <v>Abrir facsímil</v>
      </c>
      <c r="K7669" s="15" t="s">
        <v>23</v>
      </c>
    </row>
    <row r="7670" spans="1:11" ht="42" customHeight="1">
      <c r="A7670" s="4" t="s">
        <v>18403</v>
      </c>
      <c r="B7670" s="5" t="s">
        <v>18404</v>
      </c>
      <c r="C7670" s="5" t="s">
        <v>260</v>
      </c>
      <c r="D7670" s="5" t="s">
        <v>42</v>
      </c>
      <c r="E7670" s="5" t="s">
        <v>222</v>
      </c>
      <c r="F7670" s="9" t="s">
        <v>223</v>
      </c>
      <c r="G7670" s="9">
        <v>355</v>
      </c>
      <c r="H7670" s="5" t="s">
        <v>21</v>
      </c>
      <c r="I7670" s="5" t="s">
        <v>18405</v>
      </c>
      <c r="J7670" s="12" t="str">
        <f>HYPERLINK("https://www.boe.es/gazeta/dias/1808/04/08/pdfs/GMD-1808-32.pdf#page=9","Abrir facsímil")</f>
        <v>Abrir facsímil</v>
      </c>
      <c r="K7670" s="15" t="s">
        <v>23</v>
      </c>
    </row>
    <row r="7671" spans="1:11" ht="42" customHeight="1">
      <c r="A7671" s="4" t="s">
        <v>18406</v>
      </c>
      <c r="B7671" s="5" t="s">
        <v>18406</v>
      </c>
      <c r="C7671" s="5" t="s">
        <v>94</v>
      </c>
      <c r="D7671" s="5" t="s">
        <v>95</v>
      </c>
      <c r="E7671" s="5" t="s">
        <v>28</v>
      </c>
      <c r="F7671" s="9" t="s">
        <v>71</v>
      </c>
      <c r="G7671" s="9">
        <v>1438</v>
      </c>
      <c r="H7671" s="5" t="s">
        <v>21</v>
      </c>
      <c r="I7671" s="5" t="s">
        <v>18407</v>
      </c>
      <c r="J7671" s="12" t="str">
        <f>HYPERLINK("https://www.boe.es/gazeta/dias/1808/11/04/pdfs/GMD-C-1808-141.pdf#page=8","Abrir facsímil")</f>
        <v>Abrir facsímil</v>
      </c>
      <c r="K7671" s="15" t="s">
        <v>23</v>
      </c>
    </row>
    <row r="7672" spans="1:11" ht="42" customHeight="1">
      <c r="A7672" s="4" t="s">
        <v>18408</v>
      </c>
      <c r="B7672" s="5" t="s">
        <v>18408</v>
      </c>
      <c r="C7672" s="5" t="s">
        <v>33</v>
      </c>
      <c r="D7672" s="5" t="s">
        <v>34</v>
      </c>
      <c r="E7672" s="5" t="s">
        <v>35</v>
      </c>
      <c r="F7672" s="9" t="s">
        <v>36</v>
      </c>
      <c r="G7672" s="9" t="s">
        <v>1294</v>
      </c>
      <c r="H7672" s="5" t="s">
        <v>21</v>
      </c>
      <c r="I7672" s="5" t="s">
        <v>18409</v>
      </c>
      <c r="J7672" s="12" t="str">
        <f>HYPERLINK("https://www.boe.es/gazeta/dias/1808/04/22/pdfs/GMD-C-1808-38.pdf#page=8","Abrir facsímil")</f>
        <v>Abrir facsímil</v>
      </c>
      <c r="K7672" s="15" t="s">
        <v>23</v>
      </c>
    </row>
    <row r="7673" spans="1:11" ht="42" customHeight="1">
      <c r="A7673" s="4" t="s">
        <v>18410</v>
      </c>
      <c r="B7673" s="5" t="s">
        <v>18410</v>
      </c>
      <c r="C7673" s="5" t="s">
        <v>33</v>
      </c>
      <c r="D7673" s="5" t="s">
        <v>34</v>
      </c>
      <c r="E7673" s="5" t="s">
        <v>456</v>
      </c>
      <c r="F7673" s="9" t="s">
        <v>748</v>
      </c>
      <c r="G7673" s="9" t="s">
        <v>199</v>
      </c>
      <c r="H7673" s="5" t="s">
        <v>21</v>
      </c>
      <c r="I7673" s="5" t="s">
        <v>18411</v>
      </c>
      <c r="J7673" s="12" t="str">
        <f>HYPERLINK("https://www.boe.es/gazeta/dias/1808/10/14/pdfs/GMD-C-1808-134.pdf#page=2","Abrir facsímil")</f>
        <v>Abrir facsímil</v>
      </c>
      <c r="K7673" s="15" t="s">
        <v>23</v>
      </c>
    </row>
    <row r="7674" spans="1:11" ht="42" customHeight="1">
      <c r="A7674" s="4" t="s">
        <v>18412</v>
      </c>
      <c r="B7674" s="5" t="s">
        <v>18412</v>
      </c>
      <c r="C7674" s="5" t="s">
        <v>33</v>
      </c>
      <c r="D7674" s="5" t="s">
        <v>34</v>
      </c>
      <c r="E7674" s="5" t="s">
        <v>391</v>
      </c>
      <c r="F7674" s="9" t="s">
        <v>588</v>
      </c>
      <c r="G7674" s="9" t="s">
        <v>199</v>
      </c>
      <c r="H7674" s="5" t="s">
        <v>21</v>
      </c>
      <c r="I7674" s="5" t="s">
        <v>18413</v>
      </c>
      <c r="J7674" s="12" t="str">
        <f>HYPERLINK("https://www.boe.es/gazeta/dias/1808/09/27/pdfs/GMD-C-1808-128.pdf#page=2","Abrir facsímil")</f>
        <v>Abrir facsímil</v>
      </c>
      <c r="K7674" s="15" t="s">
        <v>23</v>
      </c>
    </row>
    <row r="7675" spans="1:11" ht="42" customHeight="1">
      <c r="A7675" s="4" t="s">
        <v>18414</v>
      </c>
      <c r="B7675" s="5" t="s">
        <v>18415</v>
      </c>
      <c r="C7675" s="5" t="s">
        <v>260</v>
      </c>
      <c r="D7675" s="5" t="s">
        <v>42</v>
      </c>
      <c r="E7675" s="5" t="s">
        <v>65</v>
      </c>
      <c r="F7675" s="9" t="s">
        <v>7955</v>
      </c>
      <c r="G7675" s="9">
        <v>328</v>
      </c>
      <c r="H7675" s="5" t="s">
        <v>21</v>
      </c>
      <c r="I7675" s="5" t="s">
        <v>18416</v>
      </c>
      <c r="J7675" s="12" t="str">
        <f>HYPERLINK("https://www.boe.es/gazeta/dias/1808/10/18/pdfs/GMS-1808-41.pdf#page=8","Abrir facsímil")</f>
        <v>Abrir facsímil</v>
      </c>
      <c r="K7675" s="15" t="s">
        <v>23</v>
      </c>
    </row>
    <row r="7676" spans="1:11" ht="42" customHeight="1">
      <c r="A7676" s="4" t="s">
        <v>18417</v>
      </c>
      <c r="B7676" s="5" t="s">
        <v>18418</v>
      </c>
      <c r="C7676" s="5" t="s">
        <v>33</v>
      </c>
      <c r="D7676" s="5" t="s">
        <v>34</v>
      </c>
      <c r="E7676" s="5" t="s">
        <v>35</v>
      </c>
      <c r="F7676" s="9" t="s">
        <v>36</v>
      </c>
      <c r="G7676" s="9" t="s">
        <v>199</v>
      </c>
      <c r="H7676" s="5" t="s">
        <v>21</v>
      </c>
      <c r="I7676" s="5" t="s">
        <v>18419</v>
      </c>
      <c r="J7676" s="12" t="str">
        <f>HYPERLINK("https://www.boe.es/gazeta/dias/1808/04/22/pdfs/GMD-C-1808-38.pdf#page=2","Abrir facsímil")</f>
        <v>Abrir facsímil</v>
      </c>
      <c r="K7676" s="15" t="s">
        <v>23</v>
      </c>
    </row>
    <row r="7677" spans="1:11" ht="42" customHeight="1">
      <c r="A7677" s="4" t="s">
        <v>18420</v>
      </c>
      <c r="B7677" s="5" t="s">
        <v>18420</v>
      </c>
      <c r="C7677" s="5" t="s">
        <v>17</v>
      </c>
      <c r="D7677" s="5" t="s">
        <v>18</v>
      </c>
      <c r="E7677" s="5" t="s">
        <v>139</v>
      </c>
      <c r="F7677" s="9" t="s">
        <v>3587</v>
      </c>
      <c r="G7677" s="9">
        <v>271</v>
      </c>
      <c r="H7677" s="5" t="s">
        <v>21</v>
      </c>
      <c r="I7677" s="5" t="s">
        <v>18421</v>
      </c>
      <c r="J7677" s="12" t="str">
        <f>HYPERLINK("https://www.boe.es/gazeta/dias/1808/09/23/pdfs/GMS-1808-34.pdf#page=7","Abrir facsímil")</f>
        <v>Abrir facsímil</v>
      </c>
      <c r="K7677" s="15" t="s">
        <v>23</v>
      </c>
    </row>
    <row r="7678" spans="1:11" ht="42" customHeight="1">
      <c r="A7678" s="4" t="s">
        <v>18422</v>
      </c>
      <c r="B7678" s="5" t="s">
        <v>18422</v>
      </c>
      <c r="C7678" s="5" t="s">
        <v>101</v>
      </c>
      <c r="D7678" s="5" t="s">
        <v>102</v>
      </c>
      <c r="E7678" s="5" t="s">
        <v>2555</v>
      </c>
      <c r="F7678" s="9" t="s">
        <v>2556</v>
      </c>
      <c r="G7678" s="9">
        <v>129</v>
      </c>
      <c r="H7678" s="5" t="s">
        <v>21</v>
      </c>
      <c r="I7678" s="5" t="s">
        <v>18423</v>
      </c>
      <c r="J7678" s="12" t="str">
        <f>HYPERLINK("https://www.boe.es/gazeta/dias/1808/02/05/pdfs/GMD-1808-11.pdf#page=9","Abrir facsímil")</f>
        <v>Abrir facsímil</v>
      </c>
      <c r="K7678" s="15" t="s">
        <v>23</v>
      </c>
    </row>
    <row r="7679" spans="1:11" ht="42" customHeight="1">
      <c r="A7679" s="4" t="s">
        <v>18424</v>
      </c>
      <c r="B7679" s="5" t="s">
        <v>18424</v>
      </c>
      <c r="C7679" s="5" t="s">
        <v>17</v>
      </c>
      <c r="D7679" s="5" t="s">
        <v>18</v>
      </c>
      <c r="E7679" s="5" t="s">
        <v>8354</v>
      </c>
      <c r="F7679" s="9" t="s">
        <v>8355</v>
      </c>
      <c r="G7679" s="9">
        <v>804</v>
      </c>
      <c r="H7679" s="5" t="s">
        <v>21</v>
      </c>
      <c r="I7679" s="5" t="s">
        <v>18425</v>
      </c>
      <c r="J7679" s="12" t="str">
        <f>HYPERLINK("https://www.boe.es/gazeta/dias/1808/07/14/pdfs/GMD-1808-86.pdf#page=6","Abrir facsímil")</f>
        <v>Abrir facsímil</v>
      </c>
      <c r="K7679" s="15" t="s">
        <v>23</v>
      </c>
    </row>
    <row r="7680" spans="1:11" ht="42" customHeight="1">
      <c r="A7680" s="4" t="s">
        <v>18426</v>
      </c>
      <c r="B7680" s="5" t="s">
        <v>18427</v>
      </c>
      <c r="C7680" s="5" t="s">
        <v>94</v>
      </c>
      <c r="D7680" s="5" t="s">
        <v>95</v>
      </c>
      <c r="E7680" s="5" t="s">
        <v>68</v>
      </c>
      <c r="F7680" s="9" t="s">
        <v>849</v>
      </c>
      <c r="G7680" s="9">
        <v>1349</v>
      </c>
      <c r="H7680" s="5" t="s">
        <v>21</v>
      </c>
      <c r="I7680" s="5" t="s">
        <v>18428</v>
      </c>
      <c r="J7680" s="12" t="str">
        <f>HYPERLINK("https://www.boe.es/gazeta/dias/1808/10/21/pdfs/GMD-C-1808-136.pdf#page=9","Abrir facsímil")</f>
        <v>Abrir facsímil</v>
      </c>
      <c r="K7680" s="15" t="s">
        <v>23</v>
      </c>
    </row>
    <row r="7681" spans="1:11" ht="42" customHeight="1">
      <c r="A7681" s="4" t="s">
        <v>18429</v>
      </c>
      <c r="B7681" s="5" t="s">
        <v>18430</v>
      </c>
      <c r="C7681" s="5" t="s">
        <v>33</v>
      </c>
      <c r="D7681" s="5" t="s">
        <v>34</v>
      </c>
      <c r="E7681" s="5" t="s">
        <v>35</v>
      </c>
      <c r="F7681" s="9" t="s">
        <v>36</v>
      </c>
      <c r="G7681" s="9" t="s">
        <v>498</v>
      </c>
      <c r="H7681" s="5" t="s">
        <v>21</v>
      </c>
      <c r="I7681" s="5" t="s">
        <v>18431</v>
      </c>
      <c r="J7681" s="12" t="str">
        <f>HYPERLINK("https://www.boe.es/gazeta/dias/1808/04/22/pdfs/GMD-C-1808-38.pdf#page=22","Abrir facsímil")</f>
        <v>Abrir facsímil</v>
      </c>
      <c r="K7681" s="15" t="s">
        <v>23</v>
      </c>
    </row>
    <row r="7682" spans="1:11" ht="42" customHeight="1">
      <c r="A7682" s="4" t="s">
        <v>18432</v>
      </c>
      <c r="B7682" s="5" t="s">
        <v>18433</v>
      </c>
      <c r="C7682" s="5" t="s">
        <v>94</v>
      </c>
      <c r="D7682" s="5" t="s">
        <v>95</v>
      </c>
      <c r="E7682" s="5" t="s">
        <v>28</v>
      </c>
      <c r="F7682" s="9" t="s">
        <v>29</v>
      </c>
      <c r="G7682" s="9">
        <v>1427</v>
      </c>
      <c r="H7682" s="5" t="s">
        <v>21</v>
      </c>
      <c r="I7682" s="5" t="s">
        <v>18434</v>
      </c>
      <c r="J7682" s="12" t="str">
        <f>HYPERLINK("https://www.boe.es/gazeta/dias/1808/11/04/pdfs/GMD-1808-141.pdf#page=9","Abrir facsímil")</f>
        <v>Abrir facsímil</v>
      </c>
      <c r="K7682" s="15" t="s">
        <v>23</v>
      </c>
    </row>
    <row r="7683" spans="1:11" ht="42" customHeight="1">
      <c r="A7683" s="4" t="s">
        <v>18435</v>
      </c>
      <c r="B7683" s="5" t="s">
        <v>18436</v>
      </c>
      <c r="C7683" s="5" t="s">
        <v>389</v>
      </c>
      <c r="D7683" s="5" t="s">
        <v>390</v>
      </c>
      <c r="E7683" s="5" t="s">
        <v>264</v>
      </c>
      <c r="F7683" s="9" t="s">
        <v>318</v>
      </c>
      <c r="G7683" s="9" t="s">
        <v>75</v>
      </c>
      <c r="H7683" s="5" t="s">
        <v>21</v>
      </c>
      <c r="I7683" s="5" t="s">
        <v>18437</v>
      </c>
      <c r="J7683" s="12" t="str">
        <f>HYPERLINK("https://www.boe.es/gazeta/dias/1808/11/29/pdfs/GMD-C-1808-148.pdf#page=4","Abrir facsímil")</f>
        <v>Abrir facsímil</v>
      </c>
      <c r="K7683" s="15" t="s">
        <v>23</v>
      </c>
    </row>
    <row r="7684" spans="1:11" ht="42" customHeight="1">
      <c r="A7684" s="4" t="s">
        <v>18438</v>
      </c>
      <c r="B7684" s="5" t="s">
        <v>18438</v>
      </c>
      <c r="C7684" s="5" t="s">
        <v>389</v>
      </c>
      <c r="D7684" s="5" t="s">
        <v>390</v>
      </c>
      <c r="E7684" s="5" t="s">
        <v>418</v>
      </c>
      <c r="F7684" s="9" t="s">
        <v>419</v>
      </c>
      <c r="G7684" s="9">
        <v>1139</v>
      </c>
      <c r="H7684" s="5" t="s">
        <v>21</v>
      </c>
      <c r="I7684" s="5" t="s">
        <v>18439</v>
      </c>
      <c r="J7684" s="12" t="str">
        <f>HYPERLINK("https://www.boe.es/gazeta/dias/1808/09/06/pdfs/GMD-C-1808-120.pdf#page=13","Abrir facsímil")</f>
        <v>Abrir facsímil</v>
      </c>
      <c r="K7684" s="15" t="s">
        <v>23</v>
      </c>
    </row>
    <row r="7685" spans="1:11" ht="42" customHeight="1">
      <c r="A7685" s="4" t="s">
        <v>18440</v>
      </c>
      <c r="B7685" s="5" t="s">
        <v>18440</v>
      </c>
      <c r="C7685" s="5" t="s">
        <v>260</v>
      </c>
      <c r="D7685" s="5" t="s">
        <v>42</v>
      </c>
      <c r="E7685" s="5" t="s">
        <v>207</v>
      </c>
      <c r="F7685" s="9" t="s">
        <v>208</v>
      </c>
      <c r="G7685" s="9">
        <v>196</v>
      </c>
      <c r="H7685" s="5" t="s">
        <v>21</v>
      </c>
      <c r="I7685" s="5" t="s">
        <v>18441</v>
      </c>
      <c r="J7685" s="12" t="str">
        <f>HYPERLINK("https://www.boe.es/gazeta/dias/1808/02/23/pdfs/GMD-1808-16.pdf#page=10","Abrir facsímil")</f>
        <v>Abrir facsímil</v>
      </c>
      <c r="K7685" s="15" t="s">
        <v>23</v>
      </c>
    </row>
    <row r="7686" spans="1:11" ht="42" customHeight="1">
      <c r="A7686" s="4" t="s">
        <v>18442</v>
      </c>
      <c r="B7686" s="5" t="s">
        <v>18443</v>
      </c>
      <c r="C7686" s="5" t="s">
        <v>17</v>
      </c>
      <c r="D7686" s="5" t="s">
        <v>18</v>
      </c>
      <c r="E7686" s="5" t="s">
        <v>73</v>
      </c>
      <c r="F7686" s="9" t="s">
        <v>581</v>
      </c>
      <c r="G7686" s="9">
        <v>1469</v>
      </c>
      <c r="H7686" s="5" t="s">
        <v>21</v>
      </c>
      <c r="I7686" s="5" t="s">
        <v>18444</v>
      </c>
      <c r="J7686" s="12" t="str">
        <f>HYPERLINK("https://www.boe.es/gazeta/dias/1808/11/11/pdfs/GMD-1808-143.pdf#page=11","Abrir facsímil")</f>
        <v>Abrir facsímil</v>
      </c>
      <c r="K7686" s="15" t="s">
        <v>23</v>
      </c>
    </row>
    <row r="7687" spans="1:11" ht="42" customHeight="1">
      <c r="A7687" s="4" t="s">
        <v>18445</v>
      </c>
      <c r="B7687" s="5" t="s">
        <v>18445</v>
      </c>
      <c r="C7687" s="5" t="s">
        <v>33</v>
      </c>
      <c r="D7687" s="5" t="s">
        <v>34</v>
      </c>
      <c r="E7687" s="5" t="s">
        <v>35</v>
      </c>
      <c r="F7687" s="9" t="s">
        <v>36</v>
      </c>
      <c r="G7687" s="9" t="s">
        <v>299</v>
      </c>
      <c r="H7687" s="5" t="s">
        <v>21</v>
      </c>
      <c r="I7687" s="5" t="s">
        <v>18446</v>
      </c>
      <c r="J7687" s="12" t="str">
        <f>HYPERLINK("https://www.boe.es/gazeta/dias/1808/04/22/pdfs/GMD-C-1808-38.pdf#page=14","Abrir facsímil")</f>
        <v>Abrir facsímil</v>
      </c>
      <c r="K7687" s="15" t="s">
        <v>23</v>
      </c>
    </row>
    <row r="7688" spans="1:11" ht="42" customHeight="1">
      <c r="A7688" s="4" t="s">
        <v>18447</v>
      </c>
      <c r="B7688" s="5" t="s">
        <v>18447</v>
      </c>
      <c r="C7688" s="5" t="s">
        <v>260</v>
      </c>
      <c r="D7688" s="5" t="s">
        <v>42</v>
      </c>
      <c r="E7688" s="5" t="s">
        <v>115</v>
      </c>
      <c r="F7688" s="9" t="s">
        <v>1650</v>
      </c>
      <c r="G7688" s="9">
        <v>1177</v>
      </c>
      <c r="H7688" s="5" t="s">
        <v>21</v>
      </c>
      <c r="I7688" s="5" t="s">
        <v>18448</v>
      </c>
      <c r="J7688" s="12" t="str">
        <f>HYPERLINK("https://www.boe.es/gazeta/dias/1808/09/16/pdfs/GMD-1808-125.pdf#page=9","Abrir facsímil")</f>
        <v>Abrir facsímil</v>
      </c>
      <c r="K7688" s="15" t="s">
        <v>23</v>
      </c>
    </row>
    <row r="7689" spans="1:11" ht="42" customHeight="1">
      <c r="A7689" s="4" t="s">
        <v>18449</v>
      </c>
      <c r="B7689" s="5" t="s">
        <v>18449</v>
      </c>
      <c r="C7689" s="5" t="s">
        <v>26</v>
      </c>
      <c r="D7689" s="5" t="s">
        <v>27</v>
      </c>
      <c r="E7689" s="5" t="s">
        <v>110</v>
      </c>
      <c r="F7689" s="9" t="s">
        <v>828</v>
      </c>
      <c r="G7689" s="9" t="s">
        <v>75</v>
      </c>
      <c r="H7689" s="5" t="s">
        <v>21</v>
      </c>
      <c r="I7689" s="5" t="s">
        <v>18450</v>
      </c>
      <c r="J7689" s="12" t="str">
        <f>HYPERLINK("https://www.boe.es/gazeta/dias/1808/10/28/pdfs/GMD-D-1808-138.pdf#page=4","Abrir facsímil")</f>
        <v>Abrir facsímil</v>
      </c>
      <c r="K7689" s="15" t="s">
        <v>23</v>
      </c>
    </row>
    <row r="7690" spans="1:11" ht="42" customHeight="1">
      <c r="A7690" s="4" t="s">
        <v>18451</v>
      </c>
      <c r="B7690" s="5" t="s">
        <v>18451</v>
      </c>
      <c r="C7690" s="5" t="s">
        <v>41</v>
      </c>
      <c r="D7690" s="5" t="s">
        <v>42</v>
      </c>
      <c r="E7690" s="5" t="s">
        <v>427</v>
      </c>
      <c r="F7690" s="9" t="s">
        <v>428</v>
      </c>
      <c r="G7690" s="9" t="s">
        <v>75</v>
      </c>
      <c r="H7690" s="5" t="s">
        <v>21</v>
      </c>
      <c r="I7690" s="5" t="s">
        <v>18452</v>
      </c>
      <c r="J7690" s="12" t="str">
        <f>HYPERLINK("https://www.boe.es/gazeta/dias/1808/11/22/pdfs/GMD-D-1808-146.pdf#page=4","Abrir facsímil")</f>
        <v>Abrir facsímil</v>
      </c>
      <c r="K7690" s="15" t="s">
        <v>23</v>
      </c>
    </row>
    <row r="7691" spans="1:11" ht="42" customHeight="1">
      <c r="A7691" s="4" t="s">
        <v>18453</v>
      </c>
      <c r="B7691" s="5" t="s">
        <v>18453</v>
      </c>
      <c r="C7691" s="5" t="s">
        <v>33</v>
      </c>
      <c r="D7691" s="5" t="s">
        <v>34</v>
      </c>
      <c r="E7691" s="5" t="s">
        <v>35</v>
      </c>
      <c r="F7691" s="9" t="s">
        <v>36</v>
      </c>
      <c r="G7691" s="9" t="s">
        <v>299</v>
      </c>
      <c r="H7691" s="5" t="s">
        <v>21</v>
      </c>
      <c r="I7691" s="5" t="s">
        <v>18454</v>
      </c>
      <c r="J7691" s="12" t="str">
        <f>HYPERLINK("https://www.boe.es/gazeta/dias/1808/04/22/pdfs/GMD-C-1808-38.pdf#page=14","Abrir facsímil")</f>
        <v>Abrir facsímil</v>
      </c>
      <c r="K7691" s="15" t="s">
        <v>23</v>
      </c>
    </row>
    <row r="7692" spans="1:11" ht="42" customHeight="1">
      <c r="A7692" s="4" t="s">
        <v>18455</v>
      </c>
      <c r="B7692" s="5" t="s">
        <v>18456</v>
      </c>
      <c r="C7692" s="5" t="s">
        <v>17</v>
      </c>
      <c r="D7692" s="5" t="s">
        <v>18</v>
      </c>
      <c r="E7692" s="5" t="s">
        <v>2794</v>
      </c>
      <c r="F7692" s="9" t="s">
        <v>2795</v>
      </c>
      <c r="G7692" s="9">
        <v>976</v>
      </c>
      <c r="H7692" s="5" t="s">
        <v>21</v>
      </c>
      <c r="I7692" s="5" t="s">
        <v>18457</v>
      </c>
      <c r="J7692" s="12" t="str">
        <f>HYPERLINK("https://www.boe.es/gazeta/dias/1808/08/06/pdfs/GMD-1808-109.pdf#page=2","Abrir facsímil")</f>
        <v>Abrir facsímil</v>
      </c>
      <c r="K7692" s="15" t="s">
        <v>23</v>
      </c>
    </row>
    <row r="7693" spans="1:11" ht="42" customHeight="1">
      <c r="A7693" s="4" t="s">
        <v>18458</v>
      </c>
      <c r="B7693" s="5" t="s">
        <v>18458</v>
      </c>
      <c r="C7693" s="5" t="s">
        <v>33</v>
      </c>
      <c r="D7693" s="5" t="s">
        <v>34</v>
      </c>
      <c r="E7693" s="5" t="s">
        <v>35</v>
      </c>
      <c r="F7693" s="9" t="s">
        <v>36</v>
      </c>
      <c r="G7693" s="9" t="s">
        <v>498</v>
      </c>
      <c r="H7693" s="5" t="s">
        <v>21</v>
      </c>
      <c r="I7693" s="5" t="s">
        <v>18459</v>
      </c>
      <c r="J7693" s="12" t="str">
        <f>HYPERLINK("https://www.boe.es/gazeta/dias/1808/04/22/pdfs/GMD-C-1808-38.pdf#page=22","Abrir facsímil")</f>
        <v>Abrir facsímil</v>
      </c>
      <c r="K7693" s="15" t="s">
        <v>23</v>
      </c>
    </row>
    <row r="7694" spans="1:11" ht="42" customHeight="1">
      <c r="A7694" s="4" t="s">
        <v>18460</v>
      </c>
      <c r="B7694" s="5" t="s">
        <v>18461</v>
      </c>
      <c r="C7694" s="5" t="s">
        <v>17</v>
      </c>
      <c r="D7694" s="5" t="s">
        <v>18</v>
      </c>
      <c r="E7694" s="5" t="s">
        <v>110</v>
      </c>
      <c r="F7694" s="9" t="s">
        <v>111</v>
      </c>
      <c r="G7694" s="9">
        <v>1383</v>
      </c>
      <c r="H7694" s="5" t="s">
        <v>21</v>
      </c>
      <c r="I7694" s="5" t="s">
        <v>18462</v>
      </c>
      <c r="J7694" s="12" t="str">
        <f>HYPERLINK("https://www.boe.es/gazeta/dias/1808/10/28/pdfs/GMD-1808-138.pdf#page=9","Abrir facsímil")</f>
        <v>Abrir facsímil</v>
      </c>
      <c r="K7694" s="15" t="s">
        <v>23</v>
      </c>
    </row>
    <row r="7695" spans="1:11" ht="42" customHeight="1">
      <c r="A7695" s="4" t="s">
        <v>18460</v>
      </c>
      <c r="B7695" s="5" t="s">
        <v>18461</v>
      </c>
      <c r="C7695" s="5" t="s">
        <v>41</v>
      </c>
      <c r="D7695" s="5" t="s">
        <v>42</v>
      </c>
      <c r="E7695" s="5" t="s">
        <v>558</v>
      </c>
      <c r="F7695" s="9" t="s">
        <v>758</v>
      </c>
      <c r="G7695" s="9" t="s">
        <v>199</v>
      </c>
      <c r="H7695" s="5" t="s">
        <v>21</v>
      </c>
      <c r="I7695" s="5" t="s">
        <v>18463</v>
      </c>
      <c r="J7695" s="12" t="str">
        <f>HYPERLINK("https://www.boe.es/gazeta/dias/1808/11/25/pdfs/GMD-E-1808-147.pdf#page=2","Abrir facsímil")</f>
        <v>Abrir facsímil</v>
      </c>
      <c r="K7695" s="15" t="s">
        <v>23</v>
      </c>
    </row>
    <row r="7696" spans="1:11" ht="42" customHeight="1">
      <c r="A7696" s="4" t="s">
        <v>18464</v>
      </c>
      <c r="B7696" s="5" t="s">
        <v>18465</v>
      </c>
      <c r="C7696" s="5" t="s">
        <v>33</v>
      </c>
      <c r="D7696" s="5" t="s">
        <v>34</v>
      </c>
      <c r="E7696" s="5" t="s">
        <v>264</v>
      </c>
      <c r="F7696" s="9" t="s">
        <v>318</v>
      </c>
      <c r="G7696" s="9" t="s">
        <v>117</v>
      </c>
      <c r="H7696" s="5" t="s">
        <v>21</v>
      </c>
      <c r="I7696" s="5" t="s">
        <v>18466</v>
      </c>
      <c r="J7696" s="12" t="str">
        <f>HYPERLINK("https://www.boe.es/gazeta/dias/1808/11/29/pdfs/GMD-C-1808-148.pdf#page=1","Abrir facsímil")</f>
        <v>Abrir facsímil</v>
      </c>
      <c r="K7696" s="15" t="s">
        <v>23</v>
      </c>
    </row>
    <row r="7697" spans="1:11" ht="42" customHeight="1">
      <c r="A7697" s="4" t="s">
        <v>18467</v>
      </c>
      <c r="B7697" s="5" t="s">
        <v>18467</v>
      </c>
      <c r="C7697" s="5" t="s">
        <v>41</v>
      </c>
      <c r="D7697" s="5" t="s">
        <v>42</v>
      </c>
      <c r="E7697" s="5" t="s">
        <v>1472</v>
      </c>
      <c r="F7697" s="9" t="s">
        <v>1473</v>
      </c>
      <c r="G7697" s="9">
        <v>94</v>
      </c>
      <c r="H7697" s="5" t="s">
        <v>21</v>
      </c>
      <c r="I7697" s="5" t="s">
        <v>18468</v>
      </c>
      <c r="J7697" s="12" t="str">
        <f>HYPERLINK("https://www.boe.es/gazeta/dias/1808/01/26/pdfs/GMD-1808-8.pdf#page=10","Abrir facsímil")</f>
        <v>Abrir facsímil</v>
      </c>
      <c r="K7697" s="15" t="s">
        <v>23</v>
      </c>
    </row>
    <row r="7698" spans="1:11" ht="42" customHeight="1">
      <c r="A7698" s="4" t="s">
        <v>18469</v>
      </c>
      <c r="B7698" s="5" t="s">
        <v>18469</v>
      </c>
      <c r="C7698" s="5" t="s">
        <v>41</v>
      </c>
      <c r="D7698" s="5" t="s">
        <v>42</v>
      </c>
      <c r="E7698" s="5" t="s">
        <v>431</v>
      </c>
      <c r="F7698" s="9" t="s">
        <v>432</v>
      </c>
      <c r="G7698" s="9">
        <v>492</v>
      </c>
      <c r="H7698" s="5" t="s">
        <v>21</v>
      </c>
      <c r="I7698" s="5" t="s">
        <v>18470</v>
      </c>
      <c r="J7698" s="12" t="str">
        <f>HYPERLINK("https://www.boe.es/gazeta/dias/1808/12/27/pdfs/GMS-1808-61.pdf#page=8","Abrir facsímil")</f>
        <v>Abrir facsímil</v>
      </c>
      <c r="K7698" s="15" t="s">
        <v>23</v>
      </c>
    </row>
    <row r="7699" spans="1:11" ht="42" customHeight="1">
      <c r="A7699" s="4" t="s">
        <v>18471</v>
      </c>
      <c r="B7699" s="5" t="s">
        <v>18471</v>
      </c>
      <c r="C7699" s="5" t="s">
        <v>33</v>
      </c>
      <c r="D7699" s="5" t="s">
        <v>34</v>
      </c>
      <c r="E7699" s="5" t="s">
        <v>35</v>
      </c>
      <c r="F7699" s="9" t="s">
        <v>36</v>
      </c>
      <c r="G7699" s="9" t="s">
        <v>1006</v>
      </c>
      <c r="H7699" s="5" t="s">
        <v>21</v>
      </c>
      <c r="I7699" s="5" t="s">
        <v>18472</v>
      </c>
      <c r="J7699" s="12" t="str">
        <f>HYPERLINK("https://www.boe.es/gazeta/dias/1808/04/22/pdfs/GMD-C-1808-38.pdf#page=46","Abrir facsímil")</f>
        <v>Abrir facsímil</v>
      </c>
      <c r="K7699" s="15" t="s">
        <v>23</v>
      </c>
    </row>
    <row r="7700" spans="1:11" ht="42" customHeight="1">
      <c r="A7700" s="4" t="s">
        <v>18473</v>
      </c>
      <c r="B7700" s="5" t="s">
        <v>18474</v>
      </c>
      <c r="C7700" s="5" t="s">
        <v>17</v>
      </c>
      <c r="D7700" s="5" t="s">
        <v>18</v>
      </c>
      <c r="E7700" s="5" t="s">
        <v>130</v>
      </c>
      <c r="F7700" s="9" t="s">
        <v>131</v>
      </c>
      <c r="G7700" s="9">
        <v>1604</v>
      </c>
      <c r="H7700" s="5" t="s">
        <v>21</v>
      </c>
      <c r="I7700" s="5" t="s">
        <v>18475</v>
      </c>
      <c r="J7700" s="12" t="str">
        <f>HYPERLINK("https://www.boe.es/gazeta/dias/1808/12/15/pdfs/GMD-1808-155.pdf#page=8","Abrir facsímil")</f>
        <v>Abrir facsímil</v>
      </c>
      <c r="K7700" s="15" t="s">
        <v>23</v>
      </c>
    </row>
    <row r="7701" spans="1:11" ht="42" customHeight="1">
      <c r="A7701" s="4" t="s">
        <v>18476</v>
      </c>
      <c r="B7701" s="5" t="s">
        <v>18477</v>
      </c>
      <c r="C7701" s="5" t="s">
        <v>33</v>
      </c>
      <c r="D7701" s="5" t="s">
        <v>34</v>
      </c>
      <c r="E7701" s="5" t="s">
        <v>197</v>
      </c>
      <c r="F7701" s="9" t="s">
        <v>198</v>
      </c>
      <c r="G7701" s="9" t="s">
        <v>199</v>
      </c>
      <c r="H7701" s="5" t="s">
        <v>21</v>
      </c>
      <c r="I7701" s="5" t="s">
        <v>18478</v>
      </c>
      <c r="J7701" s="12" t="str">
        <f>HYPERLINK("https://www.boe.es/gazeta/dias/1808/11/01/pdfs/GMD-D-1808-140.pdf#page=2","Abrir facsímil")</f>
        <v>Abrir facsímil</v>
      </c>
      <c r="K7701" s="15" t="s">
        <v>23</v>
      </c>
    </row>
    <row r="7702" spans="1:11" ht="42" customHeight="1">
      <c r="A7702" s="4" t="s">
        <v>18479</v>
      </c>
      <c r="B7702" s="5" t="s">
        <v>18479</v>
      </c>
      <c r="C7702" s="5" t="s">
        <v>33</v>
      </c>
      <c r="D7702" s="5" t="s">
        <v>34</v>
      </c>
      <c r="E7702" s="5" t="s">
        <v>35</v>
      </c>
      <c r="F7702" s="9" t="s">
        <v>36</v>
      </c>
      <c r="G7702" s="9" t="s">
        <v>148</v>
      </c>
      <c r="H7702" s="5" t="s">
        <v>21</v>
      </c>
      <c r="I7702" s="5" t="s">
        <v>18480</v>
      </c>
      <c r="J7702" s="12" t="str">
        <f>HYPERLINK("https://www.boe.es/gazeta/dias/1808/04/22/pdfs/GMD-C-1808-38.pdf#page=38","Abrir facsímil")</f>
        <v>Abrir facsímil</v>
      </c>
      <c r="K7702" s="15" t="s">
        <v>23</v>
      </c>
    </row>
    <row r="7703" spans="1:11" ht="42" customHeight="1">
      <c r="A7703" s="4" t="s">
        <v>18481</v>
      </c>
      <c r="B7703" s="5" t="s">
        <v>18482</v>
      </c>
      <c r="C7703" s="5" t="s">
        <v>17</v>
      </c>
      <c r="D7703" s="5" t="s">
        <v>18</v>
      </c>
      <c r="E7703" s="5" t="s">
        <v>203</v>
      </c>
      <c r="F7703" s="9" t="s">
        <v>204</v>
      </c>
      <c r="G7703" s="9">
        <v>141</v>
      </c>
      <c r="H7703" s="5" t="s">
        <v>21</v>
      </c>
      <c r="I7703" s="5" t="s">
        <v>18483</v>
      </c>
      <c r="J7703" s="12" t="str">
        <f>HYPERLINK("https://www.boe.es/gazeta/dias/1808/02/09/pdfs/GMD-1808-12.pdf#page=9","Abrir facsímil")</f>
        <v>Abrir facsímil</v>
      </c>
      <c r="K7703" s="15" t="s">
        <v>23</v>
      </c>
    </row>
    <row r="7704" spans="1:11" ht="42" customHeight="1">
      <c r="A7704" s="4" t="s">
        <v>18484</v>
      </c>
      <c r="B7704" s="5" t="s">
        <v>18485</v>
      </c>
      <c r="C7704" s="5" t="s">
        <v>33</v>
      </c>
      <c r="D7704" s="5" t="s">
        <v>34</v>
      </c>
      <c r="E7704" s="5" t="s">
        <v>35</v>
      </c>
      <c r="F7704" s="9" t="s">
        <v>36</v>
      </c>
      <c r="G7704" s="9" t="s">
        <v>414</v>
      </c>
      <c r="H7704" s="5" t="s">
        <v>21</v>
      </c>
      <c r="I7704" s="5" t="s">
        <v>18486</v>
      </c>
      <c r="J7704" s="12" t="str">
        <f>HYPERLINK("https://www.boe.es/gazeta/dias/1808/04/22/pdfs/GMD-C-1808-38.pdf#page=20","Abrir facsímil")</f>
        <v>Abrir facsímil</v>
      </c>
      <c r="K7704" s="15" t="s">
        <v>23</v>
      </c>
    </row>
    <row r="7705" spans="1:11" ht="42" customHeight="1">
      <c r="A7705" s="4" t="s">
        <v>18487</v>
      </c>
      <c r="B7705" s="5" t="s">
        <v>18488</v>
      </c>
      <c r="C7705" s="5" t="s">
        <v>41</v>
      </c>
      <c r="D7705" s="5" t="s">
        <v>42</v>
      </c>
      <c r="E7705" s="5" t="s">
        <v>54</v>
      </c>
      <c r="F7705" s="9" t="s">
        <v>55</v>
      </c>
      <c r="G7705" s="9">
        <v>1087</v>
      </c>
      <c r="H7705" s="5" t="s">
        <v>21</v>
      </c>
      <c r="I7705" s="5" t="s">
        <v>18489</v>
      </c>
      <c r="J7705" s="12" t="str">
        <f>HYPERLINK("https://www.boe.es/gazeta/dias/1808/08/26/pdfs/GMD-1808-117.pdf#page=9","Abrir facsímil")</f>
        <v>Abrir facsímil</v>
      </c>
      <c r="K7705" s="15" t="s">
        <v>23</v>
      </c>
    </row>
    <row r="7706" spans="1:11" ht="42" customHeight="1">
      <c r="A7706" s="4" t="s">
        <v>18490</v>
      </c>
      <c r="B7706" s="5" t="s">
        <v>18490</v>
      </c>
      <c r="C7706" s="5" t="s">
        <v>94</v>
      </c>
      <c r="D7706" s="5" t="s">
        <v>95</v>
      </c>
      <c r="E7706" s="5" t="s">
        <v>1821</v>
      </c>
      <c r="F7706" s="9" t="s">
        <v>1874</v>
      </c>
      <c r="G7706" s="9">
        <v>628</v>
      </c>
      <c r="H7706" s="5" t="s">
        <v>21</v>
      </c>
      <c r="I7706" s="5" t="s">
        <v>18491</v>
      </c>
      <c r="J7706" s="12" t="str">
        <f>HYPERLINK("https://www.boe.es/gazeta/dias/1808/06/22/pdfs/GMD-1808-64.pdf#page=6","Abrir facsímil")</f>
        <v>Abrir facsímil</v>
      </c>
      <c r="K7706" s="15" t="s">
        <v>23</v>
      </c>
    </row>
    <row r="7707" spans="1:11" ht="42" customHeight="1">
      <c r="A7707" s="4" t="s">
        <v>18492</v>
      </c>
      <c r="B7707" s="5" t="s">
        <v>18492</v>
      </c>
      <c r="C7707" s="5" t="s">
        <v>94</v>
      </c>
      <c r="D7707" s="5" t="s">
        <v>95</v>
      </c>
      <c r="E7707" s="5" t="s">
        <v>1148</v>
      </c>
      <c r="F7707" s="9" t="s">
        <v>1149</v>
      </c>
      <c r="G7707" s="9">
        <v>508</v>
      </c>
      <c r="H7707" s="5" t="s">
        <v>21</v>
      </c>
      <c r="I7707" s="5" t="s">
        <v>18493</v>
      </c>
      <c r="J7707" s="12" t="str">
        <f>HYPERLINK("https://www.boe.es/gazeta/dias/1808/05/27/pdfs/GMD-1808-50.pdf#page=12","Abrir facsímil")</f>
        <v>Abrir facsímil</v>
      </c>
      <c r="K7707" s="15" t="s">
        <v>23</v>
      </c>
    </row>
    <row r="7708" spans="1:11" ht="42" customHeight="1">
      <c r="A7708" s="4" t="s">
        <v>18494</v>
      </c>
      <c r="B7708" s="5" t="s">
        <v>18494</v>
      </c>
      <c r="C7708" s="5" t="s">
        <v>94</v>
      </c>
      <c r="D7708" s="5" t="s">
        <v>95</v>
      </c>
      <c r="E7708" s="5" t="s">
        <v>572</v>
      </c>
      <c r="F7708" s="9" t="s">
        <v>573</v>
      </c>
      <c r="G7708" s="9">
        <v>21</v>
      </c>
      <c r="H7708" s="5" t="s">
        <v>21</v>
      </c>
      <c r="I7708" s="5" t="s">
        <v>18495</v>
      </c>
      <c r="J7708" s="12" t="str">
        <f>HYPERLINK("https://www.boe.es/gazeta/dias/1808/01/05/pdfs/GMD-1808-2.pdf#page=9","Abrir facsímil")</f>
        <v>Abrir facsímil</v>
      </c>
      <c r="K7708" s="15" t="s">
        <v>23</v>
      </c>
    </row>
    <row r="7709" spans="1:11" ht="42" customHeight="1">
      <c r="A7709" s="4" t="s">
        <v>18494</v>
      </c>
      <c r="B7709" s="5" t="s">
        <v>18494</v>
      </c>
      <c r="C7709" s="5" t="s">
        <v>94</v>
      </c>
      <c r="D7709" s="5" t="s">
        <v>95</v>
      </c>
      <c r="E7709" s="5" t="s">
        <v>572</v>
      </c>
      <c r="F7709" s="9" t="s">
        <v>573</v>
      </c>
      <c r="G7709" s="9">
        <v>22</v>
      </c>
      <c r="H7709" s="5" t="s">
        <v>21</v>
      </c>
      <c r="I7709" s="5" t="s">
        <v>18496</v>
      </c>
      <c r="J7709" s="12" t="str">
        <f>HYPERLINK("https://www.boe.es/gazeta/dias/1808/01/05/pdfs/GMD-1808-2.pdf#page=10","Abrir facsímil")</f>
        <v>Abrir facsímil</v>
      </c>
      <c r="K7709" s="15" t="s">
        <v>23</v>
      </c>
    </row>
    <row r="7710" spans="1:11" ht="42" customHeight="1">
      <c r="A7710" s="4" t="s">
        <v>18497</v>
      </c>
      <c r="B7710" s="5" t="s">
        <v>18497</v>
      </c>
      <c r="C7710" s="5" t="s">
        <v>94</v>
      </c>
      <c r="D7710" s="5" t="s">
        <v>95</v>
      </c>
      <c r="E7710" s="5" t="s">
        <v>238</v>
      </c>
      <c r="F7710" s="9" t="s">
        <v>239</v>
      </c>
      <c r="G7710" s="9">
        <v>36</v>
      </c>
      <c r="H7710" s="5" t="s">
        <v>21</v>
      </c>
      <c r="I7710" s="5" t="s">
        <v>18498</v>
      </c>
      <c r="J7710" s="12" t="str">
        <f>HYPERLINK("https://www.boe.es/gazeta/dias/1808/01/08/pdfs/GMD-1808-3.pdf#page=12","Abrir facsímil")</f>
        <v>Abrir facsímil</v>
      </c>
      <c r="K7710" s="15" t="s">
        <v>23</v>
      </c>
    </row>
    <row r="7711" spans="1:11" ht="42" customHeight="1">
      <c r="A7711" s="4" t="s">
        <v>18494</v>
      </c>
      <c r="B7711" s="5" t="s">
        <v>18494</v>
      </c>
      <c r="C7711" s="5" t="s">
        <v>94</v>
      </c>
      <c r="D7711" s="5" t="s">
        <v>95</v>
      </c>
      <c r="E7711" s="5" t="s">
        <v>1472</v>
      </c>
      <c r="F7711" s="9" t="s">
        <v>1473</v>
      </c>
      <c r="G7711" s="9">
        <v>93</v>
      </c>
      <c r="H7711" s="5" t="s">
        <v>21</v>
      </c>
      <c r="I7711" s="5" t="s">
        <v>18499</v>
      </c>
      <c r="J7711" s="12" t="str">
        <f>HYPERLINK("https://www.boe.es/gazeta/dias/1808/01/26/pdfs/GMD-1808-8.pdf#page=9","Abrir facsímil")</f>
        <v>Abrir facsímil</v>
      </c>
      <c r="K7711" s="15" t="s">
        <v>23</v>
      </c>
    </row>
    <row r="7712" spans="1:11" ht="42" customHeight="1">
      <c r="A7712" s="4" t="s">
        <v>18494</v>
      </c>
      <c r="B7712" s="5" t="s">
        <v>18494</v>
      </c>
      <c r="C7712" s="5" t="s">
        <v>94</v>
      </c>
      <c r="D7712" s="5" t="s">
        <v>95</v>
      </c>
      <c r="E7712" s="5" t="s">
        <v>1472</v>
      </c>
      <c r="F7712" s="9" t="s">
        <v>1473</v>
      </c>
      <c r="G7712" s="9">
        <v>94</v>
      </c>
      <c r="H7712" s="5" t="s">
        <v>21</v>
      </c>
      <c r="I7712" s="5" t="s">
        <v>18500</v>
      </c>
      <c r="J7712" s="12" t="str">
        <f>HYPERLINK("https://www.boe.es/gazeta/dias/1808/01/26/pdfs/GMD-1808-8.pdf#page=10","Abrir facsímil")</f>
        <v>Abrir facsímil</v>
      </c>
      <c r="K7712" s="15" t="s">
        <v>23</v>
      </c>
    </row>
    <row r="7713" spans="1:11" ht="42" customHeight="1">
      <c r="A7713" s="4" t="s">
        <v>18494</v>
      </c>
      <c r="B7713" s="5" t="s">
        <v>18494</v>
      </c>
      <c r="C7713" s="5" t="s">
        <v>94</v>
      </c>
      <c r="D7713" s="5" t="s">
        <v>95</v>
      </c>
      <c r="E7713" s="5" t="s">
        <v>877</v>
      </c>
      <c r="F7713" s="9" t="s">
        <v>878</v>
      </c>
      <c r="G7713" s="9">
        <v>119</v>
      </c>
      <c r="H7713" s="5" t="s">
        <v>21</v>
      </c>
      <c r="I7713" s="5" t="s">
        <v>18501</v>
      </c>
      <c r="J7713" s="12" t="str">
        <f>HYPERLINK("https://www.boe.es/gazeta/dias/1808/02/02/pdfs/GMD-1808-10.pdf#page=11","Abrir facsímil")</f>
        <v>Abrir facsímil</v>
      </c>
      <c r="K7713" s="15" t="s">
        <v>23</v>
      </c>
    </row>
    <row r="7714" spans="1:11" ht="42" customHeight="1">
      <c r="A7714" s="4" t="s">
        <v>18502</v>
      </c>
      <c r="B7714" s="5" t="s">
        <v>18502</v>
      </c>
      <c r="C7714" s="5" t="s">
        <v>94</v>
      </c>
      <c r="D7714" s="5" t="s">
        <v>95</v>
      </c>
      <c r="E7714" s="5" t="s">
        <v>203</v>
      </c>
      <c r="F7714" s="9" t="s">
        <v>204</v>
      </c>
      <c r="G7714" s="9">
        <v>144</v>
      </c>
      <c r="H7714" s="5" t="s">
        <v>21</v>
      </c>
      <c r="I7714" s="5" t="s">
        <v>18503</v>
      </c>
      <c r="J7714" s="12" t="str">
        <f>HYPERLINK("https://www.boe.es/gazeta/dias/1808/02/09/pdfs/GMD-1808-12.pdf#page=12","Abrir facsímil")</f>
        <v>Abrir facsímil</v>
      </c>
      <c r="K7714" s="15" t="s">
        <v>23</v>
      </c>
    </row>
    <row r="7715" spans="1:11" ht="42" customHeight="1">
      <c r="A7715" s="4" t="s">
        <v>18494</v>
      </c>
      <c r="B7715" s="5" t="s">
        <v>18494</v>
      </c>
      <c r="C7715" s="5" t="s">
        <v>94</v>
      </c>
      <c r="D7715" s="5" t="s">
        <v>95</v>
      </c>
      <c r="E7715" s="5" t="s">
        <v>2159</v>
      </c>
      <c r="F7715" s="9" t="s">
        <v>2160</v>
      </c>
      <c r="G7715" s="9">
        <v>184</v>
      </c>
      <c r="H7715" s="5" t="s">
        <v>21</v>
      </c>
      <c r="I7715" s="5" t="s">
        <v>18504</v>
      </c>
      <c r="J7715" s="12" t="str">
        <f>HYPERLINK("https://www.boe.es/gazeta/dias/1808/02/19/pdfs/GMD-1808-15.pdf#page=14","Abrir facsímil")</f>
        <v>Abrir facsímil</v>
      </c>
      <c r="K7715" s="15" t="s">
        <v>23</v>
      </c>
    </row>
    <row r="7716" spans="1:11" ht="42" customHeight="1">
      <c r="A7716" s="4" t="s">
        <v>18494</v>
      </c>
      <c r="B7716" s="5" t="s">
        <v>18494</v>
      </c>
      <c r="C7716" s="5" t="s">
        <v>94</v>
      </c>
      <c r="D7716" s="5" t="s">
        <v>95</v>
      </c>
      <c r="E7716" s="5" t="s">
        <v>478</v>
      </c>
      <c r="F7716" s="9" t="s">
        <v>479</v>
      </c>
      <c r="G7716" s="9">
        <v>244</v>
      </c>
      <c r="H7716" s="5" t="s">
        <v>21</v>
      </c>
      <c r="I7716" s="5" t="s">
        <v>18505</v>
      </c>
      <c r="J7716" s="12" t="str">
        <f>HYPERLINK("https://www.boe.es/gazeta/dias/1808/03/08/pdfs/GMD-1808-20.pdf#page=10","Abrir facsímil")</f>
        <v>Abrir facsímil</v>
      </c>
      <c r="K7716" s="15" t="s">
        <v>23</v>
      </c>
    </row>
    <row r="7717" spans="1:11" ht="42" customHeight="1">
      <c r="A7717" s="4" t="s">
        <v>18494</v>
      </c>
      <c r="B7717" s="5" t="s">
        <v>18494</v>
      </c>
      <c r="C7717" s="5" t="s">
        <v>94</v>
      </c>
      <c r="D7717" s="5" t="s">
        <v>95</v>
      </c>
      <c r="E7717" s="5" t="s">
        <v>478</v>
      </c>
      <c r="F7717" s="9" t="s">
        <v>479</v>
      </c>
      <c r="G7717" s="9">
        <v>245</v>
      </c>
      <c r="H7717" s="5" t="s">
        <v>21</v>
      </c>
      <c r="I7717" s="5" t="s">
        <v>18506</v>
      </c>
      <c r="J7717" s="12" t="str">
        <f>HYPERLINK("https://www.boe.es/gazeta/dias/1808/03/08/pdfs/GMD-1808-20.pdf#page=11","Abrir facsímil")</f>
        <v>Abrir facsímil</v>
      </c>
      <c r="K7717" s="15" t="s">
        <v>23</v>
      </c>
    </row>
    <row r="7718" spans="1:11" ht="42" customHeight="1">
      <c r="A7718" s="4" t="s">
        <v>18494</v>
      </c>
      <c r="B7718" s="5" t="s">
        <v>18494</v>
      </c>
      <c r="C7718" s="5" t="s">
        <v>94</v>
      </c>
      <c r="D7718" s="5" t="s">
        <v>95</v>
      </c>
      <c r="E7718" s="5" t="s">
        <v>210</v>
      </c>
      <c r="F7718" s="9" t="s">
        <v>211</v>
      </c>
      <c r="G7718" s="9">
        <v>255</v>
      </c>
      <c r="H7718" s="5" t="s">
        <v>21</v>
      </c>
      <c r="I7718" s="5" t="s">
        <v>18507</v>
      </c>
      <c r="J7718" s="12" t="str">
        <f>HYPERLINK("https://www.boe.es/gazeta/dias/1808/03/11/pdfs/GMD-1808-21.pdf#page=9","Abrir facsímil")</f>
        <v>Abrir facsímil</v>
      </c>
      <c r="K7718" s="15" t="s">
        <v>23</v>
      </c>
    </row>
    <row r="7719" spans="1:11" ht="42" customHeight="1">
      <c r="A7719" s="4" t="s">
        <v>18494</v>
      </c>
      <c r="B7719" s="5" t="s">
        <v>18494</v>
      </c>
      <c r="C7719" s="5" t="s">
        <v>94</v>
      </c>
      <c r="D7719" s="5" t="s">
        <v>95</v>
      </c>
      <c r="E7719" s="5" t="s">
        <v>222</v>
      </c>
      <c r="F7719" s="9" t="s">
        <v>223</v>
      </c>
      <c r="G7719" s="9">
        <v>357</v>
      </c>
      <c r="H7719" s="5" t="s">
        <v>21</v>
      </c>
      <c r="I7719" s="5" t="s">
        <v>18508</v>
      </c>
      <c r="J7719" s="12" t="str">
        <f>HYPERLINK("https://www.boe.es/gazeta/dias/1808/04/08/pdfs/GMD-1808-32.pdf#page=11","Abrir facsímil")</f>
        <v>Abrir facsímil</v>
      </c>
      <c r="K7719" s="15" t="s">
        <v>23</v>
      </c>
    </row>
    <row r="7720" spans="1:11" ht="42" customHeight="1">
      <c r="A7720" s="4" t="s">
        <v>18494</v>
      </c>
      <c r="B7720" s="5" t="s">
        <v>18494</v>
      </c>
      <c r="C7720" s="5" t="s">
        <v>94</v>
      </c>
      <c r="D7720" s="5" t="s">
        <v>95</v>
      </c>
      <c r="E7720" s="5" t="s">
        <v>684</v>
      </c>
      <c r="F7720" s="9" t="s">
        <v>685</v>
      </c>
      <c r="G7720" s="9">
        <v>382</v>
      </c>
      <c r="H7720" s="5" t="s">
        <v>21</v>
      </c>
      <c r="I7720" s="5" t="s">
        <v>18509</v>
      </c>
      <c r="J7720" s="12" t="str">
        <f>HYPERLINK("https://www.boe.es/gazeta/dias/1808/04/15/pdfs/GMD-1808-35.pdf#page=8","Abrir facsímil")</f>
        <v>Abrir facsímil</v>
      </c>
      <c r="K7720" s="15" t="s">
        <v>23</v>
      </c>
    </row>
    <row r="7721" spans="1:11" ht="42" customHeight="1">
      <c r="A7721" s="4" t="s">
        <v>18494</v>
      </c>
      <c r="B7721" s="5" t="s">
        <v>18494</v>
      </c>
      <c r="C7721" s="5" t="s">
        <v>94</v>
      </c>
      <c r="D7721" s="5" t="s">
        <v>95</v>
      </c>
      <c r="E7721" s="5" t="s">
        <v>1760</v>
      </c>
      <c r="F7721" s="9" t="s">
        <v>1761</v>
      </c>
      <c r="G7721" s="9">
        <v>432</v>
      </c>
      <c r="H7721" s="5" t="s">
        <v>21</v>
      </c>
      <c r="I7721" s="5" t="s">
        <v>18510</v>
      </c>
      <c r="J7721" s="12" t="str">
        <f>HYPERLINK("https://www.boe.es/gazeta/dias/1808/05/03/pdfs/GMD-1808-43.pdf#page=8","Abrir facsímil")</f>
        <v>Abrir facsímil</v>
      </c>
      <c r="K7721" s="15" t="s">
        <v>23</v>
      </c>
    </row>
    <row r="7722" spans="1:11" ht="42" customHeight="1">
      <c r="A7722" s="4" t="s">
        <v>18511</v>
      </c>
      <c r="B7722" s="5" t="s">
        <v>18511</v>
      </c>
      <c r="C7722" s="5" t="s">
        <v>94</v>
      </c>
      <c r="D7722" s="5" t="s">
        <v>95</v>
      </c>
      <c r="E7722" s="5" t="s">
        <v>548</v>
      </c>
      <c r="F7722" s="9" t="s">
        <v>549</v>
      </c>
      <c r="G7722" s="9">
        <v>278</v>
      </c>
      <c r="H7722" s="5" t="s">
        <v>21</v>
      </c>
      <c r="I7722" s="5" t="s">
        <v>18512</v>
      </c>
      <c r="J7722" s="12" t="str">
        <f>HYPERLINK("https://www.boe.es/gazeta/dias/1808/03/18/pdfs/GMD-1808-23.pdf#page=8","Abrir facsímil")</f>
        <v>Abrir facsímil</v>
      </c>
      <c r="K7722" s="15" t="s">
        <v>23</v>
      </c>
    </row>
    <row r="7723" spans="1:11" ht="42" customHeight="1">
      <c r="A7723" s="4" t="s">
        <v>18513</v>
      </c>
      <c r="B7723" s="5" t="s">
        <v>18513</v>
      </c>
      <c r="C7723" s="5" t="s">
        <v>260</v>
      </c>
      <c r="D7723" s="5" t="s">
        <v>42</v>
      </c>
      <c r="E7723" s="5" t="s">
        <v>469</v>
      </c>
      <c r="F7723" s="9" t="s">
        <v>470</v>
      </c>
      <c r="G7723" s="9">
        <v>153</v>
      </c>
      <c r="H7723" s="5" t="s">
        <v>21</v>
      </c>
      <c r="I7723" s="5" t="s">
        <v>18514</v>
      </c>
      <c r="J7723" s="12" t="str">
        <f>HYPERLINK("https://www.boe.es/gazeta/dias/1808/02/12/pdfs/GMD-1808-13.pdf#page=9","Abrir facsímil")</f>
        <v>Abrir facsímil</v>
      </c>
      <c r="K7723" s="15" t="s">
        <v>23</v>
      </c>
    </row>
    <row r="7724" spans="1:11" ht="42" customHeight="1">
      <c r="A7724" s="4" t="s">
        <v>18515</v>
      </c>
      <c r="B7724" s="5" t="s">
        <v>18515</v>
      </c>
      <c r="C7724" s="5" t="s">
        <v>17</v>
      </c>
      <c r="D7724" s="5" t="s">
        <v>18</v>
      </c>
      <c r="E7724" s="5" t="s">
        <v>1466</v>
      </c>
      <c r="F7724" s="9" t="s">
        <v>1467</v>
      </c>
      <c r="G7724" s="9">
        <v>59</v>
      </c>
      <c r="H7724" s="5" t="s">
        <v>21</v>
      </c>
      <c r="I7724" s="5" t="s">
        <v>18516</v>
      </c>
      <c r="J7724" s="12" t="str">
        <f>HYPERLINK("https://www.boe.es/gazeta/dias/1808/01/15/pdfs/GMD-1808-5.pdf#page=11","Abrir facsímil")</f>
        <v>Abrir facsímil</v>
      </c>
      <c r="K7724" s="15" t="s">
        <v>23</v>
      </c>
    </row>
    <row r="7725" spans="1:11" ht="42" customHeight="1">
      <c r="A7725" s="4" t="s">
        <v>18517</v>
      </c>
      <c r="B7725" s="5" t="s">
        <v>18517</v>
      </c>
      <c r="C7725" s="5" t="s">
        <v>17</v>
      </c>
      <c r="D7725" s="5" t="s">
        <v>18</v>
      </c>
      <c r="E7725" s="5" t="s">
        <v>290</v>
      </c>
      <c r="F7725" s="9" t="s">
        <v>3150</v>
      </c>
      <c r="G7725" s="9">
        <v>198</v>
      </c>
      <c r="H7725" s="5" t="s">
        <v>21</v>
      </c>
      <c r="I7725" s="5" t="s">
        <v>18518</v>
      </c>
      <c r="J7725" s="12" t="str">
        <f>HYPERLINK("https://www.boe.es/gazeta/dias/1808/08/23/pdfs/GMS-1808-25.pdf#page=6","Abrir facsímil")</f>
        <v>Abrir facsímil</v>
      </c>
      <c r="K7725" s="15" t="s">
        <v>23</v>
      </c>
    </row>
    <row r="7726" spans="1:11" ht="42" customHeight="1">
      <c r="A7726" s="4" t="s">
        <v>18517</v>
      </c>
      <c r="B7726" s="5" t="s">
        <v>18517</v>
      </c>
      <c r="C7726" s="5" t="s">
        <v>17</v>
      </c>
      <c r="D7726" s="5" t="s">
        <v>18</v>
      </c>
      <c r="E7726" s="5" t="s">
        <v>54</v>
      </c>
      <c r="F7726" s="9" t="s">
        <v>55</v>
      </c>
      <c r="G7726" s="9">
        <v>1083</v>
      </c>
      <c r="H7726" s="5" t="s">
        <v>21</v>
      </c>
      <c r="I7726" s="5" t="s">
        <v>18519</v>
      </c>
      <c r="J7726" s="12" t="str">
        <f>HYPERLINK("https://www.boe.es/gazeta/dias/1808/08/26/pdfs/GMD-1808-117.pdf#page=5","Abrir facsímil")</f>
        <v>Abrir facsímil</v>
      </c>
      <c r="K7726" s="15" t="s">
        <v>23</v>
      </c>
    </row>
    <row r="7727" spans="1:11" ht="42" customHeight="1">
      <c r="A7727" s="4" t="s">
        <v>18520</v>
      </c>
      <c r="B7727" s="5" t="s">
        <v>18520</v>
      </c>
      <c r="C7727" s="5" t="s">
        <v>94</v>
      </c>
      <c r="D7727" s="5" t="s">
        <v>95</v>
      </c>
      <c r="E7727" s="5" t="s">
        <v>222</v>
      </c>
      <c r="F7727" s="9" t="s">
        <v>223</v>
      </c>
      <c r="G7727" s="9">
        <v>356</v>
      </c>
      <c r="H7727" s="5" t="s">
        <v>21</v>
      </c>
      <c r="I7727" s="5" t="s">
        <v>18521</v>
      </c>
      <c r="J7727" s="12" t="str">
        <f>HYPERLINK("https://www.boe.es/gazeta/dias/1808/04/08/pdfs/GMD-1808-32.pdf#page=10","Abrir facsímil")</f>
        <v>Abrir facsímil</v>
      </c>
      <c r="K7727" s="15" t="s">
        <v>23</v>
      </c>
    </row>
    <row r="7728" spans="1:11" ht="42" customHeight="1">
      <c r="A7728" s="4" t="s">
        <v>18522</v>
      </c>
      <c r="B7728" s="5" t="s">
        <v>18523</v>
      </c>
      <c r="C7728" s="5" t="s">
        <v>94</v>
      </c>
      <c r="D7728" s="5" t="s">
        <v>95</v>
      </c>
      <c r="E7728" s="5" t="s">
        <v>2639</v>
      </c>
      <c r="F7728" s="9" t="s">
        <v>2640</v>
      </c>
      <c r="G7728" s="9">
        <v>119</v>
      </c>
      <c r="H7728" s="5" t="s">
        <v>21</v>
      </c>
      <c r="I7728" s="5" t="s">
        <v>18524</v>
      </c>
      <c r="J7728" s="12" t="str">
        <f>HYPERLINK("https://www.boe.es/gazeta/dias/1808/07/20/pdfs/GMS-1808-15.pdf#page=7","Abrir facsímil")</f>
        <v>Abrir facsímil</v>
      </c>
      <c r="K7728" s="15" t="s">
        <v>23</v>
      </c>
    </row>
    <row r="7729" spans="1:11" ht="42" customHeight="1">
      <c r="A7729" s="4" t="s">
        <v>18522</v>
      </c>
      <c r="B7729" s="5" t="s">
        <v>18523</v>
      </c>
      <c r="C7729" s="5" t="s">
        <v>17</v>
      </c>
      <c r="D7729" s="5" t="s">
        <v>18</v>
      </c>
      <c r="E7729" s="5" t="s">
        <v>287</v>
      </c>
      <c r="F7729" s="9" t="s">
        <v>489</v>
      </c>
      <c r="G7729" s="9">
        <v>1007</v>
      </c>
      <c r="H7729" s="5" t="s">
        <v>21</v>
      </c>
      <c r="I7729" s="5" t="s">
        <v>18525</v>
      </c>
      <c r="J7729" s="12" t="str">
        <f>HYPERLINK("https://www.boe.es/gazeta/dias/1808/08/12/pdfs/GMD-1808-112.pdf#page=11","Abrir facsímil")</f>
        <v>Abrir facsímil</v>
      </c>
      <c r="K7729" s="15" t="s">
        <v>23</v>
      </c>
    </row>
    <row r="7730" spans="1:11" ht="42" customHeight="1">
      <c r="A7730" s="4" t="s">
        <v>18522</v>
      </c>
      <c r="B7730" s="5" t="s">
        <v>18523</v>
      </c>
      <c r="C7730" s="5" t="s">
        <v>17</v>
      </c>
      <c r="D7730" s="5" t="s">
        <v>18</v>
      </c>
      <c r="E7730" s="5" t="s">
        <v>185</v>
      </c>
      <c r="F7730" s="9" t="s">
        <v>6822</v>
      </c>
      <c r="G7730" s="9">
        <v>212</v>
      </c>
      <c r="H7730" s="5" t="s">
        <v>21</v>
      </c>
      <c r="I7730" s="5" t="s">
        <v>18526</v>
      </c>
      <c r="J7730" s="12" t="str">
        <f>HYPERLINK("https://www.boe.es/gazeta/dias/1808/08/30/pdfs/GMS-1808-27.pdf#page=4","Abrir facsímil")</f>
        <v>Abrir facsímil</v>
      </c>
      <c r="K7730" s="15" t="s">
        <v>23</v>
      </c>
    </row>
    <row r="7731" spans="1:11" ht="42" customHeight="1">
      <c r="A7731" s="4" t="s">
        <v>18522</v>
      </c>
      <c r="B7731" s="5" t="s">
        <v>18523</v>
      </c>
      <c r="C7731" s="5" t="s">
        <v>94</v>
      </c>
      <c r="D7731" s="5" t="s">
        <v>95</v>
      </c>
      <c r="E7731" s="5" t="s">
        <v>334</v>
      </c>
      <c r="F7731" s="9" t="s">
        <v>1814</v>
      </c>
      <c r="G7731" s="9">
        <v>1238</v>
      </c>
      <c r="H7731" s="5" t="s">
        <v>21</v>
      </c>
      <c r="I7731" s="5" t="s">
        <v>18527</v>
      </c>
      <c r="J7731" s="12" t="str">
        <f>HYPERLINK("https://www.boe.es/gazeta/dias/1808/10/04/pdfs/GMD-1808-131.pdf#page=6","Abrir facsímil")</f>
        <v>Abrir facsímil</v>
      </c>
      <c r="K7731" s="15" t="s">
        <v>23</v>
      </c>
    </row>
    <row r="7732" spans="1:11" ht="42" customHeight="1">
      <c r="A7732" s="4" t="s">
        <v>18528</v>
      </c>
      <c r="B7732" s="5" t="s">
        <v>18529</v>
      </c>
      <c r="C7732" s="5" t="s">
        <v>33</v>
      </c>
      <c r="D7732" s="5" t="s">
        <v>34</v>
      </c>
      <c r="E7732" s="5" t="s">
        <v>125</v>
      </c>
      <c r="F7732" s="9" t="s">
        <v>126</v>
      </c>
      <c r="G7732" s="9" t="s">
        <v>199</v>
      </c>
      <c r="H7732" s="5" t="s">
        <v>21</v>
      </c>
      <c r="I7732" s="5" t="s">
        <v>18530</v>
      </c>
      <c r="J7732" s="12" t="str">
        <f>HYPERLINK("https://www.boe.es/gazeta/dias/1808/10/07/pdfs/GMD-C-1808-132.pdf#page=2","Abrir facsímil")</f>
        <v>Abrir facsímil</v>
      </c>
      <c r="K7732" s="15" t="s">
        <v>23</v>
      </c>
    </row>
    <row r="7733" spans="1:11" ht="42" customHeight="1">
      <c r="A7733" s="4" t="s">
        <v>18531</v>
      </c>
      <c r="B7733" s="5" t="s">
        <v>18532</v>
      </c>
      <c r="C7733" s="5" t="s">
        <v>33</v>
      </c>
      <c r="D7733" s="5" t="s">
        <v>34</v>
      </c>
      <c r="E7733" s="5" t="s">
        <v>508</v>
      </c>
      <c r="F7733" s="9" t="s">
        <v>1561</v>
      </c>
      <c r="G7733" s="9">
        <v>1022</v>
      </c>
      <c r="H7733" s="5" t="s">
        <v>21</v>
      </c>
      <c r="I7733" s="5" t="s">
        <v>18533</v>
      </c>
      <c r="J7733" s="12" t="str">
        <f>HYPERLINK("https://www.boe.es/gazeta/dias/1808/08/16/pdfs/GMD-C-1808-113.pdf#page=2","Abrir facsímil")</f>
        <v>Abrir facsímil</v>
      </c>
      <c r="K7733" s="15" t="s">
        <v>23</v>
      </c>
    </row>
    <row r="7734" spans="1:11" ht="42" customHeight="1">
      <c r="A7734" s="4" t="s">
        <v>18534</v>
      </c>
      <c r="B7734" s="5" t="s">
        <v>18535</v>
      </c>
      <c r="C7734" s="5" t="s">
        <v>41</v>
      </c>
      <c r="D7734" s="5" t="s">
        <v>42</v>
      </c>
      <c r="E7734" s="5" t="s">
        <v>73</v>
      </c>
      <c r="F7734" s="9" t="s">
        <v>74</v>
      </c>
      <c r="G7734" s="9" t="s">
        <v>75</v>
      </c>
      <c r="H7734" s="5" t="s">
        <v>21</v>
      </c>
      <c r="I7734" s="5" t="s">
        <v>18536</v>
      </c>
      <c r="J7734" s="12" t="str">
        <f>HYPERLINK("https://www.boe.es/gazeta/dias/1808/11/11/pdfs/GMD-D-1808-143.pdf#page=4","Abrir facsímil")</f>
        <v>Abrir facsímil</v>
      </c>
      <c r="K7734" s="15" t="s">
        <v>23</v>
      </c>
    </row>
    <row r="7735" spans="1:11" ht="42" customHeight="1">
      <c r="A7735" s="4" t="s">
        <v>18537</v>
      </c>
      <c r="B7735" s="5" t="s">
        <v>18538</v>
      </c>
      <c r="C7735" s="5" t="s">
        <v>94</v>
      </c>
      <c r="D7735" s="5" t="s">
        <v>95</v>
      </c>
      <c r="E7735" s="5" t="s">
        <v>245</v>
      </c>
      <c r="F7735" s="9" t="s">
        <v>246</v>
      </c>
      <c r="G7735" s="9">
        <v>542</v>
      </c>
      <c r="H7735" s="5" t="s">
        <v>21</v>
      </c>
      <c r="I7735" s="5" t="s">
        <v>18539</v>
      </c>
      <c r="J7735" s="12" t="str">
        <f>HYPERLINK("https://www.boe.es/gazeta/dias/1808/06/07/pdfs/GMD-1808-54.pdf#page=8","Abrir facsímil")</f>
        <v>Abrir facsímil</v>
      </c>
      <c r="K7735" s="15" t="s">
        <v>23</v>
      </c>
    </row>
    <row r="7736" spans="1:11" ht="42" customHeight="1">
      <c r="A7736" s="4" t="s">
        <v>18540</v>
      </c>
      <c r="B7736" s="5" t="s">
        <v>18541</v>
      </c>
      <c r="C7736" s="5" t="s">
        <v>94</v>
      </c>
      <c r="D7736" s="5" t="s">
        <v>95</v>
      </c>
      <c r="E7736" s="5" t="s">
        <v>368</v>
      </c>
      <c r="F7736" s="9" t="s">
        <v>369</v>
      </c>
      <c r="G7736" s="9">
        <v>167</v>
      </c>
      <c r="H7736" s="5" t="s">
        <v>21</v>
      </c>
      <c r="I7736" s="5" t="s">
        <v>18542</v>
      </c>
      <c r="J7736" s="12" t="str">
        <f>HYPERLINK("https://www.boe.es/gazeta/dias/1808/02/16/pdfs/GMD-1808-14.pdf#page=9","Abrir facsímil")</f>
        <v>Abrir facsímil</v>
      </c>
      <c r="K7736" s="15" t="s">
        <v>23</v>
      </c>
    </row>
    <row r="7737" spans="1:11" ht="42" customHeight="1">
      <c r="A7737" s="4" t="s">
        <v>18543</v>
      </c>
      <c r="B7737" s="5" t="s">
        <v>18544</v>
      </c>
      <c r="C7737" s="5" t="s">
        <v>17</v>
      </c>
      <c r="D7737" s="5" t="s">
        <v>18</v>
      </c>
      <c r="E7737" s="5" t="s">
        <v>61</v>
      </c>
      <c r="F7737" s="9" t="s">
        <v>62</v>
      </c>
      <c r="G7737" s="9">
        <v>1285</v>
      </c>
      <c r="H7737" s="5" t="s">
        <v>21</v>
      </c>
      <c r="I7737" s="5" t="s">
        <v>18545</v>
      </c>
      <c r="J7737" s="12" t="str">
        <f>HYPERLINK("https://www.boe.es/gazeta/dias/1808/10/11/pdfs/GMD-1808-133.pdf#page=13","Abrir facsímil")</f>
        <v>Abrir facsímil</v>
      </c>
      <c r="K7737" s="15" t="s">
        <v>23</v>
      </c>
    </row>
    <row r="7738" spans="1:11" ht="42" customHeight="1">
      <c r="A7738" s="4" t="s">
        <v>18546</v>
      </c>
      <c r="B7738" s="5" t="s">
        <v>18547</v>
      </c>
      <c r="C7738" s="5" t="s">
        <v>33</v>
      </c>
      <c r="D7738" s="5" t="s">
        <v>34</v>
      </c>
      <c r="E7738" s="5" t="s">
        <v>35</v>
      </c>
      <c r="F7738" s="9" t="s">
        <v>36</v>
      </c>
      <c r="G7738" s="9" t="s">
        <v>1075</v>
      </c>
      <c r="H7738" s="5" t="s">
        <v>21</v>
      </c>
      <c r="I7738" s="5" t="s">
        <v>18548</v>
      </c>
      <c r="J7738" s="12" t="str">
        <f>HYPERLINK("https://www.boe.es/gazeta/dias/1808/04/22/pdfs/GMD-C-1808-38.pdf#page=32","Abrir facsímil")</f>
        <v>Abrir facsímil</v>
      </c>
      <c r="K7738" s="15" t="s">
        <v>23</v>
      </c>
    </row>
    <row r="7739" spans="1:11" ht="42" customHeight="1">
      <c r="A7739" s="4" t="s">
        <v>18549</v>
      </c>
      <c r="B7739" s="5" t="s">
        <v>18550</v>
      </c>
      <c r="C7739" s="5" t="s">
        <v>94</v>
      </c>
      <c r="D7739" s="5" t="s">
        <v>95</v>
      </c>
      <c r="E7739" s="5" t="s">
        <v>54</v>
      </c>
      <c r="F7739" s="9" t="s">
        <v>55</v>
      </c>
      <c r="G7739" s="9">
        <v>1087</v>
      </c>
      <c r="H7739" s="5" t="s">
        <v>21</v>
      </c>
      <c r="I7739" s="5" t="s">
        <v>18551</v>
      </c>
      <c r="J7739" s="12" t="str">
        <f>HYPERLINK("https://www.boe.es/gazeta/dias/1808/08/26/pdfs/GMD-1808-117.pdf#page=9","Abrir facsímil")</f>
        <v>Abrir facsímil</v>
      </c>
      <c r="K7739" s="15" t="s">
        <v>23</v>
      </c>
    </row>
    <row r="7740" spans="1:11" ht="42" customHeight="1">
      <c r="A7740" s="4" t="s">
        <v>18552</v>
      </c>
      <c r="B7740" s="5" t="s">
        <v>18552</v>
      </c>
      <c r="C7740" s="5" t="s">
        <v>33</v>
      </c>
      <c r="D7740" s="5" t="s">
        <v>34</v>
      </c>
      <c r="E7740" s="5" t="s">
        <v>35</v>
      </c>
      <c r="F7740" s="9" t="s">
        <v>36</v>
      </c>
      <c r="G7740" s="9" t="s">
        <v>47</v>
      </c>
      <c r="H7740" s="5" t="s">
        <v>21</v>
      </c>
      <c r="I7740" s="5" t="s">
        <v>18553</v>
      </c>
      <c r="J7740" s="12" t="str">
        <f>HYPERLINK("https://www.boe.es/gazeta/dias/1808/04/22/pdfs/GMD-C-1808-38.pdf#page=13","Abrir facsímil")</f>
        <v>Abrir facsímil</v>
      </c>
      <c r="K7740" s="15" t="s">
        <v>23</v>
      </c>
    </row>
    <row r="7741" spans="1:11" ht="42" customHeight="1">
      <c r="A7741" s="4" t="s">
        <v>18554</v>
      </c>
      <c r="B7741" s="5" t="s">
        <v>18554</v>
      </c>
      <c r="C7741" s="5" t="s">
        <v>389</v>
      </c>
      <c r="D7741" s="5" t="s">
        <v>390</v>
      </c>
      <c r="E7741" s="5" t="s">
        <v>558</v>
      </c>
      <c r="F7741" s="9" t="s">
        <v>758</v>
      </c>
      <c r="G7741" s="9" t="s">
        <v>75</v>
      </c>
      <c r="H7741" s="5" t="s">
        <v>21</v>
      </c>
      <c r="I7741" s="5" t="s">
        <v>18555</v>
      </c>
      <c r="J7741" s="12" t="str">
        <f>HYPERLINK("https://www.boe.es/gazeta/dias/1808/11/25/pdfs/GMD-E-1808-147.pdf#page=4","Abrir facsímil")</f>
        <v>Abrir facsímil</v>
      </c>
      <c r="K7741" s="15" t="s">
        <v>23</v>
      </c>
    </row>
    <row r="7742" spans="1:11" ht="42" customHeight="1">
      <c r="A7742" s="4" t="s">
        <v>18556</v>
      </c>
      <c r="B7742" s="5" t="s">
        <v>18556</v>
      </c>
      <c r="C7742" s="5" t="s">
        <v>26</v>
      </c>
      <c r="D7742" s="5" t="s">
        <v>27</v>
      </c>
      <c r="E7742" s="5" t="s">
        <v>478</v>
      </c>
      <c r="F7742" s="9" t="s">
        <v>479</v>
      </c>
      <c r="G7742" s="9">
        <v>242</v>
      </c>
      <c r="H7742" s="5" t="s">
        <v>21</v>
      </c>
      <c r="I7742" s="5" t="s">
        <v>18557</v>
      </c>
      <c r="J7742" s="12" t="str">
        <f>HYPERLINK("https://www.boe.es/gazeta/dias/1808/03/08/pdfs/GMD-1808-20.pdf#page=8","Abrir facsímil")</f>
        <v>Abrir facsímil</v>
      </c>
      <c r="K7742" s="15" t="s">
        <v>23</v>
      </c>
    </row>
    <row r="7743" spans="1:11" ht="42" customHeight="1">
      <c r="A7743" s="4" t="s">
        <v>18558</v>
      </c>
      <c r="B7743" s="5" t="s">
        <v>18558</v>
      </c>
      <c r="C7743" s="5" t="s">
        <v>33</v>
      </c>
      <c r="D7743" s="5" t="s">
        <v>34</v>
      </c>
      <c r="E7743" s="5" t="s">
        <v>125</v>
      </c>
      <c r="F7743" s="9" t="s">
        <v>126</v>
      </c>
      <c r="G7743" s="9" t="s">
        <v>199</v>
      </c>
      <c r="H7743" s="5" t="s">
        <v>21</v>
      </c>
      <c r="I7743" s="5" t="s">
        <v>18559</v>
      </c>
      <c r="J7743" s="12" t="str">
        <f>HYPERLINK("https://www.boe.es/gazeta/dias/1808/10/07/pdfs/GMD-C-1808-132.pdf#page=2","Abrir facsímil")</f>
        <v>Abrir facsímil</v>
      </c>
      <c r="K7743" s="15" t="s">
        <v>23</v>
      </c>
    </row>
    <row r="7744" spans="1:11" ht="42" customHeight="1">
      <c r="A7744" s="4" t="s">
        <v>18560</v>
      </c>
      <c r="B7744" s="5" t="s">
        <v>18560</v>
      </c>
      <c r="C7744" s="5" t="s">
        <v>94</v>
      </c>
      <c r="D7744" s="5" t="s">
        <v>95</v>
      </c>
      <c r="E7744" s="5" t="s">
        <v>3216</v>
      </c>
      <c r="F7744" s="9" t="s">
        <v>3217</v>
      </c>
      <c r="G7744" s="9">
        <v>6</v>
      </c>
      <c r="H7744" s="5" t="s">
        <v>21</v>
      </c>
      <c r="I7744" s="5" t="s">
        <v>18561</v>
      </c>
      <c r="J7744" s="12" t="str">
        <f>HYPERLINK("https://www.boe.es/gazeta/dias/1808/06/01/pdfs/GMS-1808-1.pdf#page=6","Abrir facsímil")</f>
        <v>Abrir facsímil</v>
      </c>
      <c r="K7744" s="15" t="s">
        <v>23</v>
      </c>
    </row>
    <row r="7745" spans="1:11" ht="42" customHeight="1">
      <c r="A7745" s="4" t="s">
        <v>18562</v>
      </c>
      <c r="B7745" s="5" t="s">
        <v>18563</v>
      </c>
      <c r="C7745" s="5" t="s">
        <v>17</v>
      </c>
      <c r="D7745" s="5" t="s">
        <v>18</v>
      </c>
      <c r="E7745" s="5" t="s">
        <v>130</v>
      </c>
      <c r="F7745" s="9" t="s">
        <v>131</v>
      </c>
      <c r="G7745" s="9">
        <v>1602</v>
      </c>
      <c r="H7745" s="5" t="s">
        <v>21</v>
      </c>
      <c r="I7745" s="5" t="s">
        <v>18564</v>
      </c>
      <c r="J7745" s="12" t="str">
        <f>HYPERLINK("https://www.boe.es/gazeta/dias/1808/12/15/pdfs/GMD-1808-155.pdf#page=6","Abrir facsímil")</f>
        <v>Abrir facsímil</v>
      </c>
      <c r="K7745" s="15" t="s">
        <v>23</v>
      </c>
    </row>
    <row r="7746" spans="1:11" ht="42" customHeight="1">
      <c r="A7746" s="4" t="s">
        <v>18565</v>
      </c>
      <c r="B7746" s="5" t="s">
        <v>18566</v>
      </c>
      <c r="C7746" s="5" t="s">
        <v>260</v>
      </c>
      <c r="D7746" s="5" t="s">
        <v>42</v>
      </c>
      <c r="E7746" s="5" t="s">
        <v>663</v>
      </c>
      <c r="F7746" s="9" t="s">
        <v>664</v>
      </c>
      <c r="G7746" s="9">
        <v>208</v>
      </c>
      <c r="H7746" s="5" t="s">
        <v>21</v>
      </c>
      <c r="I7746" s="5" t="s">
        <v>18567</v>
      </c>
      <c r="J7746" s="12" t="str">
        <f>HYPERLINK("https://www.boe.es/gazeta/dias/1808/02/26/pdfs/GMD-1808-17.pdf#page=10","Abrir facsímil")</f>
        <v>Abrir facsímil</v>
      </c>
      <c r="K7746" s="15" t="s">
        <v>23</v>
      </c>
    </row>
    <row r="7747" spans="1:11" ht="42" customHeight="1">
      <c r="A7747" s="4" t="s">
        <v>18568</v>
      </c>
      <c r="B7747" s="5" t="s">
        <v>18569</v>
      </c>
      <c r="C7747" s="5" t="s">
        <v>33</v>
      </c>
      <c r="D7747" s="5" t="s">
        <v>34</v>
      </c>
      <c r="E7747" s="5" t="s">
        <v>35</v>
      </c>
      <c r="F7747" s="9" t="s">
        <v>36</v>
      </c>
      <c r="G7747" s="9" t="s">
        <v>313</v>
      </c>
      <c r="H7747" s="5" t="s">
        <v>21</v>
      </c>
      <c r="I7747" s="5" t="s">
        <v>18570</v>
      </c>
      <c r="J7747" s="12" t="str">
        <f>HYPERLINK("https://www.boe.es/gazeta/dias/1808/04/22/pdfs/GMD-C-1808-38.pdf#page=29","Abrir facsímil")</f>
        <v>Abrir facsímil</v>
      </c>
      <c r="K7747" s="15" t="s">
        <v>23</v>
      </c>
    </row>
    <row r="7748" spans="1:11" ht="42" customHeight="1">
      <c r="A7748" s="4" t="s">
        <v>18571</v>
      </c>
      <c r="B7748" s="5" t="s">
        <v>18571</v>
      </c>
      <c r="C7748" s="5" t="s">
        <v>17</v>
      </c>
      <c r="D7748" s="5" t="s">
        <v>18</v>
      </c>
      <c r="E7748" s="5" t="s">
        <v>456</v>
      </c>
      <c r="F7748" s="9" t="s">
        <v>2825</v>
      </c>
      <c r="G7748" s="9">
        <v>318</v>
      </c>
      <c r="H7748" s="5" t="s">
        <v>21</v>
      </c>
      <c r="I7748" s="5" t="s">
        <v>18572</v>
      </c>
      <c r="J7748" s="12" t="str">
        <f>HYPERLINK("https://www.boe.es/gazeta/dias/1808/10/14/pdfs/GMS-1808-40.pdf#page=6","Abrir facsímil")</f>
        <v>Abrir facsímil</v>
      </c>
      <c r="K7748" s="15" t="s">
        <v>23</v>
      </c>
    </row>
    <row r="7749" spans="1:11" ht="42" customHeight="1">
      <c r="A7749" s="4" t="s">
        <v>18573</v>
      </c>
      <c r="B7749" s="5" t="s">
        <v>18573</v>
      </c>
      <c r="C7749" s="5" t="s">
        <v>94</v>
      </c>
      <c r="D7749" s="5" t="s">
        <v>95</v>
      </c>
      <c r="E7749" s="5" t="s">
        <v>919</v>
      </c>
      <c r="F7749" s="9" t="s">
        <v>920</v>
      </c>
      <c r="G7749" s="9">
        <v>495</v>
      </c>
      <c r="H7749" s="5" t="s">
        <v>21</v>
      </c>
      <c r="I7749" s="5" t="s">
        <v>18574</v>
      </c>
      <c r="J7749" s="12" t="str">
        <f>HYPERLINK("https://www.boe.es/gazeta/dias/1808/05/24/pdfs/GMD-1808-49.pdf#page=11","Abrir facsímil")</f>
        <v>Abrir facsímil</v>
      </c>
      <c r="K7749" s="15" t="s">
        <v>23</v>
      </c>
    </row>
    <row r="7750" spans="1:11" ht="42" customHeight="1">
      <c r="A7750" s="4" t="s">
        <v>18575</v>
      </c>
      <c r="B7750" s="5" t="s">
        <v>18576</v>
      </c>
      <c r="C7750" s="5" t="s">
        <v>33</v>
      </c>
      <c r="D7750" s="5" t="s">
        <v>34</v>
      </c>
      <c r="E7750" s="5" t="s">
        <v>89</v>
      </c>
      <c r="F7750" s="9" t="s">
        <v>563</v>
      </c>
      <c r="G7750" s="9" t="s">
        <v>199</v>
      </c>
      <c r="H7750" s="5" t="s">
        <v>21</v>
      </c>
      <c r="I7750" s="5" t="s">
        <v>18577</v>
      </c>
      <c r="J7750" s="12" t="str">
        <f>HYPERLINK("https://www.boe.es/gazeta/dias/1808/10/25/pdfs/GMD-D-1808-137.pdf#page=2","Abrir facsímil")</f>
        <v>Abrir facsímil</v>
      </c>
      <c r="K7750" s="15" t="s">
        <v>23</v>
      </c>
    </row>
    <row r="7751" spans="1:11" ht="42" customHeight="1">
      <c r="A7751" s="4" t="s">
        <v>18578</v>
      </c>
      <c r="B7751" s="5" t="s">
        <v>18578</v>
      </c>
      <c r="C7751" s="5" t="s">
        <v>260</v>
      </c>
      <c r="D7751" s="5" t="s">
        <v>42</v>
      </c>
      <c r="E7751" s="5" t="s">
        <v>1962</v>
      </c>
      <c r="F7751" s="9" t="s">
        <v>1963</v>
      </c>
      <c r="G7751" s="9">
        <v>732</v>
      </c>
      <c r="H7751" s="5" t="s">
        <v>21</v>
      </c>
      <c r="I7751" s="5" t="s">
        <v>18579</v>
      </c>
      <c r="J7751" s="12" t="str">
        <f>HYPERLINK("https://www.boe.es/gazeta/dias/1808/07/05/pdfs/GMD-1808-77.pdf#page=6","Abrir facsímil")</f>
        <v>Abrir facsímil</v>
      </c>
      <c r="K7751" s="15" t="s">
        <v>23</v>
      </c>
    </row>
    <row r="7752" spans="1:11" ht="42" customHeight="1">
      <c r="A7752" s="4" t="s">
        <v>18580</v>
      </c>
      <c r="B7752" s="5" t="s">
        <v>18581</v>
      </c>
      <c r="C7752" s="5" t="s">
        <v>389</v>
      </c>
      <c r="D7752" s="5" t="s">
        <v>390</v>
      </c>
      <c r="E7752" s="5" t="s">
        <v>1182</v>
      </c>
      <c r="F7752" s="9" t="s">
        <v>1197</v>
      </c>
      <c r="G7752" s="9">
        <v>662</v>
      </c>
      <c r="H7752" s="5" t="s">
        <v>21</v>
      </c>
      <c r="I7752" s="5" t="s">
        <v>18582</v>
      </c>
      <c r="J7752" s="12" t="str">
        <f>HYPERLINK("https://www.boe.es/gazeta/dias/1808/06/26/pdfs/GMD-1808-68.pdf#page=8","Abrir facsímil")</f>
        <v>Abrir facsímil</v>
      </c>
      <c r="K7752" s="15" t="s">
        <v>23</v>
      </c>
    </row>
    <row r="7753" spans="1:11" ht="42" customHeight="1">
      <c r="A7753" s="4" t="s">
        <v>18583</v>
      </c>
      <c r="B7753" s="5" t="s">
        <v>18583</v>
      </c>
      <c r="C7753" s="5" t="s">
        <v>17</v>
      </c>
      <c r="D7753" s="5" t="s">
        <v>18</v>
      </c>
      <c r="E7753" s="5" t="s">
        <v>290</v>
      </c>
      <c r="F7753" s="9" t="s">
        <v>291</v>
      </c>
      <c r="G7753" s="9">
        <v>1065</v>
      </c>
      <c r="H7753" s="5" t="s">
        <v>21</v>
      </c>
      <c r="I7753" s="5" t="s">
        <v>18584</v>
      </c>
      <c r="J7753" s="12" t="str">
        <f>HYPERLINK("https://www.boe.es/gazeta/dias/1808/08/23/pdfs/GMD-1808-116.pdf#page=11","Abrir facsímil")</f>
        <v>Abrir facsímil</v>
      </c>
      <c r="K7753" s="15" t="s">
        <v>23</v>
      </c>
    </row>
    <row r="7754" spans="1:11" ht="42" customHeight="1">
      <c r="A7754" s="4" t="s">
        <v>18585</v>
      </c>
      <c r="B7754" s="5" t="s">
        <v>18585</v>
      </c>
      <c r="C7754" s="5" t="s">
        <v>101</v>
      </c>
      <c r="D7754" s="5" t="s">
        <v>102</v>
      </c>
      <c r="E7754" s="5" t="s">
        <v>210</v>
      </c>
      <c r="F7754" s="9" t="s">
        <v>211</v>
      </c>
      <c r="G7754" s="9">
        <v>247</v>
      </c>
      <c r="H7754" s="5" t="s">
        <v>21</v>
      </c>
      <c r="I7754" s="5" t="s">
        <v>18586</v>
      </c>
      <c r="J7754" s="12" t="str">
        <f>HYPERLINK("https://www.boe.es/gazeta/dias/1808/03/11/pdfs/GMD-1808-21.pdf#page=1","Abrir facsímil")</f>
        <v>Abrir facsímil</v>
      </c>
      <c r="K7754" s="15" t="s">
        <v>23</v>
      </c>
    </row>
    <row r="7755" spans="1:11" ht="42" customHeight="1">
      <c r="A7755" s="4" t="s">
        <v>18587</v>
      </c>
      <c r="B7755" s="5" t="s">
        <v>18588</v>
      </c>
      <c r="C7755" s="5" t="s">
        <v>94</v>
      </c>
      <c r="D7755" s="5" t="s">
        <v>95</v>
      </c>
      <c r="E7755" s="5" t="s">
        <v>2555</v>
      </c>
      <c r="F7755" s="9" t="s">
        <v>2556</v>
      </c>
      <c r="G7755" s="9">
        <v>124</v>
      </c>
      <c r="H7755" s="5" t="s">
        <v>21</v>
      </c>
      <c r="I7755" s="5" t="s">
        <v>18589</v>
      </c>
      <c r="J7755" s="12" t="str">
        <f>HYPERLINK("https://www.boe.es/gazeta/dias/1808/02/05/pdfs/GMD-1808-11.pdf#page=4","Abrir facsímil")</f>
        <v>Abrir facsímil</v>
      </c>
      <c r="K7755" s="15" t="s">
        <v>23</v>
      </c>
    </row>
    <row r="7756" spans="1:11" ht="42" customHeight="1">
      <c r="A7756" s="4" t="s">
        <v>18590</v>
      </c>
      <c r="B7756" s="5" t="s">
        <v>18591</v>
      </c>
      <c r="C7756" s="5" t="s">
        <v>41</v>
      </c>
      <c r="D7756" s="5" t="s">
        <v>42</v>
      </c>
      <c r="E7756" s="5" t="s">
        <v>2555</v>
      </c>
      <c r="F7756" s="9" t="s">
        <v>2556</v>
      </c>
      <c r="G7756" s="9">
        <v>124</v>
      </c>
      <c r="H7756" s="5" t="s">
        <v>21</v>
      </c>
      <c r="I7756" s="5" t="s">
        <v>18592</v>
      </c>
      <c r="J7756" s="12" t="str">
        <f>HYPERLINK("https://www.boe.es/gazeta/dias/1808/02/05/pdfs/GMD-1808-11.pdf#page=4","Abrir facsímil")</f>
        <v>Abrir facsímil</v>
      </c>
      <c r="K7756" s="15" t="s">
        <v>23</v>
      </c>
    </row>
    <row r="7757" spans="1:11" ht="42" customHeight="1">
      <c r="A7757" s="4" t="s">
        <v>18593</v>
      </c>
      <c r="B7757" s="5" t="s">
        <v>18594</v>
      </c>
      <c r="C7757" s="5" t="s">
        <v>17</v>
      </c>
      <c r="D7757" s="5" t="s">
        <v>18</v>
      </c>
      <c r="E7757" s="5" t="s">
        <v>28</v>
      </c>
      <c r="F7757" s="9" t="s">
        <v>29</v>
      </c>
      <c r="G7757" s="9">
        <v>1427</v>
      </c>
      <c r="H7757" s="5" t="s">
        <v>21</v>
      </c>
      <c r="I7757" s="5" t="s">
        <v>18595</v>
      </c>
      <c r="J7757" s="12" t="str">
        <f>HYPERLINK("https://www.boe.es/gazeta/dias/1808/11/04/pdfs/GMD-1808-141.pdf#page=9","Abrir facsímil")</f>
        <v>Abrir facsímil</v>
      </c>
      <c r="K7757" s="15" t="s">
        <v>23</v>
      </c>
    </row>
    <row r="7758" spans="1:11" ht="42" customHeight="1">
      <c r="A7758" s="4" t="s">
        <v>18596</v>
      </c>
      <c r="B7758" s="5" t="s">
        <v>18597</v>
      </c>
      <c r="C7758" s="5" t="s">
        <v>33</v>
      </c>
      <c r="D7758" s="5" t="s">
        <v>34</v>
      </c>
      <c r="E7758" s="5" t="s">
        <v>35</v>
      </c>
      <c r="F7758" s="9" t="s">
        <v>36</v>
      </c>
      <c r="G7758" s="9" t="s">
        <v>1075</v>
      </c>
      <c r="H7758" s="5" t="s">
        <v>21</v>
      </c>
      <c r="I7758" s="5" t="s">
        <v>18598</v>
      </c>
      <c r="J7758" s="12" t="str">
        <f>HYPERLINK("https://www.boe.es/gazeta/dias/1808/04/22/pdfs/GMD-C-1808-38.pdf#page=32","Abrir facsímil")</f>
        <v>Abrir facsímil</v>
      </c>
      <c r="K7758" s="15" t="s">
        <v>23</v>
      </c>
    </row>
    <row r="7759" spans="1:11" ht="42" customHeight="1">
      <c r="A7759" s="4" t="s">
        <v>18596</v>
      </c>
      <c r="B7759" s="5" t="s">
        <v>18597</v>
      </c>
      <c r="C7759" s="5" t="s">
        <v>33</v>
      </c>
      <c r="D7759" s="5" t="s">
        <v>34</v>
      </c>
      <c r="E7759" s="5" t="s">
        <v>35</v>
      </c>
      <c r="F7759" s="9" t="s">
        <v>36</v>
      </c>
      <c r="G7759" s="9" t="s">
        <v>450</v>
      </c>
      <c r="H7759" s="5" t="s">
        <v>21</v>
      </c>
      <c r="I7759" s="5" t="s">
        <v>18599</v>
      </c>
      <c r="J7759" s="12" t="str">
        <f>HYPERLINK("https://www.boe.es/gazeta/dias/1808/04/22/pdfs/GMD-C-1808-38.pdf#page=45","Abrir facsímil")</f>
        <v>Abrir facsímil</v>
      </c>
      <c r="K7759" s="15" t="s">
        <v>23</v>
      </c>
    </row>
    <row r="7760" spans="1:11" ht="42" customHeight="1">
      <c r="A7760" s="4" t="s">
        <v>18600</v>
      </c>
      <c r="B7760" s="5" t="s">
        <v>18601</v>
      </c>
      <c r="C7760" s="5" t="s">
        <v>33</v>
      </c>
      <c r="D7760" s="5" t="s">
        <v>34</v>
      </c>
      <c r="E7760" s="5" t="s">
        <v>35</v>
      </c>
      <c r="F7760" s="9" t="s">
        <v>36</v>
      </c>
      <c r="G7760" s="9" t="s">
        <v>135</v>
      </c>
      <c r="H7760" s="5" t="s">
        <v>21</v>
      </c>
      <c r="I7760" s="5" t="s">
        <v>18602</v>
      </c>
      <c r="J7760" s="12" t="str">
        <f>HYPERLINK("https://www.boe.es/gazeta/dias/1808/04/22/pdfs/GMD-C-1808-38.pdf#page=26","Abrir facsímil")</f>
        <v>Abrir facsímil</v>
      </c>
      <c r="K7760" s="15" t="s">
        <v>23</v>
      </c>
    </row>
    <row r="7761" spans="1:11" ht="42" customHeight="1">
      <c r="A7761" s="4" t="s">
        <v>18603</v>
      </c>
      <c r="B7761" s="5" t="s">
        <v>18604</v>
      </c>
      <c r="C7761" s="5" t="s">
        <v>41</v>
      </c>
      <c r="D7761" s="5" t="s">
        <v>42</v>
      </c>
      <c r="E7761" s="5" t="s">
        <v>35</v>
      </c>
      <c r="F7761" s="9" t="s">
        <v>36</v>
      </c>
      <c r="G7761" s="9" t="s">
        <v>277</v>
      </c>
      <c r="H7761" s="5" t="s">
        <v>21</v>
      </c>
      <c r="I7761" s="5" t="s">
        <v>18605</v>
      </c>
      <c r="J7761" s="12" t="str">
        <f>HYPERLINK("https://www.boe.es/gazeta/dias/1808/04/22/pdfs/GMD-C-1808-38.pdf#page=34","Abrir facsímil")</f>
        <v>Abrir facsímil</v>
      </c>
      <c r="K7761" s="15" t="s">
        <v>23</v>
      </c>
    </row>
    <row r="7762" spans="1:11" ht="42" customHeight="1">
      <c r="A7762" s="4" t="s">
        <v>18606</v>
      </c>
      <c r="B7762" s="5" t="s">
        <v>18607</v>
      </c>
      <c r="C7762" s="5" t="s">
        <v>33</v>
      </c>
      <c r="D7762" s="5" t="s">
        <v>34</v>
      </c>
      <c r="E7762" s="5" t="s">
        <v>35</v>
      </c>
      <c r="F7762" s="9" t="s">
        <v>36</v>
      </c>
      <c r="G7762" s="9" t="s">
        <v>313</v>
      </c>
      <c r="H7762" s="5" t="s">
        <v>21</v>
      </c>
      <c r="I7762" s="5" t="s">
        <v>18608</v>
      </c>
      <c r="J7762" s="12" t="str">
        <f>HYPERLINK("https://www.boe.es/gazeta/dias/1808/04/22/pdfs/GMD-C-1808-38.pdf#page=29","Abrir facsímil")</f>
        <v>Abrir facsímil</v>
      </c>
      <c r="K7762" s="15" t="s">
        <v>23</v>
      </c>
    </row>
    <row r="7763" spans="1:11" ht="42" customHeight="1">
      <c r="A7763" s="4" t="s">
        <v>18609</v>
      </c>
      <c r="B7763" s="5" t="s">
        <v>18609</v>
      </c>
      <c r="C7763" s="5" t="s">
        <v>41</v>
      </c>
      <c r="D7763" s="5" t="s">
        <v>42</v>
      </c>
      <c r="E7763" s="5" t="s">
        <v>35</v>
      </c>
      <c r="F7763" s="9" t="s">
        <v>36</v>
      </c>
      <c r="G7763" s="9" t="s">
        <v>1806</v>
      </c>
      <c r="H7763" s="5" t="s">
        <v>21</v>
      </c>
      <c r="I7763" s="5" t="s">
        <v>18610</v>
      </c>
      <c r="J7763" s="12" t="str">
        <f>HYPERLINK("https://www.boe.es/gazeta/dias/1808/04/22/pdfs/GMD-C-1808-38.pdf#page=6","Abrir facsímil")</f>
        <v>Abrir facsímil</v>
      </c>
      <c r="K7763" s="15" t="s">
        <v>23</v>
      </c>
    </row>
    <row r="7764" spans="1:11" ht="42" customHeight="1">
      <c r="A7764" s="4" t="s">
        <v>18611</v>
      </c>
      <c r="B7764" s="5" t="s">
        <v>18612</v>
      </c>
      <c r="C7764" s="5" t="s">
        <v>17</v>
      </c>
      <c r="D7764" s="5" t="s">
        <v>18</v>
      </c>
      <c r="E7764" s="5" t="s">
        <v>130</v>
      </c>
      <c r="F7764" s="9" t="s">
        <v>131</v>
      </c>
      <c r="G7764" s="9">
        <v>1602</v>
      </c>
      <c r="H7764" s="5" t="s">
        <v>21</v>
      </c>
      <c r="I7764" s="5" t="s">
        <v>18613</v>
      </c>
      <c r="J7764" s="12" t="str">
        <f>HYPERLINK("https://www.boe.es/gazeta/dias/1808/12/15/pdfs/GMD-1808-155.pdf#page=6","Abrir facsímil")</f>
        <v>Abrir facsímil</v>
      </c>
      <c r="K7764" s="15" t="s">
        <v>23</v>
      </c>
    </row>
    <row r="7765" spans="1:11" ht="42" customHeight="1">
      <c r="A7765" s="4" t="s">
        <v>18614</v>
      </c>
      <c r="B7765" s="5" t="s">
        <v>18615</v>
      </c>
      <c r="C7765" s="5" t="s">
        <v>17</v>
      </c>
      <c r="D7765" s="5" t="s">
        <v>18</v>
      </c>
      <c r="E7765" s="5" t="s">
        <v>130</v>
      </c>
      <c r="F7765" s="9" t="s">
        <v>131</v>
      </c>
      <c r="G7765" s="9">
        <v>1604</v>
      </c>
      <c r="H7765" s="5" t="s">
        <v>21</v>
      </c>
      <c r="I7765" s="5" t="s">
        <v>18616</v>
      </c>
      <c r="J7765" s="12" t="str">
        <f>HYPERLINK("https://www.boe.es/gazeta/dias/1808/12/15/pdfs/GMD-1808-155.pdf#page=8","Abrir facsímil")</f>
        <v>Abrir facsímil</v>
      </c>
      <c r="K7765" s="15" t="s">
        <v>23</v>
      </c>
    </row>
    <row r="7766" spans="1:11" ht="42" customHeight="1">
      <c r="A7766" s="4" t="s">
        <v>18617</v>
      </c>
      <c r="B7766" s="5" t="s">
        <v>18618</v>
      </c>
      <c r="C7766" s="5" t="s">
        <v>33</v>
      </c>
      <c r="D7766" s="5" t="s">
        <v>34</v>
      </c>
      <c r="E7766" s="5" t="s">
        <v>427</v>
      </c>
      <c r="F7766" s="9" t="s">
        <v>428</v>
      </c>
      <c r="G7766" s="9" t="s">
        <v>106</v>
      </c>
      <c r="H7766" s="5" t="s">
        <v>21</v>
      </c>
      <c r="I7766" s="5" t="s">
        <v>18619</v>
      </c>
      <c r="J7766" s="12" t="str">
        <f>HYPERLINK("https://www.boe.es/gazeta/dias/1808/11/22/pdfs/GMD-D-1808-146.pdf#page=3","Abrir facsímil")</f>
        <v>Abrir facsímil</v>
      </c>
      <c r="K7766" s="15" t="s">
        <v>23</v>
      </c>
    </row>
    <row r="7767" spans="1:11" ht="42" customHeight="1">
      <c r="A7767" s="4" t="s">
        <v>18620</v>
      </c>
      <c r="B7767" s="5" t="s">
        <v>18620</v>
      </c>
      <c r="C7767" s="5" t="s">
        <v>33</v>
      </c>
      <c r="D7767" s="5" t="s">
        <v>34</v>
      </c>
      <c r="E7767" s="5" t="s">
        <v>35</v>
      </c>
      <c r="F7767" s="9" t="s">
        <v>36</v>
      </c>
      <c r="G7767" s="9" t="s">
        <v>279</v>
      </c>
      <c r="H7767" s="5" t="s">
        <v>21</v>
      </c>
      <c r="I7767" s="5" t="s">
        <v>18621</v>
      </c>
      <c r="J7767" s="12" t="str">
        <f>HYPERLINK("https://www.boe.es/gazeta/dias/1808/04/22/pdfs/GMD-C-1808-38.pdf#page=44","Abrir facsímil")</f>
        <v>Abrir facsímil</v>
      </c>
      <c r="K7767" s="15" t="s">
        <v>23</v>
      </c>
    </row>
    <row r="7768" spans="1:11" ht="42" customHeight="1">
      <c r="A7768" s="4" t="s">
        <v>18622</v>
      </c>
      <c r="B7768" s="5" t="s">
        <v>18623</v>
      </c>
      <c r="C7768" s="5" t="s">
        <v>17</v>
      </c>
      <c r="D7768" s="5" t="s">
        <v>18</v>
      </c>
      <c r="E7768" s="5" t="s">
        <v>73</v>
      </c>
      <c r="F7768" s="9" t="s">
        <v>581</v>
      </c>
      <c r="G7768" s="9">
        <v>1468</v>
      </c>
      <c r="H7768" s="5" t="s">
        <v>21</v>
      </c>
      <c r="I7768" s="5" t="s">
        <v>18624</v>
      </c>
      <c r="J7768" s="12" t="str">
        <f>HYPERLINK("https://www.boe.es/gazeta/dias/1808/11/11/pdfs/GMD-1808-143.pdf#page=10","Abrir facsímil")</f>
        <v>Abrir facsímil</v>
      </c>
      <c r="K7768" s="15" t="s">
        <v>23</v>
      </c>
    </row>
    <row r="7769" spans="1:11" ht="42" customHeight="1">
      <c r="A7769" s="4" t="s">
        <v>18625</v>
      </c>
      <c r="B7769" s="5" t="s">
        <v>18626</v>
      </c>
      <c r="C7769" s="5" t="s">
        <v>41</v>
      </c>
      <c r="D7769" s="5" t="s">
        <v>42</v>
      </c>
      <c r="E7769" s="5" t="s">
        <v>264</v>
      </c>
      <c r="F7769" s="9" t="s">
        <v>2256</v>
      </c>
      <c r="G7769" s="9">
        <v>1565</v>
      </c>
      <c r="H7769" s="5" t="s">
        <v>21</v>
      </c>
      <c r="I7769" s="5" t="s">
        <v>18627</v>
      </c>
      <c r="J7769" s="12" t="str">
        <f>HYPERLINK("https://www.boe.es/gazeta/dias/1808/11/29/pdfs/GMD-1808-148.pdf#page=11","Abrir facsímil")</f>
        <v>Abrir facsímil</v>
      </c>
      <c r="K7769" s="15" t="s">
        <v>23</v>
      </c>
    </row>
    <row r="7770" spans="1:11" ht="42" customHeight="1">
      <c r="A7770" s="4" t="s">
        <v>18628</v>
      </c>
      <c r="B7770" s="5" t="s">
        <v>18629</v>
      </c>
      <c r="C7770" s="5" t="s">
        <v>94</v>
      </c>
      <c r="D7770" s="5" t="s">
        <v>95</v>
      </c>
      <c r="E7770" s="5" t="s">
        <v>5928</v>
      </c>
      <c r="F7770" s="9" t="s">
        <v>5929</v>
      </c>
      <c r="G7770" s="9">
        <v>35</v>
      </c>
      <c r="H7770" s="5" t="s">
        <v>21</v>
      </c>
      <c r="I7770" s="5" t="s">
        <v>18630</v>
      </c>
      <c r="J7770" s="12" t="str">
        <f>HYPERLINK("https://www.boe.es/gazeta/dias/1808/06/15/pdfs/GMS-1808-5.pdf#page=3","Abrir facsímil")</f>
        <v>Abrir facsímil</v>
      </c>
      <c r="K7770" s="15" t="s">
        <v>23</v>
      </c>
    </row>
    <row r="7771" spans="1:11" ht="42" customHeight="1">
      <c r="A7771" s="4" t="s">
        <v>18631</v>
      </c>
      <c r="B7771" s="5" t="s">
        <v>18632</v>
      </c>
      <c r="C7771" s="5" t="s">
        <v>17</v>
      </c>
      <c r="D7771" s="5" t="s">
        <v>18</v>
      </c>
      <c r="E7771" s="5" t="s">
        <v>2555</v>
      </c>
      <c r="F7771" s="9" t="s">
        <v>2556</v>
      </c>
      <c r="G7771" s="9">
        <v>132</v>
      </c>
      <c r="H7771" s="5" t="s">
        <v>21</v>
      </c>
      <c r="I7771" s="5" t="s">
        <v>18633</v>
      </c>
      <c r="J7771" s="12" t="str">
        <f>HYPERLINK("https://www.boe.es/gazeta/dias/1808/02/05/pdfs/GMD-1808-11.pdf#page=12","Abrir facsímil")</f>
        <v>Abrir facsímil</v>
      </c>
      <c r="K7771" s="15" t="s">
        <v>23</v>
      </c>
    </row>
    <row r="7772" spans="1:11" ht="42" customHeight="1">
      <c r="A7772" s="4" t="s">
        <v>18634</v>
      </c>
      <c r="B7772" s="5" t="s">
        <v>18635</v>
      </c>
      <c r="C7772" s="5" t="s">
        <v>33</v>
      </c>
      <c r="D7772" s="5" t="s">
        <v>34</v>
      </c>
      <c r="E7772" s="5" t="s">
        <v>35</v>
      </c>
      <c r="F7772" s="9" t="s">
        <v>36</v>
      </c>
      <c r="G7772" s="9" t="s">
        <v>47</v>
      </c>
      <c r="H7772" s="5" t="s">
        <v>21</v>
      </c>
      <c r="I7772" s="5" t="s">
        <v>18636</v>
      </c>
      <c r="J7772" s="12" t="str">
        <f>HYPERLINK("https://www.boe.es/gazeta/dias/1808/04/22/pdfs/GMD-C-1808-38.pdf#page=13","Abrir facsímil")</f>
        <v>Abrir facsímil</v>
      </c>
      <c r="K7772" s="15" t="s">
        <v>23</v>
      </c>
    </row>
    <row r="7773" spans="1:11" ht="42" customHeight="1">
      <c r="A7773" s="4" t="s">
        <v>18637</v>
      </c>
      <c r="B7773" s="5" t="s">
        <v>18637</v>
      </c>
      <c r="C7773" s="5" t="s">
        <v>94</v>
      </c>
      <c r="D7773" s="5" t="s">
        <v>95</v>
      </c>
      <c r="E7773" s="5" t="s">
        <v>368</v>
      </c>
      <c r="F7773" s="9" t="s">
        <v>369</v>
      </c>
      <c r="G7773" s="9">
        <v>159</v>
      </c>
      <c r="H7773" s="5" t="s">
        <v>21</v>
      </c>
      <c r="I7773" s="5" t="s">
        <v>18638</v>
      </c>
      <c r="J7773" s="12" t="str">
        <f>HYPERLINK("https://www.boe.es/gazeta/dias/1808/02/16/pdfs/GMD-1808-14.pdf#page=1","Abrir facsímil")</f>
        <v>Abrir facsímil</v>
      </c>
      <c r="K7773" s="15" t="s">
        <v>23</v>
      </c>
    </row>
    <row r="7774" spans="1:11" ht="42" customHeight="1">
      <c r="A7774" s="4" t="s">
        <v>18639</v>
      </c>
      <c r="B7774" s="5" t="s">
        <v>18640</v>
      </c>
      <c r="C7774" s="5" t="s">
        <v>101</v>
      </c>
      <c r="D7774" s="5" t="s">
        <v>102</v>
      </c>
      <c r="E7774" s="5" t="s">
        <v>960</v>
      </c>
      <c r="F7774" s="9" t="s">
        <v>961</v>
      </c>
      <c r="G7774" s="9">
        <v>855</v>
      </c>
      <c r="H7774" s="5" t="s">
        <v>21</v>
      </c>
      <c r="I7774" s="5" t="s">
        <v>18641</v>
      </c>
      <c r="J7774" s="12" t="str">
        <f>HYPERLINK("https://www.boe.es/gazeta/dias/1808/07/21/pdfs/GMD-1808-93.pdf#page=1","Abrir facsímil")</f>
        <v>Abrir facsímil</v>
      </c>
      <c r="K7774" s="15" t="s">
        <v>23</v>
      </c>
    </row>
    <row r="7775" spans="1:11" ht="42" customHeight="1">
      <c r="A7775" s="4" t="s">
        <v>18642</v>
      </c>
      <c r="B7775" s="5" t="s">
        <v>18642</v>
      </c>
      <c r="C7775" s="5" t="s">
        <v>101</v>
      </c>
      <c r="D7775" s="5" t="s">
        <v>102</v>
      </c>
      <c r="E7775" s="5" t="s">
        <v>960</v>
      </c>
      <c r="F7775" s="9" t="s">
        <v>961</v>
      </c>
      <c r="G7775" s="9">
        <v>856</v>
      </c>
      <c r="H7775" s="5" t="s">
        <v>21</v>
      </c>
      <c r="I7775" s="5" t="s">
        <v>18643</v>
      </c>
      <c r="J7775" s="12" t="str">
        <f>HYPERLINK("https://www.boe.es/gazeta/dias/1808/07/21/pdfs/GMD-1808-93.pdf#page=2","Abrir facsímil")</f>
        <v>Abrir facsímil</v>
      </c>
      <c r="K7775" s="15" t="s">
        <v>23</v>
      </c>
    </row>
    <row r="7776" spans="1:11" ht="42" customHeight="1">
      <c r="A7776" s="4" t="s">
        <v>18644</v>
      </c>
      <c r="B7776" s="5" t="s">
        <v>18645</v>
      </c>
      <c r="C7776" s="5" t="s">
        <v>94</v>
      </c>
      <c r="D7776" s="5" t="s">
        <v>95</v>
      </c>
      <c r="E7776" s="5" t="s">
        <v>203</v>
      </c>
      <c r="F7776" s="9" t="s">
        <v>204</v>
      </c>
      <c r="G7776" s="9">
        <v>141</v>
      </c>
      <c r="H7776" s="5" t="s">
        <v>21</v>
      </c>
      <c r="I7776" s="5" t="s">
        <v>18646</v>
      </c>
      <c r="J7776" s="12" t="str">
        <f>HYPERLINK("https://www.boe.es/gazeta/dias/1808/02/09/pdfs/GMD-1808-12.pdf#page=9","Abrir facsímil")</f>
        <v>Abrir facsímil</v>
      </c>
      <c r="K7776" s="15" t="s">
        <v>23</v>
      </c>
    </row>
    <row r="7777" spans="1:11" ht="42" customHeight="1">
      <c r="A7777" s="4" t="s">
        <v>18647</v>
      </c>
      <c r="B7777" s="5" t="s">
        <v>18648</v>
      </c>
      <c r="C7777" s="5" t="s">
        <v>33</v>
      </c>
      <c r="D7777" s="5" t="s">
        <v>34</v>
      </c>
      <c r="E7777" s="5" t="s">
        <v>19</v>
      </c>
      <c r="F7777" s="9" t="s">
        <v>949</v>
      </c>
      <c r="G7777" s="9" t="s">
        <v>75</v>
      </c>
      <c r="H7777" s="5" t="s">
        <v>21</v>
      </c>
      <c r="I7777" s="5" t="s">
        <v>18649</v>
      </c>
      <c r="J7777" s="12" t="str">
        <f>HYPERLINK("https://www.boe.es/gazeta/dias/1808/09/30/pdfs/GMD-C-1808-130.pdf#page=4","Abrir facsímil")</f>
        <v>Abrir facsímil</v>
      </c>
      <c r="K7777" s="15" t="s">
        <v>23</v>
      </c>
    </row>
    <row r="7778" spans="1:11" ht="42" customHeight="1">
      <c r="A7778" s="4" t="s">
        <v>18650</v>
      </c>
      <c r="B7778" s="5" t="s">
        <v>18651</v>
      </c>
      <c r="C7778" s="5" t="s">
        <v>94</v>
      </c>
      <c r="D7778" s="5" t="s">
        <v>95</v>
      </c>
      <c r="E7778" s="5" t="s">
        <v>207</v>
      </c>
      <c r="F7778" s="9" t="s">
        <v>208</v>
      </c>
      <c r="G7778" s="9">
        <v>196</v>
      </c>
      <c r="H7778" s="5" t="s">
        <v>21</v>
      </c>
      <c r="I7778" s="5" t="s">
        <v>18652</v>
      </c>
      <c r="J7778" s="12" t="str">
        <f>HYPERLINK("https://www.boe.es/gazeta/dias/1808/02/23/pdfs/GMD-1808-16.pdf#page=10","Abrir facsímil")</f>
        <v>Abrir facsímil</v>
      </c>
      <c r="K7778" s="15" t="s">
        <v>23</v>
      </c>
    </row>
    <row r="7779" spans="1:11" ht="42" customHeight="1">
      <c r="A7779" s="4" t="s">
        <v>18653</v>
      </c>
      <c r="B7779" s="5" t="s">
        <v>18654</v>
      </c>
      <c r="C7779" s="5" t="s">
        <v>17</v>
      </c>
      <c r="D7779" s="5" t="s">
        <v>18</v>
      </c>
      <c r="E7779" s="5" t="s">
        <v>264</v>
      </c>
      <c r="F7779" s="9" t="s">
        <v>2256</v>
      </c>
      <c r="G7779" s="9">
        <v>1565</v>
      </c>
      <c r="H7779" s="5" t="s">
        <v>21</v>
      </c>
      <c r="I7779" s="5" t="s">
        <v>18655</v>
      </c>
      <c r="J7779" s="12" t="str">
        <f>HYPERLINK("https://www.boe.es/gazeta/dias/1808/11/29/pdfs/GMD-1808-148.pdf#page=11","Abrir facsímil")</f>
        <v>Abrir facsímil</v>
      </c>
      <c r="K7779" s="15" t="s">
        <v>23</v>
      </c>
    </row>
    <row r="7780" spans="1:11" ht="42" customHeight="1">
      <c r="A7780" s="4" t="s">
        <v>18656</v>
      </c>
      <c r="B7780" s="5" t="s">
        <v>18657</v>
      </c>
      <c r="C7780" s="5" t="s">
        <v>17</v>
      </c>
      <c r="D7780" s="5" t="s">
        <v>18</v>
      </c>
      <c r="E7780" s="5" t="s">
        <v>130</v>
      </c>
      <c r="F7780" s="9" t="s">
        <v>131</v>
      </c>
      <c r="G7780" s="9">
        <v>1602</v>
      </c>
      <c r="H7780" s="5" t="s">
        <v>21</v>
      </c>
      <c r="I7780" s="5" t="s">
        <v>18658</v>
      </c>
      <c r="J7780" s="12" t="str">
        <f>HYPERLINK("https://www.boe.es/gazeta/dias/1808/12/15/pdfs/GMD-1808-155.pdf#page=6","Abrir facsímil")</f>
        <v>Abrir facsímil</v>
      </c>
      <c r="K7780" s="15" t="s">
        <v>23</v>
      </c>
    </row>
    <row r="7781" spans="1:11" ht="42" customHeight="1">
      <c r="A7781" s="4" t="s">
        <v>18659</v>
      </c>
      <c r="B7781" s="5" t="s">
        <v>18660</v>
      </c>
      <c r="C7781" s="5" t="s">
        <v>17</v>
      </c>
      <c r="D7781" s="5" t="s">
        <v>18</v>
      </c>
      <c r="E7781" s="5" t="s">
        <v>334</v>
      </c>
      <c r="F7781" s="9" t="s">
        <v>1814</v>
      </c>
      <c r="G7781" s="9">
        <v>1245</v>
      </c>
      <c r="H7781" s="5" t="s">
        <v>21</v>
      </c>
      <c r="I7781" s="5" t="s">
        <v>18661</v>
      </c>
      <c r="J7781" s="12" t="str">
        <f>HYPERLINK("https://www.boe.es/gazeta/dias/1808/10/04/pdfs/GMD-1808-131.pdf#page=13","Abrir facsímil")</f>
        <v>Abrir facsímil</v>
      </c>
      <c r="K7781" s="15" t="s">
        <v>23</v>
      </c>
    </row>
    <row r="7782" spans="1:11" ht="42" customHeight="1">
      <c r="A7782" s="4" t="s">
        <v>18662</v>
      </c>
      <c r="B7782" s="5" t="s">
        <v>18663</v>
      </c>
      <c r="C7782" s="5" t="s">
        <v>33</v>
      </c>
      <c r="D7782" s="5" t="s">
        <v>34</v>
      </c>
      <c r="E7782" s="5" t="s">
        <v>89</v>
      </c>
      <c r="F7782" s="9" t="s">
        <v>563</v>
      </c>
      <c r="G7782" s="9" t="s">
        <v>106</v>
      </c>
      <c r="H7782" s="5" t="s">
        <v>21</v>
      </c>
      <c r="I7782" s="5" t="s">
        <v>18664</v>
      </c>
      <c r="J7782" s="12" t="str">
        <f>HYPERLINK("https://www.boe.es/gazeta/dias/1808/10/25/pdfs/GMD-D-1808-137.pdf#page=3","Abrir facsímil")</f>
        <v>Abrir facsímil</v>
      </c>
      <c r="K7782" s="15" t="s">
        <v>23</v>
      </c>
    </row>
    <row r="7783" spans="1:11" ht="42" customHeight="1">
      <c r="A7783" s="4" t="s">
        <v>18665</v>
      </c>
      <c r="B7783" s="5" t="s">
        <v>18666</v>
      </c>
      <c r="C7783" s="5" t="s">
        <v>17</v>
      </c>
      <c r="D7783" s="5" t="s">
        <v>18</v>
      </c>
      <c r="E7783" s="5" t="s">
        <v>61</v>
      </c>
      <c r="F7783" s="9" t="s">
        <v>62</v>
      </c>
      <c r="G7783" s="9">
        <v>1285</v>
      </c>
      <c r="H7783" s="5" t="s">
        <v>21</v>
      </c>
      <c r="I7783" s="5" t="s">
        <v>18667</v>
      </c>
      <c r="J7783" s="12" t="str">
        <f>HYPERLINK("https://www.boe.es/gazeta/dias/1808/10/11/pdfs/GMD-1808-133.pdf#page=13","Abrir facsímil")</f>
        <v>Abrir facsímil</v>
      </c>
      <c r="K7783" s="15" t="s">
        <v>23</v>
      </c>
    </row>
    <row r="7784" spans="1:11" ht="42" customHeight="1">
      <c r="A7784" s="4" t="s">
        <v>18668</v>
      </c>
      <c r="B7784" s="5" t="s">
        <v>18668</v>
      </c>
      <c r="C7784" s="5" t="s">
        <v>101</v>
      </c>
      <c r="D7784" s="5" t="s">
        <v>102</v>
      </c>
      <c r="E7784" s="5" t="s">
        <v>1210</v>
      </c>
      <c r="F7784" s="9" t="s">
        <v>1211</v>
      </c>
      <c r="G7784" s="9">
        <v>450</v>
      </c>
      <c r="H7784" s="5" t="s">
        <v>21</v>
      </c>
      <c r="I7784" s="5" t="s">
        <v>18669</v>
      </c>
      <c r="J7784" s="12" t="str">
        <f>HYPERLINK("https://www.boe.es/gazeta/dias/1808/05/13/pdfs/GMD-1808-46.pdf#page=2","Abrir facsímil")</f>
        <v>Abrir facsímil</v>
      </c>
      <c r="K7784" s="15" t="s">
        <v>23</v>
      </c>
    </row>
    <row r="7785" spans="1:11" ht="42" customHeight="1">
      <c r="A7785" s="4" t="s">
        <v>18670</v>
      </c>
      <c r="B7785" s="5" t="s">
        <v>18671</v>
      </c>
      <c r="C7785" s="5" t="s">
        <v>389</v>
      </c>
      <c r="D7785" s="5" t="s">
        <v>390</v>
      </c>
      <c r="E7785" s="5" t="s">
        <v>35</v>
      </c>
      <c r="F7785" s="9" t="s">
        <v>36</v>
      </c>
      <c r="G7785" s="9" t="s">
        <v>322</v>
      </c>
      <c r="H7785" s="5" t="s">
        <v>21</v>
      </c>
      <c r="I7785" s="5" t="s">
        <v>18672</v>
      </c>
      <c r="J7785" s="12" t="str">
        <f>HYPERLINK("https://www.boe.es/gazeta/dias/1808/04/22/pdfs/GMD-C-1808-38.pdf#page=15","Abrir facsímil")</f>
        <v>Abrir facsímil</v>
      </c>
      <c r="K7785" s="15" t="s">
        <v>23</v>
      </c>
    </row>
    <row r="7786" spans="1:11" ht="42" customHeight="1">
      <c r="A7786" s="4" t="s">
        <v>18673</v>
      </c>
      <c r="B7786" s="5" t="s">
        <v>18674</v>
      </c>
      <c r="C7786" s="5" t="s">
        <v>17</v>
      </c>
      <c r="D7786" s="5" t="s">
        <v>18</v>
      </c>
      <c r="E7786" s="5" t="s">
        <v>218</v>
      </c>
      <c r="F7786" s="9" t="s">
        <v>219</v>
      </c>
      <c r="G7786" s="9">
        <v>331</v>
      </c>
      <c r="H7786" s="5" t="s">
        <v>21</v>
      </c>
      <c r="I7786" s="5" t="s">
        <v>18675</v>
      </c>
      <c r="J7786" s="12" t="str">
        <f>HYPERLINK("https://www.boe.es/gazeta/dias/1808/04/01/pdfs/GMD-1808-29.pdf#page=7","Abrir facsímil")</f>
        <v>Abrir facsímil</v>
      </c>
      <c r="K7786" s="15" t="s">
        <v>23</v>
      </c>
    </row>
    <row r="7787" spans="1:11" ht="42" customHeight="1">
      <c r="A7787" s="4" t="s">
        <v>18676</v>
      </c>
      <c r="B7787" s="5" t="s">
        <v>18677</v>
      </c>
      <c r="C7787" s="5" t="s">
        <v>17</v>
      </c>
      <c r="D7787" s="5" t="s">
        <v>18</v>
      </c>
      <c r="E7787" s="5" t="s">
        <v>130</v>
      </c>
      <c r="F7787" s="9" t="s">
        <v>131</v>
      </c>
      <c r="G7787" s="9">
        <v>1603</v>
      </c>
      <c r="H7787" s="5" t="s">
        <v>21</v>
      </c>
      <c r="I7787" s="5" t="s">
        <v>18678</v>
      </c>
      <c r="J7787" s="12" t="str">
        <f>HYPERLINK("https://www.boe.es/gazeta/dias/1808/12/15/pdfs/GMD-1808-155.pdf#page=7","Abrir facsímil")</f>
        <v>Abrir facsímil</v>
      </c>
      <c r="K7787" s="15" t="s">
        <v>23</v>
      </c>
    </row>
    <row r="7788" spans="1:11" ht="42" customHeight="1">
      <c r="A7788" s="4" t="s">
        <v>18679</v>
      </c>
      <c r="B7788" s="5" t="s">
        <v>18680</v>
      </c>
      <c r="C7788" s="5" t="s">
        <v>33</v>
      </c>
      <c r="D7788" s="5" t="s">
        <v>34</v>
      </c>
      <c r="E7788" s="5" t="s">
        <v>616</v>
      </c>
      <c r="F7788" s="9" t="s">
        <v>4334</v>
      </c>
      <c r="G7788" s="9">
        <v>1049</v>
      </c>
      <c r="H7788" s="5" t="s">
        <v>21</v>
      </c>
      <c r="I7788" s="5" t="s">
        <v>18681</v>
      </c>
      <c r="J7788" s="12" t="str">
        <f>HYPERLINK("https://www.boe.es/gazeta/dias/1808/08/19/pdfs/GMD-C-1808-115.pdf#page=3","Abrir facsímil")</f>
        <v>Abrir facsímil</v>
      </c>
      <c r="K7788" s="15" t="s">
        <v>23</v>
      </c>
    </row>
    <row r="7789" spans="1:11" ht="42" customHeight="1">
      <c r="A7789" s="4" t="s">
        <v>18682</v>
      </c>
      <c r="B7789" s="5" t="s">
        <v>18683</v>
      </c>
      <c r="C7789" s="5" t="s">
        <v>33</v>
      </c>
      <c r="D7789" s="5" t="s">
        <v>34</v>
      </c>
      <c r="E7789" s="5" t="s">
        <v>35</v>
      </c>
      <c r="F7789" s="9" t="s">
        <v>36</v>
      </c>
      <c r="G7789" s="9" t="s">
        <v>414</v>
      </c>
      <c r="H7789" s="5" t="s">
        <v>21</v>
      </c>
      <c r="I7789" s="5" t="s">
        <v>18684</v>
      </c>
      <c r="J7789" s="12" t="str">
        <f>HYPERLINK("https://www.boe.es/gazeta/dias/1808/04/22/pdfs/GMD-C-1808-38.pdf#page=20","Abrir facsímil")</f>
        <v>Abrir facsímil</v>
      </c>
      <c r="K7789" s="15" t="s">
        <v>23</v>
      </c>
    </row>
    <row r="7790" spans="1:11" ht="42" customHeight="1">
      <c r="A7790" s="4" t="s">
        <v>18685</v>
      </c>
      <c r="B7790" s="5" t="s">
        <v>18686</v>
      </c>
      <c r="C7790" s="5" t="s">
        <v>41</v>
      </c>
      <c r="D7790" s="5" t="s">
        <v>42</v>
      </c>
      <c r="E7790" s="5" t="s">
        <v>461</v>
      </c>
      <c r="F7790" s="9" t="s">
        <v>462</v>
      </c>
      <c r="G7790" s="9" t="s">
        <v>75</v>
      </c>
      <c r="H7790" s="5" t="s">
        <v>21</v>
      </c>
      <c r="I7790" s="5" t="s">
        <v>18687</v>
      </c>
      <c r="J7790" s="12" t="str">
        <f>HYPERLINK("https://www.boe.es/gazeta/dias/1808/11/08/pdfs/GMD-D-1808-142.pdf#page=4","Abrir facsímil")</f>
        <v>Abrir facsímil</v>
      </c>
      <c r="K7790" s="15" t="s">
        <v>23</v>
      </c>
    </row>
    <row r="7791" spans="1:11" ht="42" customHeight="1">
      <c r="A7791" s="4" t="s">
        <v>18688</v>
      </c>
      <c r="B7791" s="5" t="s">
        <v>18689</v>
      </c>
      <c r="C7791" s="5" t="s">
        <v>94</v>
      </c>
      <c r="D7791" s="5" t="s">
        <v>95</v>
      </c>
      <c r="E7791" s="5" t="s">
        <v>203</v>
      </c>
      <c r="F7791" s="9" t="s">
        <v>204</v>
      </c>
      <c r="G7791" s="9">
        <v>141</v>
      </c>
      <c r="H7791" s="5" t="s">
        <v>21</v>
      </c>
      <c r="I7791" s="5" t="s">
        <v>18690</v>
      </c>
      <c r="J7791" s="12" t="str">
        <f>HYPERLINK("https://www.boe.es/gazeta/dias/1808/02/09/pdfs/GMD-1808-12.pdf#page=9","Abrir facsímil")</f>
        <v>Abrir facsímil</v>
      </c>
      <c r="K7791" s="15" t="s">
        <v>23</v>
      </c>
    </row>
    <row r="7792" spans="1:11" ht="42" customHeight="1">
      <c r="A7792" s="4" t="s">
        <v>18691</v>
      </c>
      <c r="B7792" s="5" t="s">
        <v>18692</v>
      </c>
      <c r="C7792" s="5" t="s">
        <v>33</v>
      </c>
      <c r="D7792" s="5" t="s">
        <v>34</v>
      </c>
      <c r="E7792" s="5" t="s">
        <v>35</v>
      </c>
      <c r="F7792" s="9" t="s">
        <v>36</v>
      </c>
      <c r="G7792" s="9" t="s">
        <v>199</v>
      </c>
      <c r="H7792" s="5" t="s">
        <v>21</v>
      </c>
      <c r="I7792" s="5" t="s">
        <v>18693</v>
      </c>
      <c r="J7792" s="12" t="str">
        <f>HYPERLINK("https://www.boe.es/gazeta/dias/1808/04/22/pdfs/GMD-C-1808-38.pdf#page=2","Abrir facsímil")</f>
        <v>Abrir facsímil</v>
      </c>
      <c r="K7792" s="15" t="s">
        <v>23</v>
      </c>
    </row>
    <row r="7793" spans="1:11" ht="42" customHeight="1">
      <c r="A7793" s="4" t="s">
        <v>18694</v>
      </c>
      <c r="B7793" s="5" t="s">
        <v>18695</v>
      </c>
      <c r="C7793" s="5" t="s">
        <v>41</v>
      </c>
      <c r="D7793" s="5" t="s">
        <v>42</v>
      </c>
      <c r="E7793" s="5" t="s">
        <v>35</v>
      </c>
      <c r="F7793" s="9" t="s">
        <v>36</v>
      </c>
      <c r="G7793" s="9" t="s">
        <v>277</v>
      </c>
      <c r="H7793" s="5" t="s">
        <v>21</v>
      </c>
      <c r="I7793" s="5" t="s">
        <v>18696</v>
      </c>
      <c r="J7793" s="12" t="str">
        <f>HYPERLINK("https://www.boe.es/gazeta/dias/1808/04/22/pdfs/GMD-C-1808-38.pdf#page=34","Abrir facsímil")</f>
        <v>Abrir facsímil</v>
      </c>
      <c r="K7793" s="15" t="s">
        <v>23</v>
      </c>
    </row>
    <row r="7794" spans="1:11" ht="42" customHeight="1">
      <c r="A7794" s="4" t="s">
        <v>18697</v>
      </c>
      <c r="B7794" s="5" t="s">
        <v>18698</v>
      </c>
      <c r="C7794" s="5" t="s">
        <v>17</v>
      </c>
      <c r="D7794" s="5" t="s">
        <v>18</v>
      </c>
      <c r="E7794" s="5" t="s">
        <v>180</v>
      </c>
      <c r="F7794" s="9" t="s">
        <v>2568</v>
      </c>
      <c r="G7794" s="9">
        <v>1495</v>
      </c>
      <c r="H7794" s="5" t="s">
        <v>21</v>
      </c>
      <c r="I7794" s="5" t="s">
        <v>18699</v>
      </c>
      <c r="J7794" s="12" t="str">
        <f>HYPERLINK("https://www.boe.es/gazeta/dias/1808/11/15/pdfs/GMD-1808-144.pdf#page=9","Abrir facsímil")</f>
        <v>Abrir facsímil</v>
      </c>
      <c r="K7794" s="15" t="s">
        <v>23</v>
      </c>
    </row>
    <row r="7795" spans="1:11" ht="42" customHeight="1">
      <c r="A7795" s="4" t="s">
        <v>18700</v>
      </c>
      <c r="B7795" s="5" t="s">
        <v>18701</v>
      </c>
      <c r="C7795" s="5" t="s">
        <v>33</v>
      </c>
      <c r="D7795" s="5" t="s">
        <v>34</v>
      </c>
      <c r="E7795" s="5" t="s">
        <v>68</v>
      </c>
      <c r="F7795" s="9" t="s">
        <v>849</v>
      </c>
      <c r="G7795" s="9">
        <v>1344</v>
      </c>
      <c r="H7795" s="5" t="s">
        <v>21</v>
      </c>
      <c r="I7795" s="5" t="s">
        <v>18702</v>
      </c>
      <c r="J7795" s="12" t="str">
        <f>HYPERLINK("https://www.boe.es/gazeta/dias/1808/10/21/pdfs/GMD-C-1808-136.pdf#page=4","Abrir facsímil")</f>
        <v>Abrir facsímil</v>
      </c>
      <c r="K7795" s="15" t="s">
        <v>23</v>
      </c>
    </row>
    <row r="7796" spans="1:11" ht="42" customHeight="1">
      <c r="A7796" s="4" t="s">
        <v>18703</v>
      </c>
      <c r="B7796" s="5" t="s">
        <v>18704</v>
      </c>
      <c r="C7796" s="5" t="s">
        <v>94</v>
      </c>
      <c r="D7796" s="5" t="s">
        <v>95</v>
      </c>
      <c r="E7796" s="5" t="s">
        <v>203</v>
      </c>
      <c r="F7796" s="9" t="s">
        <v>204</v>
      </c>
      <c r="G7796" s="9">
        <v>141</v>
      </c>
      <c r="H7796" s="5" t="s">
        <v>21</v>
      </c>
      <c r="I7796" s="5" t="s">
        <v>18705</v>
      </c>
      <c r="J7796" s="12" t="str">
        <f>HYPERLINK("https://www.boe.es/gazeta/dias/1808/02/09/pdfs/GMD-1808-12.pdf#page=9","Abrir facsímil")</f>
        <v>Abrir facsímil</v>
      </c>
      <c r="K7796" s="15" t="s">
        <v>23</v>
      </c>
    </row>
    <row r="7797" spans="1:11" ht="42" customHeight="1">
      <c r="A7797" s="4" t="s">
        <v>18706</v>
      </c>
      <c r="B7797" s="5" t="s">
        <v>18707</v>
      </c>
      <c r="C7797" s="5" t="s">
        <v>17</v>
      </c>
      <c r="D7797" s="5" t="s">
        <v>18</v>
      </c>
      <c r="E7797" s="5" t="s">
        <v>130</v>
      </c>
      <c r="F7797" s="9" t="s">
        <v>131</v>
      </c>
      <c r="G7797" s="9">
        <v>1604</v>
      </c>
      <c r="H7797" s="5" t="s">
        <v>21</v>
      </c>
      <c r="I7797" s="5" t="s">
        <v>18708</v>
      </c>
      <c r="J7797" s="12" t="str">
        <f>HYPERLINK("https://www.boe.es/gazeta/dias/1808/12/15/pdfs/GMD-1808-155.pdf#page=8","Abrir facsímil")</f>
        <v>Abrir facsímil</v>
      </c>
      <c r="K7797" s="15" t="s">
        <v>23</v>
      </c>
    </row>
    <row r="7798" spans="1:11" ht="42" customHeight="1">
      <c r="A7798" s="4" t="s">
        <v>18709</v>
      </c>
      <c r="B7798" s="5" t="s">
        <v>18710</v>
      </c>
      <c r="C7798" s="5" t="s">
        <v>17</v>
      </c>
      <c r="D7798" s="5" t="s">
        <v>18</v>
      </c>
      <c r="E7798" s="5" t="s">
        <v>719</v>
      </c>
      <c r="F7798" s="9" t="s">
        <v>720</v>
      </c>
      <c r="G7798" s="9">
        <v>1611</v>
      </c>
      <c r="H7798" s="5" t="s">
        <v>21</v>
      </c>
      <c r="I7798" s="5" t="s">
        <v>18711</v>
      </c>
      <c r="J7798" s="12" t="str">
        <f>HYPERLINK("https://www.boe.es/gazeta/dias/1808/12/16/pdfs/GMD-1808-156.pdf#page=3","Abrir facsímil")</f>
        <v>Abrir facsímil</v>
      </c>
      <c r="K7798" s="15" t="s">
        <v>23</v>
      </c>
    </row>
    <row r="7799" spans="1:11" ht="42" customHeight="1">
      <c r="A7799" s="4" t="s">
        <v>18712</v>
      </c>
      <c r="B7799" s="5" t="s">
        <v>18713</v>
      </c>
      <c r="C7799" s="5" t="s">
        <v>41</v>
      </c>
      <c r="D7799" s="5" t="s">
        <v>42</v>
      </c>
      <c r="E7799" s="5" t="s">
        <v>96</v>
      </c>
      <c r="F7799" s="9" t="s">
        <v>97</v>
      </c>
      <c r="G7799" s="9">
        <v>266</v>
      </c>
      <c r="H7799" s="5" t="s">
        <v>21</v>
      </c>
      <c r="I7799" s="5" t="s">
        <v>18714</v>
      </c>
      <c r="J7799" s="12" t="str">
        <f>HYPERLINK("https://www.boe.es/gazeta/dias/1808/03/15/pdfs/GMD-1808-22.pdf#page=8","Abrir facsímil")</f>
        <v>Abrir facsímil</v>
      </c>
      <c r="K7799" s="15" t="s">
        <v>23</v>
      </c>
    </row>
    <row r="7800" spans="1:11" ht="42" customHeight="1">
      <c r="A7800" s="4" t="s">
        <v>18715</v>
      </c>
      <c r="B7800" s="5" t="s">
        <v>18716</v>
      </c>
      <c r="C7800" s="5" t="s">
        <v>33</v>
      </c>
      <c r="D7800" s="5" t="s">
        <v>34</v>
      </c>
      <c r="E7800" s="5" t="s">
        <v>89</v>
      </c>
      <c r="F7800" s="9" t="s">
        <v>563</v>
      </c>
      <c r="G7800" s="9" t="s">
        <v>75</v>
      </c>
      <c r="H7800" s="5" t="s">
        <v>21</v>
      </c>
      <c r="I7800" s="5" t="s">
        <v>18717</v>
      </c>
      <c r="J7800" s="12" t="str">
        <f>HYPERLINK("https://www.boe.es/gazeta/dias/1808/10/25/pdfs/GMD-D-1808-137.pdf#page=4","Abrir facsímil")</f>
        <v>Abrir facsímil</v>
      </c>
      <c r="K7800" s="15" t="s">
        <v>23</v>
      </c>
    </row>
    <row r="7801" spans="1:11" ht="42" customHeight="1">
      <c r="A7801" s="4" t="s">
        <v>18718</v>
      </c>
      <c r="B7801" s="5" t="s">
        <v>18719</v>
      </c>
      <c r="C7801" s="5" t="s">
        <v>17</v>
      </c>
      <c r="D7801" s="5" t="s">
        <v>18</v>
      </c>
      <c r="E7801" s="5" t="s">
        <v>139</v>
      </c>
      <c r="F7801" s="9" t="s">
        <v>140</v>
      </c>
      <c r="G7801" s="9">
        <v>1203</v>
      </c>
      <c r="H7801" s="5" t="s">
        <v>21</v>
      </c>
      <c r="I7801" s="5" t="s">
        <v>18720</v>
      </c>
      <c r="J7801" s="12" t="str">
        <f>HYPERLINK("https://www.boe.es/gazeta/dias/1808/09/23/pdfs/GMD-1808-127.pdf#page=11","Abrir facsímil")</f>
        <v>Abrir facsímil</v>
      </c>
      <c r="K7801" s="15" t="s">
        <v>23</v>
      </c>
    </row>
    <row r="7802" spans="1:11" ht="42" customHeight="1">
      <c r="A7802" s="4" t="s">
        <v>18721</v>
      </c>
      <c r="B7802" s="5" t="s">
        <v>18722</v>
      </c>
      <c r="C7802" s="5" t="s">
        <v>41</v>
      </c>
      <c r="D7802" s="5" t="s">
        <v>42</v>
      </c>
      <c r="E7802" s="5" t="s">
        <v>84</v>
      </c>
      <c r="F7802" s="9" t="s">
        <v>1381</v>
      </c>
      <c r="G7802" s="9">
        <v>248</v>
      </c>
      <c r="H7802" s="5" t="s">
        <v>21</v>
      </c>
      <c r="I7802" s="5" t="s">
        <v>18723</v>
      </c>
      <c r="J7802" s="12" t="str">
        <f>HYPERLINK("https://www.boe.es/gazeta/dias/1808/09/13/pdfs/GMS-1808-31.pdf#page=8","Abrir facsímil")</f>
        <v>Abrir facsímil</v>
      </c>
      <c r="K7802" s="15" t="s">
        <v>23</v>
      </c>
    </row>
    <row r="7803" spans="1:11" ht="42" customHeight="1">
      <c r="A7803" s="4" t="s">
        <v>18724</v>
      </c>
      <c r="B7803" s="5" t="s">
        <v>18724</v>
      </c>
      <c r="C7803" s="5" t="s">
        <v>33</v>
      </c>
      <c r="D7803" s="5" t="s">
        <v>34</v>
      </c>
      <c r="E7803" s="5" t="s">
        <v>35</v>
      </c>
      <c r="F7803" s="9" t="s">
        <v>36</v>
      </c>
      <c r="G7803" s="9" t="s">
        <v>80</v>
      </c>
      <c r="H7803" s="5" t="s">
        <v>21</v>
      </c>
      <c r="I7803" s="5" t="s">
        <v>18725</v>
      </c>
      <c r="J7803" s="12" t="str">
        <f>HYPERLINK("https://www.boe.es/gazeta/dias/1808/04/22/pdfs/GMD-C-1808-38.pdf#page=18","Abrir facsímil")</f>
        <v>Abrir facsímil</v>
      </c>
      <c r="K7803" s="15" t="s">
        <v>23</v>
      </c>
    </row>
    <row r="7804" spans="1:11" ht="42" customHeight="1">
      <c r="A7804" s="4" t="s">
        <v>18726</v>
      </c>
      <c r="B7804" s="5" t="s">
        <v>18727</v>
      </c>
      <c r="C7804" s="5" t="s">
        <v>94</v>
      </c>
      <c r="D7804" s="5" t="s">
        <v>95</v>
      </c>
      <c r="E7804" s="5" t="s">
        <v>35</v>
      </c>
      <c r="F7804" s="9" t="s">
        <v>36</v>
      </c>
      <c r="G7804" s="9" t="s">
        <v>818</v>
      </c>
      <c r="H7804" s="5" t="s">
        <v>21</v>
      </c>
      <c r="I7804" s="5" t="s">
        <v>18728</v>
      </c>
      <c r="J7804" s="12" t="str">
        <f>HYPERLINK("https://www.boe.es/gazeta/dias/1808/04/22/pdfs/GMD-C-1808-38.pdf#page=7","Abrir facsímil")</f>
        <v>Abrir facsímil</v>
      </c>
      <c r="K7804" s="15" t="s">
        <v>23</v>
      </c>
    </row>
    <row r="7805" spans="1:11" ht="42" customHeight="1">
      <c r="A7805" s="4" t="s">
        <v>18729</v>
      </c>
      <c r="B7805" s="5" t="s">
        <v>18730</v>
      </c>
      <c r="C7805" s="5" t="s">
        <v>41</v>
      </c>
      <c r="D7805" s="5" t="s">
        <v>42</v>
      </c>
      <c r="E7805" s="5" t="s">
        <v>125</v>
      </c>
      <c r="F7805" s="9" t="s">
        <v>126</v>
      </c>
      <c r="G7805" s="9" t="s">
        <v>75</v>
      </c>
      <c r="H7805" s="5" t="s">
        <v>21</v>
      </c>
      <c r="I7805" s="5" t="s">
        <v>18731</v>
      </c>
      <c r="J7805" s="12" t="str">
        <f>HYPERLINK("https://www.boe.es/gazeta/dias/1808/10/07/pdfs/GMD-C-1808-132.pdf#page=4","Abrir facsímil")</f>
        <v>Abrir facsímil</v>
      </c>
      <c r="K7805" s="15" t="s">
        <v>23</v>
      </c>
    </row>
    <row r="7806" spans="1:11" ht="42" customHeight="1">
      <c r="A7806" s="4" t="s">
        <v>18732</v>
      </c>
      <c r="B7806" s="5" t="s">
        <v>18733</v>
      </c>
      <c r="C7806" s="5" t="s">
        <v>94</v>
      </c>
      <c r="D7806" s="5" t="s">
        <v>95</v>
      </c>
      <c r="E7806" s="5" t="s">
        <v>363</v>
      </c>
      <c r="F7806" s="9" t="s">
        <v>364</v>
      </c>
      <c r="G7806" s="9" t="s">
        <v>199</v>
      </c>
      <c r="H7806" s="5" t="s">
        <v>21</v>
      </c>
      <c r="I7806" s="5" t="s">
        <v>18734</v>
      </c>
      <c r="J7806" s="12" t="str">
        <f>HYPERLINK("https://www.boe.es/gazeta/dias/1808/09/20/pdfs/GMD-C-1808-126.pdf#page=2","Abrir facsímil")</f>
        <v>Abrir facsímil</v>
      </c>
      <c r="K7806" s="15" t="s">
        <v>23</v>
      </c>
    </row>
    <row r="7807" spans="1:11" ht="42" customHeight="1">
      <c r="A7807" s="4" t="s">
        <v>18735</v>
      </c>
      <c r="B7807" s="5" t="s">
        <v>18735</v>
      </c>
      <c r="C7807" s="5" t="s">
        <v>389</v>
      </c>
      <c r="D7807" s="5" t="s">
        <v>390</v>
      </c>
      <c r="E7807" s="5" t="s">
        <v>166</v>
      </c>
      <c r="F7807" s="9" t="s">
        <v>400</v>
      </c>
      <c r="G7807" s="9" t="s">
        <v>106</v>
      </c>
      <c r="H7807" s="5" t="s">
        <v>21</v>
      </c>
      <c r="I7807" s="5" t="s">
        <v>18736</v>
      </c>
      <c r="J7807" s="12" t="str">
        <f>HYPERLINK("https://www.boe.es/gazeta/dias/1808/11/18/pdfs/D00069-00072.pdf#page=3","Abrir facsímil")</f>
        <v>Abrir facsímil</v>
      </c>
      <c r="K7807" s="15" t="s">
        <v>23</v>
      </c>
    </row>
    <row r="7808" spans="1:11" ht="42" customHeight="1">
      <c r="A7808" s="4" t="s">
        <v>18737</v>
      </c>
      <c r="B7808" s="5" t="s">
        <v>18738</v>
      </c>
      <c r="C7808" s="5" t="s">
        <v>94</v>
      </c>
      <c r="D7808" s="5" t="s">
        <v>95</v>
      </c>
      <c r="E7808" s="5" t="s">
        <v>974</v>
      </c>
      <c r="F7808" s="9" t="s">
        <v>975</v>
      </c>
      <c r="G7808" s="9">
        <v>391</v>
      </c>
      <c r="H7808" s="5" t="s">
        <v>21</v>
      </c>
      <c r="I7808" s="5" t="s">
        <v>18739</v>
      </c>
      <c r="J7808" s="12" t="str">
        <f>HYPERLINK("https://www.boe.es/gazeta/dias/1808/04/19/pdfs/GMD-1808-37.pdf#page=7","Abrir facsímil")</f>
        <v>Abrir facsímil</v>
      </c>
      <c r="K7808" s="15" t="s">
        <v>23</v>
      </c>
    </row>
    <row r="7809" spans="1:11" ht="42" customHeight="1">
      <c r="A7809" s="4" t="s">
        <v>18740</v>
      </c>
      <c r="B7809" s="5" t="s">
        <v>18741</v>
      </c>
      <c r="C7809" s="5" t="s">
        <v>17</v>
      </c>
      <c r="D7809" s="5" t="s">
        <v>18</v>
      </c>
      <c r="E7809" s="5" t="s">
        <v>61</v>
      </c>
      <c r="F7809" s="9" t="s">
        <v>62</v>
      </c>
      <c r="G7809" s="9">
        <v>1285</v>
      </c>
      <c r="H7809" s="5" t="s">
        <v>21</v>
      </c>
      <c r="I7809" s="5" t="s">
        <v>18742</v>
      </c>
      <c r="J7809" s="12" t="str">
        <f>HYPERLINK("https://www.boe.es/gazeta/dias/1808/10/11/pdfs/GMD-1808-133.pdf#page=13","Abrir facsímil")</f>
        <v>Abrir facsímil</v>
      </c>
      <c r="K7809" s="15" t="s">
        <v>23</v>
      </c>
    </row>
    <row r="7810" spans="1:11" ht="42" customHeight="1">
      <c r="A7810" s="4" t="s">
        <v>18743</v>
      </c>
      <c r="B7810" s="5" t="s">
        <v>18744</v>
      </c>
      <c r="C7810" s="5" t="s">
        <v>94</v>
      </c>
      <c r="D7810" s="5" t="s">
        <v>95</v>
      </c>
      <c r="E7810" s="5" t="s">
        <v>363</v>
      </c>
      <c r="F7810" s="9" t="s">
        <v>364</v>
      </c>
      <c r="G7810" s="9" t="s">
        <v>199</v>
      </c>
      <c r="H7810" s="5" t="s">
        <v>21</v>
      </c>
      <c r="I7810" s="5" t="s">
        <v>18745</v>
      </c>
      <c r="J7810" s="12" t="str">
        <f>HYPERLINK("https://www.boe.es/gazeta/dias/1808/09/20/pdfs/GMD-C-1808-126.pdf#page=2","Abrir facsímil")</f>
        <v>Abrir facsímil</v>
      </c>
      <c r="K7810" s="15" t="s">
        <v>23</v>
      </c>
    </row>
    <row r="7811" spans="1:11" ht="42" customHeight="1">
      <c r="A7811" s="4" t="s">
        <v>18746</v>
      </c>
      <c r="B7811" s="5" t="s">
        <v>18747</v>
      </c>
      <c r="C7811" s="5" t="s">
        <v>17</v>
      </c>
      <c r="D7811" s="5" t="s">
        <v>18</v>
      </c>
      <c r="E7811" s="5" t="s">
        <v>3365</v>
      </c>
      <c r="F7811" s="9" t="s">
        <v>3366</v>
      </c>
      <c r="G7811" s="9">
        <v>128</v>
      </c>
      <c r="H7811" s="5" t="s">
        <v>21</v>
      </c>
      <c r="I7811" s="5" t="s">
        <v>18748</v>
      </c>
      <c r="J7811" s="12" t="str">
        <f>HYPERLINK("https://www.boe.es/gazeta/dias/1808/07/23/pdfs/GMS-1808-16.pdf#page=8","Abrir facsímil")</f>
        <v>Abrir facsímil</v>
      </c>
      <c r="K7811" s="15" t="s">
        <v>23</v>
      </c>
    </row>
    <row r="7812" spans="1:11" ht="42" customHeight="1">
      <c r="A7812" s="4" t="s">
        <v>18749</v>
      </c>
      <c r="B7812" s="5" t="s">
        <v>18750</v>
      </c>
      <c r="C7812" s="5" t="s">
        <v>94</v>
      </c>
      <c r="D7812" s="5" t="s">
        <v>95</v>
      </c>
      <c r="E7812" s="5" t="s">
        <v>919</v>
      </c>
      <c r="F7812" s="9" t="s">
        <v>920</v>
      </c>
      <c r="G7812" s="9">
        <v>493</v>
      </c>
      <c r="H7812" s="5" t="s">
        <v>21</v>
      </c>
      <c r="I7812" s="5" t="s">
        <v>18751</v>
      </c>
      <c r="J7812" s="12" t="str">
        <f>HYPERLINK("https://www.boe.es/gazeta/dias/1808/05/24/pdfs/GMD-1808-49.pdf#page=9","Abrir facsímil")</f>
        <v>Abrir facsímil</v>
      </c>
      <c r="K7812" s="15" t="s">
        <v>23</v>
      </c>
    </row>
    <row r="7813" spans="1:11" ht="42" customHeight="1">
      <c r="A7813" s="4" t="s">
        <v>18752</v>
      </c>
      <c r="B7813" s="5" t="s">
        <v>18752</v>
      </c>
      <c r="C7813" s="5" t="s">
        <v>17</v>
      </c>
      <c r="D7813" s="5" t="s">
        <v>18</v>
      </c>
      <c r="E7813" s="5" t="s">
        <v>28</v>
      </c>
      <c r="F7813" s="9" t="s">
        <v>29</v>
      </c>
      <c r="G7813" s="9">
        <v>1420</v>
      </c>
      <c r="H7813" s="5" t="s">
        <v>21</v>
      </c>
      <c r="I7813" s="5" t="s">
        <v>18753</v>
      </c>
      <c r="J7813" s="12" t="str">
        <f>HYPERLINK("https://www.boe.es/gazeta/dias/1808/11/04/pdfs/GMD-1808-141.pdf#page=2","Abrir facsímil")</f>
        <v>Abrir facsímil</v>
      </c>
      <c r="K7813" s="15" t="s">
        <v>23</v>
      </c>
    </row>
    <row r="7814" spans="1:11" ht="42" customHeight="1">
      <c r="A7814" s="4" t="s">
        <v>18754</v>
      </c>
      <c r="B7814" s="5" t="s">
        <v>18755</v>
      </c>
      <c r="C7814" s="5" t="s">
        <v>260</v>
      </c>
      <c r="D7814" s="5" t="s">
        <v>42</v>
      </c>
      <c r="E7814" s="5" t="s">
        <v>269</v>
      </c>
      <c r="F7814" s="9" t="s">
        <v>270</v>
      </c>
      <c r="G7814" s="9">
        <v>69</v>
      </c>
      <c r="H7814" s="5" t="s">
        <v>21</v>
      </c>
      <c r="I7814" s="5" t="s">
        <v>18756</v>
      </c>
      <c r="J7814" s="12" t="str">
        <f>HYPERLINK("https://www.boe.es/gazeta/dias/1808/01/19/pdfs/GMD-1808-6.pdf#page=9","Abrir facsímil")</f>
        <v>Abrir facsímil</v>
      </c>
      <c r="K7814" s="15" t="s">
        <v>23</v>
      </c>
    </row>
    <row r="7815" spans="1:11" ht="42" customHeight="1">
      <c r="A7815" s="4" t="s">
        <v>18757</v>
      </c>
      <c r="B7815" s="5" t="s">
        <v>18758</v>
      </c>
      <c r="C7815" s="5" t="s">
        <v>33</v>
      </c>
      <c r="D7815" s="5" t="s">
        <v>34</v>
      </c>
      <c r="E7815" s="5" t="s">
        <v>166</v>
      </c>
      <c r="F7815" s="9" t="s">
        <v>167</v>
      </c>
      <c r="G7815" s="9">
        <v>1511</v>
      </c>
      <c r="H7815" s="5" t="s">
        <v>21</v>
      </c>
      <c r="I7815" s="5" t="s">
        <v>18759</v>
      </c>
      <c r="J7815" s="12" t="str">
        <f>HYPERLINK("https://www.boe.es/gazeta/dias/1808/11/18/pdfs/GMD-C-1808-145.pdf#page=1","Abrir facsímil")</f>
        <v>Abrir facsímil</v>
      </c>
      <c r="K7815" s="15" t="s">
        <v>23</v>
      </c>
    </row>
    <row r="7816" spans="1:11" ht="42" customHeight="1">
      <c r="A7816" s="4" t="s">
        <v>18760</v>
      </c>
      <c r="B7816" s="5" t="s">
        <v>18761</v>
      </c>
      <c r="C7816" s="5" t="s">
        <v>33</v>
      </c>
      <c r="D7816" s="5" t="s">
        <v>34</v>
      </c>
      <c r="E7816" s="5" t="s">
        <v>197</v>
      </c>
      <c r="F7816" s="9" t="s">
        <v>198</v>
      </c>
      <c r="G7816" s="9" t="s">
        <v>106</v>
      </c>
      <c r="H7816" s="5" t="s">
        <v>21</v>
      </c>
      <c r="I7816" s="5" t="s">
        <v>18762</v>
      </c>
      <c r="J7816" s="12" t="str">
        <f>HYPERLINK("https://www.boe.es/gazeta/dias/1808/11/01/pdfs/GMD-D-1808-140.pdf#page=3","Abrir facsímil")</f>
        <v>Abrir facsímil</v>
      </c>
      <c r="K7816" s="15" t="s">
        <v>23</v>
      </c>
    </row>
    <row r="7817" spans="1:11" ht="42" customHeight="1">
      <c r="A7817" s="4" t="s">
        <v>18763</v>
      </c>
      <c r="B7817" s="5" t="s">
        <v>18764</v>
      </c>
      <c r="C7817" s="5" t="s">
        <v>41</v>
      </c>
      <c r="D7817" s="5" t="s">
        <v>42</v>
      </c>
      <c r="E7817" s="5" t="s">
        <v>65</v>
      </c>
      <c r="F7817" s="9" t="s">
        <v>66</v>
      </c>
      <c r="G7817" s="9">
        <v>1309</v>
      </c>
      <c r="H7817" s="5" t="s">
        <v>21</v>
      </c>
      <c r="I7817" s="5" t="s">
        <v>18765</v>
      </c>
      <c r="J7817" s="12" t="str">
        <f>HYPERLINK("https://www.boe.es/gazeta/dias/1808/10/18/pdfs/GMD-1808-135.pdf#page=9","Abrir facsímil")</f>
        <v>Abrir facsímil</v>
      </c>
      <c r="K7817" s="15" t="s">
        <v>23</v>
      </c>
    </row>
    <row r="7818" spans="1:11" ht="42" customHeight="1">
      <c r="A7818" s="4" t="s">
        <v>18766</v>
      </c>
      <c r="B7818" s="5" t="s">
        <v>18767</v>
      </c>
      <c r="C7818" s="5" t="s">
        <v>94</v>
      </c>
      <c r="D7818" s="5" t="s">
        <v>95</v>
      </c>
      <c r="E7818" s="5" t="s">
        <v>461</v>
      </c>
      <c r="F7818" s="9" t="s">
        <v>733</v>
      </c>
      <c r="G7818" s="9">
        <v>1446</v>
      </c>
      <c r="H7818" s="5" t="s">
        <v>21</v>
      </c>
      <c r="I7818" s="5" t="s">
        <v>18768</v>
      </c>
      <c r="J7818" s="12" t="str">
        <f>HYPERLINK("https://www.boe.es/gazeta/dias/1808/11/08/pdfs/GMD-1808-142.pdf#page=8","Abrir facsímil")</f>
        <v>Abrir facsímil</v>
      </c>
      <c r="K7818" s="15" t="s">
        <v>23</v>
      </c>
    </row>
    <row r="7819" spans="1:11" ht="42" customHeight="1">
      <c r="A7819" s="4" t="s">
        <v>18763</v>
      </c>
      <c r="B7819" s="5" t="s">
        <v>18764</v>
      </c>
      <c r="C7819" s="5" t="s">
        <v>94</v>
      </c>
      <c r="D7819" s="5" t="s">
        <v>95</v>
      </c>
      <c r="E7819" s="5" t="s">
        <v>166</v>
      </c>
      <c r="F7819" s="9" t="s">
        <v>5028</v>
      </c>
      <c r="G7819" s="9">
        <v>400</v>
      </c>
      <c r="H7819" s="5" t="s">
        <v>21</v>
      </c>
      <c r="I7819" s="5" t="s">
        <v>18769</v>
      </c>
      <c r="J7819" s="12" t="str">
        <f>HYPERLINK("https://www.boe.es/gazeta/dias/1808/11/18/pdfs/GMS-1808-50.pdf#page=8","Abrir facsímil")</f>
        <v>Abrir facsímil</v>
      </c>
      <c r="K7819" s="15" t="s">
        <v>23</v>
      </c>
    </row>
    <row r="7820" spans="1:11" ht="42" customHeight="1">
      <c r="A7820" s="4" t="s">
        <v>18770</v>
      </c>
      <c r="B7820" s="5" t="s">
        <v>18771</v>
      </c>
      <c r="C7820" s="5" t="s">
        <v>33</v>
      </c>
      <c r="D7820" s="5" t="s">
        <v>34</v>
      </c>
      <c r="E7820" s="5" t="s">
        <v>89</v>
      </c>
      <c r="F7820" s="9" t="s">
        <v>563</v>
      </c>
      <c r="G7820" s="9" t="s">
        <v>106</v>
      </c>
      <c r="H7820" s="5" t="s">
        <v>21</v>
      </c>
      <c r="I7820" s="5" t="s">
        <v>18772</v>
      </c>
      <c r="J7820" s="12" t="str">
        <f>HYPERLINK("https://www.boe.es/gazeta/dias/1808/10/25/pdfs/GMD-D-1808-137.pdf#page=3","Abrir facsímil")</f>
        <v>Abrir facsímil</v>
      </c>
      <c r="K7820" s="15" t="s">
        <v>23</v>
      </c>
    </row>
    <row r="7821" spans="1:11" ht="42" customHeight="1">
      <c r="A7821" s="4" t="s">
        <v>18773</v>
      </c>
      <c r="B7821" s="5" t="s">
        <v>18774</v>
      </c>
      <c r="C7821" s="5" t="s">
        <v>94</v>
      </c>
      <c r="D7821" s="5" t="s">
        <v>95</v>
      </c>
      <c r="E7821" s="5" t="s">
        <v>68</v>
      </c>
      <c r="F7821" s="9" t="s">
        <v>849</v>
      </c>
      <c r="G7821" s="9">
        <v>1349</v>
      </c>
      <c r="H7821" s="5" t="s">
        <v>21</v>
      </c>
      <c r="I7821" s="5" t="s">
        <v>18775</v>
      </c>
      <c r="J7821" s="12" t="str">
        <f>HYPERLINK("https://www.boe.es/gazeta/dias/1808/10/21/pdfs/GMD-C-1808-136.pdf#page=9","Abrir facsímil")</f>
        <v>Abrir facsímil</v>
      </c>
      <c r="K7821" s="15" t="s">
        <v>23</v>
      </c>
    </row>
    <row r="7822" spans="1:11" ht="42" customHeight="1">
      <c r="A7822" s="4" t="s">
        <v>18776</v>
      </c>
      <c r="B7822" s="5" t="s">
        <v>18776</v>
      </c>
      <c r="C7822" s="5" t="s">
        <v>41</v>
      </c>
      <c r="D7822" s="5" t="s">
        <v>42</v>
      </c>
      <c r="E7822" s="5" t="s">
        <v>115</v>
      </c>
      <c r="F7822" s="9" t="s">
        <v>1650</v>
      </c>
      <c r="G7822" s="9">
        <v>1179</v>
      </c>
      <c r="H7822" s="5" t="s">
        <v>21</v>
      </c>
      <c r="I7822" s="5" t="s">
        <v>18777</v>
      </c>
      <c r="J7822" s="12" t="str">
        <f>HYPERLINK("https://www.boe.es/gazeta/dias/1808/09/16/pdfs/GMD-1808-125.pdf#page=11","Abrir facsímil")</f>
        <v>Abrir facsímil</v>
      </c>
      <c r="K7822" s="15" t="s">
        <v>23</v>
      </c>
    </row>
    <row r="7823" spans="1:11" ht="42" customHeight="1">
      <c r="A7823" s="4" t="s">
        <v>18778</v>
      </c>
      <c r="B7823" s="5" t="s">
        <v>18778</v>
      </c>
      <c r="C7823" s="5" t="s">
        <v>41</v>
      </c>
      <c r="D7823" s="5" t="s">
        <v>42</v>
      </c>
      <c r="E7823" s="5" t="s">
        <v>73</v>
      </c>
      <c r="F7823" s="9" t="s">
        <v>581</v>
      </c>
      <c r="G7823" s="9">
        <v>1469</v>
      </c>
      <c r="H7823" s="5" t="s">
        <v>21</v>
      </c>
      <c r="I7823" s="5" t="s">
        <v>18779</v>
      </c>
      <c r="J7823" s="12" t="str">
        <f>HYPERLINK("https://www.boe.es/gazeta/dias/1808/11/11/pdfs/GMD-1808-143.pdf#page=11","Abrir facsímil")</f>
        <v>Abrir facsímil</v>
      </c>
      <c r="K7823" s="15" t="s">
        <v>23</v>
      </c>
    </row>
    <row r="7824" spans="1:11" ht="42" customHeight="1">
      <c r="A7824" s="4" t="s">
        <v>18780</v>
      </c>
      <c r="B7824" s="5" t="s">
        <v>18780</v>
      </c>
      <c r="C7824" s="5" t="s">
        <v>17</v>
      </c>
      <c r="D7824" s="5" t="s">
        <v>18</v>
      </c>
      <c r="E7824" s="5" t="s">
        <v>493</v>
      </c>
      <c r="F7824" s="9" t="s">
        <v>494</v>
      </c>
      <c r="G7824" s="9">
        <v>42</v>
      </c>
      <c r="H7824" s="5" t="s">
        <v>21</v>
      </c>
      <c r="I7824" s="5" t="s">
        <v>2123</v>
      </c>
      <c r="J7824" s="12" t="str">
        <f>HYPERLINK("https://www.boe.es/gazeta/dias/1808/01/12/pdfs/GMD-1808-4.pdf#page=6","Abrir facsímil")</f>
        <v>Abrir facsímil</v>
      </c>
      <c r="K7824" s="15" t="s">
        <v>23</v>
      </c>
    </row>
    <row r="7825" spans="1:11" ht="42" customHeight="1">
      <c r="A7825" s="4" t="s">
        <v>18781</v>
      </c>
      <c r="B7825" s="5" t="s">
        <v>18782</v>
      </c>
      <c r="C7825" s="5" t="s">
        <v>94</v>
      </c>
      <c r="D7825" s="5" t="s">
        <v>95</v>
      </c>
      <c r="E7825" s="5" t="s">
        <v>363</v>
      </c>
      <c r="F7825" s="9" t="s">
        <v>364</v>
      </c>
      <c r="G7825" s="9" t="s">
        <v>199</v>
      </c>
      <c r="H7825" s="5" t="s">
        <v>21</v>
      </c>
      <c r="I7825" s="5" t="s">
        <v>18783</v>
      </c>
      <c r="J7825" s="12" t="str">
        <f>HYPERLINK("https://www.boe.es/gazeta/dias/1808/09/20/pdfs/GMD-C-1808-126.pdf#page=2","Abrir facsímil")</f>
        <v>Abrir facsímil</v>
      </c>
      <c r="K7825" s="15" t="s">
        <v>23</v>
      </c>
    </row>
    <row r="7826" spans="1:11" ht="42" customHeight="1">
      <c r="A7826" s="4" t="s">
        <v>18784</v>
      </c>
      <c r="B7826" s="5" t="s">
        <v>18784</v>
      </c>
      <c r="C7826" s="5" t="s">
        <v>41</v>
      </c>
      <c r="D7826" s="5" t="s">
        <v>42</v>
      </c>
      <c r="E7826" s="5" t="s">
        <v>35</v>
      </c>
      <c r="F7826" s="9" t="s">
        <v>36</v>
      </c>
      <c r="G7826" s="9" t="s">
        <v>1128</v>
      </c>
      <c r="H7826" s="5" t="s">
        <v>21</v>
      </c>
      <c r="I7826" s="5" t="s">
        <v>18785</v>
      </c>
      <c r="J7826" s="12" t="str">
        <f>HYPERLINK("https://www.boe.es/gazeta/dias/1808/04/22/pdfs/GMD-C-1808-38.pdf#page=11","Abrir facsímil")</f>
        <v>Abrir facsímil</v>
      </c>
      <c r="K7826" s="15" t="s">
        <v>23</v>
      </c>
    </row>
    <row r="7827" spans="1:11" ht="42" customHeight="1">
      <c r="A7827" s="4" t="s">
        <v>18786</v>
      </c>
      <c r="B7827" s="5" t="s">
        <v>18786</v>
      </c>
      <c r="C7827" s="5" t="s">
        <v>41</v>
      </c>
      <c r="D7827" s="5" t="s">
        <v>42</v>
      </c>
      <c r="E7827" s="5" t="s">
        <v>35</v>
      </c>
      <c r="F7827" s="9" t="s">
        <v>36</v>
      </c>
      <c r="G7827" s="9" t="s">
        <v>284</v>
      </c>
      <c r="H7827" s="5" t="s">
        <v>21</v>
      </c>
      <c r="I7827" s="5" t="s">
        <v>18787</v>
      </c>
      <c r="J7827" s="12" t="str">
        <f>HYPERLINK("https://www.boe.es/gazeta/dias/1808/04/22/pdfs/GMD-C-1808-38.pdf#page=35","Abrir facsímil")</f>
        <v>Abrir facsímil</v>
      </c>
      <c r="K7827" s="15" t="s">
        <v>23</v>
      </c>
    </row>
    <row r="7828" spans="1:11" ht="42" customHeight="1">
      <c r="A7828" s="4" t="s">
        <v>18788</v>
      </c>
      <c r="B7828" s="5" t="s">
        <v>18788</v>
      </c>
      <c r="C7828" s="5" t="s">
        <v>389</v>
      </c>
      <c r="D7828" s="5" t="s">
        <v>390</v>
      </c>
      <c r="E7828" s="5" t="s">
        <v>120</v>
      </c>
      <c r="F7828" s="9" t="s">
        <v>121</v>
      </c>
      <c r="G7828" s="9">
        <v>316</v>
      </c>
      <c r="H7828" s="5" t="s">
        <v>21</v>
      </c>
      <c r="I7828" s="5" t="s">
        <v>18789</v>
      </c>
      <c r="J7828" s="12" t="str">
        <f>HYPERLINK("https://www.boe.es/gazeta/dias/1808/03/29/pdfs/GMD-1808-27.pdf#page=12","Abrir facsímil")</f>
        <v>Abrir facsímil</v>
      </c>
      <c r="K7828" s="15" t="s">
        <v>23</v>
      </c>
    </row>
    <row r="7829" spans="1:11" ht="42" customHeight="1">
      <c r="A7829" s="4" t="s">
        <v>18790</v>
      </c>
      <c r="B7829" s="5" t="s">
        <v>18790</v>
      </c>
      <c r="C7829" s="5" t="s">
        <v>41</v>
      </c>
      <c r="D7829" s="5" t="s">
        <v>42</v>
      </c>
      <c r="E7829" s="5" t="s">
        <v>157</v>
      </c>
      <c r="F7829" s="9" t="s">
        <v>2896</v>
      </c>
      <c r="G7829" s="9">
        <v>593</v>
      </c>
      <c r="H7829" s="5" t="s">
        <v>21</v>
      </c>
      <c r="I7829" s="5" t="s">
        <v>18791</v>
      </c>
      <c r="J7829" s="12" t="str">
        <f>HYPERLINK("https://www.boe.es/gazeta/dias/1808/06/18/pdfs/GMD-1808-60.pdf#page=7","Abrir facsímil")</f>
        <v>Abrir facsímil</v>
      </c>
      <c r="K7829" s="15" t="s">
        <v>23</v>
      </c>
    </row>
    <row r="7830" spans="1:11" ht="42" customHeight="1">
      <c r="A7830" s="4" t="s">
        <v>18792</v>
      </c>
      <c r="B7830" s="5" t="s">
        <v>18793</v>
      </c>
      <c r="C7830" s="5" t="s">
        <v>41</v>
      </c>
      <c r="D7830" s="5" t="s">
        <v>42</v>
      </c>
      <c r="E7830" s="5" t="s">
        <v>19</v>
      </c>
      <c r="F7830" s="9" t="s">
        <v>949</v>
      </c>
      <c r="G7830" s="9" t="s">
        <v>106</v>
      </c>
      <c r="H7830" s="5" t="s">
        <v>21</v>
      </c>
      <c r="I7830" s="5" t="s">
        <v>18794</v>
      </c>
      <c r="J7830" s="12" t="str">
        <f>HYPERLINK("https://www.boe.es/gazeta/dias/1808/09/30/pdfs/GMD-C-1808-130.pdf#page=3","Abrir facsímil")</f>
        <v>Abrir facsímil</v>
      </c>
      <c r="K7830" s="15" t="s">
        <v>23</v>
      </c>
    </row>
    <row r="7831" spans="1:11" ht="42" customHeight="1">
      <c r="A7831" s="4" t="s">
        <v>18795</v>
      </c>
      <c r="B7831" s="5" t="s">
        <v>18795</v>
      </c>
      <c r="C7831" s="5" t="s">
        <v>389</v>
      </c>
      <c r="D7831" s="5" t="s">
        <v>390</v>
      </c>
      <c r="E7831" s="5" t="s">
        <v>1962</v>
      </c>
      <c r="F7831" s="9" t="s">
        <v>1963</v>
      </c>
      <c r="G7831" s="9">
        <v>733</v>
      </c>
      <c r="H7831" s="5" t="s">
        <v>21</v>
      </c>
      <c r="I7831" s="5" t="s">
        <v>18796</v>
      </c>
      <c r="J7831" s="12" t="str">
        <f>HYPERLINK("https://www.boe.es/gazeta/dias/1808/07/05/pdfs/GMD-1808-77.pdf#page=7","Abrir facsímil")</f>
        <v>Abrir facsímil</v>
      </c>
      <c r="K7831" s="15" t="s">
        <v>23</v>
      </c>
    </row>
    <row r="7832" spans="1:11" ht="42" customHeight="1">
      <c r="A7832" s="4" t="s">
        <v>18797</v>
      </c>
      <c r="B7832" s="5" t="s">
        <v>18797</v>
      </c>
      <c r="C7832" s="5" t="s">
        <v>41</v>
      </c>
      <c r="D7832" s="5" t="s">
        <v>42</v>
      </c>
      <c r="E7832" s="5" t="s">
        <v>1484</v>
      </c>
      <c r="F7832" s="9" t="s">
        <v>1485</v>
      </c>
      <c r="G7832" s="9">
        <v>677</v>
      </c>
      <c r="H7832" s="5" t="s">
        <v>21</v>
      </c>
      <c r="I7832" s="5" t="s">
        <v>18798</v>
      </c>
      <c r="J7832" s="12" t="str">
        <f>HYPERLINK("https://www.boe.es/gazeta/dias/1808/06/28/pdfs/GMD-1808-70.pdf#page=7","Abrir facsímil")</f>
        <v>Abrir facsímil</v>
      </c>
      <c r="K7832" s="15" t="s">
        <v>23</v>
      </c>
    </row>
    <row r="7833" spans="1:11" ht="42" customHeight="1">
      <c r="A7833" s="4" t="s">
        <v>18799</v>
      </c>
      <c r="B7833" s="5" t="s">
        <v>18799</v>
      </c>
      <c r="C7833" s="5" t="s">
        <v>41</v>
      </c>
      <c r="D7833" s="5" t="s">
        <v>42</v>
      </c>
      <c r="E7833" s="5" t="s">
        <v>363</v>
      </c>
      <c r="F7833" s="9" t="s">
        <v>1224</v>
      </c>
      <c r="G7833" s="9">
        <v>1185</v>
      </c>
      <c r="H7833" s="5" t="s">
        <v>21</v>
      </c>
      <c r="I7833" s="5" t="s">
        <v>18800</v>
      </c>
      <c r="J7833" s="12" t="str">
        <f>HYPERLINK("https://www.boe.es/gazeta/dias/1808/09/20/pdfs/GMD-1808-126.pdf#page=5","Abrir facsímil")</f>
        <v>Abrir facsímil</v>
      </c>
      <c r="K7833" s="15" t="s">
        <v>23</v>
      </c>
    </row>
    <row r="7834" spans="1:11" ht="42" customHeight="1">
      <c r="A7834" s="4" t="s">
        <v>18801</v>
      </c>
      <c r="B7834" s="5" t="s">
        <v>18802</v>
      </c>
      <c r="C7834" s="5" t="s">
        <v>41</v>
      </c>
      <c r="D7834" s="5" t="s">
        <v>42</v>
      </c>
      <c r="E7834" s="5" t="s">
        <v>28</v>
      </c>
      <c r="F7834" s="9" t="s">
        <v>29</v>
      </c>
      <c r="G7834" s="9">
        <v>1429</v>
      </c>
      <c r="H7834" s="5" t="s">
        <v>21</v>
      </c>
      <c r="I7834" s="5" t="s">
        <v>18803</v>
      </c>
      <c r="J7834" s="12" t="str">
        <f>HYPERLINK("https://www.boe.es/gazeta/dias/1808/11/04/pdfs/GMD-1808-141.pdf#page=11","Abrir facsímil")</f>
        <v>Abrir facsímil</v>
      </c>
      <c r="K7834" s="15" t="s">
        <v>23</v>
      </c>
    </row>
    <row r="7835" spans="1:11" ht="42" customHeight="1">
      <c r="A7835" s="4" t="s">
        <v>18804</v>
      </c>
      <c r="B7835" s="5" t="s">
        <v>18804</v>
      </c>
      <c r="C7835" s="5" t="s">
        <v>41</v>
      </c>
      <c r="D7835" s="5" t="s">
        <v>42</v>
      </c>
      <c r="E7835" s="5" t="s">
        <v>35</v>
      </c>
      <c r="F7835" s="9" t="s">
        <v>36</v>
      </c>
      <c r="G7835" s="9" t="s">
        <v>1517</v>
      </c>
      <c r="H7835" s="5" t="s">
        <v>21</v>
      </c>
      <c r="I7835" s="5" t="s">
        <v>18805</v>
      </c>
      <c r="J7835" s="12" t="str">
        <f>HYPERLINK("https://www.boe.es/gazeta/dias/1808/04/22/pdfs/GMD-C-1808-38.pdf#page=23","Abrir facsímil")</f>
        <v>Abrir facsímil</v>
      </c>
      <c r="K7835" s="15" t="s">
        <v>23</v>
      </c>
    </row>
    <row r="7836" spans="1:11" ht="42" customHeight="1">
      <c r="A7836" s="4" t="s">
        <v>18806</v>
      </c>
      <c r="B7836" s="5" t="s">
        <v>18807</v>
      </c>
      <c r="C7836" s="5" t="s">
        <v>41</v>
      </c>
      <c r="D7836" s="5" t="s">
        <v>42</v>
      </c>
      <c r="E7836" s="5" t="s">
        <v>363</v>
      </c>
      <c r="F7836" s="9" t="s">
        <v>364</v>
      </c>
      <c r="G7836" s="9" t="s">
        <v>106</v>
      </c>
      <c r="H7836" s="5" t="s">
        <v>21</v>
      </c>
      <c r="I7836" s="5" t="s">
        <v>18808</v>
      </c>
      <c r="J7836" s="12" t="str">
        <f>HYPERLINK("https://www.boe.es/gazeta/dias/1808/09/20/pdfs/GMD-C-1808-126.pdf#page=3","Abrir facsímil")</f>
        <v>Abrir facsímil</v>
      </c>
      <c r="K7836" s="15" t="s">
        <v>23</v>
      </c>
    </row>
    <row r="7837" spans="1:11" ht="42" customHeight="1">
      <c r="A7837" s="4" t="s">
        <v>18809</v>
      </c>
      <c r="B7837" s="5" t="s">
        <v>18809</v>
      </c>
      <c r="C7837" s="5" t="s">
        <v>260</v>
      </c>
      <c r="D7837" s="5" t="s">
        <v>42</v>
      </c>
      <c r="E7837" s="5" t="s">
        <v>256</v>
      </c>
      <c r="F7837" s="9" t="s">
        <v>257</v>
      </c>
      <c r="G7837" s="9">
        <v>527</v>
      </c>
      <c r="H7837" s="5" t="s">
        <v>21</v>
      </c>
      <c r="I7837" s="5" t="s">
        <v>18810</v>
      </c>
      <c r="J7837" s="12" t="str">
        <f>HYPERLINK("https://www.boe.es/gazeta/dias/1808/06/03/pdfs/GMD-1808-53.pdf#page=5","Abrir facsímil")</f>
        <v>Abrir facsímil</v>
      </c>
      <c r="K7837" s="15" t="s">
        <v>23</v>
      </c>
    </row>
    <row r="7838" spans="1:11" ht="42" customHeight="1">
      <c r="A7838" s="4" t="s">
        <v>18811</v>
      </c>
      <c r="B7838" s="5" t="s">
        <v>18811</v>
      </c>
      <c r="C7838" s="5" t="s">
        <v>41</v>
      </c>
      <c r="D7838" s="5" t="s">
        <v>42</v>
      </c>
      <c r="E7838" s="5" t="s">
        <v>290</v>
      </c>
      <c r="F7838" s="9" t="s">
        <v>291</v>
      </c>
      <c r="G7838" s="9">
        <v>1065</v>
      </c>
      <c r="H7838" s="5" t="s">
        <v>21</v>
      </c>
      <c r="I7838" s="5" t="s">
        <v>18812</v>
      </c>
      <c r="J7838" s="12" t="str">
        <f>HYPERLINK("https://www.boe.es/gazeta/dias/1808/08/23/pdfs/GMD-1808-116.pdf#page=11","Abrir facsímil")</f>
        <v>Abrir facsímil</v>
      </c>
      <c r="K7838" s="15" t="s">
        <v>23</v>
      </c>
    </row>
    <row r="7839" spans="1:11" ht="42" customHeight="1">
      <c r="A7839" s="4" t="s">
        <v>18813</v>
      </c>
      <c r="B7839" s="5" t="s">
        <v>18814</v>
      </c>
      <c r="C7839" s="5" t="s">
        <v>41</v>
      </c>
      <c r="D7839" s="5" t="s">
        <v>42</v>
      </c>
      <c r="E7839" s="5" t="s">
        <v>130</v>
      </c>
      <c r="F7839" s="9" t="s">
        <v>131</v>
      </c>
      <c r="G7839" s="9">
        <v>1603</v>
      </c>
      <c r="H7839" s="5" t="s">
        <v>21</v>
      </c>
      <c r="I7839" s="5" t="s">
        <v>18815</v>
      </c>
      <c r="J7839" s="12" t="str">
        <f>HYPERLINK("https://www.boe.es/gazeta/dias/1808/12/15/pdfs/GMD-1808-155.pdf#page=7","Abrir facsímil")</f>
        <v>Abrir facsímil</v>
      </c>
      <c r="K7839" s="15" t="s">
        <v>23</v>
      </c>
    </row>
    <row r="7840" spans="1:11" ht="42" customHeight="1">
      <c r="A7840" s="4" t="s">
        <v>18816</v>
      </c>
      <c r="B7840" s="5" t="s">
        <v>18817</v>
      </c>
      <c r="C7840" s="5" t="s">
        <v>33</v>
      </c>
      <c r="D7840" s="5" t="s">
        <v>34</v>
      </c>
      <c r="E7840" s="5" t="s">
        <v>35</v>
      </c>
      <c r="F7840" s="9" t="s">
        <v>36</v>
      </c>
      <c r="G7840" s="9" t="s">
        <v>443</v>
      </c>
      <c r="H7840" s="5" t="s">
        <v>21</v>
      </c>
      <c r="I7840" s="5" t="s">
        <v>18818</v>
      </c>
      <c r="J7840" s="12" t="str">
        <f>HYPERLINK("https://www.boe.es/gazeta/dias/1808/04/22/pdfs/GMD-C-1808-38.pdf#page=16","Abrir facsímil")</f>
        <v>Abrir facsímil</v>
      </c>
      <c r="K7840" s="15" t="s">
        <v>23</v>
      </c>
    </row>
    <row r="7841" spans="1:11" ht="42" customHeight="1">
      <c r="A7841" s="4" t="s">
        <v>18819</v>
      </c>
      <c r="B7841" s="5" t="s">
        <v>18820</v>
      </c>
      <c r="C7841" s="5" t="s">
        <v>41</v>
      </c>
      <c r="D7841" s="5" t="s">
        <v>42</v>
      </c>
      <c r="E7841" s="5" t="s">
        <v>35</v>
      </c>
      <c r="F7841" s="9" t="s">
        <v>36</v>
      </c>
      <c r="G7841" s="9" t="s">
        <v>75</v>
      </c>
      <c r="H7841" s="5" t="s">
        <v>21</v>
      </c>
      <c r="I7841" s="5" t="s">
        <v>18821</v>
      </c>
      <c r="J7841" s="12" t="str">
        <f>HYPERLINK("https://www.boe.es/gazeta/dias/1808/04/22/pdfs/GMD-C-1808-38.pdf#page=4","Abrir facsímil")</f>
        <v>Abrir facsímil</v>
      </c>
      <c r="K7841" s="15" t="s">
        <v>23</v>
      </c>
    </row>
    <row r="7842" spans="1:11" ht="42" customHeight="1">
      <c r="A7842" s="4" t="s">
        <v>18822</v>
      </c>
      <c r="B7842" s="5" t="s">
        <v>18823</v>
      </c>
      <c r="C7842" s="5" t="s">
        <v>33</v>
      </c>
      <c r="D7842" s="5" t="s">
        <v>34</v>
      </c>
      <c r="E7842" s="5" t="s">
        <v>28</v>
      </c>
      <c r="F7842" s="9" t="s">
        <v>446</v>
      </c>
      <c r="G7842" s="9" t="s">
        <v>117</v>
      </c>
      <c r="H7842" s="5" t="s">
        <v>21</v>
      </c>
      <c r="I7842" s="5" t="s">
        <v>18824</v>
      </c>
      <c r="J7842" s="12" t="str">
        <f>HYPERLINK("https://www.boe.es/gazeta/dias/1808/11/04/pdfs/GMD-D-1808-141.pdf#page=1","Abrir facsímil")</f>
        <v>Abrir facsímil</v>
      </c>
      <c r="K7842" s="15" t="s">
        <v>23</v>
      </c>
    </row>
    <row r="7843" spans="1:11" ht="42" customHeight="1">
      <c r="A7843" s="4" t="s">
        <v>18825</v>
      </c>
      <c r="B7843" s="5" t="s">
        <v>18826</v>
      </c>
      <c r="C7843" s="5" t="s">
        <v>41</v>
      </c>
      <c r="D7843" s="5" t="s">
        <v>42</v>
      </c>
      <c r="E7843" s="5" t="s">
        <v>558</v>
      </c>
      <c r="F7843" s="9" t="s">
        <v>758</v>
      </c>
      <c r="G7843" s="9" t="s">
        <v>75</v>
      </c>
      <c r="H7843" s="5" t="s">
        <v>21</v>
      </c>
      <c r="I7843" s="5" t="s">
        <v>18827</v>
      </c>
      <c r="J7843" s="12" t="str">
        <f>HYPERLINK("https://www.boe.es/gazeta/dias/1808/11/25/pdfs/GMD-E-1808-147.pdf#page=4","Abrir facsímil")</f>
        <v>Abrir facsímil</v>
      </c>
      <c r="K7843" s="15" t="s">
        <v>23</v>
      </c>
    </row>
    <row r="7844" spans="1:11" ht="42" customHeight="1">
      <c r="A7844" s="4" t="s">
        <v>18828</v>
      </c>
      <c r="B7844" s="5" t="s">
        <v>18829</v>
      </c>
      <c r="C7844" s="5" t="s">
        <v>33</v>
      </c>
      <c r="D7844" s="5" t="s">
        <v>34</v>
      </c>
      <c r="E7844" s="5" t="s">
        <v>153</v>
      </c>
      <c r="F7844" s="9" t="s">
        <v>154</v>
      </c>
      <c r="G7844" s="9" t="s">
        <v>75</v>
      </c>
      <c r="H7844" s="5" t="s">
        <v>21</v>
      </c>
      <c r="I7844" s="5" t="s">
        <v>18830</v>
      </c>
      <c r="J7844" s="12" t="str">
        <f>HYPERLINK("https://www.boe.es/gazeta/dias/1808/09/09/pdfs/GMD-C-1808-121.pdf#page=4","Abrir facsímil")</f>
        <v>Abrir facsímil</v>
      </c>
      <c r="K7844" s="15" t="s">
        <v>23</v>
      </c>
    </row>
    <row r="7845" spans="1:11" ht="42" customHeight="1">
      <c r="A7845" s="4" t="s">
        <v>18831</v>
      </c>
      <c r="B7845" s="5" t="s">
        <v>18832</v>
      </c>
      <c r="C7845" s="5" t="s">
        <v>41</v>
      </c>
      <c r="D7845" s="5" t="s">
        <v>42</v>
      </c>
      <c r="E7845" s="5" t="s">
        <v>35</v>
      </c>
      <c r="F7845" s="9" t="s">
        <v>36</v>
      </c>
      <c r="G7845" s="9" t="s">
        <v>75</v>
      </c>
      <c r="H7845" s="5" t="s">
        <v>21</v>
      </c>
      <c r="I7845" s="5" t="s">
        <v>18833</v>
      </c>
      <c r="J7845" s="12" t="str">
        <f>HYPERLINK("https://www.boe.es/gazeta/dias/1808/04/22/pdfs/GMD-C-1808-38.pdf#page=4","Abrir facsímil")</f>
        <v>Abrir facsímil</v>
      </c>
      <c r="K7845" s="15" t="s">
        <v>23</v>
      </c>
    </row>
    <row r="7846" spans="1:11" ht="42" customHeight="1">
      <c r="A7846" s="4" t="s">
        <v>18834</v>
      </c>
      <c r="B7846" s="5" t="s">
        <v>18835</v>
      </c>
      <c r="C7846" s="5" t="s">
        <v>41</v>
      </c>
      <c r="D7846" s="5" t="s">
        <v>42</v>
      </c>
      <c r="E7846" s="5" t="s">
        <v>180</v>
      </c>
      <c r="F7846" s="9" t="s">
        <v>768</v>
      </c>
      <c r="G7846" s="9" t="s">
        <v>75</v>
      </c>
      <c r="H7846" s="5" t="s">
        <v>21</v>
      </c>
      <c r="I7846" s="5" t="s">
        <v>18836</v>
      </c>
      <c r="J7846" s="12" t="str">
        <f>HYPERLINK("https://www.boe.es/gazeta/dias/1808/11/15/pdfs/GMD-D-1808-144.pdf#page=4","Abrir facsímil")</f>
        <v>Abrir facsímil</v>
      </c>
      <c r="K7846" s="15" t="s">
        <v>23</v>
      </c>
    </row>
    <row r="7847" spans="1:11" ht="42" customHeight="1">
      <c r="A7847" s="4" t="s">
        <v>18837</v>
      </c>
      <c r="B7847" s="5" t="s">
        <v>18837</v>
      </c>
      <c r="C7847" s="5" t="s">
        <v>94</v>
      </c>
      <c r="D7847" s="5" t="s">
        <v>95</v>
      </c>
      <c r="E7847" s="5" t="s">
        <v>1148</v>
      </c>
      <c r="F7847" s="9" t="s">
        <v>1149</v>
      </c>
      <c r="G7847" s="9">
        <v>502</v>
      </c>
      <c r="H7847" s="5" t="s">
        <v>21</v>
      </c>
      <c r="I7847" s="5" t="s">
        <v>18838</v>
      </c>
      <c r="J7847" s="12" t="str">
        <f>HYPERLINK("https://www.boe.es/gazeta/dias/1808/05/27/pdfs/GMD-1808-50.pdf#page=6","Abrir facsímil")</f>
        <v>Abrir facsímil</v>
      </c>
      <c r="K7847" s="15" t="s">
        <v>23</v>
      </c>
    </row>
    <row r="7848" spans="1:11" ht="42" customHeight="1">
      <c r="A7848" s="4" t="s">
        <v>18839</v>
      </c>
      <c r="B7848" s="5" t="s">
        <v>18840</v>
      </c>
      <c r="C7848" s="5" t="s">
        <v>260</v>
      </c>
      <c r="D7848" s="5" t="s">
        <v>42</v>
      </c>
      <c r="E7848" s="5" t="s">
        <v>2603</v>
      </c>
      <c r="F7848" s="9" t="s">
        <v>2604</v>
      </c>
      <c r="G7848" s="9">
        <v>665</v>
      </c>
      <c r="H7848" s="5" t="s">
        <v>21</v>
      </c>
      <c r="I7848" s="5" t="s">
        <v>18841</v>
      </c>
      <c r="J7848" s="12" t="str">
        <f>HYPERLINK("https://www.boe.es/gazeta/dias/1808/06/27/pdfs/GMD-1808-69.pdf#page=3","Abrir facsímil")</f>
        <v>Abrir facsímil</v>
      </c>
      <c r="K7848" s="15" t="s">
        <v>23</v>
      </c>
    </row>
    <row r="7849" spans="1:11" ht="42" customHeight="1">
      <c r="A7849" s="4" t="s">
        <v>18842</v>
      </c>
      <c r="B7849" s="5" t="s">
        <v>18843</v>
      </c>
      <c r="C7849" s="5" t="s">
        <v>17</v>
      </c>
      <c r="D7849" s="5" t="s">
        <v>18</v>
      </c>
      <c r="E7849" s="5" t="s">
        <v>663</v>
      </c>
      <c r="F7849" s="9" t="s">
        <v>664</v>
      </c>
      <c r="G7849" s="9">
        <v>210</v>
      </c>
      <c r="H7849" s="5" t="s">
        <v>21</v>
      </c>
      <c r="I7849" s="5" t="s">
        <v>18844</v>
      </c>
      <c r="J7849" s="12" t="str">
        <f>HYPERLINK("https://www.boe.es/gazeta/dias/1808/02/26/pdfs/GMD-1808-17.pdf#page=12","Abrir facsímil")</f>
        <v>Abrir facsímil</v>
      </c>
      <c r="K7849" s="15" t="s">
        <v>23</v>
      </c>
    </row>
    <row r="7850" spans="1:11" ht="42" customHeight="1">
      <c r="A7850" s="4" t="s">
        <v>18845</v>
      </c>
      <c r="B7850" s="5" t="s">
        <v>18845</v>
      </c>
      <c r="C7850" s="5" t="s">
        <v>94</v>
      </c>
      <c r="D7850" s="5" t="s">
        <v>95</v>
      </c>
      <c r="E7850" s="5" t="s">
        <v>493</v>
      </c>
      <c r="F7850" s="9" t="s">
        <v>494</v>
      </c>
      <c r="G7850" s="9">
        <v>41</v>
      </c>
      <c r="H7850" s="5" t="s">
        <v>21</v>
      </c>
      <c r="I7850" s="5" t="s">
        <v>18846</v>
      </c>
      <c r="J7850" s="12" t="str">
        <f>HYPERLINK("https://www.boe.es/gazeta/dias/1808/01/12/pdfs/GMD-1808-4.pdf#page=5","Abrir facsímil")</f>
        <v>Abrir facsímil</v>
      </c>
      <c r="K7850" s="15" t="s">
        <v>23</v>
      </c>
    </row>
    <row r="7851" spans="1:11" ht="42" customHeight="1">
      <c r="A7851" s="4" t="s">
        <v>18847</v>
      </c>
      <c r="B7851" s="5" t="s">
        <v>18848</v>
      </c>
      <c r="C7851" s="5" t="s">
        <v>33</v>
      </c>
      <c r="D7851" s="5" t="s">
        <v>34</v>
      </c>
      <c r="E7851" s="5" t="s">
        <v>68</v>
      </c>
      <c r="F7851" s="9" t="s">
        <v>309</v>
      </c>
      <c r="G7851" s="9" t="s">
        <v>199</v>
      </c>
      <c r="H7851" s="5" t="s">
        <v>21</v>
      </c>
      <c r="I7851" s="5" t="s">
        <v>18849</v>
      </c>
      <c r="J7851" s="12" t="str">
        <f>HYPERLINK("https://www.boe.es/gazeta/dias/1808/10/21/pdfs/GMD-D-1808-136.pdf#page=2","Abrir facsímil")</f>
        <v>Abrir facsímil</v>
      </c>
      <c r="K7851" s="15" t="s">
        <v>23</v>
      </c>
    </row>
    <row r="7852" spans="1:11" ht="42" customHeight="1">
      <c r="A7852" s="4" t="s">
        <v>18850</v>
      </c>
      <c r="B7852" s="5" t="s">
        <v>18851</v>
      </c>
      <c r="C7852" s="5" t="s">
        <v>94</v>
      </c>
      <c r="D7852" s="5" t="s">
        <v>95</v>
      </c>
      <c r="E7852" s="5" t="s">
        <v>203</v>
      </c>
      <c r="F7852" s="9" t="s">
        <v>204</v>
      </c>
      <c r="G7852" s="9">
        <v>141</v>
      </c>
      <c r="H7852" s="5" t="s">
        <v>21</v>
      </c>
      <c r="I7852" s="5" t="s">
        <v>18852</v>
      </c>
      <c r="J7852" s="12" t="str">
        <f>HYPERLINK("https://www.boe.es/gazeta/dias/1808/02/09/pdfs/GMD-1808-12.pdf#page=9","Abrir facsímil")</f>
        <v>Abrir facsímil</v>
      </c>
      <c r="K7852" s="15" t="s">
        <v>23</v>
      </c>
    </row>
    <row r="7853" spans="1:11" ht="42" customHeight="1">
      <c r="A7853" s="4" t="s">
        <v>18853</v>
      </c>
      <c r="B7853" s="5" t="s">
        <v>18853</v>
      </c>
      <c r="C7853" s="5" t="s">
        <v>17</v>
      </c>
      <c r="D7853" s="5" t="s">
        <v>18</v>
      </c>
      <c r="E7853" s="5" t="s">
        <v>493</v>
      </c>
      <c r="F7853" s="9" t="s">
        <v>494</v>
      </c>
      <c r="G7853" s="9">
        <v>41</v>
      </c>
      <c r="H7853" s="5" t="s">
        <v>21</v>
      </c>
      <c r="I7853" s="5" t="s">
        <v>18854</v>
      </c>
      <c r="J7853" s="12" t="str">
        <f>HYPERLINK("https://www.boe.es/gazeta/dias/1808/01/12/pdfs/GMD-1808-4.pdf#page=5","Abrir facsímil")</f>
        <v>Abrir facsímil</v>
      </c>
      <c r="K7853" s="15" t="s">
        <v>23</v>
      </c>
    </row>
    <row r="7854" spans="1:11" ht="42" customHeight="1">
      <c r="A7854" s="4" t="s">
        <v>18855</v>
      </c>
      <c r="B7854" s="5" t="s">
        <v>18856</v>
      </c>
      <c r="C7854" s="5" t="s">
        <v>33</v>
      </c>
      <c r="D7854" s="5" t="s">
        <v>34</v>
      </c>
      <c r="E7854" s="5" t="s">
        <v>456</v>
      </c>
      <c r="F7854" s="9" t="s">
        <v>748</v>
      </c>
      <c r="G7854" s="9" t="s">
        <v>106</v>
      </c>
      <c r="H7854" s="5" t="s">
        <v>21</v>
      </c>
      <c r="I7854" s="5" t="s">
        <v>18857</v>
      </c>
      <c r="J7854" s="12" t="str">
        <f>HYPERLINK("https://www.boe.es/gazeta/dias/1808/10/14/pdfs/GMD-C-1808-134.pdf#page=3","Abrir facsímil")</f>
        <v>Abrir facsímil</v>
      </c>
      <c r="K7854" s="15" t="s">
        <v>23</v>
      </c>
    </row>
    <row r="7855" spans="1:11" ht="42" customHeight="1">
      <c r="A7855" s="4" t="s">
        <v>18858</v>
      </c>
      <c r="B7855" s="5" t="s">
        <v>18859</v>
      </c>
      <c r="C7855" s="5" t="s">
        <v>33</v>
      </c>
      <c r="D7855" s="5" t="s">
        <v>34</v>
      </c>
      <c r="E7855" s="5" t="s">
        <v>35</v>
      </c>
      <c r="F7855" s="9" t="s">
        <v>36</v>
      </c>
      <c r="G7855" s="9" t="s">
        <v>324</v>
      </c>
      <c r="H7855" s="5" t="s">
        <v>21</v>
      </c>
      <c r="I7855" s="5" t="s">
        <v>18860</v>
      </c>
      <c r="J7855" s="12" t="str">
        <f>HYPERLINK("https://www.boe.es/gazeta/dias/1808/04/22/pdfs/GMD-C-1808-38.pdf#page=24","Abrir facsímil")</f>
        <v>Abrir facsímil</v>
      </c>
      <c r="K7855" s="15" t="s">
        <v>23</v>
      </c>
    </row>
    <row r="7856" spans="1:11" ht="42" customHeight="1">
      <c r="A7856" s="4" t="s">
        <v>18858</v>
      </c>
      <c r="B7856" s="5" t="s">
        <v>18859</v>
      </c>
      <c r="C7856" s="5" t="s">
        <v>33</v>
      </c>
      <c r="D7856" s="5" t="s">
        <v>34</v>
      </c>
      <c r="E7856" s="5" t="s">
        <v>35</v>
      </c>
      <c r="F7856" s="9" t="s">
        <v>36</v>
      </c>
      <c r="G7856" s="9" t="s">
        <v>279</v>
      </c>
      <c r="H7856" s="5" t="s">
        <v>21</v>
      </c>
      <c r="I7856" s="5" t="s">
        <v>18861</v>
      </c>
      <c r="J7856" s="12" t="str">
        <f>HYPERLINK("https://www.boe.es/gazeta/dias/1808/04/22/pdfs/GMD-C-1808-38.pdf#page=44","Abrir facsímil")</f>
        <v>Abrir facsímil</v>
      </c>
      <c r="K7856" s="15" t="s">
        <v>23</v>
      </c>
    </row>
    <row r="7857" spans="1:11" ht="42" customHeight="1">
      <c r="A7857" s="4" t="s">
        <v>18862</v>
      </c>
      <c r="B7857" s="5" t="s">
        <v>18863</v>
      </c>
      <c r="C7857" s="5" t="s">
        <v>41</v>
      </c>
      <c r="D7857" s="5" t="s">
        <v>42</v>
      </c>
      <c r="E7857" s="5" t="s">
        <v>35</v>
      </c>
      <c r="F7857" s="9" t="s">
        <v>36</v>
      </c>
      <c r="G7857" s="9" t="s">
        <v>279</v>
      </c>
      <c r="H7857" s="5" t="s">
        <v>21</v>
      </c>
      <c r="I7857" s="5" t="s">
        <v>18864</v>
      </c>
      <c r="J7857" s="12" t="str">
        <f>HYPERLINK("https://www.boe.es/gazeta/dias/1808/04/22/pdfs/GMD-C-1808-38.pdf#page=44","Abrir facsímil")</f>
        <v>Abrir facsímil</v>
      </c>
      <c r="K7857" s="15" t="s">
        <v>23</v>
      </c>
    </row>
    <row r="7858" spans="1:11" ht="42" customHeight="1">
      <c r="A7858" s="4" t="s">
        <v>18865</v>
      </c>
      <c r="B7858" s="5" t="s">
        <v>18866</v>
      </c>
      <c r="C7858" s="5" t="s">
        <v>33</v>
      </c>
      <c r="D7858" s="5" t="s">
        <v>34</v>
      </c>
      <c r="E7858" s="5" t="s">
        <v>89</v>
      </c>
      <c r="F7858" s="9" t="s">
        <v>1247</v>
      </c>
      <c r="G7858" s="9">
        <v>1365</v>
      </c>
      <c r="H7858" s="5" t="s">
        <v>21</v>
      </c>
      <c r="I7858" s="5" t="s">
        <v>18867</v>
      </c>
      <c r="J7858" s="12" t="str">
        <f>HYPERLINK("https://www.boe.es/gazeta/dias/1808/10/25/pdfs/GMD-C-1808-137.pdf#page=1","Abrir facsímil")</f>
        <v>Abrir facsímil</v>
      </c>
      <c r="K7858" s="15" t="s">
        <v>23</v>
      </c>
    </row>
    <row r="7859" spans="1:11" ht="42" customHeight="1">
      <c r="A7859" s="4" t="s">
        <v>18868</v>
      </c>
      <c r="B7859" s="5" t="s">
        <v>18869</v>
      </c>
      <c r="C7859" s="5" t="s">
        <v>33</v>
      </c>
      <c r="D7859" s="5" t="s">
        <v>34</v>
      </c>
      <c r="E7859" s="5" t="s">
        <v>73</v>
      </c>
      <c r="F7859" s="9" t="s">
        <v>74</v>
      </c>
      <c r="G7859" s="9" t="s">
        <v>106</v>
      </c>
      <c r="H7859" s="5" t="s">
        <v>21</v>
      </c>
      <c r="I7859" s="5" t="s">
        <v>18870</v>
      </c>
      <c r="J7859" s="12" t="str">
        <f>HYPERLINK("https://www.boe.es/gazeta/dias/1808/11/11/pdfs/GMD-D-1808-143.pdf#page=3","Abrir facsímil")</f>
        <v>Abrir facsímil</v>
      </c>
      <c r="K7859" s="15" t="s">
        <v>23</v>
      </c>
    </row>
    <row r="7860" spans="1:11" ht="42" customHeight="1">
      <c r="A7860" s="4" t="s">
        <v>18871</v>
      </c>
      <c r="B7860" s="5" t="s">
        <v>18871</v>
      </c>
      <c r="C7860" s="5" t="s">
        <v>17</v>
      </c>
      <c r="D7860" s="5" t="s">
        <v>18</v>
      </c>
      <c r="E7860" s="5" t="s">
        <v>256</v>
      </c>
      <c r="F7860" s="9" t="s">
        <v>257</v>
      </c>
      <c r="G7860" s="9">
        <v>527</v>
      </c>
      <c r="H7860" s="5" t="s">
        <v>21</v>
      </c>
      <c r="I7860" s="5" t="s">
        <v>18872</v>
      </c>
      <c r="J7860" s="12" t="str">
        <f>HYPERLINK("https://www.boe.es/gazeta/dias/1808/06/03/pdfs/GMD-1808-53.pdf#page=5","Abrir facsímil")</f>
        <v>Abrir facsímil</v>
      </c>
      <c r="K7860" s="15" t="s">
        <v>23</v>
      </c>
    </row>
    <row r="7861" spans="1:11" ht="42" customHeight="1">
      <c r="A7861" s="4" t="s">
        <v>18873</v>
      </c>
      <c r="B7861" s="5" t="s">
        <v>18873</v>
      </c>
      <c r="C7861" s="5" t="s">
        <v>94</v>
      </c>
      <c r="D7861" s="5" t="s">
        <v>95</v>
      </c>
      <c r="E7861" s="5" t="s">
        <v>2856</v>
      </c>
      <c r="F7861" s="9" t="s">
        <v>6466</v>
      </c>
      <c r="G7861" s="9">
        <v>962</v>
      </c>
      <c r="H7861" s="5" t="s">
        <v>21</v>
      </c>
      <c r="I7861" s="5" t="s">
        <v>18874</v>
      </c>
      <c r="J7861" s="12" t="str">
        <f>HYPERLINK("https://www.boe.es/gazeta/dias/1808/08/03/pdfs/GMD-1808-106.pdf#page=4","Abrir facsímil")</f>
        <v>Abrir facsímil</v>
      </c>
      <c r="K7861" s="15" t="s">
        <v>23</v>
      </c>
    </row>
    <row r="7862" spans="1:11" ht="42" customHeight="1">
      <c r="A7862" s="4" t="s">
        <v>18875</v>
      </c>
      <c r="B7862" s="5" t="s">
        <v>18876</v>
      </c>
      <c r="C7862" s="5" t="s">
        <v>33</v>
      </c>
      <c r="D7862" s="5" t="s">
        <v>34</v>
      </c>
      <c r="E7862" s="5" t="s">
        <v>19</v>
      </c>
      <c r="F7862" s="9" t="s">
        <v>949</v>
      </c>
      <c r="G7862" s="9" t="s">
        <v>199</v>
      </c>
      <c r="H7862" s="5" t="s">
        <v>21</v>
      </c>
      <c r="I7862" s="5" t="s">
        <v>18877</v>
      </c>
      <c r="J7862" s="12" t="str">
        <f>HYPERLINK("https://www.boe.es/gazeta/dias/1808/09/30/pdfs/GMD-C-1808-130.pdf#page=2","Abrir facsímil")</f>
        <v>Abrir facsímil</v>
      </c>
      <c r="K7862" s="15" t="s">
        <v>23</v>
      </c>
    </row>
    <row r="7863" spans="1:11" ht="42" customHeight="1">
      <c r="A7863" s="4" t="s">
        <v>18878</v>
      </c>
      <c r="B7863" s="5" t="s">
        <v>18879</v>
      </c>
      <c r="C7863" s="5" t="s">
        <v>41</v>
      </c>
      <c r="D7863" s="5" t="s">
        <v>42</v>
      </c>
      <c r="E7863" s="5" t="s">
        <v>35</v>
      </c>
      <c r="F7863" s="9" t="s">
        <v>36</v>
      </c>
      <c r="G7863" s="9" t="s">
        <v>199</v>
      </c>
      <c r="H7863" s="5" t="s">
        <v>21</v>
      </c>
      <c r="I7863" s="5" t="s">
        <v>18880</v>
      </c>
      <c r="J7863" s="12" t="str">
        <f>HYPERLINK("https://www.boe.es/gazeta/dias/1808/04/22/pdfs/GMD-C-1808-38.pdf#page=2","Abrir facsímil")</f>
        <v>Abrir facsímil</v>
      </c>
      <c r="K7863" s="15" t="s">
        <v>23</v>
      </c>
    </row>
    <row r="7864" spans="1:11" ht="42" customHeight="1">
      <c r="A7864" s="4" t="s">
        <v>18881</v>
      </c>
      <c r="B7864" s="5" t="s">
        <v>18882</v>
      </c>
      <c r="C7864" s="5" t="s">
        <v>94</v>
      </c>
      <c r="D7864" s="5" t="s">
        <v>95</v>
      </c>
      <c r="E7864" s="5" t="s">
        <v>139</v>
      </c>
      <c r="F7864" s="9" t="s">
        <v>140</v>
      </c>
      <c r="G7864" s="9">
        <v>1202</v>
      </c>
      <c r="H7864" s="5" t="s">
        <v>21</v>
      </c>
      <c r="I7864" s="5" t="s">
        <v>18883</v>
      </c>
      <c r="J7864" s="12" t="str">
        <f>HYPERLINK("https://www.boe.es/gazeta/dias/1808/09/23/pdfs/GMD-1808-127.pdf#page=10","Abrir facsímil")</f>
        <v>Abrir facsímil</v>
      </c>
      <c r="K7864" s="15" t="s">
        <v>23</v>
      </c>
    </row>
    <row r="7865" spans="1:11" ht="42" customHeight="1">
      <c r="A7865" s="4" t="s">
        <v>18884</v>
      </c>
      <c r="B7865" s="5" t="s">
        <v>18885</v>
      </c>
      <c r="C7865" s="5" t="s">
        <v>389</v>
      </c>
      <c r="D7865" s="5" t="s">
        <v>390</v>
      </c>
      <c r="E7865" s="5" t="s">
        <v>139</v>
      </c>
      <c r="F7865" s="9" t="s">
        <v>1089</v>
      </c>
      <c r="G7865" s="9" t="s">
        <v>117</v>
      </c>
      <c r="H7865" s="5" t="s">
        <v>21</v>
      </c>
      <c r="I7865" s="5" t="s">
        <v>18886</v>
      </c>
      <c r="J7865" s="12" t="str">
        <f>HYPERLINK("https://www.boe.es/gazeta/dias/1808/09/23/pdfs/GMD-C-1808-127.pdf#page=1","Abrir facsímil")</f>
        <v>Abrir facsímil</v>
      </c>
      <c r="K7865" s="15" t="s">
        <v>23</v>
      </c>
    </row>
    <row r="7866" spans="1:11" ht="42" customHeight="1">
      <c r="A7866" s="4" t="s">
        <v>18884</v>
      </c>
      <c r="B7866" s="5" t="s">
        <v>18885</v>
      </c>
      <c r="C7866" s="5" t="s">
        <v>389</v>
      </c>
      <c r="D7866" s="5" t="s">
        <v>390</v>
      </c>
      <c r="E7866" s="5" t="s">
        <v>139</v>
      </c>
      <c r="F7866" s="9" t="s">
        <v>1089</v>
      </c>
      <c r="G7866" s="9" t="s">
        <v>199</v>
      </c>
      <c r="H7866" s="5" t="s">
        <v>21</v>
      </c>
      <c r="I7866" s="5" t="s">
        <v>18887</v>
      </c>
      <c r="J7866" s="12" t="str">
        <f>HYPERLINK("https://www.boe.es/gazeta/dias/1808/09/23/pdfs/GMD-C-1808-127.pdf#page=2","Abrir facsímil")</f>
        <v>Abrir facsímil</v>
      </c>
      <c r="K7866" s="15" t="s">
        <v>23</v>
      </c>
    </row>
    <row r="7867" spans="1:11" ht="42" customHeight="1">
      <c r="A7867" s="4" t="s">
        <v>18884</v>
      </c>
      <c r="B7867" s="5" t="s">
        <v>18885</v>
      </c>
      <c r="C7867" s="5" t="s">
        <v>33</v>
      </c>
      <c r="D7867" s="5" t="s">
        <v>34</v>
      </c>
      <c r="E7867" s="5" t="s">
        <v>19</v>
      </c>
      <c r="F7867" s="9" t="s">
        <v>949</v>
      </c>
      <c r="G7867" s="9" t="s">
        <v>117</v>
      </c>
      <c r="H7867" s="5" t="s">
        <v>21</v>
      </c>
      <c r="I7867" s="5" t="s">
        <v>18888</v>
      </c>
      <c r="J7867" s="12" t="str">
        <f>HYPERLINK("https://www.boe.es/gazeta/dias/1808/09/30/pdfs/GMD-C-1808-130.pdf#page=1","Abrir facsímil")</f>
        <v>Abrir facsímil</v>
      </c>
      <c r="K7867" s="15" t="s">
        <v>23</v>
      </c>
    </row>
    <row r="7868" spans="1:11" ht="42" customHeight="1">
      <c r="A7868" s="4" t="s">
        <v>18889</v>
      </c>
      <c r="B7868" s="5" t="s">
        <v>18890</v>
      </c>
      <c r="C7868" s="5" t="s">
        <v>33</v>
      </c>
      <c r="D7868" s="5" t="s">
        <v>34</v>
      </c>
      <c r="E7868" s="5" t="s">
        <v>334</v>
      </c>
      <c r="F7868" s="9" t="s">
        <v>335</v>
      </c>
      <c r="G7868" s="9">
        <v>1258</v>
      </c>
      <c r="H7868" s="5" t="s">
        <v>21</v>
      </c>
      <c r="I7868" s="5" t="s">
        <v>18891</v>
      </c>
      <c r="J7868" s="12" t="str">
        <f>HYPERLINK("https://www.boe.es/gazeta/dias/1808/10/04/pdfs/GMD-C-1808-131.pdf#page=10","Abrir facsímil")</f>
        <v>Abrir facsímil</v>
      </c>
      <c r="K7868" s="15" t="s">
        <v>23</v>
      </c>
    </row>
    <row r="7869" spans="1:11" ht="42" customHeight="1">
      <c r="A7869" s="4" t="s">
        <v>18892</v>
      </c>
      <c r="B7869" s="5" t="s">
        <v>18893</v>
      </c>
      <c r="C7869" s="5" t="s">
        <v>17</v>
      </c>
      <c r="D7869" s="5" t="s">
        <v>18</v>
      </c>
      <c r="E7869" s="5" t="s">
        <v>207</v>
      </c>
      <c r="F7869" s="9" t="s">
        <v>208</v>
      </c>
      <c r="G7869" s="9">
        <v>198</v>
      </c>
      <c r="H7869" s="5" t="s">
        <v>21</v>
      </c>
      <c r="I7869" s="5" t="s">
        <v>18894</v>
      </c>
      <c r="J7869" s="12" t="str">
        <f>HYPERLINK("https://www.boe.es/gazeta/dias/1808/02/23/pdfs/GMD-1808-16.pdf#page=12","Abrir facsímil")</f>
        <v>Abrir facsímil</v>
      </c>
      <c r="K7869" s="15" t="s">
        <v>23</v>
      </c>
    </row>
    <row r="7870" spans="1:11" ht="42" customHeight="1">
      <c r="A7870" s="4" t="s">
        <v>18892</v>
      </c>
      <c r="B7870" s="5" t="s">
        <v>18893</v>
      </c>
      <c r="C7870" s="5" t="s">
        <v>389</v>
      </c>
      <c r="D7870" s="5" t="s">
        <v>390</v>
      </c>
      <c r="E7870" s="5" t="s">
        <v>513</v>
      </c>
      <c r="F7870" s="9" t="s">
        <v>514</v>
      </c>
      <c r="G7870" s="9">
        <v>289</v>
      </c>
      <c r="H7870" s="5" t="s">
        <v>21</v>
      </c>
      <c r="I7870" s="5" t="s">
        <v>18895</v>
      </c>
      <c r="J7870" s="12" t="str">
        <f>HYPERLINK("https://www.boe.es/gazeta/dias/1808/03/22/pdfs/GMD-1808-24.pdf#page=11","Abrir facsímil")</f>
        <v>Abrir facsímil</v>
      </c>
      <c r="K7870" s="15" t="s">
        <v>23</v>
      </c>
    </row>
    <row r="7871" spans="1:11" ht="42" customHeight="1">
      <c r="A7871" s="4" t="s">
        <v>18892</v>
      </c>
      <c r="B7871" s="5" t="s">
        <v>18893</v>
      </c>
      <c r="C7871" s="5" t="s">
        <v>389</v>
      </c>
      <c r="D7871" s="5" t="s">
        <v>390</v>
      </c>
      <c r="E7871" s="5" t="s">
        <v>832</v>
      </c>
      <c r="F7871" s="9" t="s">
        <v>833</v>
      </c>
      <c r="G7871" s="9">
        <v>521</v>
      </c>
      <c r="H7871" s="5" t="s">
        <v>21</v>
      </c>
      <c r="I7871" s="5" t="s">
        <v>18896</v>
      </c>
      <c r="J7871" s="12" t="str">
        <f>HYPERLINK("https://www.boe.es/gazeta/dias/1808/05/31/pdfs/GMD-1808-52.pdf#page=11","Abrir facsímil")</f>
        <v>Abrir facsímil</v>
      </c>
      <c r="K7871" s="15" t="s">
        <v>23</v>
      </c>
    </row>
    <row r="7872" spans="1:11" ht="42" customHeight="1">
      <c r="A7872" s="4" t="s">
        <v>18897</v>
      </c>
      <c r="B7872" s="5" t="s">
        <v>18897</v>
      </c>
      <c r="C7872" s="5" t="s">
        <v>94</v>
      </c>
      <c r="D7872" s="5" t="s">
        <v>95</v>
      </c>
      <c r="E7872" s="5" t="s">
        <v>548</v>
      </c>
      <c r="F7872" s="9" t="s">
        <v>549</v>
      </c>
      <c r="G7872" s="9">
        <v>275</v>
      </c>
      <c r="H7872" s="5" t="s">
        <v>21</v>
      </c>
      <c r="I7872" s="5" t="s">
        <v>18898</v>
      </c>
      <c r="J7872" s="12" t="str">
        <f>HYPERLINK("https://www.boe.es/gazeta/dias/1808/03/18/pdfs/GMD-1808-23.pdf#page=5","Abrir facsímil")</f>
        <v>Abrir facsímil</v>
      </c>
      <c r="K7872" s="15" t="s">
        <v>23</v>
      </c>
    </row>
    <row r="7873" spans="1:11" ht="42" customHeight="1">
      <c r="A7873" s="4" t="s">
        <v>18899</v>
      </c>
      <c r="B7873" s="5" t="s">
        <v>18899</v>
      </c>
      <c r="C7873" s="5" t="s">
        <v>94</v>
      </c>
      <c r="D7873" s="5" t="s">
        <v>95</v>
      </c>
      <c r="E7873" s="5" t="s">
        <v>28</v>
      </c>
      <c r="F7873" s="9" t="s">
        <v>29</v>
      </c>
      <c r="G7873" s="9">
        <v>1426</v>
      </c>
      <c r="H7873" s="5" t="s">
        <v>21</v>
      </c>
      <c r="I7873" s="5" t="s">
        <v>18900</v>
      </c>
      <c r="J7873" s="12" t="str">
        <f>HYPERLINK("https://www.boe.es/gazeta/dias/1808/11/04/pdfs/GMD-1808-141.pdf#page=8","Abrir facsímil")</f>
        <v>Abrir facsímil</v>
      </c>
      <c r="K7873" s="15" t="s">
        <v>23</v>
      </c>
    </row>
    <row r="7874" spans="1:11" ht="42" customHeight="1">
      <c r="A7874" s="4" t="s">
        <v>18901</v>
      </c>
      <c r="B7874" s="5" t="s">
        <v>18902</v>
      </c>
      <c r="C7874" s="5" t="s">
        <v>94</v>
      </c>
      <c r="D7874" s="5" t="s">
        <v>95</v>
      </c>
      <c r="E7874" s="5" t="s">
        <v>663</v>
      </c>
      <c r="F7874" s="9" t="s">
        <v>664</v>
      </c>
      <c r="G7874" s="9">
        <v>209</v>
      </c>
      <c r="H7874" s="5" t="s">
        <v>21</v>
      </c>
      <c r="I7874" s="5" t="s">
        <v>18903</v>
      </c>
      <c r="J7874" s="12" t="str">
        <f>HYPERLINK("https://www.boe.es/gazeta/dias/1808/02/26/pdfs/GMD-1808-17.pdf#page=11","Abrir facsímil")</f>
        <v>Abrir facsímil</v>
      </c>
      <c r="K7874" s="15" t="s">
        <v>23</v>
      </c>
    </row>
    <row r="7875" spans="1:11" ht="42" customHeight="1">
      <c r="A7875" s="4" t="s">
        <v>18904</v>
      </c>
      <c r="B7875" s="5" t="s">
        <v>18905</v>
      </c>
      <c r="C7875" s="5" t="s">
        <v>41</v>
      </c>
      <c r="D7875" s="5" t="s">
        <v>42</v>
      </c>
      <c r="E7875" s="5" t="s">
        <v>427</v>
      </c>
      <c r="F7875" s="9" t="s">
        <v>428</v>
      </c>
      <c r="G7875" s="9" t="s">
        <v>117</v>
      </c>
      <c r="H7875" s="5" t="s">
        <v>21</v>
      </c>
      <c r="I7875" s="5" t="s">
        <v>18906</v>
      </c>
      <c r="J7875" s="12" t="str">
        <f>HYPERLINK("https://www.boe.es/gazeta/dias/1808/11/22/pdfs/GMD-D-1808-146.pdf#page=1","Abrir facsímil")</f>
        <v>Abrir facsímil</v>
      </c>
      <c r="K7875" s="15" t="s">
        <v>23</v>
      </c>
    </row>
    <row r="7876" spans="1:11" ht="42" customHeight="1">
      <c r="A7876" s="4" t="s">
        <v>18907</v>
      </c>
      <c r="B7876" s="5" t="s">
        <v>18908</v>
      </c>
      <c r="C7876" s="5" t="s">
        <v>17</v>
      </c>
      <c r="D7876" s="5" t="s">
        <v>18</v>
      </c>
      <c r="E7876" s="5" t="s">
        <v>185</v>
      </c>
      <c r="F7876" s="9" t="s">
        <v>186</v>
      </c>
      <c r="G7876" s="9">
        <v>1101</v>
      </c>
      <c r="H7876" s="5" t="s">
        <v>21</v>
      </c>
      <c r="I7876" s="5" t="s">
        <v>18909</v>
      </c>
      <c r="J7876" s="12" t="str">
        <f>HYPERLINK("https://www.boe.es/gazeta/dias/1808/08/30/pdfs/GMD-1808-118.pdf#page=7","Abrir facsímil")</f>
        <v>Abrir facsímil</v>
      </c>
      <c r="K7876" s="15" t="s">
        <v>23</v>
      </c>
    </row>
    <row r="7877" spans="1:11" ht="42" customHeight="1">
      <c r="A7877" s="4" t="s">
        <v>18910</v>
      </c>
      <c r="B7877" s="5" t="s">
        <v>18911</v>
      </c>
      <c r="C7877" s="5" t="s">
        <v>41</v>
      </c>
      <c r="D7877" s="5" t="s">
        <v>42</v>
      </c>
      <c r="E7877" s="5" t="s">
        <v>35</v>
      </c>
      <c r="F7877" s="9" t="s">
        <v>36</v>
      </c>
      <c r="G7877" s="9" t="s">
        <v>814</v>
      </c>
      <c r="H7877" s="5" t="s">
        <v>21</v>
      </c>
      <c r="I7877" s="5" t="s">
        <v>18912</v>
      </c>
      <c r="J7877" s="12" t="str">
        <f>HYPERLINK("https://www.boe.es/gazeta/dias/1808/04/22/pdfs/GMD-C-1808-38.pdf#page=25","Abrir facsímil")</f>
        <v>Abrir facsímil</v>
      </c>
      <c r="K7877" s="15" t="s">
        <v>23</v>
      </c>
    </row>
    <row r="7878" spans="1:11" ht="42" customHeight="1">
      <c r="A7878" s="4" t="s">
        <v>18913</v>
      </c>
      <c r="B7878" s="5" t="s">
        <v>18914</v>
      </c>
      <c r="C7878" s="5" t="s">
        <v>33</v>
      </c>
      <c r="D7878" s="5" t="s">
        <v>34</v>
      </c>
      <c r="E7878" s="5" t="s">
        <v>115</v>
      </c>
      <c r="F7878" s="9" t="s">
        <v>116</v>
      </c>
      <c r="G7878" s="9" t="s">
        <v>75</v>
      </c>
      <c r="H7878" s="5" t="s">
        <v>21</v>
      </c>
      <c r="I7878" s="5" t="s">
        <v>18915</v>
      </c>
      <c r="J7878" s="12" t="str">
        <f>HYPERLINK("https://www.boe.es/gazeta/dias/1808/09/16/pdfs/GMD-C-1808-125.pdf#page=4","Abrir facsímil")</f>
        <v>Abrir facsímil</v>
      </c>
      <c r="K7878" s="15" t="s">
        <v>23</v>
      </c>
    </row>
    <row r="7879" spans="1:11" ht="42" customHeight="1">
      <c r="A7879" s="4" t="s">
        <v>18916</v>
      </c>
      <c r="B7879" s="5" t="s">
        <v>18917</v>
      </c>
      <c r="C7879" s="5" t="s">
        <v>94</v>
      </c>
      <c r="D7879" s="5" t="s">
        <v>95</v>
      </c>
      <c r="E7879" s="5" t="s">
        <v>180</v>
      </c>
      <c r="F7879" s="9" t="s">
        <v>768</v>
      </c>
      <c r="G7879" s="9" t="s">
        <v>199</v>
      </c>
      <c r="H7879" s="5" t="s">
        <v>21</v>
      </c>
      <c r="I7879" s="5" t="s">
        <v>18918</v>
      </c>
      <c r="J7879" s="12" t="str">
        <f>HYPERLINK("https://www.boe.es/gazeta/dias/1808/11/15/pdfs/GMD-D-1808-144.pdf#page=2","Abrir facsímil")</f>
        <v>Abrir facsímil</v>
      </c>
      <c r="K7879" s="15" t="s">
        <v>23</v>
      </c>
    </row>
    <row r="7880" spans="1:11" ht="42" customHeight="1">
      <c r="A7880" s="4" t="s">
        <v>18919</v>
      </c>
      <c r="B7880" s="5" t="s">
        <v>18920</v>
      </c>
      <c r="C7880" s="5" t="s">
        <v>33</v>
      </c>
      <c r="D7880" s="5" t="s">
        <v>34</v>
      </c>
      <c r="E7880" s="5" t="s">
        <v>35</v>
      </c>
      <c r="F7880" s="9" t="s">
        <v>36</v>
      </c>
      <c r="G7880" s="9" t="s">
        <v>4783</v>
      </c>
      <c r="H7880" s="5" t="s">
        <v>21</v>
      </c>
      <c r="I7880" s="5" t="s">
        <v>18921</v>
      </c>
      <c r="J7880" s="12" t="str">
        <f>HYPERLINK("https://www.boe.es/gazeta/dias/1808/04/22/pdfs/GMD-C-1808-38.pdf#page=36","Abrir facsímil")</f>
        <v>Abrir facsímil</v>
      </c>
      <c r="K7880" s="15" t="s">
        <v>23</v>
      </c>
    </row>
    <row r="7881" spans="1:11" ht="42" customHeight="1">
      <c r="A7881" s="4" t="s">
        <v>18919</v>
      </c>
      <c r="B7881" s="5" t="s">
        <v>18920</v>
      </c>
      <c r="C7881" s="5" t="s">
        <v>33</v>
      </c>
      <c r="D7881" s="5" t="s">
        <v>34</v>
      </c>
      <c r="E7881" s="5" t="s">
        <v>153</v>
      </c>
      <c r="F7881" s="9" t="s">
        <v>154</v>
      </c>
      <c r="G7881" s="9" t="s">
        <v>199</v>
      </c>
      <c r="H7881" s="5" t="s">
        <v>21</v>
      </c>
      <c r="I7881" s="5" t="s">
        <v>18922</v>
      </c>
      <c r="J7881" s="12" t="str">
        <f>HYPERLINK("https://www.boe.es/gazeta/dias/1808/09/09/pdfs/GMD-C-1808-121.pdf#page=2","Abrir facsímil")</f>
        <v>Abrir facsímil</v>
      </c>
      <c r="K7881" s="15" t="s">
        <v>23</v>
      </c>
    </row>
    <row r="7882" spans="1:11" ht="42" customHeight="1">
      <c r="A7882" s="4" t="s">
        <v>18923</v>
      </c>
      <c r="B7882" s="5" t="s">
        <v>18924</v>
      </c>
      <c r="C7882" s="5" t="s">
        <v>33</v>
      </c>
      <c r="D7882" s="5" t="s">
        <v>34</v>
      </c>
      <c r="E7882" s="5" t="s">
        <v>68</v>
      </c>
      <c r="F7882" s="9" t="s">
        <v>309</v>
      </c>
      <c r="G7882" s="9" t="s">
        <v>199</v>
      </c>
      <c r="H7882" s="5" t="s">
        <v>21</v>
      </c>
      <c r="I7882" s="5" t="s">
        <v>18925</v>
      </c>
      <c r="J7882" s="12" t="str">
        <f>HYPERLINK("https://www.boe.es/gazeta/dias/1808/10/21/pdfs/GMD-D-1808-136.pdf#page=2","Abrir facsímil")</f>
        <v>Abrir facsímil</v>
      </c>
      <c r="K7882" s="15" t="s">
        <v>23</v>
      </c>
    </row>
    <row r="7883" spans="1:11" ht="42" customHeight="1">
      <c r="A7883" s="4" t="s">
        <v>18926</v>
      </c>
      <c r="B7883" s="5" t="s">
        <v>18927</v>
      </c>
      <c r="C7883" s="5" t="s">
        <v>33</v>
      </c>
      <c r="D7883" s="5" t="s">
        <v>34</v>
      </c>
      <c r="E7883" s="5" t="s">
        <v>391</v>
      </c>
      <c r="F7883" s="9" t="s">
        <v>588</v>
      </c>
      <c r="G7883" s="9" t="s">
        <v>117</v>
      </c>
      <c r="H7883" s="5" t="s">
        <v>21</v>
      </c>
      <c r="I7883" s="5" t="s">
        <v>18928</v>
      </c>
      <c r="J7883" s="12" t="str">
        <f>HYPERLINK("https://www.boe.es/gazeta/dias/1808/09/27/pdfs/GMD-C-1808-128.pdf#page=1","Abrir facsímil")</f>
        <v>Abrir facsímil</v>
      </c>
      <c r="K7883" s="15" t="s">
        <v>23</v>
      </c>
    </row>
    <row r="7884" spans="1:11" ht="42" customHeight="1">
      <c r="A7884" s="4" t="s">
        <v>18929</v>
      </c>
      <c r="B7884" s="5" t="s">
        <v>18930</v>
      </c>
      <c r="C7884" s="5" t="s">
        <v>94</v>
      </c>
      <c r="D7884" s="5" t="s">
        <v>95</v>
      </c>
      <c r="E7884" s="5" t="s">
        <v>115</v>
      </c>
      <c r="F7884" s="9" t="s">
        <v>1650</v>
      </c>
      <c r="G7884" s="9">
        <v>1177</v>
      </c>
      <c r="H7884" s="5" t="s">
        <v>21</v>
      </c>
      <c r="I7884" s="5" t="s">
        <v>18931</v>
      </c>
      <c r="J7884" s="12" t="str">
        <f>HYPERLINK("https://www.boe.es/gazeta/dias/1808/09/16/pdfs/GMD-1808-125.pdf#page=9","Abrir facsímil")</f>
        <v>Abrir facsímil</v>
      </c>
      <c r="K7884" s="15" t="s">
        <v>23</v>
      </c>
    </row>
    <row r="7885" spans="1:11" ht="42" customHeight="1">
      <c r="A7885" s="4" t="s">
        <v>18932</v>
      </c>
      <c r="B7885" s="5" t="s">
        <v>18932</v>
      </c>
      <c r="C7885" s="5" t="s">
        <v>33</v>
      </c>
      <c r="D7885" s="5" t="s">
        <v>34</v>
      </c>
      <c r="E7885" s="5" t="s">
        <v>139</v>
      </c>
      <c r="F7885" s="9" t="s">
        <v>1089</v>
      </c>
      <c r="G7885" s="9" t="s">
        <v>75</v>
      </c>
      <c r="H7885" s="5" t="s">
        <v>21</v>
      </c>
      <c r="I7885" s="5" t="s">
        <v>18933</v>
      </c>
      <c r="J7885" s="12" t="str">
        <f>HYPERLINK("https://www.boe.es/gazeta/dias/1808/09/23/pdfs/GMD-C-1808-127.pdf#page=4","Abrir facsímil")</f>
        <v>Abrir facsímil</v>
      </c>
      <c r="K7885" s="15" t="s">
        <v>23</v>
      </c>
    </row>
    <row r="7886" spans="1:11" ht="42" customHeight="1">
      <c r="A7886" s="4" t="s">
        <v>18934</v>
      </c>
      <c r="B7886" s="5" t="s">
        <v>18935</v>
      </c>
      <c r="C7886" s="5" t="s">
        <v>41</v>
      </c>
      <c r="D7886" s="5" t="s">
        <v>42</v>
      </c>
      <c r="E7886" s="5" t="s">
        <v>54</v>
      </c>
      <c r="F7886" s="9" t="s">
        <v>55</v>
      </c>
      <c r="G7886" s="9">
        <v>1082</v>
      </c>
      <c r="H7886" s="5" t="s">
        <v>21</v>
      </c>
      <c r="I7886" s="5" t="s">
        <v>18936</v>
      </c>
      <c r="J7886" s="12" t="str">
        <f>HYPERLINK("https://www.boe.es/gazeta/dias/1808/08/26/pdfs/GMD-1808-117.pdf#page=4","Abrir facsímil")</f>
        <v>Abrir facsímil</v>
      </c>
      <c r="K7886" s="15" t="s">
        <v>23</v>
      </c>
    </row>
    <row r="7887" spans="1:11" ht="42" customHeight="1">
      <c r="A7887" s="4" t="s">
        <v>18937</v>
      </c>
      <c r="B7887" s="5" t="s">
        <v>18938</v>
      </c>
      <c r="C7887" s="5" t="s">
        <v>41</v>
      </c>
      <c r="D7887" s="5" t="s">
        <v>42</v>
      </c>
      <c r="E7887" s="5" t="s">
        <v>51</v>
      </c>
      <c r="F7887" s="9" t="s">
        <v>52</v>
      </c>
      <c r="G7887" s="9">
        <v>989</v>
      </c>
      <c r="H7887" s="5" t="s">
        <v>21</v>
      </c>
      <c r="I7887" s="5" t="s">
        <v>18939</v>
      </c>
      <c r="J7887" s="12" t="str">
        <f>HYPERLINK("https://www.boe.es/gazeta/dias/1808/08/09/pdfs/GMD-1808-111.pdf#page=5","Abrir facsímil")</f>
        <v>Abrir facsímil</v>
      </c>
      <c r="K7887" s="15" t="s">
        <v>23</v>
      </c>
    </row>
    <row r="7888" spans="1:11" ht="42" customHeight="1">
      <c r="A7888" s="4" t="s">
        <v>18940</v>
      </c>
      <c r="B7888" s="5" t="s">
        <v>18941</v>
      </c>
      <c r="C7888" s="5" t="s">
        <v>17</v>
      </c>
      <c r="D7888" s="5" t="s">
        <v>18</v>
      </c>
      <c r="E7888" s="5" t="s">
        <v>290</v>
      </c>
      <c r="F7888" s="9" t="s">
        <v>3150</v>
      </c>
      <c r="G7888" s="9">
        <v>198</v>
      </c>
      <c r="H7888" s="5" t="s">
        <v>21</v>
      </c>
      <c r="I7888" s="5" t="s">
        <v>18942</v>
      </c>
      <c r="J7888" s="12" t="str">
        <f>HYPERLINK("https://www.boe.es/gazeta/dias/1808/08/23/pdfs/GMS-1808-25.pdf#page=6","Abrir facsímil")</f>
        <v>Abrir facsímil</v>
      </c>
      <c r="K7888" s="15" t="s">
        <v>23</v>
      </c>
    </row>
    <row r="7889" spans="1:11" ht="42" customHeight="1">
      <c r="A7889" s="4" t="s">
        <v>18943</v>
      </c>
      <c r="B7889" s="5" t="s">
        <v>18944</v>
      </c>
      <c r="C7889" s="5" t="s">
        <v>17</v>
      </c>
      <c r="D7889" s="5" t="s">
        <v>18</v>
      </c>
      <c r="E7889" s="5" t="s">
        <v>334</v>
      </c>
      <c r="F7889" s="9" t="s">
        <v>1814</v>
      </c>
      <c r="G7889" s="9">
        <v>1244</v>
      </c>
      <c r="H7889" s="5" t="s">
        <v>21</v>
      </c>
      <c r="I7889" s="5" t="s">
        <v>18945</v>
      </c>
      <c r="J7889" s="12" t="str">
        <f>HYPERLINK("https://www.boe.es/gazeta/dias/1808/10/04/pdfs/GMD-1808-131.pdf#page=12","Abrir facsímil")</f>
        <v>Abrir facsímil</v>
      </c>
      <c r="K7889" s="15" t="s">
        <v>23</v>
      </c>
    </row>
    <row r="7890" spans="1:11" ht="42" customHeight="1">
      <c r="A7890" s="4" t="s">
        <v>18946</v>
      </c>
      <c r="B7890" s="5" t="s">
        <v>18947</v>
      </c>
      <c r="C7890" s="5" t="s">
        <v>33</v>
      </c>
      <c r="D7890" s="5" t="s">
        <v>34</v>
      </c>
      <c r="E7890" s="5" t="s">
        <v>334</v>
      </c>
      <c r="F7890" s="9" t="s">
        <v>335</v>
      </c>
      <c r="G7890" s="9">
        <v>1258</v>
      </c>
      <c r="H7890" s="5" t="s">
        <v>21</v>
      </c>
      <c r="I7890" s="5" t="s">
        <v>18948</v>
      </c>
      <c r="J7890" s="12" t="str">
        <f>HYPERLINK("https://www.boe.es/gazeta/dias/1808/10/04/pdfs/GMD-C-1808-131.pdf#page=10","Abrir facsímil")</f>
        <v>Abrir facsímil</v>
      </c>
      <c r="K7890" s="15" t="s">
        <v>23</v>
      </c>
    </row>
    <row r="7891" spans="1:11" ht="42" customHeight="1">
      <c r="A7891" s="4" t="s">
        <v>18949</v>
      </c>
      <c r="B7891" s="5" t="s">
        <v>18950</v>
      </c>
      <c r="C7891" s="5" t="s">
        <v>101</v>
      </c>
      <c r="D7891" s="5" t="s">
        <v>102</v>
      </c>
      <c r="E7891" s="5" t="s">
        <v>1702</v>
      </c>
      <c r="F7891" s="9" t="s">
        <v>3079</v>
      </c>
      <c r="G7891" s="9">
        <v>791</v>
      </c>
      <c r="H7891" s="5" t="s">
        <v>21</v>
      </c>
      <c r="I7891" s="5" t="s">
        <v>18951</v>
      </c>
      <c r="J7891" s="12" t="str">
        <f>HYPERLINK("https://www.boe.es/gazeta/dias/1808/07/13/pdfs/GMD-1808-85.pdf#page=1","Abrir facsímil")</f>
        <v>Abrir facsímil</v>
      </c>
      <c r="K7891" s="15" t="s">
        <v>23</v>
      </c>
    </row>
    <row r="7892" spans="1:11" ht="42" customHeight="1">
      <c r="A7892" s="4" t="s">
        <v>18952</v>
      </c>
      <c r="B7892" s="5" t="s">
        <v>18953</v>
      </c>
      <c r="C7892" s="5" t="s">
        <v>33</v>
      </c>
      <c r="D7892" s="5" t="s">
        <v>34</v>
      </c>
      <c r="E7892" s="5" t="s">
        <v>125</v>
      </c>
      <c r="F7892" s="9" t="s">
        <v>126</v>
      </c>
      <c r="G7892" s="9" t="s">
        <v>75</v>
      </c>
      <c r="H7892" s="5" t="s">
        <v>21</v>
      </c>
      <c r="I7892" s="5" t="s">
        <v>18954</v>
      </c>
      <c r="J7892" s="12" t="str">
        <f>HYPERLINK("https://www.boe.es/gazeta/dias/1808/10/07/pdfs/GMD-C-1808-132.pdf#page=4","Abrir facsímil")</f>
        <v>Abrir facsímil</v>
      </c>
      <c r="K7892" s="15" t="s">
        <v>23</v>
      </c>
    </row>
    <row r="7893" spans="1:11" ht="42" customHeight="1">
      <c r="A7893" s="4" t="s">
        <v>18955</v>
      </c>
      <c r="B7893" s="5" t="s">
        <v>18955</v>
      </c>
      <c r="C7893" s="5" t="s">
        <v>94</v>
      </c>
      <c r="D7893" s="5" t="s">
        <v>95</v>
      </c>
      <c r="E7893" s="5" t="s">
        <v>663</v>
      </c>
      <c r="F7893" s="9" t="s">
        <v>664</v>
      </c>
      <c r="G7893" s="9">
        <v>209</v>
      </c>
      <c r="H7893" s="5" t="s">
        <v>21</v>
      </c>
      <c r="I7893" s="5" t="s">
        <v>18956</v>
      </c>
      <c r="J7893" s="12" t="str">
        <f>HYPERLINK("https://www.boe.es/gazeta/dias/1808/02/26/pdfs/GMD-1808-17.pdf#page=11","Abrir facsímil")</f>
        <v>Abrir facsímil</v>
      </c>
      <c r="K7893" s="15" t="s">
        <v>23</v>
      </c>
    </row>
    <row r="7894" spans="1:11" ht="42" customHeight="1">
      <c r="A7894" s="4" t="s">
        <v>18957</v>
      </c>
      <c r="B7894" s="5" t="s">
        <v>18957</v>
      </c>
      <c r="C7894" s="5" t="s">
        <v>101</v>
      </c>
      <c r="D7894" s="5" t="s">
        <v>102</v>
      </c>
      <c r="E7894" s="5" t="s">
        <v>3160</v>
      </c>
      <c r="F7894" s="9" t="s">
        <v>3161</v>
      </c>
      <c r="G7894" s="9">
        <v>564</v>
      </c>
      <c r="H7894" s="5" t="s">
        <v>21</v>
      </c>
      <c r="I7894" s="5" t="s">
        <v>18958</v>
      </c>
      <c r="J7894" s="12" t="str">
        <f>HYPERLINK("https://www.boe.es/gazeta/dias/1808/06/14/pdfs/GMD-1808-57.pdf#page=2","Abrir facsímil")</f>
        <v>Abrir facsímil</v>
      </c>
      <c r="K7894" s="15" t="s">
        <v>23</v>
      </c>
    </row>
    <row r="7895" spans="1:11" ht="42" customHeight="1">
      <c r="A7895" s="4" t="s">
        <v>18959</v>
      </c>
      <c r="B7895" s="5" t="s">
        <v>18960</v>
      </c>
      <c r="C7895" s="5" t="s">
        <v>26</v>
      </c>
      <c r="D7895" s="5" t="s">
        <v>27</v>
      </c>
      <c r="E7895" s="5" t="s">
        <v>89</v>
      </c>
      <c r="F7895" s="9" t="s">
        <v>563</v>
      </c>
      <c r="G7895" s="9" t="s">
        <v>117</v>
      </c>
      <c r="H7895" s="5" t="s">
        <v>21</v>
      </c>
      <c r="I7895" s="5" t="s">
        <v>18961</v>
      </c>
      <c r="J7895" s="12" t="str">
        <f>HYPERLINK("https://www.boe.es/gazeta/dias/1808/10/25/pdfs/GMD-D-1808-137.pdf#page=1","Abrir facsímil")</f>
        <v>Abrir facsímil</v>
      </c>
      <c r="K7895" s="15" t="s">
        <v>23</v>
      </c>
    </row>
    <row r="7896" spans="1:11" ht="42" customHeight="1">
      <c r="A7896" s="4" t="s">
        <v>18962</v>
      </c>
      <c r="B7896" s="5" t="s">
        <v>18962</v>
      </c>
      <c r="C7896" s="5" t="s">
        <v>101</v>
      </c>
      <c r="D7896" s="5" t="s">
        <v>102</v>
      </c>
      <c r="E7896" s="5" t="s">
        <v>2204</v>
      </c>
      <c r="F7896" s="9" t="s">
        <v>2285</v>
      </c>
      <c r="G7896" s="9">
        <v>679</v>
      </c>
      <c r="H7896" s="5" t="s">
        <v>21</v>
      </c>
      <c r="I7896" s="5" t="s">
        <v>18963</v>
      </c>
      <c r="J7896" s="12" t="str">
        <f>HYPERLINK("https://www.boe.es/gazeta/dias/1808/06/29/pdfs/GMD-1808-71.pdf#page=1","Abrir facsímil")</f>
        <v>Abrir facsímil</v>
      </c>
      <c r="K7896" s="15" t="s">
        <v>23</v>
      </c>
    </row>
    <row r="7897" spans="1:11" ht="42" customHeight="1">
      <c r="A7897" s="4" t="s">
        <v>18964</v>
      </c>
      <c r="B7897" s="5" t="s">
        <v>18964</v>
      </c>
      <c r="C7897" s="5" t="s">
        <v>94</v>
      </c>
      <c r="D7897" s="5" t="s">
        <v>95</v>
      </c>
      <c r="E7897" s="5" t="s">
        <v>1385</v>
      </c>
      <c r="F7897" s="9" t="s">
        <v>1386</v>
      </c>
      <c r="G7897" s="9">
        <v>227</v>
      </c>
      <c r="H7897" s="5" t="s">
        <v>21</v>
      </c>
      <c r="I7897" s="5" t="s">
        <v>18965</v>
      </c>
      <c r="J7897" s="12" t="str">
        <f>HYPERLINK("https://www.boe.es/gazeta/dias/1808/03/04/pdfs/GMD-1808-19.pdf#page=5","Abrir facsímil")</f>
        <v>Abrir facsímil</v>
      </c>
      <c r="K7897" s="15" t="s">
        <v>23</v>
      </c>
    </row>
    <row r="7898" spans="1:11" ht="42" customHeight="1">
      <c r="A7898" s="4" t="s">
        <v>18966</v>
      </c>
      <c r="B7898" s="5" t="s">
        <v>18967</v>
      </c>
      <c r="C7898" s="5" t="s">
        <v>17</v>
      </c>
      <c r="D7898" s="5" t="s">
        <v>18</v>
      </c>
      <c r="E7898" s="5" t="s">
        <v>513</v>
      </c>
      <c r="F7898" s="9" t="s">
        <v>514</v>
      </c>
      <c r="G7898" s="9">
        <v>287</v>
      </c>
      <c r="H7898" s="5" t="s">
        <v>21</v>
      </c>
      <c r="I7898" s="5" t="s">
        <v>18968</v>
      </c>
      <c r="J7898" s="12" t="str">
        <f>HYPERLINK("https://www.boe.es/gazeta/dias/1808/03/22/pdfs/GMD-1808-24.pdf#page=9","Abrir facsímil")</f>
        <v>Abrir facsímil</v>
      </c>
      <c r="K7898" s="15" t="s">
        <v>23</v>
      </c>
    </row>
    <row r="7899" spans="1:11" ht="42" customHeight="1">
      <c r="A7899" s="4" t="s">
        <v>18969</v>
      </c>
      <c r="B7899" s="5" t="s">
        <v>18970</v>
      </c>
      <c r="C7899" s="5" t="s">
        <v>33</v>
      </c>
      <c r="D7899" s="5" t="s">
        <v>34</v>
      </c>
      <c r="E7899" s="5" t="s">
        <v>391</v>
      </c>
      <c r="F7899" s="9" t="s">
        <v>588</v>
      </c>
      <c r="G7899" s="9" t="s">
        <v>75</v>
      </c>
      <c r="H7899" s="5" t="s">
        <v>21</v>
      </c>
      <c r="I7899" s="5" t="s">
        <v>18971</v>
      </c>
      <c r="J7899" s="12" t="str">
        <f>HYPERLINK("https://www.boe.es/gazeta/dias/1808/09/27/pdfs/GMD-C-1808-128.pdf#page=4","Abrir facsímil")</f>
        <v>Abrir facsímil</v>
      </c>
      <c r="K7899" s="15" t="s">
        <v>23</v>
      </c>
    </row>
    <row r="7900" spans="1:11" ht="42" customHeight="1">
      <c r="A7900" s="4" t="s">
        <v>18972</v>
      </c>
      <c r="B7900" s="5" t="s">
        <v>18973</v>
      </c>
      <c r="C7900" s="5" t="s">
        <v>389</v>
      </c>
      <c r="D7900" s="5" t="s">
        <v>390</v>
      </c>
      <c r="E7900" s="5" t="s">
        <v>153</v>
      </c>
      <c r="F7900" s="9" t="s">
        <v>154</v>
      </c>
      <c r="G7900" s="9" t="s">
        <v>117</v>
      </c>
      <c r="H7900" s="5" t="s">
        <v>21</v>
      </c>
      <c r="I7900" s="5" t="s">
        <v>18974</v>
      </c>
      <c r="J7900" s="12" t="str">
        <f>HYPERLINK("https://www.boe.es/gazeta/dias/1808/09/09/pdfs/GMD-C-1808-121.pdf#page=1","Abrir facsímil")</f>
        <v>Abrir facsímil</v>
      </c>
      <c r="K7900" s="15" t="s">
        <v>23</v>
      </c>
    </row>
    <row r="7901" spans="1:11" ht="42" customHeight="1">
      <c r="A7901" s="4" t="s">
        <v>18975</v>
      </c>
      <c r="B7901" s="5" t="s">
        <v>18975</v>
      </c>
      <c r="C7901" s="5" t="s">
        <v>17</v>
      </c>
      <c r="D7901" s="5" t="s">
        <v>18</v>
      </c>
      <c r="E7901" s="5" t="s">
        <v>616</v>
      </c>
      <c r="F7901" s="9" t="s">
        <v>617</v>
      </c>
      <c r="G7901" s="9">
        <v>1042</v>
      </c>
      <c r="H7901" s="5" t="s">
        <v>21</v>
      </c>
      <c r="I7901" s="5" t="s">
        <v>18976</v>
      </c>
      <c r="J7901" s="12" t="str">
        <f>HYPERLINK("https://www.boe.es/gazeta/dias/1808/08/19/pdfs/GMD-1808-115.pdf#page=8","Abrir facsímil")</f>
        <v>Abrir facsímil</v>
      </c>
      <c r="K7901" s="15" t="s">
        <v>23</v>
      </c>
    </row>
    <row r="7902" spans="1:11" ht="42" customHeight="1">
      <c r="A7902" s="4" t="s">
        <v>18977</v>
      </c>
      <c r="B7902" s="5" t="s">
        <v>18977</v>
      </c>
      <c r="C7902" s="5" t="s">
        <v>260</v>
      </c>
      <c r="D7902" s="5" t="s">
        <v>42</v>
      </c>
      <c r="E7902" s="5" t="s">
        <v>558</v>
      </c>
      <c r="F7902" s="9" t="s">
        <v>758</v>
      </c>
      <c r="G7902" s="9" t="s">
        <v>106</v>
      </c>
      <c r="H7902" s="5" t="s">
        <v>21</v>
      </c>
      <c r="I7902" s="5" t="s">
        <v>18978</v>
      </c>
      <c r="J7902" s="12" t="str">
        <f>HYPERLINK("https://www.boe.es/gazeta/dias/1808/11/25/pdfs/GMD-E-1808-147.pdf#page=3","Abrir facsímil")</f>
        <v>Abrir facsímil</v>
      </c>
      <c r="K7902" s="15" t="s">
        <v>23</v>
      </c>
    </row>
    <row r="7903" spans="1:11" ht="42" customHeight="1">
      <c r="A7903" s="4" t="s">
        <v>18979</v>
      </c>
      <c r="B7903" s="5" t="s">
        <v>18979</v>
      </c>
      <c r="C7903" s="5" t="s">
        <v>17</v>
      </c>
      <c r="D7903" s="5" t="s">
        <v>18</v>
      </c>
      <c r="E7903" s="5" t="s">
        <v>197</v>
      </c>
      <c r="F7903" s="9" t="s">
        <v>790</v>
      </c>
      <c r="G7903" s="9">
        <v>1407</v>
      </c>
      <c r="H7903" s="5" t="s">
        <v>21</v>
      </c>
      <c r="I7903" s="5" t="s">
        <v>18980</v>
      </c>
      <c r="J7903" s="12" t="str">
        <f>HYPERLINK("https://www.boe.es/gazeta/dias/1808/11/01/pdfs/GMD-1808-140.pdf#page=9","Abrir facsímil")</f>
        <v>Abrir facsímil</v>
      </c>
      <c r="K7903" s="15" t="s">
        <v>23</v>
      </c>
    </row>
    <row r="7904" spans="1:11" ht="42" customHeight="1">
      <c r="A7904" s="4" t="s">
        <v>18981</v>
      </c>
      <c r="B7904" s="5" t="s">
        <v>18981</v>
      </c>
      <c r="C7904" s="5" t="s">
        <v>41</v>
      </c>
      <c r="D7904" s="5" t="s">
        <v>42</v>
      </c>
      <c r="E7904" s="5" t="s">
        <v>35</v>
      </c>
      <c r="F7904" s="9" t="s">
        <v>36</v>
      </c>
      <c r="G7904" s="9" t="s">
        <v>1806</v>
      </c>
      <c r="H7904" s="5" t="s">
        <v>21</v>
      </c>
      <c r="I7904" s="5" t="s">
        <v>18982</v>
      </c>
      <c r="J7904" s="12" t="str">
        <f>HYPERLINK("https://www.boe.es/gazeta/dias/1808/04/22/pdfs/GMD-C-1808-38.pdf#page=6","Abrir facsímil")</f>
        <v>Abrir facsímil</v>
      </c>
      <c r="K7904" s="15" t="s">
        <v>23</v>
      </c>
    </row>
    <row r="7905" spans="1:11" ht="42" customHeight="1">
      <c r="A7905" s="4" t="s">
        <v>18983</v>
      </c>
      <c r="B7905" s="5" t="s">
        <v>18983</v>
      </c>
      <c r="C7905" s="5" t="s">
        <v>33</v>
      </c>
      <c r="D7905" s="5" t="s">
        <v>34</v>
      </c>
      <c r="E7905" s="5" t="s">
        <v>558</v>
      </c>
      <c r="F7905" s="9" t="s">
        <v>758</v>
      </c>
      <c r="G7905" s="9" t="s">
        <v>75</v>
      </c>
      <c r="H7905" s="5" t="s">
        <v>21</v>
      </c>
      <c r="I7905" s="5" t="s">
        <v>18984</v>
      </c>
      <c r="J7905" s="12" t="str">
        <f>HYPERLINK("https://www.boe.es/gazeta/dias/1808/11/25/pdfs/GMD-E-1808-147.pdf#page=4","Abrir facsímil")</f>
        <v>Abrir facsímil</v>
      </c>
      <c r="K7905" s="15" t="s">
        <v>23</v>
      </c>
    </row>
    <row r="7906" spans="1:11" ht="42" customHeight="1">
      <c r="A7906" s="4" t="s">
        <v>18985</v>
      </c>
      <c r="B7906" s="5" t="s">
        <v>18985</v>
      </c>
      <c r="C7906" s="5" t="s">
        <v>33</v>
      </c>
      <c r="D7906" s="5" t="s">
        <v>34</v>
      </c>
      <c r="E7906" s="5" t="s">
        <v>35</v>
      </c>
      <c r="F7906" s="9" t="s">
        <v>36</v>
      </c>
      <c r="G7906" s="9" t="s">
        <v>299</v>
      </c>
      <c r="H7906" s="5" t="s">
        <v>21</v>
      </c>
      <c r="I7906" s="5" t="s">
        <v>18986</v>
      </c>
      <c r="J7906" s="12" t="str">
        <f>HYPERLINK("https://www.boe.es/gazeta/dias/1808/04/22/pdfs/GMD-C-1808-38.pdf#page=14","Abrir facsímil")</f>
        <v>Abrir facsímil</v>
      </c>
      <c r="K7906" s="15" t="s">
        <v>23</v>
      </c>
    </row>
    <row r="7907" spans="1:11" ht="42" customHeight="1">
      <c r="A7907" s="4" t="s">
        <v>18987</v>
      </c>
      <c r="B7907" s="5" t="s">
        <v>18988</v>
      </c>
      <c r="C7907" s="5" t="s">
        <v>17</v>
      </c>
      <c r="D7907" s="5" t="s">
        <v>18</v>
      </c>
      <c r="E7907" s="5" t="s">
        <v>61</v>
      </c>
      <c r="F7907" s="9" t="s">
        <v>62</v>
      </c>
      <c r="G7907" s="9">
        <v>1286</v>
      </c>
      <c r="H7907" s="5" t="s">
        <v>21</v>
      </c>
      <c r="I7907" s="5" t="s">
        <v>18989</v>
      </c>
      <c r="J7907" s="12" t="str">
        <f>HYPERLINK("https://www.boe.es/gazeta/dias/1808/10/11/pdfs/GMD-1808-133.pdf#page=14","Abrir facsímil")</f>
        <v>Abrir facsímil</v>
      </c>
      <c r="K7907" s="15" t="s">
        <v>23</v>
      </c>
    </row>
    <row r="7908" spans="1:11" ht="42" customHeight="1">
      <c r="A7908" s="4" t="s">
        <v>18990</v>
      </c>
      <c r="B7908" s="5" t="s">
        <v>18990</v>
      </c>
      <c r="C7908" s="5" t="s">
        <v>17</v>
      </c>
      <c r="D7908" s="5" t="s">
        <v>18</v>
      </c>
      <c r="E7908" s="5" t="s">
        <v>115</v>
      </c>
      <c r="F7908" s="9" t="s">
        <v>1650</v>
      </c>
      <c r="G7908" s="9">
        <v>1177</v>
      </c>
      <c r="H7908" s="5" t="s">
        <v>21</v>
      </c>
      <c r="I7908" s="5" t="s">
        <v>18991</v>
      </c>
      <c r="J7908" s="12" t="str">
        <f>HYPERLINK("https://www.boe.es/gazeta/dias/1808/09/16/pdfs/GMD-1808-125.pdf#page=9","Abrir facsímil")</f>
        <v>Abrir facsímil</v>
      </c>
      <c r="K7908" s="15" t="s">
        <v>23</v>
      </c>
    </row>
    <row r="7909" spans="1:11" ht="42" customHeight="1">
      <c r="A7909" s="4" t="s">
        <v>18992</v>
      </c>
      <c r="B7909" s="5" t="s">
        <v>18992</v>
      </c>
      <c r="C7909" s="5" t="s">
        <v>17</v>
      </c>
      <c r="D7909" s="5" t="s">
        <v>18</v>
      </c>
      <c r="E7909" s="5" t="s">
        <v>461</v>
      </c>
      <c r="F7909" s="9" t="s">
        <v>733</v>
      </c>
      <c r="G7909" s="9">
        <v>1447</v>
      </c>
      <c r="H7909" s="5" t="s">
        <v>21</v>
      </c>
      <c r="I7909" s="5" t="s">
        <v>18993</v>
      </c>
      <c r="J7909" s="12" t="str">
        <f>HYPERLINK("https://www.boe.es/gazeta/dias/1808/11/08/pdfs/GMD-1808-142.pdf#page=9","Abrir facsímil")</f>
        <v>Abrir facsímil</v>
      </c>
      <c r="K7909" s="15" t="s">
        <v>23</v>
      </c>
    </row>
    <row r="7910" spans="1:11" ht="42" customHeight="1">
      <c r="A7910" s="4" t="s">
        <v>18994</v>
      </c>
      <c r="B7910" s="5" t="s">
        <v>18994</v>
      </c>
      <c r="C7910" s="5" t="s">
        <v>17</v>
      </c>
      <c r="D7910" s="5" t="s">
        <v>18</v>
      </c>
      <c r="E7910" s="5" t="s">
        <v>61</v>
      </c>
      <c r="F7910" s="9" t="s">
        <v>62</v>
      </c>
      <c r="G7910" s="9">
        <v>1284</v>
      </c>
      <c r="H7910" s="5" t="s">
        <v>21</v>
      </c>
      <c r="I7910" s="5" t="s">
        <v>18995</v>
      </c>
      <c r="J7910" s="12" t="str">
        <f>HYPERLINK("https://www.boe.es/gazeta/dias/1808/10/11/pdfs/GMD-1808-133.pdf#page=12","Abrir facsímil")</f>
        <v>Abrir facsímil</v>
      </c>
      <c r="K7910" s="15" t="s">
        <v>23</v>
      </c>
    </row>
    <row r="7911" spans="1:11" ht="42" customHeight="1">
      <c r="A7911" s="4" t="s">
        <v>18996</v>
      </c>
      <c r="B7911" s="5" t="s">
        <v>18996</v>
      </c>
      <c r="C7911" s="5" t="s">
        <v>17</v>
      </c>
      <c r="D7911" s="5" t="s">
        <v>18</v>
      </c>
      <c r="E7911" s="5" t="s">
        <v>3791</v>
      </c>
      <c r="F7911" s="9" t="s">
        <v>3792</v>
      </c>
      <c r="G7911" s="9">
        <v>618</v>
      </c>
      <c r="H7911" s="5" t="s">
        <v>21</v>
      </c>
      <c r="I7911" s="5" t="s">
        <v>18997</v>
      </c>
      <c r="J7911" s="12" t="str">
        <f>HYPERLINK("https://www.boe.es/gazeta/dias/1808/06/21/pdfs/GMD-1808-63.pdf#page=8","Abrir facsímil")</f>
        <v>Abrir facsímil</v>
      </c>
      <c r="K7911" s="15" t="s">
        <v>23</v>
      </c>
    </row>
    <row r="7912" spans="1:11" ht="42" customHeight="1">
      <c r="A7912" s="4" t="s">
        <v>18998</v>
      </c>
      <c r="B7912" s="5" t="s">
        <v>18998</v>
      </c>
      <c r="C7912" s="5" t="s">
        <v>17</v>
      </c>
      <c r="D7912" s="5" t="s">
        <v>18</v>
      </c>
      <c r="E7912" s="5" t="s">
        <v>242</v>
      </c>
      <c r="F7912" s="9" t="s">
        <v>243</v>
      </c>
      <c r="G7912" s="9">
        <v>9</v>
      </c>
      <c r="H7912" s="5" t="s">
        <v>21</v>
      </c>
      <c r="I7912" s="5" t="s">
        <v>18999</v>
      </c>
      <c r="J7912" s="12" t="str">
        <f>HYPERLINK("https://www.boe.es/gazeta/dias/1808/01/01/pdfs/GMD-1808-1.pdf#page=9","Abrir facsímil")</f>
        <v>Abrir facsímil</v>
      </c>
      <c r="K7912" s="15" t="s">
        <v>23</v>
      </c>
    </row>
    <row r="7913" spans="1:11" ht="42" customHeight="1">
      <c r="A7913" s="4" t="s">
        <v>19000</v>
      </c>
      <c r="B7913" s="5" t="s">
        <v>19000</v>
      </c>
      <c r="C7913" s="5" t="s">
        <v>33</v>
      </c>
      <c r="D7913" s="5" t="s">
        <v>34</v>
      </c>
      <c r="E7913" s="5" t="s">
        <v>35</v>
      </c>
      <c r="F7913" s="9" t="s">
        <v>36</v>
      </c>
      <c r="G7913" s="9" t="s">
        <v>956</v>
      </c>
      <c r="H7913" s="5" t="s">
        <v>21</v>
      </c>
      <c r="I7913" s="5" t="s">
        <v>19001</v>
      </c>
      <c r="J7913" s="12" t="str">
        <f>HYPERLINK("https://www.boe.es/gazeta/dias/1808/04/22/pdfs/GMD-C-1808-38.pdf#page=41","Abrir facsímil")</f>
        <v>Abrir facsímil</v>
      </c>
      <c r="K7913" s="15" t="s">
        <v>23</v>
      </c>
    </row>
    <row r="7914" spans="1:11" ht="42" customHeight="1">
      <c r="A7914" s="4" t="s">
        <v>19002</v>
      </c>
      <c r="B7914" s="5" t="s">
        <v>19002</v>
      </c>
      <c r="C7914" s="5" t="s">
        <v>33</v>
      </c>
      <c r="D7914" s="5" t="s">
        <v>34</v>
      </c>
      <c r="E7914" s="5" t="s">
        <v>35</v>
      </c>
      <c r="F7914" s="9" t="s">
        <v>36</v>
      </c>
      <c r="G7914" s="9" t="s">
        <v>4783</v>
      </c>
      <c r="H7914" s="5" t="s">
        <v>21</v>
      </c>
      <c r="I7914" s="5" t="s">
        <v>19003</v>
      </c>
      <c r="J7914" s="12" t="str">
        <f>HYPERLINK("https://www.boe.es/gazeta/dias/1808/04/22/pdfs/GMD-C-1808-38.pdf#page=36","Abrir facsímil")</f>
        <v>Abrir facsímil</v>
      </c>
      <c r="K7914" s="15" t="s">
        <v>23</v>
      </c>
    </row>
    <row r="7915" spans="1:11" ht="42" customHeight="1">
      <c r="A7915" s="4" t="s">
        <v>19004</v>
      </c>
      <c r="B7915" s="5" t="s">
        <v>19004</v>
      </c>
      <c r="C7915" s="5" t="s">
        <v>94</v>
      </c>
      <c r="D7915" s="5" t="s">
        <v>95</v>
      </c>
      <c r="E7915" s="5" t="s">
        <v>238</v>
      </c>
      <c r="F7915" s="9" t="s">
        <v>239</v>
      </c>
      <c r="G7915" s="9">
        <v>35</v>
      </c>
      <c r="H7915" s="5" t="s">
        <v>21</v>
      </c>
      <c r="I7915" s="5" t="s">
        <v>19005</v>
      </c>
      <c r="J7915" s="12" t="str">
        <f>HYPERLINK("https://www.boe.es/gazeta/dias/1808/01/08/pdfs/GMD-1808-3.pdf#page=11","Abrir facsímil")</f>
        <v>Abrir facsímil</v>
      </c>
      <c r="K7915" s="15" t="s">
        <v>23</v>
      </c>
    </row>
    <row r="7916" spans="1:11" ht="42" customHeight="1">
      <c r="A7916" s="4" t="s">
        <v>19006</v>
      </c>
      <c r="B7916" s="5" t="s">
        <v>19006</v>
      </c>
      <c r="C7916" s="5" t="s">
        <v>41</v>
      </c>
      <c r="D7916" s="5" t="s">
        <v>42</v>
      </c>
      <c r="E7916" s="5" t="s">
        <v>339</v>
      </c>
      <c r="F7916" s="9" t="s">
        <v>340</v>
      </c>
      <c r="G7916" s="9">
        <v>79</v>
      </c>
      <c r="H7916" s="5" t="s">
        <v>21</v>
      </c>
      <c r="I7916" s="5" t="s">
        <v>19007</v>
      </c>
      <c r="J7916" s="12" t="str">
        <f>HYPERLINK("https://www.boe.es/gazeta/dias/1808/01/22/pdfs/GMD-1808-7.pdf#page=7","Abrir facsímil")</f>
        <v>Abrir facsímil</v>
      </c>
      <c r="K7916" s="15" t="s">
        <v>23</v>
      </c>
    </row>
    <row r="7917" spans="1:11" ht="42" customHeight="1">
      <c r="A7917" s="4" t="s">
        <v>19008</v>
      </c>
      <c r="B7917" s="5" t="s">
        <v>19008</v>
      </c>
      <c r="C7917" s="5" t="s">
        <v>94</v>
      </c>
      <c r="D7917" s="5" t="s">
        <v>95</v>
      </c>
      <c r="E7917" s="5" t="s">
        <v>84</v>
      </c>
      <c r="F7917" s="9" t="s">
        <v>85</v>
      </c>
      <c r="G7917" s="9">
        <v>1157</v>
      </c>
      <c r="H7917" s="5" t="s">
        <v>21</v>
      </c>
      <c r="I7917" s="5" t="s">
        <v>19009</v>
      </c>
      <c r="J7917" s="12" t="str">
        <f>HYPERLINK("https://www.boe.es/gazeta/dias/1808/09/13/pdfs/GMD-1808-123.pdf#page=5","Abrir facsímil")</f>
        <v>Abrir facsímil</v>
      </c>
      <c r="K7917" s="15" t="s">
        <v>23</v>
      </c>
    </row>
    <row r="7918" spans="1:11" ht="42" customHeight="1">
      <c r="A7918" s="4" t="s">
        <v>19010</v>
      </c>
      <c r="B7918" s="5" t="s">
        <v>19010</v>
      </c>
      <c r="C7918" s="5" t="s">
        <v>33</v>
      </c>
      <c r="D7918" s="5" t="s">
        <v>34</v>
      </c>
      <c r="E7918" s="5" t="s">
        <v>35</v>
      </c>
      <c r="F7918" s="9" t="s">
        <v>36</v>
      </c>
      <c r="G7918" s="9" t="s">
        <v>1294</v>
      </c>
      <c r="H7918" s="5" t="s">
        <v>21</v>
      </c>
      <c r="I7918" s="5" t="s">
        <v>19011</v>
      </c>
      <c r="J7918" s="12" t="str">
        <f>HYPERLINK("https://www.boe.es/gazeta/dias/1808/04/22/pdfs/GMD-C-1808-38.pdf#page=8","Abrir facsímil")</f>
        <v>Abrir facsímil</v>
      </c>
      <c r="K7918" s="15" t="s">
        <v>23</v>
      </c>
    </row>
    <row r="7919" spans="1:11" ht="42" customHeight="1">
      <c r="A7919" s="4" t="s">
        <v>19012</v>
      </c>
      <c r="B7919" s="5" t="s">
        <v>19012</v>
      </c>
      <c r="C7919" s="5" t="s">
        <v>33</v>
      </c>
      <c r="D7919" s="5" t="s">
        <v>34</v>
      </c>
      <c r="E7919" s="5" t="s">
        <v>19</v>
      </c>
      <c r="F7919" s="9" t="s">
        <v>949</v>
      </c>
      <c r="G7919" s="9" t="s">
        <v>106</v>
      </c>
      <c r="H7919" s="5" t="s">
        <v>21</v>
      </c>
      <c r="I7919" s="5" t="s">
        <v>19013</v>
      </c>
      <c r="J7919" s="12" t="str">
        <f>HYPERLINK("https://www.boe.es/gazeta/dias/1808/09/30/pdfs/GMD-C-1808-130.pdf#page=3","Abrir facsímil")</f>
        <v>Abrir facsímil</v>
      </c>
      <c r="K7919" s="15" t="s">
        <v>23</v>
      </c>
    </row>
    <row r="7920" spans="1:11" ht="42" customHeight="1">
      <c r="A7920" s="4" t="s">
        <v>19014</v>
      </c>
      <c r="B7920" s="5" t="s">
        <v>19014</v>
      </c>
      <c r="C7920" s="5" t="s">
        <v>17</v>
      </c>
      <c r="D7920" s="5" t="s">
        <v>18</v>
      </c>
      <c r="E7920" s="5" t="s">
        <v>28</v>
      </c>
      <c r="F7920" s="9" t="s">
        <v>29</v>
      </c>
      <c r="G7920" s="9">
        <v>1429</v>
      </c>
      <c r="H7920" s="5" t="s">
        <v>21</v>
      </c>
      <c r="I7920" s="5" t="s">
        <v>19015</v>
      </c>
      <c r="J7920" s="12" t="str">
        <f>HYPERLINK("https://www.boe.es/gazeta/dias/1808/11/04/pdfs/GMD-1808-141.pdf#page=11","Abrir facsímil")</f>
        <v>Abrir facsímil</v>
      </c>
      <c r="K7920" s="15" t="s">
        <v>23</v>
      </c>
    </row>
    <row r="7921" spans="1:11" ht="42" customHeight="1">
      <c r="A7921" s="4" t="s">
        <v>19016</v>
      </c>
      <c r="B7921" s="5" t="s">
        <v>19016</v>
      </c>
      <c r="C7921" s="5" t="s">
        <v>17</v>
      </c>
      <c r="D7921" s="5" t="s">
        <v>18</v>
      </c>
      <c r="E7921" s="5" t="s">
        <v>461</v>
      </c>
      <c r="F7921" s="9" t="s">
        <v>733</v>
      </c>
      <c r="G7921" s="9">
        <v>1448</v>
      </c>
      <c r="H7921" s="5" t="s">
        <v>21</v>
      </c>
      <c r="I7921" s="5" t="s">
        <v>19017</v>
      </c>
      <c r="J7921" s="12" t="str">
        <f>HYPERLINK("https://www.boe.es/gazeta/dias/1808/11/08/pdfs/GMD-1808-142.pdf#page=10","Abrir facsímil")</f>
        <v>Abrir facsímil</v>
      </c>
      <c r="K7921" s="15" t="s">
        <v>23</v>
      </c>
    </row>
    <row r="7922" spans="1:11" ht="42" customHeight="1">
      <c r="A7922" s="4" t="s">
        <v>19018</v>
      </c>
      <c r="B7922" s="5" t="s">
        <v>19018</v>
      </c>
      <c r="C7922" s="5" t="s">
        <v>101</v>
      </c>
      <c r="D7922" s="5" t="s">
        <v>102</v>
      </c>
      <c r="E7922" s="5" t="s">
        <v>1415</v>
      </c>
      <c r="F7922" s="9" t="s">
        <v>1416</v>
      </c>
      <c r="G7922" s="9">
        <v>414</v>
      </c>
      <c r="H7922" s="5" t="s">
        <v>21</v>
      </c>
      <c r="I7922" s="5" t="s">
        <v>19019</v>
      </c>
      <c r="J7922" s="12" t="str">
        <f>HYPERLINK("https://www.boe.es/gazeta/dias/1808/04/26/pdfs/GMD-1808-41.pdf#page=6","Abrir facsímil")</f>
        <v>Abrir facsímil</v>
      </c>
      <c r="K7922" s="15" t="s">
        <v>23</v>
      </c>
    </row>
    <row r="7923" spans="1:11" ht="42" customHeight="1">
      <c r="A7923" s="4" t="s">
        <v>19020</v>
      </c>
      <c r="B7923" s="5" t="s">
        <v>19021</v>
      </c>
      <c r="C7923" s="5" t="s">
        <v>94</v>
      </c>
      <c r="D7923" s="5" t="s">
        <v>95</v>
      </c>
      <c r="E7923" s="5" t="s">
        <v>68</v>
      </c>
      <c r="F7923" s="9" t="s">
        <v>849</v>
      </c>
      <c r="G7923" s="9">
        <v>1349</v>
      </c>
      <c r="H7923" s="5" t="s">
        <v>21</v>
      </c>
      <c r="I7923" s="5" t="s">
        <v>19022</v>
      </c>
      <c r="J7923" s="12" t="str">
        <f>HYPERLINK("https://www.boe.es/gazeta/dias/1808/10/21/pdfs/GMD-C-1808-136.pdf#page=9","Abrir facsímil")</f>
        <v>Abrir facsímil</v>
      </c>
      <c r="K7923" s="15" t="s">
        <v>23</v>
      </c>
    </row>
    <row r="7924" spans="1:11" ht="42" customHeight="1">
      <c r="A7924" s="4" t="s">
        <v>19023</v>
      </c>
      <c r="B7924" s="5" t="s">
        <v>19024</v>
      </c>
      <c r="C7924" s="5" t="s">
        <v>33</v>
      </c>
      <c r="D7924" s="5" t="s">
        <v>34</v>
      </c>
      <c r="E7924" s="5" t="s">
        <v>68</v>
      </c>
      <c r="F7924" s="9" t="s">
        <v>309</v>
      </c>
      <c r="G7924" s="9" t="s">
        <v>199</v>
      </c>
      <c r="H7924" s="5" t="s">
        <v>21</v>
      </c>
      <c r="I7924" s="5" t="s">
        <v>19025</v>
      </c>
      <c r="J7924" s="12" t="str">
        <f>HYPERLINK("https://www.boe.es/gazeta/dias/1808/10/21/pdfs/GMD-D-1808-136.pdf#page=2","Abrir facsímil")</f>
        <v>Abrir facsímil</v>
      </c>
      <c r="K7924" s="15" t="s">
        <v>23</v>
      </c>
    </row>
    <row r="7925" spans="1:11" ht="42" customHeight="1">
      <c r="A7925" s="4" t="s">
        <v>19026</v>
      </c>
      <c r="B7925" s="5" t="s">
        <v>19027</v>
      </c>
      <c r="C7925" s="5" t="s">
        <v>94</v>
      </c>
      <c r="D7925" s="5" t="s">
        <v>95</v>
      </c>
      <c r="E7925" s="5" t="s">
        <v>508</v>
      </c>
      <c r="F7925" s="9" t="s">
        <v>1561</v>
      </c>
      <c r="G7925" s="9">
        <v>1027</v>
      </c>
      <c r="H7925" s="5" t="s">
        <v>21</v>
      </c>
      <c r="I7925" s="5" t="s">
        <v>19028</v>
      </c>
      <c r="J7925" s="12" t="str">
        <f>HYPERLINK("https://www.boe.es/gazeta/dias/1808/08/16/pdfs/GMD-C-1808-113.pdf#page=7","Abrir facsímil")</f>
        <v>Abrir facsímil</v>
      </c>
      <c r="K7925" s="15" t="s">
        <v>23</v>
      </c>
    </row>
    <row r="7926" spans="1:11" ht="42" customHeight="1">
      <c r="A7926" s="4" t="s">
        <v>19029</v>
      </c>
      <c r="B7926" s="5" t="s">
        <v>19030</v>
      </c>
      <c r="C7926" s="5" t="s">
        <v>17</v>
      </c>
      <c r="D7926" s="5" t="s">
        <v>18</v>
      </c>
      <c r="E7926" s="5" t="s">
        <v>1258</v>
      </c>
      <c r="F7926" s="9" t="s">
        <v>1259</v>
      </c>
      <c r="G7926" s="9">
        <v>890</v>
      </c>
      <c r="H7926" s="5" t="s">
        <v>21</v>
      </c>
      <c r="I7926" s="5" t="s">
        <v>19031</v>
      </c>
      <c r="J7926" s="12" t="str">
        <f>HYPERLINK("https://www.boe.es/gazeta/dias/1808/07/25/pdfs/GMD-1808-97.pdf#page=4","Abrir facsímil")</f>
        <v>Abrir facsímil</v>
      </c>
      <c r="K7926" s="15" t="s">
        <v>23</v>
      </c>
    </row>
    <row r="7927" spans="1:11" ht="42" customHeight="1">
      <c r="A7927" s="4" t="s">
        <v>19032</v>
      </c>
      <c r="B7927" s="5" t="s">
        <v>19032</v>
      </c>
      <c r="C7927" s="5" t="s">
        <v>101</v>
      </c>
      <c r="D7927" s="5" t="s">
        <v>102</v>
      </c>
      <c r="E7927" s="5" t="s">
        <v>2204</v>
      </c>
      <c r="F7927" s="9" t="s">
        <v>2285</v>
      </c>
      <c r="G7927" s="9">
        <v>679</v>
      </c>
      <c r="H7927" s="5" t="s">
        <v>21</v>
      </c>
      <c r="I7927" s="5" t="s">
        <v>19033</v>
      </c>
      <c r="J7927" s="12" t="str">
        <f>HYPERLINK("https://www.boe.es/gazeta/dias/1808/06/29/pdfs/GMD-1808-71.pdf#page=1","Abrir facsímil")</f>
        <v>Abrir facsímil</v>
      </c>
      <c r="K7927" s="15" t="s">
        <v>23</v>
      </c>
    </row>
    <row r="7928" spans="1:11" ht="42" customHeight="1">
      <c r="A7928" s="4" t="s">
        <v>19034</v>
      </c>
      <c r="B7928" s="5" t="s">
        <v>19034</v>
      </c>
      <c r="C7928" s="5" t="s">
        <v>17</v>
      </c>
      <c r="D7928" s="5" t="s">
        <v>18</v>
      </c>
      <c r="E7928" s="5" t="s">
        <v>2159</v>
      </c>
      <c r="F7928" s="9" t="s">
        <v>2160</v>
      </c>
      <c r="G7928" s="9">
        <v>179</v>
      </c>
      <c r="H7928" s="5" t="s">
        <v>21</v>
      </c>
      <c r="I7928" s="5" t="s">
        <v>19035</v>
      </c>
      <c r="J7928" s="12" t="str">
        <f>HYPERLINK("https://www.boe.es/gazeta/dias/1808/02/19/pdfs/GMD-1808-15.pdf#page=9","Abrir facsímil")</f>
        <v>Abrir facsímil</v>
      </c>
      <c r="K7928" s="15" t="s">
        <v>23</v>
      </c>
    </row>
    <row r="7929" spans="1:11" ht="42" customHeight="1">
      <c r="A7929" s="4" t="s">
        <v>19036</v>
      </c>
      <c r="B7929" s="5" t="s">
        <v>19036</v>
      </c>
      <c r="C7929" s="5" t="s">
        <v>17</v>
      </c>
      <c r="D7929" s="5" t="s">
        <v>18</v>
      </c>
      <c r="E7929" s="5" t="s">
        <v>222</v>
      </c>
      <c r="F7929" s="9" t="s">
        <v>223</v>
      </c>
      <c r="G7929" s="9">
        <v>355</v>
      </c>
      <c r="H7929" s="5" t="s">
        <v>21</v>
      </c>
      <c r="I7929" s="5" t="s">
        <v>19037</v>
      </c>
      <c r="J7929" s="12" t="str">
        <f>HYPERLINK("https://www.boe.es/gazeta/dias/1808/04/08/pdfs/GMD-1808-32.pdf#page=9","Abrir facsímil")</f>
        <v>Abrir facsímil</v>
      </c>
      <c r="K7929" s="15" t="s">
        <v>23</v>
      </c>
    </row>
    <row r="7930" spans="1:11" ht="42" customHeight="1">
      <c r="A7930" s="4" t="s">
        <v>19038</v>
      </c>
      <c r="B7930" s="5" t="s">
        <v>19039</v>
      </c>
      <c r="C7930" s="5" t="s">
        <v>94</v>
      </c>
      <c r="D7930" s="5" t="s">
        <v>95</v>
      </c>
      <c r="E7930" s="5" t="s">
        <v>974</v>
      </c>
      <c r="F7930" s="9" t="s">
        <v>975</v>
      </c>
      <c r="G7930" s="9">
        <v>391</v>
      </c>
      <c r="H7930" s="5" t="s">
        <v>21</v>
      </c>
      <c r="I7930" s="5" t="s">
        <v>19040</v>
      </c>
      <c r="J7930" s="12" t="str">
        <f>HYPERLINK("https://www.boe.es/gazeta/dias/1808/04/19/pdfs/GMD-1808-37.pdf#page=7","Abrir facsímil")</f>
        <v>Abrir facsímil</v>
      </c>
      <c r="K7930" s="15" t="s">
        <v>23</v>
      </c>
    </row>
    <row r="7931" spans="1:11" ht="42" customHeight="1">
      <c r="A7931" s="4" t="s">
        <v>19041</v>
      </c>
      <c r="B7931" s="5" t="s">
        <v>19042</v>
      </c>
      <c r="C7931" s="5" t="s">
        <v>94</v>
      </c>
      <c r="D7931" s="5" t="s">
        <v>95</v>
      </c>
      <c r="E7931" s="5" t="s">
        <v>3216</v>
      </c>
      <c r="F7931" s="9" t="s">
        <v>3217</v>
      </c>
      <c r="G7931" s="9">
        <v>3</v>
      </c>
      <c r="H7931" s="5" t="s">
        <v>21</v>
      </c>
      <c r="I7931" s="5" t="s">
        <v>19043</v>
      </c>
      <c r="J7931" s="12" t="str">
        <f>HYPERLINK("https://www.boe.es/gazeta/dias/1808/06/01/pdfs/GMS-1808-1.pdf#page=3","Abrir facsímil")</f>
        <v>Abrir facsímil</v>
      </c>
      <c r="K7931" s="15" t="s">
        <v>9927</v>
      </c>
    </row>
    <row r="7932" spans="1:11" ht="42" customHeight="1">
      <c r="A7932" s="4" t="s">
        <v>19041</v>
      </c>
      <c r="B7932" s="5" t="s">
        <v>19042</v>
      </c>
      <c r="C7932" s="5" t="s">
        <v>94</v>
      </c>
      <c r="D7932" s="5" t="s">
        <v>95</v>
      </c>
      <c r="E7932" s="5" t="s">
        <v>3216</v>
      </c>
      <c r="F7932" s="9" t="s">
        <v>3217</v>
      </c>
      <c r="G7932" s="9">
        <v>7</v>
      </c>
      <c r="H7932" s="5" t="s">
        <v>21</v>
      </c>
      <c r="I7932" s="5" t="s">
        <v>19044</v>
      </c>
      <c r="J7932" s="12" t="str">
        <f>HYPERLINK("https://www.boe.es/gazeta/dias/1808/06/01/pdfs/GMS-1808-1.pdf#page=7","Abrir facsímil")</f>
        <v>Abrir facsímil</v>
      </c>
      <c r="K7932" s="15" t="s">
        <v>9927</v>
      </c>
    </row>
    <row r="7933" spans="1:11" ht="42" customHeight="1">
      <c r="A7933" s="4" t="s">
        <v>19041</v>
      </c>
      <c r="B7933" s="5" t="s">
        <v>19042</v>
      </c>
      <c r="C7933" s="5" t="s">
        <v>94</v>
      </c>
      <c r="D7933" s="5" t="s">
        <v>95</v>
      </c>
      <c r="E7933" s="5" t="s">
        <v>3216</v>
      </c>
      <c r="F7933" s="9" t="s">
        <v>3217</v>
      </c>
      <c r="G7933" s="9">
        <v>8</v>
      </c>
      <c r="H7933" s="5" t="s">
        <v>21</v>
      </c>
      <c r="I7933" s="5" t="s">
        <v>19045</v>
      </c>
      <c r="J7933" s="12" t="str">
        <f>HYPERLINK("https://www.boe.es/gazeta/dias/1808/06/01/pdfs/GMS-1808-1.pdf#page=8","Abrir facsímil")</f>
        <v>Abrir facsímil</v>
      </c>
      <c r="K7933" s="15" t="s">
        <v>9927</v>
      </c>
    </row>
    <row r="7934" spans="1:11" ht="42" customHeight="1">
      <c r="A7934" s="4" t="s">
        <v>19041</v>
      </c>
      <c r="B7934" s="5" t="s">
        <v>19042</v>
      </c>
      <c r="C7934" s="5" t="s">
        <v>17</v>
      </c>
      <c r="D7934" s="5" t="s">
        <v>18</v>
      </c>
      <c r="E7934" s="5" t="s">
        <v>2849</v>
      </c>
      <c r="F7934" s="9" t="s">
        <v>2850</v>
      </c>
      <c r="G7934" s="9">
        <v>11</v>
      </c>
      <c r="H7934" s="5" t="s">
        <v>21</v>
      </c>
      <c r="I7934" s="5" t="s">
        <v>19046</v>
      </c>
      <c r="J7934" s="12" t="str">
        <f>HYPERLINK("https://www.boe.es/gazeta/dias/1808/06/04/pdfs/GMS-1808-2.pdf#page=3","Abrir facsímil")</f>
        <v>Abrir facsímil</v>
      </c>
      <c r="K7934" s="15" t="s">
        <v>9927</v>
      </c>
    </row>
    <row r="7935" spans="1:11" ht="42" customHeight="1">
      <c r="A7935" s="4" t="s">
        <v>19041</v>
      </c>
      <c r="B7935" s="5" t="s">
        <v>19042</v>
      </c>
      <c r="C7935" s="5" t="s">
        <v>17</v>
      </c>
      <c r="D7935" s="5" t="s">
        <v>18</v>
      </c>
      <c r="E7935" s="5" t="s">
        <v>3235</v>
      </c>
      <c r="F7935" s="9" t="s">
        <v>3236</v>
      </c>
      <c r="G7935" s="9">
        <v>17</v>
      </c>
      <c r="H7935" s="5" t="s">
        <v>21</v>
      </c>
      <c r="I7935" s="5" t="s">
        <v>19047</v>
      </c>
      <c r="J7935" s="12" t="str">
        <f>HYPERLINK("https://www.boe.es/gazeta/dias/1808/06/08/pdfs/GMS-1808-3.pdf#page=1","Abrir facsímil")</f>
        <v>Abrir facsímil</v>
      </c>
      <c r="K7935" s="15" t="s">
        <v>9927</v>
      </c>
    </row>
    <row r="7936" spans="1:11" ht="42" customHeight="1">
      <c r="A7936" s="4" t="s">
        <v>19041</v>
      </c>
      <c r="B7936" s="5" t="s">
        <v>19042</v>
      </c>
      <c r="C7936" s="5" t="s">
        <v>17</v>
      </c>
      <c r="D7936" s="5" t="s">
        <v>18</v>
      </c>
      <c r="E7936" s="5" t="s">
        <v>3235</v>
      </c>
      <c r="F7936" s="9" t="s">
        <v>3236</v>
      </c>
      <c r="G7936" s="9">
        <v>18</v>
      </c>
      <c r="H7936" s="5" t="s">
        <v>21</v>
      </c>
      <c r="I7936" s="5" t="s">
        <v>19048</v>
      </c>
      <c r="J7936" s="12" t="str">
        <f>HYPERLINK("https://www.boe.es/gazeta/dias/1808/06/08/pdfs/GMS-1808-3.pdf#page=2","Abrir facsímil")</f>
        <v>Abrir facsímil</v>
      </c>
      <c r="K7936" s="15" t="s">
        <v>9927</v>
      </c>
    </row>
    <row r="7937" spans="1:11" ht="42" customHeight="1">
      <c r="A7937" s="4" t="s">
        <v>19041</v>
      </c>
      <c r="B7937" s="5" t="s">
        <v>19042</v>
      </c>
      <c r="C7937" s="5" t="s">
        <v>41</v>
      </c>
      <c r="D7937" s="5" t="s">
        <v>42</v>
      </c>
      <c r="E7937" s="5" t="s">
        <v>3235</v>
      </c>
      <c r="F7937" s="9" t="s">
        <v>3236</v>
      </c>
      <c r="G7937" s="9">
        <v>21</v>
      </c>
      <c r="H7937" s="5" t="s">
        <v>21</v>
      </c>
      <c r="I7937" s="5" t="s">
        <v>19049</v>
      </c>
      <c r="J7937" s="12" t="str">
        <f>HYPERLINK("https://www.boe.es/gazeta/dias/1808/06/08/pdfs/GMS-1808-3.pdf#page=5","Abrir facsímil")</f>
        <v>Abrir facsímil</v>
      </c>
      <c r="K7937" s="15" t="s">
        <v>9927</v>
      </c>
    </row>
    <row r="7938" spans="1:11" ht="42" customHeight="1">
      <c r="A7938" s="4" t="s">
        <v>19041</v>
      </c>
      <c r="B7938" s="5" t="s">
        <v>19042</v>
      </c>
      <c r="C7938" s="5" t="s">
        <v>389</v>
      </c>
      <c r="D7938" s="5" t="s">
        <v>390</v>
      </c>
      <c r="E7938" s="5" t="s">
        <v>3235</v>
      </c>
      <c r="F7938" s="9" t="s">
        <v>3236</v>
      </c>
      <c r="G7938" s="9">
        <v>23</v>
      </c>
      <c r="H7938" s="5" t="s">
        <v>21</v>
      </c>
      <c r="I7938" s="5" t="s">
        <v>19050</v>
      </c>
      <c r="J7938" s="12" t="str">
        <f>HYPERLINK("https://www.boe.es/gazeta/dias/1808/06/08/pdfs/GMS-1808-3.pdf#page=7","Abrir facsímil")</f>
        <v>Abrir facsímil</v>
      </c>
      <c r="K7938" s="15" t="s">
        <v>9927</v>
      </c>
    </row>
    <row r="7939" spans="1:11" ht="42" customHeight="1">
      <c r="A7939" s="4" t="s">
        <v>19041</v>
      </c>
      <c r="B7939" s="5" t="s">
        <v>19042</v>
      </c>
      <c r="C7939" s="5" t="s">
        <v>17</v>
      </c>
      <c r="D7939" s="5" t="s">
        <v>18</v>
      </c>
      <c r="E7939" s="5" t="s">
        <v>351</v>
      </c>
      <c r="F7939" s="9" t="s">
        <v>352</v>
      </c>
      <c r="G7939" s="9">
        <v>27</v>
      </c>
      <c r="H7939" s="5" t="s">
        <v>21</v>
      </c>
      <c r="I7939" s="5" t="s">
        <v>19051</v>
      </c>
      <c r="J7939" s="12" t="str">
        <f>HYPERLINK("https://www.boe.es/gazeta/dias/1808/06/11/pdfs/GMS-1808-4.pdf#page=3","Abrir facsímil")</f>
        <v>Abrir facsímil</v>
      </c>
      <c r="K7939" s="15" t="s">
        <v>9927</v>
      </c>
    </row>
    <row r="7940" spans="1:11" ht="42" customHeight="1">
      <c r="A7940" s="4" t="s">
        <v>19041</v>
      </c>
      <c r="B7940" s="5" t="s">
        <v>19042</v>
      </c>
      <c r="C7940" s="5" t="s">
        <v>17</v>
      </c>
      <c r="D7940" s="5" t="s">
        <v>18</v>
      </c>
      <c r="E7940" s="5" t="s">
        <v>351</v>
      </c>
      <c r="F7940" s="9" t="s">
        <v>352</v>
      </c>
      <c r="G7940" s="9">
        <v>31</v>
      </c>
      <c r="H7940" s="5" t="s">
        <v>21</v>
      </c>
      <c r="I7940" s="5" t="s">
        <v>19052</v>
      </c>
      <c r="J7940" s="12" t="str">
        <f>HYPERLINK("https://www.boe.es/gazeta/dias/1808/06/11/pdfs/GMS-1808-4.pdf#page=7","Abrir facsímil")</f>
        <v>Abrir facsímil</v>
      </c>
      <c r="K7940" s="15" t="s">
        <v>9927</v>
      </c>
    </row>
    <row r="7941" spans="1:11" ht="42" customHeight="1">
      <c r="A7941" s="4" t="s">
        <v>19041</v>
      </c>
      <c r="B7941" s="5" t="s">
        <v>19042</v>
      </c>
      <c r="C7941" s="5" t="s">
        <v>94</v>
      </c>
      <c r="D7941" s="5" t="s">
        <v>95</v>
      </c>
      <c r="E7941" s="5" t="s">
        <v>157</v>
      </c>
      <c r="F7941" s="9" t="s">
        <v>158</v>
      </c>
      <c r="G7941" s="9">
        <v>45</v>
      </c>
      <c r="H7941" s="5" t="s">
        <v>21</v>
      </c>
      <c r="I7941" s="5" t="s">
        <v>19053</v>
      </c>
      <c r="J7941" s="12" t="str">
        <f>HYPERLINK("https://www.boe.es/gazeta/dias/1808/06/18/pdfs/GMS-1808-6.pdf#page=5","Abrir facsímil")</f>
        <v>Abrir facsímil</v>
      </c>
      <c r="K7941" s="15" t="s">
        <v>9927</v>
      </c>
    </row>
    <row r="7942" spans="1:11" ht="42" customHeight="1">
      <c r="A7942" s="4" t="s">
        <v>19041</v>
      </c>
      <c r="B7942" s="5" t="s">
        <v>19042</v>
      </c>
      <c r="C7942" s="5" t="s">
        <v>17</v>
      </c>
      <c r="D7942" s="5" t="s">
        <v>18</v>
      </c>
      <c r="E7942" s="5" t="s">
        <v>1821</v>
      </c>
      <c r="F7942" s="9" t="s">
        <v>1822</v>
      </c>
      <c r="G7942" s="9">
        <v>55</v>
      </c>
      <c r="H7942" s="5" t="s">
        <v>21</v>
      </c>
      <c r="I7942" s="5" t="s">
        <v>19054</v>
      </c>
      <c r="J7942" s="12" t="str">
        <f>HYPERLINK("https://www.boe.es/gazeta/dias/1808/06/22/pdfs/GMS-1808-7.pdf#page=7","Abrir facsímil")</f>
        <v>Abrir facsímil</v>
      </c>
      <c r="K7942" s="15" t="s">
        <v>9927</v>
      </c>
    </row>
    <row r="7943" spans="1:11" ht="42" customHeight="1">
      <c r="A7943" s="4" t="s">
        <v>19041</v>
      </c>
      <c r="B7943" s="5" t="s">
        <v>19042</v>
      </c>
      <c r="C7943" s="5" t="s">
        <v>17</v>
      </c>
      <c r="D7943" s="5" t="s">
        <v>18</v>
      </c>
      <c r="E7943" s="5" t="s">
        <v>1182</v>
      </c>
      <c r="F7943" s="9" t="s">
        <v>1183</v>
      </c>
      <c r="G7943" s="9">
        <v>60</v>
      </c>
      <c r="H7943" s="5" t="s">
        <v>21</v>
      </c>
      <c r="I7943" s="5" t="s">
        <v>19055</v>
      </c>
      <c r="J7943" s="12" t="str">
        <f>HYPERLINK("https://www.boe.es/gazeta/dias/1808/06/26/pdfs/GMS-1808-8.pdf#page=4","Abrir facsímil")</f>
        <v>Abrir facsímil</v>
      </c>
      <c r="K7943" s="15" t="s">
        <v>9927</v>
      </c>
    </row>
    <row r="7944" spans="1:11" ht="42" customHeight="1">
      <c r="A7944" s="4" t="s">
        <v>19041</v>
      </c>
      <c r="B7944" s="5" t="s">
        <v>19042</v>
      </c>
      <c r="C7944" s="5" t="s">
        <v>17</v>
      </c>
      <c r="D7944" s="5" t="s">
        <v>18</v>
      </c>
      <c r="E7944" s="5" t="s">
        <v>473</v>
      </c>
      <c r="F7944" s="9" t="s">
        <v>4258</v>
      </c>
      <c r="G7944" s="9">
        <v>74</v>
      </c>
      <c r="H7944" s="5" t="s">
        <v>21</v>
      </c>
      <c r="I7944" s="5" t="s">
        <v>19056</v>
      </c>
      <c r="J7944" s="12" t="str">
        <f>HYPERLINK("https://www.boe.es/gazeta/dias/1808/07/02/pdfs/GMS-1808-10.pdf#page=2","Abrir facsímil")</f>
        <v>Abrir facsímil</v>
      </c>
      <c r="K7944" s="15" t="s">
        <v>9927</v>
      </c>
    </row>
    <row r="7945" spans="1:11" ht="42" customHeight="1">
      <c r="A7945" s="4" t="s">
        <v>19041</v>
      </c>
      <c r="B7945" s="5" t="s">
        <v>19042</v>
      </c>
      <c r="C7945" s="5" t="s">
        <v>94</v>
      </c>
      <c r="D7945" s="5" t="s">
        <v>95</v>
      </c>
      <c r="E7945" s="5" t="s">
        <v>473</v>
      </c>
      <c r="F7945" s="9" t="s">
        <v>4258</v>
      </c>
      <c r="G7945" s="9">
        <v>75</v>
      </c>
      <c r="H7945" s="5" t="s">
        <v>21</v>
      </c>
      <c r="I7945" s="5" t="s">
        <v>19057</v>
      </c>
      <c r="J7945" s="12" t="str">
        <f>HYPERLINK("https://www.boe.es/gazeta/dias/1808/07/02/pdfs/GMS-1808-10.pdf#page=3","Abrir facsímil")</f>
        <v>Abrir facsímil</v>
      </c>
      <c r="K7945" s="15" t="s">
        <v>9927</v>
      </c>
    </row>
    <row r="7946" spans="1:11" ht="42" customHeight="1">
      <c r="A7946" s="4" t="s">
        <v>19041</v>
      </c>
      <c r="B7946" s="5" t="s">
        <v>19042</v>
      </c>
      <c r="C7946" s="5" t="s">
        <v>94</v>
      </c>
      <c r="D7946" s="5" t="s">
        <v>95</v>
      </c>
      <c r="E7946" s="5" t="s">
        <v>473</v>
      </c>
      <c r="F7946" s="9" t="s">
        <v>4258</v>
      </c>
      <c r="G7946" s="9">
        <v>77</v>
      </c>
      <c r="H7946" s="5" t="s">
        <v>21</v>
      </c>
      <c r="I7946" s="5" t="s">
        <v>19058</v>
      </c>
      <c r="J7946" s="12" t="str">
        <f>HYPERLINK("https://www.boe.es/gazeta/dias/1808/07/02/pdfs/GMS-1808-10.pdf#page=5","Abrir facsímil")</f>
        <v>Abrir facsímil</v>
      </c>
      <c r="K7946" s="15" t="s">
        <v>9927</v>
      </c>
    </row>
    <row r="7947" spans="1:11" ht="42" customHeight="1">
      <c r="A7947" s="4" t="s">
        <v>19041</v>
      </c>
      <c r="B7947" s="5" t="s">
        <v>19042</v>
      </c>
      <c r="C7947" s="5" t="s">
        <v>94</v>
      </c>
      <c r="D7947" s="5" t="s">
        <v>95</v>
      </c>
      <c r="E7947" s="5" t="s">
        <v>192</v>
      </c>
      <c r="F7947" s="9" t="s">
        <v>9673</v>
      </c>
      <c r="G7947" s="9">
        <v>94</v>
      </c>
      <c r="H7947" s="5" t="s">
        <v>21</v>
      </c>
      <c r="I7947" s="5" t="s">
        <v>19059</v>
      </c>
      <c r="J7947" s="12" t="str">
        <f>HYPERLINK("https://www.boe.es/gazeta/dias/1808/07/09/pdfs/GMS-1808-12.pdf#page=6","Abrir facsímil")</f>
        <v>Abrir facsímil</v>
      </c>
      <c r="K7947" s="15" t="s">
        <v>9927</v>
      </c>
    </row>
    <row r="7948" spans="1:11" ht="42" customHeight="1">
      <c r="A7948" s="4" t="s">
        <v>19041</v>
      </c>
      <c r="B7948" s="5" t="s">
        <v>19042</v>
      </c>
      <c r="C7948" s="5" t="s">
        <v>94</v>
      </c>
      <c r="D7948" s="5" t="s">
        <v>95</v>
      </c>
      <c r="E7948" s="5" t="s">
        <v>714</v>
      </c>
      <c r="F7948" s="9" t="s">
        <v>715</v>
      </c>
      <c r="G7948" s="9">
        <v>106</v>
      </c>
      <c r="H7948" s="5" t="s">
        <v>21</v>
      </c>
      <c r="I7948" s="5" t="s">
        <v>19060</v>
      </c>
      <c r="J7948" s="12" t="str">
        <f>HYPERLINK("https://www.boe.es/gazeta/dias/1808/07/16/pdfs/GMS-1808-14.pdf#page=2","Abrir facsímil")</f>
        <v>Abrir facsímil</v>
      </c>
      <c r="K7948" s="15" t="s">
        <v>9927</v>
      </c>
    </row>
    <row r="7949" spans="1:11" ht="42" customHeight="1">
      <c r="A7949" s="4" t="s">
        <v>19041</v>
      </c>
      <c r="B7949" s="5" t="s">
        <v>19042</v>
      </c>
      <c r="C7949" s="5" t="s">
        <v>17</v>
      </c>
      <c r="D7949" s="5" t="s">
        <v>18</v>
      </c>
      <c r="E7949" s="5" t="s">
        <v>714</v>
      </c>
      <c r="F7949" s="9" t="s">
        <v>715</v>
      </c>
      <c r="G7949" s="9">
        <v>110</v>
      </c>
      <c r="H7949" s="5" t="s">
        <v>21</v>
      </c>
      <c r="I7949" s="5" t="s">
        <v>19061</v>
      </c>
      <c r="J7949" s="12" t="str">
        <f>HYPERLINK("https://www.boe.es/gazeta/dias/1808/07/16/pdfs/GMS-1808-14.pdf#page=6","Abrir facsímil")</f>
        <v>Abrir facsímil</v>
      </c>
      <c r="K7949" s="15" t="s">
        <v>9927</v>
      </c>
    </row>
    <row r="7950" spans="1:11" ht="42" customHeight="1">
      <c r="A7950" s="4" t="s">
        <v>19041</v>
      </c>
      <c r="B7950" s="5" t="s">
        <v>19042</v>
      </c>
      <c r="C7950" s="5" t="s">
        <v>94</v>
      </c>
      <c r="D7950" s="5" t="s">
        <v>95</v>
      </c>
      <c r="E7950" s="5" t="s">
        <v>2639</v>
      </c>
      <c r="F7950" s="9" t="s">
        <v>2640</v>
      </c>
      <c r="G7950" s="9">
        <v>113</v>
      </c>
      <c r="H7950" s="5" t="s">
        <v>21</v>
      </c>
      <c r="I7950" s="5" t="s">
        <v>19062</v>
      </c>
      <c r="J7950" s="12" t="str">
        <f>HYPERLINK("https://www.boe.es/gazeta/dias/1808/07/20/pdfs/GMS-1808-15.pdf#page=1","Abrir facsímil")</f>
        <v>Abrir facsímil</v>
      </c>
      <c r="K7950" s="15" t="s">
        <v>9927</v>
      </c>
    </row>
    <row r="7951" spans="1:11" ht="42" customHeight="1">
      <c r="A7951" s="4" t="s">
        <v>19041</v>
      </c>
      <c r="B7951" s="5" t="s">
        <v>19042</v>
      </c>
      <c r="C7951" s="5" t="s">
        <v>389</v>
      </c>
      <c r="D7951" s="5" t="s">
        <v>390</v>
      </c>
      <c r="E7951" s="5" t="s">
        <v>2639</v>
      </c>
      <c r="F7951" s="9" t="s">
        <v>2640</v>
      </c>
      <c r="G7951" s="9">
        <v>120</v>
      </c>
      <c r="H7951" s="5" t="s">
        <v>21</v>
      </c>
      <c r="I7951" s="5" t="s">
        <v>19063</v>
      </c>
      <c r="J7951" s="12" t="str">
        <f>HYPERLINK("https://www.boe.es/gazeta/dias/1808/07/20/pdfs/GMS-1808-15.pdf#page=8","Abrir facsímil")</f>
        <v>Abrir facsímil</v>
      </c>
      <c r="K7951" s="15" t="s">
        <v>9927</v>
      </c>
    </row>
    <row r="7952" spans="1:11" ht="42" customHeight="1">
      <c r="A7952" s="4" t="s">
        <v>19041</v>
      </c>
      <c r="B7952" s="5" t="s">
        <v>19042</v>
      </c>
      <c r="C7952" s="5" t="s">
        <v>389</v>
      </c>
      <c r="D7952" s="5" t="s">
        <v>390</v>
      </c>
      <c r="E7952" s="5" t="s">
        <v>51</v>
      </c>
      <c r="F7952" s="9" t="s">
        <v>1366</v>
      </c>
      <c r="G7952" s="9">
        <v>162</v>
      </c>
      <c r="H7952" s="5" t="s">
        <v>21</v>
      </c>
      <c r="I7952" s="5" t="s">
        <v>19064</v>
      </c>
      <c r="J7952" s="12" t="str">
        <f>HYPERLINK("https://www.boe.es/gazeta/dias/1808/08/09/pdfs/GMS-1808-21.pdf#page=2","Abrir facsímil")</f>
        <v>Abrir facsímil</v>
      </c>
      <c r="K7952" s="15" t="s">
        <v>9927</v>
      </c>
    </row>
    <row r="7953" spans="1:11" ht="42" customHeight="1">
      <c r="A7953" s="4" t="s">
        <v>19041</v>
      </c>
      <c r="B7953" s="5" t="s">
        <v>19042</v>
      </c>
      <c r="C7953" s="5" t="s">
        <v>94</v>
      </c>
      <c r="D7953" s="5" t="s">
        <v>95</v>
      </c>
      <c r="E7953" s="5" t="s">
        <v>287</v>
      </c>
      <c r="F7953" s="9" t="s">
        <v>288</v>
      </c>
      <c r="G7953" s="9">
        <v>170</v>
      </c>
      <c r="H7953" s="5" t="s">
        <v>21</v>
      </c>
      <c r="I7953" s="5" t="s">
        <v>19065</v>
      </c>
      <c r="J7953" s="12" t="str">
        <f>HYPERLINK("https://www.boe.es/gazeta/dias/1808/08/12/pdfs/GMS-1808-22.pdf#page=2","Abrir facsímil")</f>
        <v>Abrir facsímil</v>
      </c>
      <c r="K7953" s="15" t="s">
        <v>9927</v>
      </c>
    </row>
    <row r="7954" spans="1:11" ht="42" customHeight="1">
      <c r="A7954" s="4" t="s">
        <v>19041</v>
      </c>
      <c r="B7954" s="5" t="s">
        <v>19042</v>
      </c>
      <c r="C7954" s="5" t="s">
        <v>17</v>
      </c>
      <c r="D7954" s="5" t="s">
        <v>18</v>
      </c>
      <c r="E7954" s="5" t="s">
        <v>508</v>
      </c>
      <c r="F7954" s="9" t="s">
        <v>509</v>
      </c>
      <c r="G7954" s="9">
        <v>1014</v>
      </c>
      <c r="H7954" s="5" t="s">
        <v>21</v>
      </c>
      <c r="I7954" s="5" t="s">
        <v>19066</v>
      </c>
      <c r="J7954" s="12" t="str">
        <f>HYPERLINK("https://www.boe.es/gazeta/dias/1808/08/16/pdfs/GMD-1808-113.pdf#page=6","Abrir facsímil")</f>
        <v>Abrir facsímil</v>
      </c>
      <c r="K7954" s="15" t="s">
        <v>9927</v>
      </c>
    </row>
    <row r="7955" spans="1:11" ht="42" customHeight="1">
      <c r="A7955" s="4" t="s">
        <v>19041</v>
      </c>
      <c r="B7955" s="5" t="s">
        <v>19042</v>
      </c>
      <c r="C7955" s="5" t="s">
        <v>17</v>
      </c>
      <c r="D7955" s="5" t="s">
        <v>18</v>
      </c>
      <c r="E7955" s="5" t="s">
        <v>616</v>
      </c>
      <c r="F7955" s="9" t="s">
        <v>8009</v>
      </c>
      <c r="G7955" s="9">
        <v>189</v>
      </c>
      <c r="H7955" s="5" t="s">
        <v>21</v>
      </c>
      <c r="I7955" s="5" t="s">
        <v>19067</v>
      </c>
      <c r="J7955" s="12" t="str">
        <f>HYPERLINK("https://www.boe.es/gazeta/dias/1808/08/19/pdfs/GMS-1808-24.pdf#page=5","Abrir facsímil")</f>
        <v>Abrir facsímil</v>
      </c>
      <c r="K7955" s="15" t="s">
        <v>9927</v>
      </c>
    </row>
    <row r="7956" spans="1:11" ht="42" customHeight="1">
      <c r="A7956" s="4" t="s">
        <v>19041</v>
      </c>
      <c r="B7956" s="5" t="s">
        <v>19042</v>
      </c>
      <c r="C7956" s="5" t="s">
        <v>41</v>
      </c>
      <c r="D7956" s="5" t="s">
        <v>42</v>
      </c>
      <c r="E7956" s="5" t="s">
        <v>185</v>
      </c>
      <c r="F7956" s="9" t="s">
        <v>6822</v>
      </c>
      <c r="G7956" s="9">
        <v>210</v>
      </c>
      <c r="H7956" s="5" t="s">
        <v>21</v>
      </c>
      <c r="I7956" s="5" t="s">
        <v>19068</v>
      </c>
      <c r="J7956" s="12" t="str">
        <f>HYPERLINK("https://www.boe.es/gazeta/dias/1808/08/30/pdfs/GMS-1808-27.pdf#page=2","Abrir facsímil")</f>
        <v>Abrir facsímil</v>
      </c>
      <c r="K7956" s="15" t="s">
        <v>9927</v>
      </c>
    </row>
    <row r="7957" spans="1:11" ht="42" customHeight="1">
      <c r="A7957" s="4" t="s">
        <v>19041</v>
      </c>
      <c r="B7957" s="5" t="s">
        <v>19042</v>
      </c>
      <c r="C7957" s="5" t="s">
        <v>94</v>
      </c>
      <c r="D7957" s="5" t="s">
        <v>95</v>
      </c>
      <c r="E7957" s="5" t="s">
        <v>418</v>
      </c>
      <c r="F7957" s="9" t="s">
        <v>3832</v>
      </c>
      <c r="G7957" s="9">
        <v>227</v>
      </c>
      <c r="H7957" s="5" t="s">
        <v>21</v>
      </c>
      <c r="I7957" s="5" t="s">
        <v>19069</v>
      </c>
      <c r="J7957" s="12" t="str">
        <f>HYPERLINK("https://www.boe.es/gazeta/dias/1808/09/06/pdfs/GMS-1808-29.pdf#page=3","Abrir facsímil")</f>
        <v>Abrir facsímil</v>
      </c>
      <c r="K7957" s="15" t="s">
        <v>9927</v>
      </c>
    </row>
    <row r="7958" spans="1:11" ht="42" customHeight="1">
      <c r="A7958" s="4" t="s">
        <v>19041</v>
      </c>
      <c r="B7958" s="5" t="s">
        <v>19042</v>
      </c>
      <c r="C7958" s="5" t="s">
        <v>17</v>
      </c>
      <c r="D7958" s="5" t="s">
        <v>18</v>
      </c>
      <c r="E7958" s="5" t="s">
        <v>84</v>
      </c>
      <c r="F7958" s="9" t="s">
        <v>1381</v>
      </c>
      <c r="G7958" s="9">
        <v>247</v>
      </c>
      <c r="H7958" s="5" t="s">
        <v>21</v>
      </c>
      <c r="I7958" s="5" t="s">
        <v>19070</v>
      </c>
      <c r="J7958" s="12" t="str">
        <f>HYPERLINK("https://www.boe.es/gazeta/dias/1808/09/13/pdfs/GMS-1808-31.pdf#page=7","Abrir facsímil")</f>
        <v>Abrir facsímil</v>
      </c>
      <c r="K7958" s="15" t="s">
        <v>9927</v>
      </c>
    </row>
    <row r="7959" spans="1:11" ht="42" customHeight="1">
      <c r="A7959" s="4" t="s">
        <v>19041</v>
      </c>
      <c r="B7959" s="5" t="s">
        <v>19042</v>
      </c>
      <c r="C7959" s="5" t="s">
        <v>17</v>
      </c>
      <c r="D7959" s="5" t="s">
        <v>18</v>
      </c>
      <c r="E7959" s="5" t="s">
        <v>391</v>
      </c>
      <c r="F7959" s="9" t="s">
        <v>454</v>
      </c>
      <c r="G7959" s="9">
        <v>277</v>
      </c>
      <c r="H7959" s="5" t="s">
        <v>21</v>
      </c>
      <c r="I7959" s="5" t="s">
        <v>19071</v>
      </c>
      <c r="J7959" s="12" t="str">
        <f>HYPERLINK("https://www.boe.es/gazeta/dias/1808/09/27/pdfs/GMS-1808-35.pdf#page=5","Abrir facsímil")</f>
        <v>Abrir facsímil</v>
      </c>
      <c r="K7959" s="15" t="s">
        <v>9927</v>
      </c>
    </row>
    <row r="7960" spans="1:11" ht="42" customHeight="1">
      <c r="A7960" s="4" t="s">
        <v>19041</v>
      </c>
      <c r="B7960" s="5" t="s">
        <v>19042</v>
      </c>
      <c r="C7960" s="5" t="s">
        <v>17</v>
      </c>
      <c r="D7960" s="5" t="s">
        <v>18</v>
      </c>
      <c r="E7960" s="5" t="s">
        <v>19</v>
      </c>
      <c r="F7960" s="9" t="s">
        <v>20</v>
      </c>
      <c r="G7960" s="9">
        <v>286</v>
      </c>
      <c r="H7960" s="5" t="s">
        <v>21</v>
      </c>
      <c r="I7960" s="5" t="s">
        <v>19072</v>
      </c>
      <c r="J7960" s="12" t="str">
        <f>HYPERLINK("https://www.boe.es/gazeta/dias/1808/09/30/pdfs/GMS-1808-36.pdf#page=6","Abrir facsímil")</f>
        <v>Abrir facsímil</v>
      </c>
      <c r="K7960" s="15" t="s">
        <v>23</v>
      </c>
    </row>
    <row r="7961" spans="1:11" ht="42" customHeight="1">
      <c r="A7961" s="4" t="s">
        <v>19041</v>
      </c>
      <c r="B7961" s="5" t="s">
        <v>19042</v>
      </c>
      <c r="C7961" s="5" t="s">
        <v>94</v>
      </c>
      <c r="D7961" s="5" t="s">
        <v>95</v>
      </c>
      <c r="E7961" s="5" t="s">
        <v>334</v>
      </c>
      <c r="F7961" s="9" t="s">
        <v>10165</v>
      </c>
      <c r="G7961" s="9">
        <v>295</v>
      </c>
      <c r="H7961" s="5" t="s">
        <v>21</v>
      </c>
      <c r="I7961" s="5" t="s">
        <v>19073</v>
      </c>
      <c r="J7961" s="12" t="str">
        <f>HYPERLINK("https://www.boe.es/gazeta/dias/1808/10/04/pdfs/GMS-1808-37.pdf#page=7","Abrir facsímil")</f>
        <v>Abrir facsímil</v>
      </c>
      <c r="K7961" s="15" t="s">
        <v>9927</v>
      </c>
    </row>
    <row r="7962" spans="1:11" ht="42" customHeight="1">
      <c r="A7962" s="4" t="s">
        <v>19041</v>
      </c>
      <c r="B7962" s="5" t="s">
        <v>19042</v>
      </c>
      <c r="C7962" s="5" t="s">
        <v>94</v>
      </c>
      <c r="D7962" s="5" t="s">
        <v>95</v>
      </c>
      <c r="E7962" s="5" t="s">
        <v>125</v>
      </c>
      <c r="F7962" s="9" t="s">
        <v>347</v>
      </c>
      <c r="G7962" s="9">
        <v>301</v>
      </c>
      <c r="H7962" s="5" t="s">
        <v>21</v>
      </c>
      <c r="I7962" s="5" t="s">
        <v>19074</v>
      </c>
      <c r="J7962" s="12" t="str">
        <f>HYPERLINK("https://www.boe.es/gazeta/dias/1808/10/07/pdfs/GMS-1808-38.pdf#page=5","Abrir facsímil")</f>
        <v>Abrir facsímil</v>
      </c>
      <c r="K7962" s="15" t="s">
        <v>9927</v>
      </c>
    </row>
    <row r="7963" spans="1:11" ht="42" customHeight="1">
      <c r="A7963" s="4" t="s">
        <v>19041</v>
      </c>
      <c r="B7963" s="5" t="s">
        <v>19042</v>
      </c>
      <c r="C7963" s="5" t="s">
        <v>41</v>
      </c>
      <c r="D7963" s="5" t="s">
        <v>42</v>
      </c>
      <c r="E7963" s="5" t="s">
        <v>61</v>
      </c>
      <c r="F7963" s="9" t="s">
        <v>2876</v>
      </c>
      <c r="G7963" s="9">
        <v>309</v>
      </c>
      <c r="H7963" s="5" t="s">
        <v>21</v>
      </c>
      <c r="I7963" s="5" t="s">
        <v>19075</v>
      </c>
      <c r="J7963" s="12" t="str">
        <f>HYPERLINK("https://www.boe.es/gazeta/dias/1808/10/11/pdfs/GMS-1808-39.pdf#page=5","Abrir facsímil")</f>
        <v>Abrir facsímil</v>
      </c>
      <c r="K7963" s="15" t="s">
        <v>9927</v>
      </c>
    </row>
    <row r="7964" spans="1:11" ht="42" customHeight="1">
      <c r="A7964" s="4" t="s">
        <v>19041</v>
      </c>
      <c r="B7964" s="5" t="s">
        <v>19042</v>
      </c>
      <c r="C7964" s="5" t="s">
        <v>17</v>
      </c>
      <c r="D7964" s="5" t="s">
        <v>18</v>
      </c>
      <c r="E7964" s="5" t="s">
        <v>197</v>
      </c>
      <c r="F7964" s="9" t="s">
        <v>857</v>
      </c>
      <c r="G7964" s="9">
        <v>356</v>
      </c>
      <c r="H7964" s="5" t="s">
        <v>21</v>
      </c>
      <c r="I7964" s="5" t="s">
        <v>19076</v>
      </c>
      <c r="J7964" s="12" t="str">
        <f>HYPERLINK("https://www.boe.es/gazeta/dias/1808/11/01/pdfs/GMS-1808-45.pdf#page=4","Abrir facsímil")</f>
        <v>Abrir facsímil</v>
      </c>
      <c r="K7964" s="15" t="s">
        <v>9927</v>
      </c>
    </row>
    <row r="7965" spans="1:11" ht="42" customHeight="1">
      <c r="A7965" s="4" t="s">
        <v>19041</v>
      </c>
      <c r="B7965" s="5" t="s">
        <v>19042</v>
      </c>
      <c r="C7965" s="5" t="s">
        <v>17</v>
      </c>
      <c r="D7965" s="5" t="s">
        <v>18</v>
      </c>
      <c r="E7965" s="5" t="s">
        <v>28</v>
      </c>
      <c r="F7965" s="9" t="s">
        <v>9084</v>
      </c>
      <c r="G7965" s="9">
        <v>363</v>
      </c>
      <c r="H7965" s="5" t="s">
        <v>21</v>
      </c>
      <c r="I7965" s="5" t="s">
        <v>19077</v>
      </c>
      <c r="J7965" s="12" t="str">
        <f>HYPERLINK("https://www.boe.es/gazeta/dias/1808/11/04/pdfs/GMS-1808-46.pdf#page=3","Abrir facsímil")</f>
        <v>Abrir facsímil</v>
      </c>
      <c r="K7965" s="15" t="s">
        <v>9927</v>
      </c>
    </row>
    <row r="7966" spans="1:11" ht="42" customHeight="1">
      <c r="A7966" s="4" t="s">
        <v>19041</v>
      </c>
      <c r="B7966" s="5" t="s">
        <v>19042</v>
      </c>
      <c r="C7966" s="5" t="s">
        <v>17</v>
      </c>
      <c r="D7966" s="5" t="s">
        <v>18</v>
      </c>
      <c r="E7966" s="5" t="s">
        <v>166</v>
      </c>
      <c r="F7966" s="9" t="s">
        <v>5028</v>
      </c>
      <c r="G7966" s="9">
        <v>396</v>
      </c>
      <c r="H7966" s="5" t="s">
        <v>21</v>
      </c>
      <c r="I7966" s="5" t="s">
        <v>19078</v>
      </c>
      <c r="J7966" s="12" t="str">
        <f>HYPERLINK("https://www.boe.es/gazeta/dias/1808/11/18/pdfs/GMS-1808-50.pdf#page=4","Abrir facsímil")</f>
        <v>Abrir facsímil</v>
      </c>
      <c r="K7966" s="15" t="s">
        <v>9927</v>
      </c>
    </row>
    <row r="7967" spans="1:11" ht="42" customHeight="1">
      <c r="A7967" s="4" t="s">
        <v>19041</v>
      </c>
      <c r="B7967" s="5" t="s">
        <v>19042</v>
      </c>
      <c r="C7967" s="5" t="s">
        <v>17</v>
      </c>
      <c r="D7967" s="5" t="s">
        <v>18</v>
      </c>
      <c r="E7967" s="5" t="s">
        <v>166</v>
      </c>
      <c r="F7967" s="9" t="s">
        <v>5028</v>
      </c>
      <c r="G7967" s="9">
        <v>398</v>
      </c>
      <c r="H7967" s="5" t="s">
        <v>21</v>
      </c>
      <c r="I7967" s="5" t="s">
        <v>19079</v>
      </c>
      <c r="J7967" s="12" t="str">
        <f>HYPERLINK("https://www.boe.es/gazeta/dias/1808/11/18/pdfs/GMS-1808-50.pdf#page=6","Abrir facsímil")</f>
        <v>Abrir facsímil</v>
      </c>
      <c r="K7967" s="15" t="s">
        <v>9927</v>
      </c>
    </row>
    <row r="7968" spans="1:11" ht="42" customHeight="1">
      <c r="A7968" s="4" t="s">
        <v>19041</v>
      </c>
      <c r="B7968" s="5" t="s">
        <v>19042</v>
      </c>
      <c r="C7968" s="5" t="s">
        <v>17</v>
      </c>
      <c r="D7968" s="5" t="s">
        <v>18</v>
      </c>
      <c r="E7968" s="5" t="s">
        <v>558</v>
      </c>
      <c r="F7968" s="9" t="s">
        <v>3837</v>
      </c>
      <c r="G7968" s="9">
        <v>413</v>
      </c>
      <c r="H7968" s="5" t="s">
        <v>21</v>
      </c>
      <c r="I7968" s="5" t="s">
        <v>19080</v>
      </c>
      <c r="J7968" s="12" t="str">
        <f>HYPERLINK("https://www.boe.es/gazeta/dias/1808/11/25/pdfs/GMS-1808-52.pdf#page=5","Abrir facsímil")</f>
        <v>Abrir facsímil</v>
      </c>
      <c r="K7968" s="15" t="s">
        <v>9927</v>
      </c>
    </row>
    <row r="7969" spans="1:11" ht="42" customHeight="1">
      <c r="A7969" s="4" t="s">
        <v>19041</v>
      </c>
      <c r="B7969" s="5" t="s">
        <v>19042</v>
      </c>
      <c r="C7969" s="5" t="s">
        <v>94</v>
      </c>
      <c r="D7969" s="5" t="s">
        <v>95</v>
      </c>
      <c r="E7969" s="5" t="s">
        <v>558</v>
      </c>
      <c r="F7969" s="9" t="s">
        <v>3837</v>
      </c>
      <c r="G7969" s="9">
        <v>415</v>
      </c>
      <c r="H7969" s="5" t="s">
        <v>21</v>
      </c>
      <c r="I7969" s="5" t="s">
        <v>19081</v>
      </c>
      <c r="J7969" s="12" t="str">
        <f>HYPERLINK("https://www.boe.es/gazeta/dias/1808/11/25/pdfs/GMS-1808-52.pdf#page=7","Abrir facsímil")</f>
        <v>Abrir facsímil</v>
      </c>
      <c r="K7969" s="15" t="s">
        <v>9927</v>
      </c>
    </row>
    <row r="7970" spans="1:11" ht="42" customHeight="1">
      <c r="A7970" s="4" t="s">
        <v>19041</v>
      </c>
      <c r="B7970" s="5" t="s">
        <v>19042</v>
      </c>
      <c r="C7970" s="5" t="s">
        <v>94</v>
      </c>
      <c r="D7970" s="5" t="s">
        <v>95</v>
      </c>
      <c r="E7970" s="5" t="s">
        <v>264</v>
      </c>
      <c r="F7970" s="9" t="s">
        <v>265</v>
      </c>
      <c r="G7970" s="9">
        <v>422</v>
      </c>
      <c r="H7970" s="5" t="s">
        <v>21</v>
      </c>
      <c r="I7970" s="5" t="s">
        <v>19082</v>
      </c>
      <c r="J7970" s="12" t="str">
        <f>HYPERLINK("https://www.boe.es/gazeta/dias/1808/11/29/pdfs/GMS-1808-53.pdf#page=6","Abrir facsímil")</f>
        <v>Abrir facsímil</v>
      </c>
      <c r="K7970" s="15" t="s">
        <v>9927</v>
      </c>
    </row>
    <row r="7971" spans="1:11" ht="42" customHeight="1">
      <c r="A7971" s="4" t="s">
        <v>19041</v>
      </c>
      <c r="B7971" s="5" t="s">
        <v>19042</v>
      </c>
      <c r="C7971" s="5" t="s">
        <v>17</v>
      </c>
      <c r="D7971" s="5" t="s">
        <v>18</v>
      </c>
      <c r="E7971" s="5" t="s">
        <v>2935</v>
      </c>
      <c r="F7971" s="9" t="s">
        <v>2936</v>
      </c>
      <c r="G7971" s="9">
        <v>427</v>
      </c>
      <c r="H7971" s="5" t="s">
        <v>21</v>
      </c>
      <c r="I7971" s="5" t="s">
        <v>19083</v>
      </c>
      <c r="J7971" s="12" t="str">
        <f>HYPERLINK("https://www.boe.es/gazeta/dias/1808/12/02/pdfs/GMS-1808-54.pdf#page=3","Abrir facsímil")</f>
        <v>Abrir facsímil</v>
      </c>
      <c r="K7971" s="15" t="s">
        <v>9927</v>
      </c>
    </row>
    <row r="7972" spans="1:11" ht="42" customHeight="1">
      <c r="A7972" s="4" t="s">
        <v>19041</v>
      </c>
      <c r="B7972" s="5" t="s">
        <v>19042</v>
      </c>
      <c r="C7972" s="5" t="s">
        <v>17</v>
      </c>
      <c r="D7972" s="5" t="s">
        <v>18</v>
      </c>
      <c r="E7972" s="5" t="s">
        <v>2935</v>
      </c>
      <c r="F7972" s="9" t="s">
        <v>2936</v>
      </c>
      <c r="G7972" s="9">
        <v>431</v>
      </c>
      <c r="H7972" s="5" t="s">
        <v>21</v>
      </c>
      <c r="I7972" s="5" t="s">
        <v>19084</v>
      </c>
      <c r="J7972" s="12" t="str">
        <f>HYPERLINK("https://www.boe.es/gazeta/dias/1808/12/02/pdfs/GMS-1808-54.pdf#page=7","Abrir facsímil")</f>
        <v>Abrir facsímil</v>
      </c>
      <c r="K7972" s="15" t="s">
        <v>9927</v>
      </c>
    </row>
    <row r="7973" spans="1:11" ht="42" customHeight="1">
      <c r="A7973" s="4" t="s">
        <v>19041</v>
      </c>
      <c r="B7973" s="5" t="s">
        <v>19042</v>
      </c>
      <c r="C7973" s="5" t="s">
        <v>389</v>
      </c>
      <c r="D7973" s="5" t="s">
        <v>390</v>
      </c>
      <c r="E7973" s="5" t="s">
        <v>8477</v>
      </c>
      <c r="F7973" s="9" t="s">
        <v>8478</v>
      </c>
      <c r="G7973" s="9">
        <v>446</v>
      </c>
      <c r="H7973" s="5" t="s">
        <v>21</v>
      </c>
      <c r="I7973" s="5" t="s">
        <v>19085</v>
      </c>
      <c r="J7973" s="12" t="str">
        <f>HYPERLINK("https://www.boe.es/gazeta/dias/1808/12/09/pdfs/GMS-1808-56.pdf#page=6","Abrir facsímil")</f>
        <v>Abrir facsímil</v>
      </c>
      <c r="K7973" s="15" t="s">
        <v>9927</v>
      </c>
    </row>
    <row r="7974" spans="1:11" ht="42" customHeight="1">
      <c r="A7974" s="4" t="s">
        <v>19041</v>
      </c>
      <c r="B7974" s="5" t="s">
        <v>19042</v>
      </c>
      <c r="C7974" s="5" t="s">
        <v>17</v>
      </c>
      <c r="D7974" s="5" t="s">
        <v>18</v>
      </c>
      <c r="E7974" s="5" t="s">
        <v>8477</v>
      </c>
      <c r="F7974" s="9" t="s">
        <v>8478</v>
      </c>
      <c r="G7974" s="9">
        <v>448</v>
      </c>
      <c r="H7974" s="5" t="s">
        <v>21</v>
      </c>
      <c r="I7974" s="5" t="s">
        <v>19086</v>
      </c>
      <c r="J7974" s="12" t="str">
        <f>HYPERLINK("https://www.boe.es/gazeta/dias/1808/12/09/pdfs/GMS-1808-56.pdf#page=8","Abrir facsímil")</f>
        <v>Abrir facsímil</v>
      </c>
      <c r="K7974" s="15" t="s">
        <v>9927</v>
      </c>
    </row>
    <row r="7975" spans="1:11" ht="42" customHeight="1">
      <c r="A7975" s="4" t="s">
        <v>19041</v>
      </c>
      <c r="B7975" s="5" t="s">
        <v>19042</v>
      </c>
      <c r="C7975" s="5" t="s">
        <v>389</v>
      </c>
      <c r="D7975" s="5" t="s">
        <v>390</v>
      </c>
      <c r="E7975" s="5" t="s">
        <v>3951</v>
      </c>
      <c r="F7975" s="9" t="s">
        <v>4218</v>
      </c>
      <c r="G7975" s="9">
        <v>469</v>
      </c>
      <c r="H7975" s="5" t="s">
        <v>21</v>
      </c>
      <c r="I7975" s="5" t="s">
        <v>19087</v>
      </c>
      <c r="J7975" s="12" t="str">
        <f>HYPERLINK("https://www.boe.es/gazeta/dias/1808/12/20/pdfs/GMS-1808-59.pdf#page=5","Abrir facsímil")</f>
        <v>Abrir facsímil</v>
      </c>
      <c r="K7975" s="15" t="s">
        <v>9927</v>
      </c>
    </row>
    <row r="7976" spans="1:11" ht="42" customHeight="1">
      <c r="A7976" s="4" t="s">
        <v>19088</v>
      </c>
      <c r="B7976" s="5" t="s">
        <v>19088</v>
      </c>
      <c r="C7976" s="5" t="s">
        <v>101</v>
      </c>
      <c r="D7976" s="5" t="s">
        <v>102</v>
      </c>
      <c r="E7976" s="5" t="s">
        <v>1361</v>
      </c>
      <c r="F7976" s="9" t="s">
        <v>1362</v>
      </c>
      <c r="G7976" s="9">
        <v>465</v>
      </c>
      <c r="H7976" s="5" t="s">
        <v>21</v>
      </c>
      <c r="I7976" s="5" t="s">
        <v>19089</v>
      </c>
      <c r="J7976" s="12" t="str">
        <f>HYPERLINK("https://www.boe.es/gazeta/dias/1808/05/17/pdfs/GMD-1808-47.pdf#page=5","Abrir facsímil")</f>
        <v>Abrir facsímil</v>
      </c>
      <c r="K7976" s="15" t="s">
        <v>23</v>
      </c>
    </row>
    <row r="7977" spans="1:11" ht="42" customHeight="1">
      <c r="A7977" s="4" t="s">
        <v>19090</v>
      </c>
      <c r="B7977" s="5" t="s">
        <v>19091</v>
      </c>
      <c r="C7977" s="5" t="s">
        <v>94</v>
      </c>
      <c r="D7977" s="5" t="s">
        <v>95</v>
      </c>
      <c r="E7977" s="5" t="s">
        <v>89</v>
      </c>
      <c r="F7977" s="9" t="s">
        <v>1247</v>
      </c>
      <c r="G7977" s="9">
        <v>1368</v>
      </c>
      <c r="H7977" s="5" t="s">
        <v>21</v>
      </c>
      <c r="I7977" s="5" t="s">
        <v>19092</v>
      </c>
      <c r="J7977" s="12" t="str">
        <f>HYPERLINK("https://www.boe.es/gazeta/dias/1808/10/25/pdfs/GMD-C-1808-137.pdf#page=4","Abrir facsímil")</f>
        <v>Abrir facsímil</v>
      </c>
      <c r="K7977" s="15" t="s">
        <v>23</v>
      </c>
    </row>
    <row r="7978" spans="1:11" ht="42" customHeight="1">
      <c r="A7978" s="4" t="s">
        <v>19093</v>
      </c>
      <c r="B7978" s="5" t="s">
        <v>19093</v>
      </c>
      <c r="C7978" s="5" t="s">
        <v>101</v>
      </c>
      <c r="D7978" s="5" t="s">
        <v>102</v>
      </c>
      <c r="E7978" s="5" t="s">
        <v>218</v>
      </c>
      <c r="F7978" s="9" t="s">
        <v>219</v>
      </c>
      <c r="G7978" s="9">
        <v>327</v>
      </c>
      <c r="H7978" s="5" t="s">
        <v>21</v>
      </c>
      <c r="I7978" s="5" t="s">
        <v>19094</v>
      </c>
      <c r="J7978" s="12" t="str">
        <f>HYPERLINK("https://www.boe.es/gazeta/dias/1808/04/01/pdfs/GMD-1808-29.pdf#page=3","Abrir facsímil")</f>
        <v>Abrir facsímil</v>
      </c>
      <c r="K7978" s="15" t="s">
        <v>23</v>
      </c>
    </row>
    <row r="7979" spans="1:11" ht="42" customHeight="1">
      <c r="A7979" s="4" t="s">
        <v>19095</v>
      </c>
      <c r="B7979" s="5" t="s">
        <v>19096</v>
      </c>
      <c r="C7979" s="5" t="s">
        <v>41</v>
      </c>
      <c r="D7979" s="5" t="s">
        <v>42</v>
      </c>
      <c r="E7979" s="5" t="s">
        <v>153</v>
      </c>
      <c r="F7979" s="9" t="s">
        <v>154</v>
      </c>
      <c r="G7979" s="9" t="s">
        <v>117</v>
      </c>
      <c r="H7979" s="5" t="s">
        <v>21</v>
      </c>
      <c r="I7979" s="5" t="s">
        <v>19097</v>
      </c>
      <c r="J7979" s="12" t="str">
        <f>HYPERLINK("https://www.boe.es/gazeta/dias/1808/09/09/pdfs/GMD-C-1808-121.pdf#page=1","Abrir facsímil")</f>
        <v>Abrir facsímil</v>
      </c>
      <c r="K7979" s="15" t="s">
        <v>23</v>
      </c>
    </row>
    <row r="7980" spans="1:11" ht="42" customHeight="1">
      <c r="A7980" s="4" t="s">
        <v>19098</v>
      </c>
      <c r="B7980" s="5" t="s">
        <v>19099</v>
      </c>
      <c r="C7980" s="5" t="s">
        <v>17</v>
      </c>
      <c r="D7980" s="5" t="s">
        <v>18</v>
      </c>
      <c r="E7980" s="5" t="s">
        <v>68</v>
      </c>
      <c r="F7980" s="9" t="s">
        <v>69</v>
      </c>
      <c r="G7980" s="9">
        <v>1335</v>
      </c>
      <c r="H7980" s="5" t="s">
        <v>21</v>
      </c>
      <c r="I7980" s="5" t="s">
        <v>19100</v>
      </c>
      <c r="J7980" s="12" t="str">
        <f>HYPERLINK("https://www.boe.es/gazeta/dias/1808/10/21/pdfs/GMD-1808-136.pdf#page=7","Abrir facsímil")</f>
        <v>Abrir facsímil</v>
      </c>
      <c r="K7980" s="15" t="s">
        <v>23</v>
      </c>
    </row>
    <row r="7981" spans="1:11" ht="42" customHeight="1">
      <c r="A7981" s="4" t="s">
        <v>19101</v>
      </c>
      <c r="B7981" s="5" t="s">
        <v>19102</v>
      </c>
      <c r="C7981" s="5" t="s">
        <v>33</v>
      </c>
      <c r="D7981" s="5" t="s">
        <v>34</v>
      </c>
      <c r="E7981" s="5" t="s">
        <v>35</v>
      </c>
      <c r="F7981" s="9" t="s">
        <v>36</v>
      </c>
      <c r="G7981" s="9" t="s">
        <v>1128</v>
      </c>
      <c r="H7981" s="5" t="s">
        <v>21</v>
      </c>
      <c r="I7981" s="5" t="s">
        <v>19103</v>
      </c>
      <c r="J7981" s="12" t="str">
        <f>HYPERLINK("https://www.boe.es/gazeta/dias/1808/04/22/pdfs/GMD-C-1808-38.pdf#page=11","Abrir facsímil")</f>
        <v>Abrir facsímil</v>
      </c>
      <c r="K7981" s="15" t="s">
        <v>23</v>
      </c>
    </row>
    <row r="7982" spans="1:11" ht="42" customHeight="1">
      <c r="A7982" s="4" t="s">
        <v>19104</v>
      </c>
      <c r="B7982" s="5" t="s">
        <v>19105</v>
      </c>
      <c r="C7982" s="5" t="s">
        <v>94</v>
      </c>
      <c r="D7982" s="5" t="s">
        <v>95</v>
      </c>
      <c r="E7982" s="5" t="s">
        <v>3485</v>
      </c>
      <c r="F7982" s="9" t="s">
        <v>3486</v>
      </c>
      <c r="G7982" s="9">
        <v>702</v>
      </c>
      <c r="H7982" s="5" t="s">
        <v>21</v>
      </c>
      <c r="I7982" s="5" t="s">
        <v>19106</v>
      </c>
      <c r="J7982" s="12" t="str">
        <f>HYPERLINK("https://www.boe.es/gazeta/dias/1808/07/01/pdfs/GMD-1808-73.pdf#page=8","Abrir facsímil")</f>
        <v>Abrir facsímil</v>
      </c>
      <c r="K7982" s="15" t="s">
        <v>23</v>
      </c>
    </row>
    <row r="7983" spans="1:11" ht="42" customHeight="1">
      <c r="A7983" s="4" t="s">
        <v>19107</v>
      </c>
      <c r="B7983" s="5" t="s">
        <v>19108</v>
      </c>
      <c r="C7983" s="5" t="s">
        <v>33</v>
      </c>
      <c r="D7983" s="5" t="s">
        <v>34</v>
      </c>
      <c r="E7983" s="5" t="s">
        <v>35</v>
      </c>
      <c r="F7983" s="9" t="s">
        <v>36</v>
      </c>
      <c r="G7983" s="9" t="s">
        <v>279</v>
      </c>
      <c r="H7983" s="5" t="s">
        <v>21</v>
      </c>
      <c r="I7983" s="5" t="s">
        <v>19109</v>
      </c>
      <c r="J7983" s="12" t="str">
        <f>HYPERLINK("https://www.boe.es/gazeta/dias/1808/04/22/pdfs/GMD-C-1808-38.pdf#page=44","Abrir facsímil")</f>
        <v>Abrir facsímil</v>
      </c>
      <c r="K7983" s="15" t="s">
        <v>23</v>
      </c>
    </row>
    <row r="7984" spans="1:11" ht="42" customHeight="1">
      <c r="A7984" s="4" t="s">
        <v>19110</v>
      </c>
      <c r="B7984" s="5" t="s">
        <v>19111</v>
      </c>
      <c r="C7984" s="5" t="s">
        <v>17</v>
      </c>
      <c r="D7984" s="5" t="s">
        <v>18</v>
      </c>
      <c r="E7984" s="5" t="s">
        <v>68</v>
      </c>
      <c r="F7984" s="9" t="s">
        <v>69</v>
      </c>
      <c r="G7984" s="9">
        <v>1337</v>
      </c>
      <c r="H7984" s="5" t="s">
        <v>21</v>
      </c>
      <c r="I7984" s="5" t="s">
        <v>19112</v>
      </c>
      <c r="J7984" s="12" t="str">
        <f>HYPERLINK("https://www.boe.es/gazeta/dias/1808/10/21/pdfs/GMD-1808-136.pdf#page=9","Abrir facsímil")</f>
        <v>Abrir facsímil</v>
      </c>
      <c r="K7984" s="15" t="s">
        <v>23</v>
      </c>
    </row>
    <row r="7985" spans="1:11" ht="42" customHeight="1">
      <c r="A7985" s="4" t="s">
        <v>19113</v>
      </c>
      <c r="B7985" s="5" t="s">
        <v>19114</v>
      </c>
      <c r="C7985" s="5" t="s">
        <v>33</v>
      </c>
      <c r="D7985" s="5" t="s">
        <v>34</v>
      </c>
      <c r="E7985" s="5" t="s">
        <v>89</v>
      </c>
      <c r="F7985" s="9" t="s">
        <v>1247</v>
      </c>
      <c r="G7985" s="9">
        <v>1365</v>
      </c>
      <c r="H7985" s="5" t="s">
        <v>21</v>
      </c>
      <c r="I7985" s="5" t="s">
        <v>19115</v>
      </c>
      <c r="J7985" s="12" t="str">
        <f>HYPERLINK("https://www.boe.es/gazeta/dias/1808/10/25/pdfs/GMD-C-1808-137.pdf#page=1","Abrir facsímil")</f>
        <v>Abrir facsímil</v>
      </c>
      <c r="K7985" s="15" t="s">
        <v>23</v>
      </c>
    </row>
    <row r="7986" spans="1:11" ht="42" customHeight="1">
      <c r="A7986" s="4" t="s">
        <v>19116</v>
      </c>
      <c r="B7986" s="5" t="s">
        <v>19117</v>
      </c>
      <c r="C7986" s="5" t="s">
        <v>642</v>
      </c>
      <c r="D7986" s="5" t="s">
        <v>643</v>
      </c>
      <c r="E7986" s="5" t="s">
        <v>7774</v>
      </c>
      <c r="F7986" s="9" t="s">
        <v>7775</v>
      </c>
      <c r="G7986" s="9">
        <v>1396</v>
      </c>
      <c r="H7986" s="5" t="s">
        <v>21</v>
      </c>
      <c r="I7986" s="5" t="s">
        <v>19118</v>
      </c>
      <c r="J7986" s="12" t="str">
        <f>HYPERLINK("https://www.boe.es/gazeta/dias/1808/10/30/pdfs/GMD-1808-139E.pdf#page=2","Abrir facsímil")</f>
        <v>Abrir facsímil</v>
      </c>
      <c r="K7986" s="15" t="s">
        <v>23</v>
      </c>
    </row>
    <row r="7987" spans="1:11" ht="42" customHeight="1">
      <c r="A7987" s="4" t="s">
        <v>19119</v>
      </c>
      <c r="B7987" s="5" t="s">
        <v>19120</v>
      </c>
      <c r="C7987" s="5" t="s">
        <v>41</v>
      </c>
      <c r="D7987" s="5" t="s">
        <v>42</v>
      </c>
      <c r="E7987" s="5" t="s">
        <v>125</v>
      </c>
      <c r="F7987" s="9" t="s">
        <v>126</v>
      </c>
      <c r="G7987" s="9" t="s">
        <v>106</v>
      </c>
      <c r="H7987" s="5" t="s">
        <v>21</v>
      </c>
      <c r="I7987" s="5" t="s">
        <v>19121</v>
      </c>
      <c r="J7987" s="12" t="str">
        <f>HYPERLINK("https://www.boe.es/gazeta/dias/1808/10/07/pdfs/GMD-C-1808-132.pdf#page=3","Abrir facsímil")</f>
        <v>Abrir facsímil</v>
      </c>
      <c r="K7987" s="15" t="s">
        <v>23</v>
      </c>
    </row>
    <row r="7988" spans="1:11" ht="42" customHeight="1">
      <c r="A7988" s="4" t="s">
        <v>19122</v>
      </c>
      <c r="B7988" s="5" t="s">
        <v>19123</v>
      </c>
      <c r="C7988" s="5" t="s">
        <v>41</v>
      </c>
      <c r="D7988" s="5" t="s">
        <v>42</v>
      </c>
      <c r="E7988" s="5" t="s">
        <v>35</v>
      </c>
      <c r="F7988" s="9" t="s">
        <v>36</v>
      </c>
      <c r="G7988" s="9" t="s">
        <v>277</v>
      </c>
      <c r="H7988" s="5" t="s">
        <v>21</v>
      </c>
      <c r="I7988" s="5" t="s">
        <v>19124</v>
      </c>
      <c r="J7988" s="12" t="str">
        <f>HYPERLINK("https://www.boe.es/gazeta/dias/1808/04/22/pdfs/GMD-C-1808-38.pdf#page=34","Abrir facsímil")</f>
        <v>Abrir facsímil</v>
      </c>
      <c r="K7988" s="15" t="s">
        <v>23</v>
      </c>
    </row>
    <row r="7989" spans="1:11" ht="42" customHeight="1">
      <c r="A7989" s="4" t="s">
        <v>19125</v>
      </c>
      <c r="B7989" s="5" t="s">
        <v>19126</v>
      </c>
      <c r="C7989" s="5" t="s">
        <v>642</v>
      </c>
      <c r="D7989" s="5" t="s">
        <v>643</v>
      </c>
      <c r="E7989" s="5" t="s">
        <v>644</v>
      </c>
      <c r="F7989" s="9" t="s">
        <v>645</v>
      </c>
      <c r="G7989" s="9">
        <v>320</v>
      </c>
      <c r="H7989" s="5" t="s">
        <v>21</v>
      </c>
      <c r="I7989" s="5" t="s">
        <v>19127</v>
      </c>
      <c r="J7989" s="12" t="str">
        <f>HYPERLINK("https://www.boe.es/gazeta/dias/1808/03/31/pdfs/GMD-1808-28E.pdf#page=4","Abrir facsímil")</f>
        <v>Abrir facsímil</v>
      </c>
      <c r="K7989" s="15" t="s">
        <v>23</v>
      </c>
    </row>
    <row r="7990" spans="1:11" ht="42" customHeight="1">
      <c r="A7990" s="4" t="s">
        <v>19125</v>
      </c>
      <c r="B7990" s="5" t="s">
        <v>19126</v>
      </c>
      <c r="C7990" s="5" t="s">
        <v>642</v>
      </c>
      <c r="D7990" s="5" t="s">
        <v>643</v>
      </c>
      <c r="E7990" s="5" t="s">
        <v>644</v>
      </c>
      <c r="F7990" s="9" t="s">
        <v>645</v>
      </c>
      <c r="G7990" s="9">
        <v>321</v>
      </c>
      <c r="H7990" s="5" t="s">
        <v>21</v>
      </c>
      <c r="I7990" s="5" t="s">
        <v>19128</v>
      </c>
      <c r="J7990" s="12" t="str">
        <f>HYPERLINK("https://www.boe.es/gazeta/dias/1808/03/31/pdfs/GMD-1808-28E.pdf#page=5","Abrir facsímil")</f>
        <v>Abrir facsímil</v>
      </c>
      <c r="K7990" s="15" t="s">
        <v>23</v>
      </c>
    </row>
    <row r="7991" spans="1:11" ht="42" customHeight="1">
      <c r="A7991" s="4" t="s">
        <v>19125</v>
      </c>
      <c r="B7991" s="5" t="s">
        <v>19126</v>
      </c>
      <c r="C7991" s="5" t="s">
        <v>17</v>
      </c>
      <c r="D7991" s="5" t="s">
        <v>18</v>
      </c>
      <c r="E7991" s="5" t="s">
        <v>616</v>
      </c>
      <c r="F7991" s="9" t="s">
        <v>617</v>
      </c>
      <c r="G7991" s="9">
        <v>1041</v>
      </c>
      <c r="H7991" s="5" t="s">
        <v>21</v>
      </c>
      <c r="I7991" s="5" t="s">
        <v>19129</v>
      </c>
      <c r="J7991" s="12" t="str">
        <f>HYPERLINK("https://www.boe.es/gazeta/dias/1808/08/19/pdfs/GMD-1808-115.pdf#page=7","Abrir facsímil")</f>
        <v>Abrir facsímil</v>
      </c>
      <c r="K7991" s="15" t="s">
        <v>23</v>
      </c>
    </row>
    <row r="7992" spans="1:11" ht="42" customHeight="1">
      <c r="A7992" s="4" t="s">
        <v>19130</v>
      </c>
      <c r="B7992" s="5" t="s">
        <v>19131</v>
      </c>
      <c r="C7992" s="5" t="s">
        <v>94</v>
      </c>
      <c r="D7992" s="5" t="s">
        <v>95</v>
      </c>
      <c r="E7992" s="5" t="s">
        <v>28</v>
      </c>
      <c r="F7992" s="9" t="s">
        <v>29</v>
      </c>
      <c r="G7992" s="9">
        <v>1428</v>
      </c>
      <c r="H7992" s="5" t="s">
        <v>21</v>
      </c>
      <c r="I7992" s="5" t="s">
        <v>19132</v>
      </c>
      <c r="J7992" s="12" t="str">
        <f>HYPERLINK("https://www.boe.es/gazeta/dias/1808/11/04/pdfs/GMD-1808-141.pdf#page=10","Abrir facsímil")</f>
        <v>Abrir facsímil</v>
      </c>
      <c r="K7992" s="15" t="s">
        <v>23</v>
      </c>
    </row>
    <row r="7993" spans="1:11" ht="42" customHeight="1">
      <c r="A7993" s="4" t="s">
        <v>19133</v>
      </c>
      <c r="B7993" s="5" t="s">
        <v>19134</v>
      </c>
      <c r="C7993" s="5" t="s">
        <v>33</v>
      </c>
      <c r="D7993" s="5" t="s">
        <v>34</v>
      </c>
      <c r="E7993" s="5" t="s">
        <v>35</v>
      </c>
      <c r="F7993" s="9" t="s">
        <v>36</v>
      </c>
      <c r="G7993" s="9" t="s">
        <v>450</v>
      </c>
      <c r="H7993" s="5" t="s">
        <v>21</v>
      </c>
      <c r="I7993" s="5" t="s">
        <v>19135</v>
      </c>
      <c r="J7993" s="12" t="str">
        <f>HYPERLINK("https://www.boe.es/gazeta/dias/1808/04/22/pdfs/GMD-C-1808-38.pdf#page=45","Abrir facsímil")</f>
        <v>Abrir facsímil</v>
      </c>
      <c r="K7993" s="15" t="s">
        <v>23</v>
      </c>
    </row>
    <row r="7994" spans="1:11" ht="42" customHeight="1">
      <c r="A7994" s="4" t="s">
        <v>19136</v>
      </c>
      <c r="B7994" s="5" t="s">
        <v>19137</v>
      </c>
      <c r="C7994" s="5" t="s">
        <v>33</v>
      </c>
      <c r="D7994" s="5" t="s">
        <v>34</v>
      </c>
      <c r="E7994" s="5" t="s">
        <v>363</v>
      </c>
      <c r="F7994" s="9" t="s">
        <v>364</v>
      </c>
      <c r="G7994" s="9" t="s">
        <v>199</v>
      </c>
      <c r="H7994" s="5" t="s">
        <v>21</v>
      </c>
      <c r="I7994" s="5" t="s">
        <v>19138</v>
      </c>
      <c r="J7994" s="12" t="str">
        <f>HYPERLINK("https://www.boe.es/gazeta/dias/1808/09/20/pdfs/GMD-C-1808-126.pdf#page=2","Abrir facsímil")</f>
        <v>Abrir facsímil</v>
      </c>
      <c r="K7994" s="15" t="s">
        <v>23</v>
      </c>
    </row>
    <row r="7995" spans="1:11" ht="42" customHeight="1">
      <c r="A7995" s="4" t="s">
        <v>19139</v>
      </c>
      <c r="B7995" s="5" t="s">
        <v>19140</v>
      </c>
      <c r="C7995" s="5" t="s">
        <v>33</v>
      </c>
      <c r="D7995" s="5" t="s">
        <v>34</v>
      </c>
      <c r="E7995" s="5" t="s">
        <v>391</v>
      </c>
      <c r="F7995" s="9" t="s">
        <v>588</v>
      </c>
      <c r="G7995" s="9" t="s">
        <v>199</v>
      </c>
      <c r="H7995" s="5" t="s">
        <v>21</v>
      </c>
      <c r="I7995" s="5" t="s">
        <v>19141</v>
      </c>
      <c r="J7995" s="12" t="str">
        <f>HYPERLINK("https://www.boe.es/gazeta/dias/1808/09/27/pdfs/GMD-C-1808-128.pdf#page=2","Abrir facsímil")</f>
        <v>Abrir facsímil</v>
      </c>
      <c r="K7995" s="15" t="s">
        <v>23</v>
      </c>
    </row>
    <row r="7996" spans="1:11" ht="42" customHeight="1">
      <c r="A7996" s="4" t="s">
        <v>19142</v>
      </c>
      <c r="B7996" s="5" t="s">
        <v>19143</v>
      </c>
      <c r="C7996" s="5" t="s">
        <v>41</v>
      </c>
      <c r="D7996" s="5" t="s">
        <v>42</v>
      </c>
      <c r="E7996" s="5" t="s">
        <v>1385</v>
      </c>
      <c r="F7996" s="9" t="s">
        <v>1386</v>
      </c>
      <c r="G7996" s="9">
        <v>231</v>
      </c>
      <c r="H7996" s="5" t="s">
        <v>21</v>
      </c>
      <c r="I7996" s="5" t="s">
        <v>19144</v>
      </c>
      <c r="J7996" s="12" t="str">
        <f>HYPERLINK("https://www.boe.es/gazeta/dias/1808/03/04/pdfs/GMD-1808-19.pdf#page=9","Abrir facsímil")</f>
        <v>Abrir facsímil</v>
      </c>
      <c r="K7996" s="15" t="s">
        <v>23</v>
      </c>
    </row>
    <row r="7997" spans="1:11" ht="42" customHeight="1">
      <c r="A7997" s="4" t="s">
        <v>19145</v>
      </c>
      <c r="B7997" s="5" t="s">
        <v>19146</v>
      </c>
      <c r="C7997" s="5" t="s">
        <v>17</v>
      </c>
      <c r="D7997" s="5" t="s">
        <v>18</v>
      </c>
      <c r="E7997" s="5" t="s">
        <v>68</v>
      </c>
      <c r="F7997" s="9" t="s">
        <v>69</v>
      </c>
      <c r="G7997" s="9">
        <v>1338</v>
      </c>
      <c r="H7997" s="5" t="s">
        <v>21</v>
      </c>
      <c r="I7997" s="5" t="s">
        <v>19147</v>
      </c>
      <c r="J7997" s="12" t="str">
        <f>HYPERLINK("https://www.boe.es/gazeta/dias/1808/10/21/pdfs/GMD-1808-136.pdf#page=10","Abrir facsímil")</f>
        <v>Abrir facsímil</v>
      </c>
      <c r="K7997" s="15" t="s">
        <v>23</v>
      </c>
    </row>
    <row r="7998" spans="1:11" ht="42" customHeight="1">
      <c r="A7998" s="4" t="s">
        <v>19148</v>
      </c>
      <c r="B7998" s="5" t="s">
        <v>19148</v>
      </c>
      <c r="C7998" s="5" t="s">
        <v>389</v>
      </c>
      <c r="D7998" s="5" t="s">
        <v>390</v>
      </c>
      <c r="E7998" s="5" t="s">
        <v>1484</v>
      </c>
      <c r="F7998" s="9" t="s">
        <v>1485</v>
      </c>
      <c r="G7998" s="9">
        <v>677</v>
      </c>
      <c r="H7998" s="5" t="s">
        <v>21</v>
      </c>
      <c r="I7998" s="5" t="s">
        <v>19149</v>
      </c>
      <c r="J7998" s="12" t="str">
        <f>HYPERLINK("https://www.boe.es/gazeta/dias/1808/06/28/pdfs/GMD-1808-70.pdf#page=7","Abrir facsímil")</f>
        <v>Abrir facsímil</v>
      </c>
      <c r="K7998" s="15" t="s">
        <v>23</v>
      </c>
    </row>
    <row r="7999" spans="1:11" ht="42" customHeight="1">
      <c r="A7999" s="4" t="s">
        <v>19150</v>
      </c>
      <c r="B7999" s="5" t="s">
        <v>19151</v>
      </c>
      <c r="C7999" s="5" t="s">
        <v>17</v>
      </c>
      <c r="D7999" s="5" t="s">
        <v>18</v>
      </c>
      <c r="E7999" s="5" t="s">
        <v>89</v>
      </c>
      <c r="F7999" s="9" t="s">
        <v>90</v>
      </c>
      <c r="G7999" s="9">
        <v>1363</v>
      </c>
      <c r="H7999" s="5" t="s">
        <v>21</v>
      </c>
      <c r="I7999" s="5" t="s">
        <v>19152</v>
      </c>
      <c r="J7999" s="12" t="str">
        <f>HYPERLINK("https://www.boe.es/gazeta/dias/1808/10/25/pdfs/GMD-1808-137.pdf#page=11","Abrir facsímil")</f>
        <v>Abrir facsímil</v>
      </c>
      <c r="K7999" s="15" t="s">
        <v>23</v>
      </c>
    </row>
    <row r="8000" spans="1:11" ht="42" customHeight="1">
      <c r="A8000" s="4" t="s">
        <v>19153</v>
      </c>
      <c r="B8000" s="5" t="s">
        <v>19154</v>
      </c>
      <c r="C8000" s="5" t="s">
        <v>33</v>
      </c>
      <c r="D8000" s="5" t="s">
        <v>34</v>
      </c>
      <c r="E8000" s="5" t="s">
        <v>73</v>
      </c>
      <c r="F8000" s="9" t="s">
        <v>74</v>
      </c>
      <c r="G8000" s="9" t="s">
        <v>117</v>
      </c>
      <c r="H8000" s="5" t="s">
        <v>21</v>
      </c>
      <c r="I8000" s="5" t="s">
        <v>19155</v>
      </c>
      <c r="J8000" s="12" t="str">
        <f>HYPERLINK("https://www.boe.es/gazeta/dias/1808/11/11/pdfs/GMD-D-1808-143.pdf#page=1","Abrir facsímil")</f>
        <v>Abrir facsímil</v>
      </c>
      <c r="K8000" s="15" t="s">
        <v>23</v>
      </c>
    </row>
    <row r="8001" spans="1:11" ht="42" customHeight="1">
      <c r="A8001" s="4" t="s">
        <v>19156</v>
      </c>
      <c r="B8001" s="5" t="s">
        <v>19157</v>
      </c>
      <c r="C8001" s="5" t="s">
        <v>41</v>
      </c>
      <c r="D8001" s="5" t="s">
        <v>42</v>
      </c>
      <c r="E8001" s="5" t="s">
        <v>68</v>
      </c>
      <c r="F8001" s="9" t="s">
        <v>309</v>
      </c>
      <c r="G8001" s="9" t="s">
        <v>75</v>
      </c>
      <c r="H8001" s="5" t="s">
        <v>21</v>
      </c>
      <c r="I8001" s="5" t="s">
        <v>19158</v>
      </c>
      <c r="J8001" s="12" t="str">
        <f>HYPERLINK("https://www.boe.es/gazeta/dias/1808/10/21/pdfs/GMD-D-1808-136.pdf#page=4","Abrir facsímil")</f>
        <v>Abrir facsímil</v>
      </c>
      <c r="K8001" s="15" t="s">
        <v>23</v>
      </c>
    </row>
    <row r="8002" spans="1:11" ht="42" customHeight="1">
      <c r="A8002" s="4" t="s">
        <v>19159</v>
      </c>
      <c r="B8002" s="5" t="s">
        <v>19160</v>
      </c>
      <c r="C8002" s="5" t="s">
        <v>17</v>
      </c>
      <c r="D8002" s="5" t="s">
        <v>18</v>
      </c>
      <c r="E8002" s="5" t="s">
        <v>130</v>
      </c>
      <c r="F8002" s="9" t="s">
        <v>131</v>
      </c>
      <c r="G8002" s="9">
        <v>1603</v>
      </c>
      <c r="H8002" s="5" t="s">
        <v>21</v>
      </c>
      <c r="I8002" s="5" t="s">
        <v>19161</v>
      </c>
      <c r="J8002" s="12" t="str">
        <f>HYPERLINK("https://www.boe.es/gazeta/dias/1808/12/15/pdfs/GMD-1808-155.pdf#page=7","Abrir facsímil")</f>
        <v>Abrir facsímil</v>
      </c>
      <c r="K8002" s="15" t="s">
        <v>23</v>
      </c>
    </row>
    <row r="8003" spans="1:11" ht="42" customHeight="1">
      <c r="A8003" s="4" t="s">
        <v>19162</v>
      </c>
      <c r="B8003" s="5" t="s">
        <v>19163</v>
      </c>
      <c r="C8003" s="5" t="s">
        <v>41</v>
      </c>
      <c r="D8003" s="5" t="s">
        <v>42</v>
      </c>
      <c r="E8003" s="5" t="s">
        <v>222</v>
      </c>
      <c r="F8003" s="9" t="s">
        <v>223</v>
      </c>
      <c r="G8003" s="9">
        <v>356</v>
      </c>
      <c r="H8003" s="5" t="s">
        <v>21</v>
      </c>
      <c r="I8003" s="5" t="s">
        <v>19164</v>
      </c>
      <c r="J8003" s="12" t="str">
        <f>HYPERLINK("https://www.boe.es/gazeta/dias/1808/04/08/pdfs/GMD-1808-32.pdf#page=10","Abrir facsímil")</f>
        <v>Abrir facsímil</v>
      </c>
      <c r="K8003" s="15" t="s">
        <v>23</v>
      </c>
    </row>
    <row r="8004" spans="1:11" ht="42" customHeight="1">
      <c r="A8004" s="4" t="s">
        <v>19165</v>
      </c>
      <c r="B8004" s="5" t="s">
        <v>19165</v>
      </c>
      <c r="C8004" s="5" t="s">
        <v>101</v>
      </c>
      <c r="D8004" s="5" t="s">
        <v>102</v>
      </c>
      <c r="E8004" s="5" t="s">
        <v>6961</v>
      </c>
      <c r="F8004" s="9" t="s">
        <v>6962</v>
      </c>
      <c r="G8004" s="9">
        <v>953</v>
      </c>
      <c r="H8004" s="5" t="s">
        <v>21</v>
      </c>
      <c r="I8004" s="5" t="s">
        <v>19166</v>
      </c>
      <c r="J8004" s="12" t="str">
        <f>HYPERLINK("https://www.boe.es/gazeta/dias/1808/08/02/pdfs/GMD-1808-105.pdf#page=3","Abrir facsímil")</f>
        <v>Abrir facsímil</v>
      </c>
      <c r="K8004" s="15" t="s">
        <v>23</v>
      </c>
    </row>
    <row r="8005" spans="1:11" ht="42" customHeight="1">
      <c r="A8005" s="4" t="s">
        <v>19167</v>
      </c>
      <c r="B8005" s="5" t="s">
        <v>19167</v>
      </c>
      <c r="C8005" s="5" t="s">
        <v>17</v>
      </c>
      <c r="D8005" s="5" t="s">
        <v>18</v>
      </c>
      <c r="E8005" s="5" t="s">
        <v>269</v>
      </c>
      <c r="F8005" s="9" t="s">
        <v>270</v>
      </c>
      <c r="G8005" s="9">
        <v>66</v>
      </c>
      <c r="H8005" s="5" t="s">
        <v>21</v>
      </c>
      <c r="I8005" s="5" t="s">
        <v>19168</v>
      </c>
      <c r="J8005" s="12" t="str">
        <f>HYPERLINK("https://www.boe.es/gazeta/dias/1808/01/19/pdfs/GMD-1808-6.pdf#page=6","Abrir facsímil")</f>
        <v>Abrir facsímil</v>
      </c>
      <c r="K8005" s="15" t="s">
        <v>23</v>
      </c>
    </row>
    <row r="8006" spans="1:11" ht="42" customHeight="1">
      <c r="A8006" s="4" t="s">
        <v>19169</v>
      </c>
      <c r="B8006" s="5" t="s">
        <v>19170</v>
      </c>
      <c r="C8006" s="5" t="s">
        <v>94</v>
      </c>
      <c r="D8006" s="5" t="s">
        <v>95</v>
      </c>
      <c r="E8006" s="5" t="s">
        <v>215</v>
      </c>
      <c r="F8006" s="9" t="s">
        <v>216</v>
      </c>
      <c r="G8006" s="9">
        <v>300</v>
      </c>
      <c r="H8006" s="5" t="s">
        <v>21</v>
      </c>
      <c r="I8006" s="5" t="s">
        <v>19171</v>
      </c>
      <c r="J8006" s="12" t="str">
        <f>HYPERLINK("https://www.boe.es/gazeta/dias/1808/03/25/pdfs/GMD-1808-25.pdf#page=10","Abrir facsímil")</f>
        <v>Abrir facsímil</v>
      </c>
      <c r="K8006" s="15" t="s">
        <v>23</v>
      </c>
    </row>
    <row r="8007" spans="1:11" ht="42" customHeight="1">
      <c r="A8007" s="4" t="s">
        <v>19172</v>
      </c>
      <c r="B8007" s="5" t="s">
        <v>19173</v>
      </c>
      <c r="C8007" s="5" t="s">
        <v>17</v>
      </c>
      <c r="D8007" s="5" t="s">
        <v>18</v>
      </c>
      <c r="E8007" s="5" t="s">
        <v>719</v>
      </c>
      <c r="F8007" s="9" t="s">
        <v>1377</v>
      </c>
      <c r="G8007" s="9">
        <v>461</v>
      </c>
      <c r="H8007" s="5" t="s">
        <v>21</v>
      </c>
      <c r="I8007" s="5" t="s">
        <v>19174</v>
      </c>
      <c r="J8007" s="12" t="str">
        <f>HYPERLINK("https://www.boe.es/gazeta/dias/1808/12/16/pdfs/GMS-1808-58.pdf#page=5","Abrir facsímil")</f>
        <v>Abrir facsímil</v>
      </c>
      <c r="K8007" s="15" t="s">
        <v>23</v>
      </c>
    </row>
    <row r="8008" spans="1:11" ht="42" customHeight="1">
      <c r="A8008" s="4" t="s">
        <v>19175</v>
      </c>
      <c r="B8008" s="5" t="s">
        <v>19175</v>
      </c>
      <c r="C8008" s="5" t="s">
        <v>101</v>
      </c>
      <c r="D8008" s="5" t="s">
        <v>102</v>
      </c>
      <c r="E8008" s="5" t="s">
        <v>991</v>
      </c>
      <c r="F8008" s="9" t="s">
        <v>992</v>
      </c>
      <c r="G8008" s="9">
        <v>215</v>
      </c>
      <c r="H8008" s="5" t="s">
        <v>21</v>
      </c>
      <c r="I8008" s="5" t="s">
        <v>19176</v>
      </c>
      <c r="J8008" s="12" t="str">
        <f>HYPERLINK("https://www.boe.es/gazeta/dias/1808/03/01/pdfs/GMD-1808-18.pdf#page=5","Abrir facsímil")</f>
        <v>Abrir facsímil</v>
      </c>
      <c r="K8008" s="15" t="s">
        <v>23</v>
      </c>
    </row>
    <row r="8009" spans="1:11" ht="42" customHeight="1">
      <c r="A8009" s="4" t="s">
        <v>19177</v>
      </c>
      <c r="B8009" s="5" t="s">
        <v>19177</v>
      </c>
      <c r="C8009" s="5" t="s">
        <v>101</v>
      </c>
      <c r="D8009" s="5" t="s">
        <v>102</v>
      </c>
      <c r="E8009" s="5" t="s">
        <v>96</v>
      </c>
      <c r="F8009" s="9" t="s">
        <v>97</v>
      </c>
      <c r="G8009" s="9">
        <v>263</v>
      </c>
      <c r="H8009" s="5" t="s">
        <v>21</v>
      </c>
      <c r="I8009" s="5" t="s">
        <v>19178</v>
      </c>
      <c r="J8009" s="12" t="str">
        <f>HYPERLINK("https://www.boe.es/gazeta/dias/1808/03/15/pdfs/GMD-1808-22.pdf#page=5","Abrir facsímil")</f>
        <v>Abrir facsímil</v>
      </c>
      <c r="K8009" s="15" t="s">
        <v>23</v>
      </c>
    </row>
    <row r="8010" spans="1:11" ht="42" customHeight="1">
      <c r="A8010" s="4" t="s">
        <v>19175</v>
      </c>
      <c r="B8010" s="5" t="s">
        <v>19175</v>
      </c>
      <c r="C8010" s="5" t="s">
        <v>94</v>
      </c>
      <c r="D8010" s="5" t="s">
        <v>95</v>
      </c>
      <c r="E8010" s="5" t="s">
        <v>157</v>
      </c>
      <c r="F8010" s="9" t="s">
        <v>2896</v>
      </c>
      <c r="G8010" s="9">
        <v>590</v>
      </c>
      <c r="H8010" s="5" t="s">
        <v>21</v>
      </c>
      <c r="I8010" s="5" t="s">
        <v>19179</v>
      </c>
      <c r="J8010" s="12" t="str">
        <f>HYPERLINK("https://www.boe.es/gazeta/dias/1808/06/18/pdfs/GMD-1808-60.pdf#page=4","Abrir facsímil")</f>
        <v>Abrir facsímil</v>
      </c>
      <c r="K8010" s="15" t="s">
        <v>23</v>
      </c>
    </row>
    <row r="8011" spans="1:11" ht="42" customHeight="1">
      <c r="A8011" s="4" t="s">
        <v>19180</v>
      </c>
      <c r="B8011" s="5" t="s">
        <v>19181</v>
      </c>
      <c r="C8011" s="5" t="s">
        <v>260</v>
      </c>
      <c r="D8011" s="5" t="s">
        <v>42</v>
      </c>
      <c r="E8011" s="5" t="s">
        <v>3381</v>
      </c>
      <c r="F8011" s="9" t="s">
        <v>3382</v>
      </c>
      <c r="G8011" s="9">
        <v>367</v>
      </c>
      <c r="H8011" s="5" t="s">
        <v>21</v>
      </c>
      <c r="I8011" s="5" t="s">
        <v>19182</v>
      </c>
      <c r="J8011" s="12" t="str">
        <f>HYPERLINK("https://www.boe.es/gazeta/dias/1808/04/12/pdfs/GMD-1808-34.pdf#page=5","Abrir facsímil")</f>
        <v>Abrir facsímil</v>
      </c>
      <c r="K8011" s="15" t="s">
        <v>23</v>
      </c>
    </row>
    <row r="8012" spans="1:11" ht="42" customHeight="1">
      <c r="A8012" s="4" t="s">
        <v>19183</v>
      </c>
      <c r="B8012" s="5" t="s">
        <v>19184</v>
      </c>
      <c r="C8012" s="5" t="s">
        <v>17</v>
      </c>
      <c r="D8012" s="5" t="s">
        <v>18</v>
      </c>
      <c r="E8012" s="5" t="s">
        <v>203</v>
      </c>
      <c r="F8012" s="9" t="s">
        <v>204</v>
      </c>
      <c r="G8012" s="9">
        <v>141</v>
      </c>
      <c r="H8012" s="5" t="s">
        <v>21</v>
      </c>
      <c r="I8012" s="5" t="s">
        <v>19185</v>
      </c>
      <c r="J8012" s="12" t="str">
        <f>HYPERLINK("https://www.boe.es/gazeta/dias/1808/02/09/pdfs/GMD-1808-12.pdf#page=9","Abrir facsímil")</f>
        <v>Abrir facsímil</v>
      </c>
      <c r="K8012" s="15" t="s">
        <v>23</v>
      </c>
    </row>
    <row r="8013" spans="1:11" ht="42" customHeight="1">
      <c r="A8013" s="4" t="s">
        <v>19183</v>
      </c>
      <c r="B8013" s="5" t="s">
        <v>19184</v>
      </c>
      <c r="C8013" s="5" t="s">
        <v>94</v>
      </c>
      <c r="D8013" s="5" t="s">
        <v>95</v>
      </c>
      <c r="E8013" s="5" t="s">
        <v>203</v>
      </c>
      <c r="F8013" s="9" t="s">
        <v>204</v>
      </c>
      <c r="G8013" s="9">
        <v>142</v>
      </c>
      <c r="H8013" s="5" t="s">
        <v>21</v>
      </c>
      <c r="I8013" s="5" t="s">
        <v>19186</v>
      </c>
      <c r="J8013" s="12" t="str">
        <f>HYPERLINK("https://www.boe.es/gazeta/dias/1808/02/09/pdfs/GMD-1808-12.pdf#page=10","Abrir facsímil")</f>
        <v>Abrir facsímil</v>
      </c>
      <c r="K8013" s="15" t="s">
        <v>23</v>
      </c>
    </row>
    <row r="8014" spans="1:11" ht="42" customHeight="1">
      <c r="A8014" s="4" t="s">
        <v>19187</v>
      </c>
      <c r="B8014" s="5" t="s">
        <v>19188</v>
      </c>
      <c r="C8014" s="5" t="s">
        <v>17</v>
      </c>
      <c r="D8014" s="5" t="s">
        <v>18</v>
      </c>
      <c r="E8014" s="5" t="s">
        <v>203</v>
      </c>
      <c r="F8014" s="9" t="s">
        <v>204</v>
      </c>
      <c r="G8014" s="9">
        <v>141</v>
      </c>
      <c r="H8014" s="5" t="s">
        <v>21</v>
      </c>
      <c r="I8014" s="5" t="s">
        <v>19189</v>
      </c>
      <c r="J8014" s="12" t="str">
        <f>HYPERLINK("https://www.boe.es/gazeta/dias/1808/02/09/pdfs/GMD-1808-12.pdf#page=9","Abrir facsímil")</f>
        <v>Abrir facsímil</v>
      </c>
      <c r="K8014" s="15" t="s">
        <v>23</v>
      </c>
    </row>
    <row r="8015" spans="1:11" ht="42" customHeight="1">
      <c r="A8015" s="4" t="s">
        <v>19187</v>
      </c>
      <c r="B8015" s="5" t="s">
        <v>19188</v>
      </c>
      <c r="C8015" s="5" t="s">
        <v>94</v>
      </c>
      <c r="D8015" s="5" t="s">
        <v>95</v>
      </c>
      <c r="E8015" s="5" t="s">
        <v>203</v>
      </c>
      <c r="F8015" s="9" t="s">
        <v>204</v>
      </c>
      <c r="G8015" s="9">
        <v>142</v>
      </c>
      <c r="H8015" s="5" t="s">
        <v>21</v>
      </c>
      <c r="I8015" s="5" t="s">
        <v>19190</v>
      </c>
      <c r="J8015" s="12" t="str">
        <f>HYPERLINK("https://www.boe.es/gazeta/dias/1808/02/09/pdfs/GMD-1808-12.pdf#page=10","Abrir facsímil")</f>
        <v>Abrir facsímil</v>
      </c>
      <c r="K8015" s="15" t="s">
        <v>23</v>
      </c>
    </row>
    <row r="8016" spans="1:11" ht="42" customHeight="1">
      <c r="A8016" s="4" t="s">
        <v>19191</v>
      </c>
      <c r="B8016" s="5" t="s">
        <v>19192</v>
      </c>
      <c r="C8016" s="5" t="s">
        <v>17</v>
      </c>
      <c r="D8016" s="5" t="s">
        <v>18</v>
      </c>
      <c r="E8016" s="5" t="s">
        <v>203</v>
      </c>
      <c r="F8016" s="9" t="s">
        <v>204</v>
      </c>
      <c r="G8016" s="9">
        <v>141</v>
      </c>
      <c r="H8016" s="5" t="s">
        <v>21</v>
      </c>
      <c r="I8016" s="5" t="s">
        <v>19193</v>
      </c>
      <c r="J8016" s="12" t="str">
        <f>HYPERLINK("https://www.boe.es/gazeta/dias/1808/02/09/pdfs/GMD-1808-12.pdf#page=9","Abrir facsímil")</f>
        <v>Abrir facsímil</v>
      </c>
      <c r="K8016" s="15" t="s">
        <v>23</v>
      </c>
    </row>
    <row r="8017" spans="1:11" ht="42" customHeight="1">
      <c r="A8017" s="4" t="s">
        <v>19194</v>
      </c>
      <c r="B8017" s="5" t="s">
        <v>19194</v>
      </c>
      <c r="C8017" s="5" t="s">
        <v>41</v>
      </c>
      <c r="D8017" s="5" t="s">
        <v>42</v>
      </c>
      <c r="E8017" s="5" t="s">
        <v>35</v>
      </c>
      <c r="F8017" s="9" t="s">
        <v>36</v>
      </c>
      <c r="G8017" s="9" t="s">
        <v>956</v>
      </c>
      <c r="H8017" s="5" t="s">
        <v>21</v>
      </c>
      <c r="I8017" s="5" t="s">
        <v>19195</v>
      </c>
      <c r="J8017" s="12" t="str">
        <f>HYPERLINK("https://www.boe.es/gazeta/dias/1808/04/22/pdfs/GMD-C-1808-38.pdf#page=41","Abrir facsímil")</f>
        <v>Abrir facsímil</v>
      </c>
      <c r="K8017" s="15" t="s">
        <v>23</v>
      </c>
    </row>
    <row r="8018" spans="1:11" ht="42" customHeight="1">
      <c r="A8018" s="4" t="s">
        <v>19196</v>
      </c>
      <c r="B8018" s="5" t="s">
        <v>19196</v>
      </c>
      <c r="C8018" s="5" t="s">
        <v>17</v>
      </c>
      <c r="D8018" s="5" t="s">
        <v>18</v>
      </c>
      <c r="E8018" s="5" t="s">
        <v>125</v>
      </c>
      <c r="F8018" s="9" t="s">
        <v>397</v>
      </c>
      <c r="G8018" s="9">
        <v>1270</v>
      </c>
      <c r="H8018" s="5" t="s">
        <v>21</v>
      </c>
      <c r="I8018" s="5" t="s">
        <v>19197</v>
      </c>
      <c r="J8018" s="12" t="str">
        <f>HYPERLINK("https://www.boe.es/gazeta/dias/1808/10/07/pdfs/GMD-1808-132.pdf#page=10","Abrir facsímil")</f>
        <v>Abrir facsímil</v>
      </c>
      <c r="K8018" s="15" t="s">
        <v>23</v>
      </c>
    </row>
    <row r="8019" spans="1:11" ht="42" customHeight="1">
      <c r="A8019" s="4" t="s">
        <v>19198</v>
      </c>
      <c r="B8019" s="5" t="s">
        <v>19199</v>
      </c>
      <c r="C8019" s="5" t="s">
        <v>94</v>
      </c>
      <c r="D8019" s="5" t="s">
        <v>95</v>
      </c>
      <c r="E8019" s="5" t="s">
        <v>3365</v>
      </c>
      <c r="F8019" s="9" t="s">
        <v>7950</v>
      </c>
      <c r="G8019" s="9">
        <v>876</v>
      </c>
      <c r="H8019" s="5" t="s">
        <v>21</v>
      </c>
      <c r="I8019" s="5" t="s">
        <v>19200</v>
      </c>
      <c r="J8019" s="12" t="str">
        <f>HYPERLINK("https://www.boe.es/gazeta/dias/1808/07/23/pdfs/GMD-1808-95.pdf#page=6","Abrir facsímil")</f>
        <v>Abrir facsímil</v>
      </c>
      <c r="K8019" s="15" t="s">
        <v>23</v>
      </c>
    </row>
    <row r="8020" spans="1:11" ht="42" customHeight="1">
      <c r="A8020" s="4" t="s">
        <v>19201</v>
      </c>
      <c r="B8020" s="5" t="s">
        <v>19202</v>
      </c>
      <c r="C8020" s="5" t="s">
        <v>389</v>
      </c>
      <c r="D8020" s="5" t="s">
        <v>390</v>
      </c>
      <c r="E8020" s="5" t="s">
        <v>225</v>
      </c>
      <c r="F8020" s="9" t="s">
        <v>226</v>
      </c>
      <c r="G8020" s="9">
        <v>606</v>
      </c>
      <c r="H8020" s="5" t="s">
        <v>21</v>
      </c>
      <c r="I8020" s="5" t="s">
        <v>19203</v>
      </c>
      <c r="J8020" s="12" t="str">
        <f>HYPERLINK("https://www.boe.es/gazeta/dias/1808/06/20/pdfs/GMD-1808-62.pdf#page=4","Abrir facsímil")</f>
        <v>Abrir facsímil</v>
      </c>
      <c r="K8020" s="15" t="s">
        <v>23</v>
      </c>
    </row>
    <row r="8021" spans="1:11" ht="42" customHeight="1">
      <c r="A8021" s="4" t="s">
        <v>19204</v>
      </c>
      <c r="B8021" s="5" t="s">
        <v>19205</v>
      </c>
      <c r="C8021" s="5" t="s">
        <v>101</v>
      </c>
      <c r="D8021" s="5" t="s">
        <v>102</v>
      </c>
      <c r="E8021" s="5" t="s">
        <v>228</v>
      </c>
      <c r="F8021" s="9" t="s">
        <v>229</v>
      </c>
      <c r="G8021" s="9">
        <v>835</v>
      </c>
      <c r="H8021" s="5" t="s">
        <v>21</v>
      </c>
      <c r="I8021" s="5" t="s">
        <v>19206</v>
      </c>
      <c r="J8021" s="12" t="str">
        <f>HYPERLINK("https://www.boe.es/gazeta/dias/1808/07/18/pdfs/GMD-1808-90.pdf#page=5","Abrir facsímil")</f>
        <v>Abrir facsímil</v>
      </c>
      <c r="K8021" s="15" t="s">
        <v>23</v>
      </c>
    </row>
    <row r="8022" spans="1:11" ht="42" customHeight="1">
      <c r="A8022" s="4" t="s">
        <v>19207</v>
      </c>
      <c r="B8022" s="5" t="s">
        <v>19208</v>
      </c>
      <c r="C8022" s="5" t="s">
        <v>41</v>
      </c>
      <c r="D8022" s="5" t="s">
        <v>42</v>
      </c>
      <c r="E8022" s="5" t="s">
        <v>215</v>
      </c>
      <c r="F8022" s="9" t="s">
        <v>216</v>
      </c>
      <c r="G8022" s="9">
        <v>293</v>
      </c>
      <c r="H8022" s="5" t="s">
        <v>21</v>
      </c>
      <c r="I8022" s="5" t="s">
        <v>19209</v>
      </c>
      <c r="J8022" s="12" t="str">
        <f>HYPERLINK("https://www.boe.es/gazeta/dias/1808/03/25/pdfs/GMD-1808-25.pdf#page=3","Abrir facsímil")</f>
        <v>Abrir facsímil</v>
      </c>
      <c r="K8022" s="15" t="s">
        <v>23</v>
      </c>
    </row>
    <row r="8023" spans="1:11" ht="42" customHeight="1">
      <c r="A8023" s="4" t="s">
        <v>19207</v>
      </c>
      <c r="B8023" s="5" t="s">
        <v>19208</v>
      </c>
      <c r="C8023" s="5" t="s">
        <v>101</v>
      </c>
      <c r="D8023" s="5" t="s">
        <v>102</v>
      </c>
      <c r="E8023" s="5" t="s">
        <v>1676</v>
      </c>
      <c r="F8023" s="9" t="s">
        <v>1677</v>
      </c>
      <c r="G8023" s="9">
        <v>553</v>
      </c>
      <c r="H8023" s="5" t="s">
        <v>21</v>
      </c>
      <c r="I8023" s="5" t="s">
        <v>19210</v>
      </c>
      <c r="J8023" s="12" t="str">
        <f>HYPERLINK("https://www.boe.es/gazeta/dias/1808/06/10/pdfs/GMD-1808-55.pdf#page=7","Abrir facsímil")</f>
        <v>Abrir facsímil</v>
      </c>
      <c r="K8023" s="15" t="s">
        <v>23</v>
      </c>
    </row>
    <row r="8024" spans="1:11" ht="42" customHeight="1">
      <c r="A8024" s="4" t="s">
        <v>19207</v>
      </c>
      <c r="B8024" s="5" t="s">
        <v>19208</v>
      </c>
      <c r="C8024" s="5" t="s">
        <v>389</v>
      </c>
      <c r="D8024" s="5" t="s">
        <v>390</v>
      </c>
      <c r="E8024" s="5" t="s">
        <v>225</v>
      </c>
      <c r="F8024" s="9" t="s">
        <v>226</v>
      </c>
      <c r="G8024" s="9">
        <v>606</v>
      </c>
      <c r="H8024" s="5" t="s">
        <v>21</v>
      </c>
      <c r="I8024" s="5" t="s">
        <v>19211</v>
      </c>
      <c r="J8024" s="12" t="str">
        <f>HYPERLINK("https://www.boe.es/gazeta/dias/1808/06/20/pdfs/GMD-1808-62.pdf#page=4","Abrir facsímil")</f>
        <v>Abrir facsímil</v>
      </c>
      <c r="K8024" s="15" t="s">
        <v>23</v>
      </c>
    </row>
    <row r="8025" spans="1:11" ht="42" customHeight="1">
      <c r="A8025" s="4" t="s">
        <v>19207</v>
      </c>
      <c r="B8025" s="5" t="s">
        <v>19208</v>
      </c>
      <c r="C8025" s="5" t="s">
        <v>101</v>
      </c>
      <c r="D8025" s="5" t="s">
        <v>102</v>
      </c>
      <c r="E8025" s="5" t="s">
        <v>228</v>
      </c>
      <c r="F8025" s="9" t="s">
        <v>229</v>
      </c>
      <c r="G8025" s="9">
        <v>835</v>
      </c>
      <c r="H8025" s="5" t="s">
        <v>21</v>
      </c>
      <c r="I8025" s="5" t="s">
        <v>19212</v>
      </c>
      <c r="J8025" s="12" t="str">
        <f>HYPERLINK("https://www.boe.es/gazeta/dias/1808/07/18/pdfs/GMD-1808-90.pdf#page=5","Abrir facsímil")</f>
        <v>Abrir facsímil</v>
      </c>
      <c r="K8025" s="15" t="s">
        <v>23</v>
      </c>
    </row>
    <row r="8026" spans="1:11" ht="42" customHeight="1">
      <c r="A8026" s="4" t="s">
        <v>19207</v>
      </c>
      <c r="B8026" s="5" t="s">
        <v>19208</v>
      </c>
      <c r="C8026" s="5" t="s">
        <v>17</v>
      </c>
      <c r="D8026" s="5" t="s">
        <v>18</v>
      </c>
      <c r="E8026" s="5" t="s">
        <v>1154</v>
      </c>
      <c r="F8026" s="9" t="s">
        <v>1155</v>
      </c>
      <c r="G8026" s="9">
        <v>867</v>
      </c>
      <c r="H8026" s="5" t="s">
        <v>21</v>
      </c>
      <c r="I8026" s="5" t="s">
        <v>19213</v>
      </c>
      <c r="J8026" s="12" t="str">
        <f>HYPERLINK("https://www.boe.es/gazeta/dias/1808/07/22/pdfs/GMD-1808-94.pdf#page=5","Abrir facsímil")</f>
        <v>Abrir facsímil</v>
      </c>
      <c r="K8026" s="15" t="s">
        <v>23</v>
      </c>
    </row>
    <row r="8027" spans="1:11" ht="42" customHeight="1">
      <c r="A8027" s="4" t="s">
        <v>19214</v>
      </c>
      <c r="B8027" s="5" t="s">
        <v>19215</v>
      </c>
      <c r="C8027" s="5" t="s">
        <v>41</v>
      </c>
      <c r="D8027" s="5" t="s">
        <v>42</v>
      </c>
      <c r="E8027" s="5" t="s">
        <v>35</v>
      </c>
      <c r="F8027" s="9" t="s">
        <v>36</v>
      </c>
      <c r="G8027" s="9" t="s">
        <v>4783</v>
      </c>
      <c r="H8027" s="5" t="s">
        <v>21</v>
      </c>
      <c r="I8027" s="5" t="s">
        <v>19216</v>
      </c>
      <c r="J8027" s="12" t="str">
        <f>HYPERLINK("https://www.boe.es/gazeta/dias/1808/04/22/pdfs/GMD-C-1808-38.pdf#page=36","Abrir facsímil")</f>
        <v>Abrir facsímil</v>
      </c>
      <c r="K8027" s="15" t="s">
        <v>23</v>
      </c>
    </row>
    <row r="8028" spans="1:11" ht="42" customHeight="1">
      <c r="A8028" s="4" t="s">
        <v>19217</v>
      </c>
      <c r="B8028" s="5" t="s">
        <v>19218</v>
      </c>
      <c r="C8028" s="5" t="s">
        <v>33</v>
      </c>
      <c r="D8028" s="5" t="s">
        <v>34</v>
      </c>
      <c r="E8028" s="5" t="s">
        <v>363</v>
      </c>
      <c r="F8028" s="9" t="s">
        <v>364</v>
      </c>
      <c r="G8028" s="9" t="s">
        <v>106</v>
      </c>
      <c r="H8028" s="5" t="s">
        <v>21</v>
      </c>
      <c r="I8028" s="5" t="s">
        <v>19219</v>
      </c>
      <c r="J8028" s="12" t="str">
        <f>HYPERLINK("https://www.boe.es/gazeta/dias/1808/09/20/pdfs/GMD-C-1808-126.pdf#page=3","Abrir facsímil")</f>
        <v>Abrir facsímil</v>
      </c>
      <c r="K8028" s="15" t="s">
        <v>23</v>
      </c>
    </row>
    <row r="8029" spans="1:11" ht="42" customHeight="1">
      <c r="A8029" s="4" t="s">
        <v>19220</v>
      </c>
      <c r="B8029" s="5" t="s">
        <v>19221</v>
      </c>
      <c r="C8029" s="5" t="s">
        <v>33</v>
      </c>
      <c r="D8029" s="5" t="s">
        <v>34</v>
      </c>
      <c r="E8029" s="5" t="s">
        <v>68</v>
      </c>
      <c r="F8029" s="9" t="s">
        <v>849</v>
      </c>
      <c r="G8029" s="9">
        <v>1344</v>
      </c>
      <c r="H8029" s="5" t="s">
        <v>21</v>
      </c>
      <c r="I8029" s="5" t="s">
        <v>19222</v>
      </c>
      <c r="J8029" s="12" t="str">
        <f>HYPERLINK("https://www.boe.es/gazeta/dias/1808/10/21/pdfs/GMD-C-1808-136.pdf#page=4","Abrir facsímil")</f>
        <v>Abrir facsímil</v>
      </c>
      <c r="K8029" s="15" t="s">
        <v>23</v>
      </c>
    </row>
    <row r="8030" spans="1:11" ht="42" customHeight="1">
      <c r="A8030" s="4" t="s">
        <v>19223</v>
      </c>
      <c r="B8030" s="5" t="s">
        <v>19224</v>
      </c>
      <c r="C8030" s="5" t="s">
        <v>94</v>
      </c>
      <c r="D8030" s="5" t="s">
        <v>95</v>
      </c>
      <c r="E8030" s="5" t="s">
        <v>203</v>
      </c>
      <c r="F8030" s="9" t="s">
        <v>204</v>
      </c>
      <c r="G8030" s="9">
        <v>141</v>
      </c>
      <c r="H8030" s="5" t="s">
        <v>21</v>
      </c>
      <c r="I8030" s="5" t="s">
        <v>19225</v>
      </c>
      <c r="J8030" s="12" t="str">
        <f>HYPERLINK("https://www.boe.es/gazeta/dias/1808/02/09/pdfs/GMD-1808-12.pdf#page=9","Abrir facsímil")</f>
        <v>Abrir facsímil</v>
      </c>
      <c r="K8030" s="15" t="s">
        <v>23</v>
      </c>
    </row>
    <row r="8031" spans="1:11" ht="42" customHeight="1">
      <c r="A8031" s="4" t="s">
        <v>19226</v>
      </c>
      <c r="B8031" s="5" t="s">
        <v>19226</v>
      </c>
      <c r="C8031" s="5" t="s">
        <v>17</v>
      </c>
      <c r="D8031" s="5" t="s">
        <v>18</v>
      </c>
      <c r="E8031" s="5" t="s">
        <v>125</v>
      </c>
      <c r="F8031" s="9" t="s">
        <v>397</v>
      </c>
      <c r="G8031" s="9">
        <v>1270</v>
      </c>
      <c r="H8031" s="5" t="s">
        <v>21</v>
      </c>
      <c r="I8031" s="5" t="s">
        <v>19227</v>
      </c>
      <c r="J8031" s="12" t="str">
        <f>HYPERLINK("https://www.boe.es/gazeta/dias/1808/10/07/pdfs/GMD-1808-132.pdf#page=10","Abrir facsímil")</f>
        <v>Abrir facsímil</v>
      </c>
      <c r="K8031" s="15" t="s">
        <v>23</v>
      </c>
    </row>
    <row r="8032" spans="1:11" ht="42" customHeight="1">
      <c r="A8032" s="4" t="s">
        <v>19228</v>
      </c>
      <c r="B8032" s="5" t="s">
        <v>19228</v>
      </c>
      <c r="C8032" s="5" t="s">
        <v>41</v>
      </c>
      <c r="D8032" s="5" t="s">
        <v>42</v>
      </c>
      <c r="E8032" s="5" t="s">
        <v>28</v>
      </c>
      <c r="F8032" s="9" t="s">
        <v>446</v>
      </c>
      <c r="G8032" s="9" t="s">
        <v>75</v>
      </c>
      <c r="H8032" s="5" t="s">
        <v>21</v>
      </c>
      <c r="I8032" s="5" t="s">
        <v>19229</v>
      </c>
      <c r="J8032" s="12" t="str">
        <f>HYPERLINK("https://www.boe.es/gazeta/dias/1808/11/04/pdfs/GMD-D-1808-141.pdf#page=4","Abrir facsímil")</f>
        <v>Abrir facsímil</v>
      </c>
      <c r="K8032" s="15" t="s">
        <v>23</v>
      </c>
    </row>
    <row r="8033" spans="1:11" ht="42" customHeight="1">
      <c r="A8033" s="4" t="s">
        <v>19230</v>
      </c>
      <c r="B8033" s="5" t="s">
        <v>19231</v>
      </c>
      <c r="C8033" s="5" t="s">
        <v>17</v>
      </c>
      <c r="D8033" s="5" t="s">
        <v>18</v>
      </c>
      <c r="E8033" s="5" t="s">
        <v>522</v>
      </c>
      <c r="F8033" s="9" t="s">
        <v>523</v>
      </c>
      <c r="G8033" s="9">
        <v>984</v>
      </c>
      <c r="H8033" s="5" t="s">
        <v>21</v>
      </c>
      <c r="I8033" s="5" t="s">
        <v>19232</v>
      </c>
      <c r="J8033" s="12" t="str">
        <f>HYPERLINK("https://www.boe.es/gazeta/dias/1808/08/07/pdfs/GMD-1808-110.pdf#page=6","Abrir facsímil")</f>
        <v>Abrir facsímil</v>
      </c>
      <c r="K8033" s="15" t="s">
        <v>23</v>
      </c>
    </row>
    <row r="8034" spans="1:11" ht="42" customHeight="1">
      <c r="A8034" s="4" t="s">
        <v>19233</v>
      </c>
      <c r="B8034" s="5" t="s">
        <v>19234</v>
      </c>
      <c r="C8034" s="5" t="s">
        <v>33</v>
      </c>
      <c r="D8034" s="5" t="s">
        <v>34</v>
      </c>
      <c r="E8034" s="5" t="s">
        <v>35</v>
      </c>
      <c r="F8034" s="9" t="s">
        <v>36</v>
      </c>
      <c r="G8034" s="9" t="s">
        <v>814</v>
      </c>
      <c r="H8034" s="5" t="s">
        <v>21</v>
      </c>
      <c r="I8034" s="5" t="s">
        <v>19235</v>
      </c>
      <c r="J8034" s="12" t="str">
        <f>HYPERLINK("https://www.boe.es/gazeta/dias/1808/04/22/pdfs/GMD-C-1808-38.pdf#page=25","Abrir facsímil")</f>
        <v>Abrir facsímil</v>
      </c>
      <c r="K8034" s="15" t="s">
        <v>23</v>
      </c>
    </row>
    <row r="8035" spans="1:11" ht="42" customHeight="1">
      <c r="A8035" s="4" t="s">
        <v>19236</v>
      </c>
      <c r="B8035" s="5" t="s">
        <v>19237</v>
      </c>
      <c r="C8035" s="5" t="s">
        <v>260</v>
      </c>
      <c r="D8035" s="5" t="s">
        <v>42</v>
      </c>
      <c r="E8035" s="5" t="s">
        <v>663</v>
      </c>
      <c r="F8035" s="9" t="s">
        <v>664</v>
      </c>
      <c r="G8035" s="9">
        <v>208</v>
      </c>
      <c r="H8035" s="5" t="s">
        <v>21</v>
      </c>
      <c r="I8035" s="5" t="s">
        <v>19238</v>
      </c>
      <c r="J8035" s="12" t="str">
        <f>HYPERLINK("https://www.boe.es/gazeta/dias/1808/02/26/pdfs/GMD-1808-17.pdf#page=10","Abrir facsímil")</f>
        <v>Abrir facsímil</v>
      </c>
      <c r="K8035" s="15" t="s">
        <v>23</v>
      </c>
    </row>
    <row r="8036" spans="1:11" ht="42" customHeight="1">
      <c r="A8036" s="4" t="s">
        <v>19239</v>
      </c>
      <c r="B8036" s="5" t="s">
        <v>19240</v>
      </c>
      <c r="C8036" s="5" t="s">
        <v>33</v>
      </c>
      <c r="D8036" s="5" t="s">
        <v>34</v>
      </c>
      <c r="E8036" s="5" t="s">
        <v>153</v>
      </c>
      <c r="F8036" s="9" t="s">
        <v>154</v>
      </c>
      <c r="G8036" s="9" t="s">
        <v>75</v>
      </c>
      <c r="H8036" s="5" t="s">
        <v>21</v>
      </c>
      <c r="I8036" s="5" t="s">
        <v>19241</v>
      </c>
      <c r="J8036" s="12" t="str">
        <f>HYPERLINK("https://www.boe.es/gazeta/dias/1808/09/09/pdfs/GMD-C-1808-121.pdf#page=4","Abrir facsímil")</f>
        <v>Abrir facsímil</v>
      </c>
      <c r="K8036" s="15" t="s">
        <v>23</v>
      </c>
    </row>
    <row r="8037" spans="1:11" ht="42" customHeight="1">
      <c r="A8037" s="4" t="s">
        <v>19242</v>
      </c>
      <c r="B8037" s="5" t="s">
        <v>19243</v>
      </c>
      <c r="C8037" s="5" t="s">
        <v>94</v>
      </c>
      <c r="D8037" s="5" t="s">
        <v>95</v>
      </c>
      <c r="E8037" s="5" t="s">
        <v>456</v>
      </c>
      <c r="F8037" s="9" t="s">
        <v>2825</v>
      </c>
      <c r="G8037" s="9">
        <v>318</v>
      </c>
      <c r="H8037" s="5" t="s">
        <v>21</v>
      </c>
      <c r="I8037" s="5" t="s">
        <v>19244</v>
      </c>
      <c r="J8037" s="12" t="str">
        <f>HYPERLINK("https://www.boe.es/gazeta/dias/1808/10/14/pdfs/GMS-1808-40.pdf#page=6","Abrir facsímil")</f>
        <v>Abrir facsímil</v>
      </c>
      <c r="K8037" s="15" t="s">
        <v>23</v>
      </c>
    </row>
    <row r="8038" spans="1:11" ht="42" customHeight="1">
      <c r="A8038" s="4" t="s">
        <v>19242</v>
      </c>
      <c r="B8038" s="5" t="s">
        <v>19243</v>
      </c>
      <c r="C8038" s="5" t="s">
        <v>17</v>
      </c>
      <c r="D8038" s="5" t="s">
        <v>18</v>
      </c>
      <c r="E8038" s="5" t="s">
        <v>166</v>
      </c>
      <c r="F8038" s="9" t="s">
        <v>5028</v>
      </c>
      <c r="G8038" s="9">
        <v>396</v>
      </c>
      <c r="H8038" s="5" t="s">
        <v>21</v>
      </c>
      <c r="I8038" s="5" t="s">
        <v>19245</v>
      </c>
      <c r="J8038" s="12" t="str">
        <f>HYPERLINK("https://www.boe.es/gazeta/dias/1808/11/18/pdfs/GMS-1808-50.pdf#page=4","Abrir facsímil")</f>
        <v>Abrir facsímil</v>
      </c>
      <c r="K8038" s="15" t="s">
        <v>23</v>
      </c>
    </row>
    <row r="8039" spans="1:11" ht="42" customHeight="1">
      <c r="A8039" s="4" t="s">
        <v>19242</v>
      </c>
      <c r="B8039" s="5" t="s">
        <v>19243</v>
      </c>
      <c r="C8039" s="5" t="s">
        <v>94</v>
      </c>
      <c r="D8039" s="5" t="s">
        <v>95</v>
      </c>
      <c r="E8039" s="5" t="s">
        <v>166</v>
      </c>
      <c r="F8039" s="9" t="s">
        <v>5028</v>
      </c>
      <c r="G8039" s="9">
        <v>398</v>
      </c>
      <c r="H8039" s="5" t="s">
        <v>21</v>
      </c>
      <c r="I8039" s="5" t="s">
        <v>19246</v>
      </c>
      <c r="J8039" s="12" t="str">
        <f>HYPERLINK("https://www.boe.es/gazeta/dias/1808/11/18/pdfs/GMS-1808-50.pdf#page=6","Abrir facsímil")</f>
        <v>Abrir facsímil</v>
      </c>
      <c r="K8039" s="15" t="s">
        <v>23</v>
      </c>
    </row>
    <row r="8040" spans="1:11" ht="42" customHeight="1">
      <c r="A8040" s="4" t="s">
        <v>19247</v>
      </c>
      <c r="B8040" s="5" t="s">
        <v>19248</v>
      </c>
      <c r="C8040" s="5" t="s">
        <v>33</v>
      </c>
      <c r="D8040" s="5" t="s">
        <v>34</v>
      </c>
      <c r="E8040" s="5" t="s">
        <v>115</v>
      </c>
      <c r="F8040" s="9" t="s">
        <v>116</v>
      </c>
      <c r="G8040" s="9" t="s">
        <v>106</v>
      </c>
      <c r="H8040" s="5" t="s">
        <v>21</v>
      </c>
      <c r="I8040" s="5" t="s">
        <v>19249</v>
      </c>
      <c r="J8040" s="12" t="str">
        <f>HYPERLINK("https://www.boe.es/gazeta/dias/1808/09/16/pdfs/GMD-C-1808-125.pdf#page=3","Abrir facsímil")</f>
        <v>Abrir facsímil</v>
      </c>
      <c r="K8040" s="15" t="s">
        <v>23</v>
      </c>
    </row>
    <row r="8041" spans="1:11" ht="42" customHeight="1">
      <c r="A8041" s="4" t="s">
        <v>19250</v>
      </c>
      <c r="B8041" s="5" t="s">
        <v>19250</v>
      </c>
      <c r="C8041" s="5" t="s">
        <v>33</v>
      </c>
      <c r="D8041" s="5" t="s">
        <v>34</v>
      </c>
      <c r="E8041" s="5" t="s">
        <v>264</v>
      </c>
      <c r="F8041" s="9" t="s">
        <v>318</v>
      </c>
      <c r="G8041" s="9" t="s">
        <v>199</v>
      </c>
      <c r="H8041" s="5" t="s">
        <v>21</v>
      </c>
      <c r="I8041" s="5" t="s">
        <v>19251</v>
      </c>
      <c r="J8041" s="12" t="str">
        <f>HYPERLINK("https://www.boe.es/gazeta/dias/1808/11/29/pdfs/GMD-C-1808-148.pdf#page=2","Abrir facsímil")</f>
        <v>Abrir facsímil</v>
      </c>
      <c r="K8041" s="15" t="s">
        <v>23</v>
      </c>
    </row>
    <row r="8042" spans="1:11" ht="42" customHeight="1">
      <c r="A8042" s="4" t="s">
        <v>19252</v>
      </c>
      <c r="B8042" s="5" t="s">
        <v>19252</v>
      </c>
      <c r="C8042" s="5" t="s">
        <v>101</v>
      </c>
      <c r="D8042" s="5" t="s">
        <v>102</v>
      </c>
      <c r="E8042" s="5" t="s">
        <v>6961</v>
      </c>
      <c r="F8042" s="9" t="s">
        <v>6962</v>
      </c>
      <c r="G8042" s="9">
        <v>951</v>
      </c>
      <c r="H8042" s="5" t="s">
        <v>21</v>
      </c>
      <c r="I8042" s="5" t="s">
        <v>19253</v>
      </c>
      <c r="J8042" s="12" t="str">
        <f>HYPERLINK("https://www.boe.es/gazeta/dias/1808/08/02/pdfs/GMD-1808-105.pdf#page=1","Abrir facsímil")</f>
        <v>Abrir facsímil</v>
      </c>
      <c r="K8042" s="15" t="s">
        <v>23</v>
      </c>
    </row>
    <row r="8043" spans="1:11" ht="42" customHeight="1">
      <c r="A8043" s="4" t="s">
        <v>19254</v>
      </c>
      <c r="B8043" s="5" t="s">
        <v>19254</v>
      </c>
      <c r="C8043" s="5" t="s">
        <v>101</v>
      </c>
      <c r="D8043" s="5" t="s">
        <v>102</v>
      </c>
      <c r="E8043" s="5" t="s">
        <v>2598</v>
      </c>
      <c r="F8043" s="9" t="s">
        <v>2599</v>
      </c>
      <c r="G8043" s="9">
        <v>947</v>
      </c>
      <c r="H8043" s="5" t="s">
        <v>21</v>
      </c>
      <c r="I8043" s="5" t="s">
        <v>19255</v>
      </c>
      <c r="J8043" s="12" t="str">
        <f>HYPERLINK("https://www.boe.es/gazeta/dias/1808/08/01/pdfs/GMD-1808-104.pdf#page=5","Abrir facsímil")</f>
        <v>Abrir facsímil</v>
      </c>
      <c r="K8043" s="15" t="s">
        <v>23</v>
      </c>
    </row>
    <row r="8044" spans="1:11" ht="42" customHeight="1">
      <c r="A8044" s="4" t="s">
        <v>19254</v>
      </c>
      <c r="B8044" s="5" t="s">
        <v>19254</v>
      </c>
      <c r="C8044" s="5" t="s">
        <v>26</v>
      </c>
      <c r="D8044" s="5" t="s">
        <v>27</v>
      </c>
      <c r="E8044" s="5" t="s">
        <v>2598</v>
      </c>
      <c r="F8044" s="9" t="s">
        <v>2599</v>
      </c>
      <c r="G8044" s="9">
        <v>948</v>
      </c>
      <c r="H8044" s="5" t="s">
        <v>21</v>
      </c>
      <c r="I8044" s="5" t="s">
        <v>19256</v>
      </c>
      <c r="J8044" s="12" t="str">
        <f>HYPERLINK("https://www.boe.es/gazeta/dias/1808/08/01/pdfs/GMD-1808-104.pdf#page=6","Abrir facsímil")</f>
        <v>Abrir facsímil</v>
      </c>
      <c r="K8044" s="15" t="s">
        <v>23</v>
      </c>
    </row>
    <row r="8045" spans="1:11" ht="42" customHeight="1">
      <c r="A8045" s="4" t="s">
        <v>19257</v>
      </c>
      <c r="B8045" s="5" t="s">
        <v>19258</v>
      </c>
      <c r="C8045" s="5" t="s">
        <v>94</v>
      </c>
      <c r="D8045" s="5" t="s">
        <v>95</v>
      </c>
      <c r="E8045" s="5" t="s">
        <v>68</v>
      </c>
      <c r="F8045" s="9" t="s">
        <v>849</v>
      </c>
      <c r="G8045" s="9">
        <v>1349</v>
      </c>
      <c r="H8045" s="5" t="s">
        <v>21</v>
      </c>
      <c r="I8045" s="5" t="s">
        <v>19259</v>
      </c>
      <c r="J8045" s="12" t="str">
        <f>HYPERLINK("https://www.boe.es/gazeta/dias/1808/10/21/pdfs/GMD-C-1808-136.pdf#page=9","Abrir facsímil")</f>
        <v>Abrir facsímil</v>
      </c>
      <c r="K8045" s="15" t="s">
        <v>23</v>
      </c>
    </row>
    <row r="8046" spans="1:11" ht="42" customHeight="1">
      <c r="A8046" s="4" t="s">
        <v>19260</v>
      </c>
      <c r="B8046" s="5" t="s">
        <v>19261</v>
      </c>
      <c r="C8046" s="5" t="s">
        <v>94</v>
      </c>
      <c r="D8046" s="5" t="s">
        <v>95</v>
      </c>
      <c r="E8046" s="5" t="s">
        <v>68</v>
      </c>
      <c r="F8046" s="9" t="s">
        <v>849</v>
      </c>
      <c r="G8046" s="9">
        <v>1349</v>
      </c>
      <c r="H8046" s="5" t="s">
        <v>21</v>
      </c>
      <c r="I8046" s="5" t="s">
        <v>19262</v>
      </c>
      <c r="J8046" s="12" t="str">
        <f>HYPERLINK("https://www.boe.es/gazeta/dias/1808/10/21/pdfs/GMD-C-1808-136.pdf#page=9","Abrir facsímil")</f>
        <v>Abrir facsímil</v>
      </c>
      <c r="K8046" s="15" t="s">
        <v>23</v>
      </c>
    </row>
    <row r="8047" spans="1:11" ht="42" customHeight="1">
      <c r="A8047" s="4" t="s">
        <v>19263</v>
      </c>
      <c r="B8047" s="5" t="s">
        <v>19264</v>
      </c>
      <c r="C8047" s="5" t="s">
        <v>101</v>
      </c>
      <c r="D8047" s="5" t="s">
        <v>102</v>
      </c>
      <c r="E8047" s="5" t="s">
        <v>877</v>
      </c>
      <c r="F8047" s="9" t="s">
        <v>878</v>
      </c>
      <c r="G8047" s="9">
        <v>110</v>
      </c>
      <c r="H8047" s="5" t="s">
        <v>21</v>
      </c>
      <c r="I8047" s="5" t="s">
        <v>19265</v>
      </c>
      <c r="J8047" s="12" t="str">
        <f>HYPERLINK("https://www.boe.es/gazeta/dias/1808/02/02/pdfs/GMD-1808-10.pdf#page=2","Abrir facsímil")</f>
        <v>Abrir facsímil</v>
      </c>
      <c r="K8047" s="15" t="s">
        <v>23</v>
      </c>
    </row>
    <row r="8048" spans="1:11" ht="42" customHeight="1">
      <c r="A8048" s="4" t="s">
        <v>19266</v>
      </c>
      <c r="B8048" s="5" t="s">
        <v>19267</v>
      </c>
      <c r="C8048" s="5" t="s">
        <v>17</v>
      </c>
      <c r="D8048" s="5" t="s">
        <v>18</v>
      </c>
      <c r="E8048" s="5" t="s">
        <v>130</v>
      </c>
      <c r="F8048" s="9" t="s">
        <v>131</v>
      </c>
      <c r="G8048" s="9">
        <v>1604</v>
      </c>
      <c r="H8048" s="5" t="s">
        <v>21</v>
      </c>
      <c r="I8048" s="5" t="s">
        <v>19268</v>
      </c>
      <c r="J8048" s="12" t="str">
        <f>HYPERLINK("https://www.boe.es/gazeta/dias/1808/12/15/pdfs/GMD-1808-155.pdf#page=8","Abrir facsímil")</f>
        <v>Abrir facsímil</v>
      </c>
      <c r="K8048" s="15" t="s">
        <v>23</v>
      </c>
    </row>
    <row r="8049" spans="1:11" ht="42" customHeight="1">
      <c r="A8049" s="4" t="s">
        <v>19269</v>
      </c>
      <c r="B8049" s="5" t="s">
        <v>19269</v>
      </c>
      <c r="C8049" s="5" t="s">
        <v>101</v>
      </c>
      <c r="D8049" s="5" t="s">
        <v>102</v>
      </c>
      <c r="E8049" s="5" t="s">
        <v>14716</v>
      </c>
      <c r="F8049" s="9" t="s">
        <v>14717</v>
      </c>
      <c r="G8049" s="9">
        <v>786</v>
      </c>
      <c r="H8049" s="5" t="s">
        <v>21</v>
      </c>
      <c r="I8049" s="5" t="s">
        <v>19270</v>
      </c>
      <c r="J8049" s="12" t="str">
        <f>HYPERLINK("https://www.boe.es/gazeta/dias/1808/07/12/pdfs/GMD-1808-84.pdf#page=4","Abrir facsímil")</f>
        <v>Abrir facsímil</v>
      </c>
      <c r="K8049" s="15" t="s">
        <v>23</v>
      </c>
    </row>
    <row r="8050" spans="1:11" ht="42" customHeight="1">
      <c r="A8050" s="4" t="s">
        <v>19271</v>
      </c>
      <c r="B8050" s="5" t="s">
        <v>19272</v>
      </c>
      <c r="C8050" s="5" t="s">
        <v>41</v>
      </c>
      <c r="D8050" s="5" t="s">
        <v>42</v>
      </c>
      <c r="E8050" s="5" t="s">
        <v>456</v>
      </c>
      <c r="F8050" s="9" t="s">
        <v>748</v>
      </c>
      <c r="G8050" s="9" t="s">
        <v>117</v>
      </c>
      <c r="H8050" s="5" t="s">
        <v>21</v>
      </c>
      <c r="I8050" s="5" t="s">
        <v>19273</v>
      </c>
      <c r="J8050" s="12" t="str">
        <f>HYPERLINK("https://www.boe.es/gazeta/dias/1808/10/14/pdfs/GMD-C-1808-134.pdf#page=1","Abrir facsímil")</f>
        <v>Abrir facsímil</v>
      </c>
      <c r="K8050" s="15" t="s">
        <v>23</v>
      </c>
    </row>
    <row r="8051" spans="1:11" ht="42" customHeight="1">
      <c r="A8051" s="4" t="s">
        <v>19274</v>
      </c>
      <c r="B8051" s="5" t="s">
        <v>19274</v>
      </c>
      <c r="C8051" s="5" t="s">
        <v>17</v>
      </c>
      <c r="D8051" s="5" t="s">
        <v>18</v>
      </c>
      <c r="E8051" s="5" t="s">
        <v>1351</v>
      </c>
      <c r="F8051" s="9" t="s">
        <v>1352</v>
      </c>
      <c r="G8051" s="9">
        <v>1657</v>
      </c>
      <c r="H8051" s="5" t="s">
        <v>21</v>
      </c>
      <c r="I8051" s="5" t="s">
        <v>19275</v>
      </c>
      <c r="J8051" s="12" t="str">
        <f>HYPERLINK("https://www.boe.es/gazeta/dias/1808/12/22/pdfs/GMD-1808-162.pdf#page=3","Abrir facsímil")</f>
        <v>Abrir facsímil</v>
      </c>
      <c r="K8051" s="15" t="s">
        <v>23</v>
      </c>
    </row>
    <row r="8052" spans="1:11" ht="42" customHeight="1">
      <c r="A8052" s="4" t="s">
        <v>19276</v>
      </c>
      <c r="B8052" s="5" t="s">
        <v>19276</v>
      </c>
      <c r="C8052" s="5" t="s">
        <v>33</v>
      </c>
      <c r="D8052" s="5" t="s">
        <v>34</v>
      </c>
      <c r="E8052" s="5" t="s">
        <v>153</v>
      </c>
      <c r="F8052" s="9" t="s">
        <v>154</v>
      </c>
      <c r="G8052" s="9" t="s">
        <v>106</v>
      </c>
      <c r="H8052" s="5" t="s">
        <v>21</v>
      </c>
      <c r="I8052" s="5" t="s">
        <v>19277</v>
      </c>
      <c r="J8052" s="12" t="str">
        <f>HYPERLINK("https://www.boe.es/gazeta/dias/1808/09/09/pdfs/GMD-C-1808-121.pdf#page=3","Abrir facsímil")</f>
        <v>Abrir facsímil</v>
      </c>
      <c r="K8052" s="15" t="s">
        <v>23</v>
      </c>
    </row>
    <row r="8053" spans="1:11" ht="42" customHeight="1">
      <c r="A8053" s="4" t="s">
        <v>19276</v>
      </c>
      <c r="B8053" s="5" t="s">
        <v>19276</v>
      </c>
      <c r="C8053" s="5" t="s">
        <v>17</v>
      </c>
      <c r="D8053" s="5" t="s">
        <v>18</v>
      </c>
      <c r="E8053" s="5" t="s">
        <v>19</v>
      </c>
      <c r="F8053" s="9" t="s">
        <v>59</v>
      </c>
      <c r="G8053" s="9">
        <v>1230</v>
      </c>
      <c r="H8053" s="5" t="s">
        <v>21</v>
      </c>
      <c r="I8053" s="5" t="s">
        <v>19278</v>
      </c>
      <c r="J8053" s="12" t="str">
        <f>HYPERLINK("https://www.boe.es/gazeta/dias/1808/09/30/pdfs/GMD-1808-130.pdf#page=10","Abrir facsímil")</f>
        <v>Abrir facsímil</v>
      </c>
      <c r="K8053" s="15" t="s">
        <v>23</v>
      </c>
    </row>
    <row r="8054" spans="1:11" ht="42" customHeight="1">
      <c r="A8054" s="4" t="s">
        <v>19279</v>
      </c>
      <c r="B8054" s="5" t="s">
        <v>19279</v>
      </c>
      <c r="C8054" s="5" t="s">
        <v>41</v>
      </c>
      <c r="D8054" s="5" t="s">
        <v>42</v>
      </c>
      <c r="E8054" s="5" t="s">
        <v>991</v>
      </c>
      <c r="F8054" s="9" t="s">
        <v>992</v>
      </c>
      <c r="G8054" s="9">
        <v>213</v>
      </c>
      <c r="H8054" s="5" t="s">
        <v>21</v>
      </c>
      <c r="I8054" s="5" t="s">
        <v>19280</v>
      </c>
      <c r="J8054" s="12" t="str">
        <f>HYPERLINK("https://www.boe.es/gazeta/dias/1808/03/01/pdfs/GMD-1808-18.pdf#page=3","Abrir facsímil")</f>
        <v>Abrir facsímil</v>
      </c>
      <c r="K8054" s="15" t="s">
        <v>23</v>
      </c>
    </row>
    <row r="8055" spans="1:11" ht="42" customHeight="1">
      <c r="A8055" s="4" t="s">
        <v>19279</v>
      </c>
      <c r="B8055" s="5" t="s">
        <v>19279</v>
      </c>
      <c r="C8055" s="5" t="s">
        <v>41</v>
      </c>
      <c r="D8055" s="5" t="s">
        <v>42</v>
      </c>
      <c r="E8055" s="5" t="s">
        <v>120</v>
      </c>
      <c r="F8055" s="9" t="s">
        <v>121</v>
      </c>
      <c r="G8055" s="9">
        <v>308</v>
      </c>
      <c r="H8055" s="5" t="s">
        <v>21</v>
      </c>
      <c r="I8055" s="5" t="s">
        <v>19281</v>
      </c>
      <c r="J8055" s="12" t="str">
        <f>HYPERLINK("https://www.boe.es/gazeta/dias/1808/03/29/pdfs/GMD-1808-27.pdf#page=4","Abrir facsímil")</f>
        <v>Abrir facsímil</v>
      </c>
      <c r="K8055" s="15" t="s">
        <v>23</v>
      </c>
    </row>
    <row r="8056" spans="1:11" ht="42" customHeight="1">
      <c r="A8056" s="4" t="s">
        <v>19282</v>
      </c>
      <c r="B8056" s="5" t="s">
        <v>19283</v>
      </c>
      <c r="C8056" s="5" t="s">
        <v>33</v>
      </c>
      <c r="D8056" s="5" t="s">
        <v>34</v>
      </c>
      <c r="E8056" s="5" t="s">
        <v>139</v>
      </c>
      <c r="F8056" s="9" t="s">
        <v>1089</v>
      </c>
      <c r="G8056" s="9" t="s">
        <v>199</v>
      </c>
      <c r="H8056" s="5" t="s">
        <v>21</v>
      </c>
      <c r="I8056" s="5" t="s">
        <v>19284</v>
      </c>
      <c r="J8056" s="12" t="str">
        <f>HYPERLINK("https://www.boe.es/gazeta/dias/1808/09/23/pdfs/GMD-C-1808-127.pdf#page=2","Abrir facsímil")</f>
        <v>Abrir facsímil</v>
      </c>
      <c r="K8056" s="15" t="s">
        <v>23</v>
      </c>
    </row>
    <row r="8057" spans="1:11" ht="42" customHeight="1">
      <c r="A8057" s="4" t="s">
        <v>19285</v>
      </c>
      <c r="B8057" s="5" t="s">
        <v>19286</v>
      </c>
      <c r="C8057" s="5" t="s">
        <v>33</v>
      </c>
      <c r="D8057" s="5" t="s">
        <v>34</v>
      </c>
      <c r="E8057" s="5" t="s">
        <v>180</v>
      </c>
      <c r="F8057" s="9" t="s">
        <v>768</v>
      </c>
      <c r="G8057" s="9" t="s">
        <v>106</v>
      </c>
      <c r="H8057" s="5" t="s">
        <v>21</v>
      </c>
      <c r="I8057" s="5" t="s">
        <v>19287</v>
      </c>
      <c r="J8057" s="12" t="str">
        <f>HYPERLINK("https://www.boe.es/gazeta/dias/1808/11/15/pdfs/GMD-D-1808-144.pdf#page=3","Abrir facsímil")</f>
        <v>Abrir facsímil</v>
      </c>
      <c r="K8057" s="15" t="s">
        <v>23</v>
      </c>
    </row>
    <row r="8058" spans="1:11" ht="42" customHeight="1">
      <c r="A8058" s="4" t="s">
        <v>19288</v>
      </c>
      <c r="B8058" s="5" t="s">
        <v>19289</v>
      </c>
      <c r="C8058" s="5" t="s">
        <v>17</v>
      </c>
      <c r="D8058" s="5" t="s">
        <v>18</v>
      </c>
      <c r="E8058" s="5" t="s">
        <v>427</v>
      </c>
      <c r="F8058" s="9" t="s">
        <v>1802</v>
      </c>
      <c r="G8058" s="9">
        <v>1522</v>
      </c>
      <c r="H8058" s="5" t="s">
        <v>21</v>
      </c>
      <c r="I8058" s="5" t="s">
        <v>19290</v>
      </c>
      <c r="J8058" s="12" t="str">
        <f>HYPERLINK("https://www.boe.es/gazeta/dias/1808/11/22/pdfs/GMD-1808-146.pdf#page=8","Abrir facsímil")</f>
        <v>Abrir facsímil</v>
      </c>
      <c r="K8058" s="15" t="s">
        <v>23</v>
      </c>
    </row>
    <row r="8059" spans="1:11" ht="42" customHeight="1">
      <c r="A8059" s="4" t="s">
        <v>19291</v>
      </c>
      <c r="B8059" s="5" t="s">
        <v>19292</v>
      </c>
      <c r="C8059" s="5" t="s">
        <v>17</v>
      </c>
      <c r="D8059" s="5" t="s">
        <v>18</v>
      </c>
      <c r="E8059" s="5" t="s">
        <v>351</v>
      </c>
      <c r="F8059" s="9" t="s">
        <v>352</v>
      </c>
      <c r="G8059" s="9">
        <v>32</v>
      </c>
      <c r="H8059" s="5" t="s">
        <v>21</v>
      </c>
      <c r="I8059" s="5" t="s">
        <v>19293</v>
      </c>
      <c r="J8059" s="12" t="str">
        <f>HYPERLINK("https://www.boe.es/gazeta/dias/1808/06/11/pdfs/GMS-1808-4.pdf#page=8","Abrir facsímil")</f>
        <v>Abrir facsímil</v>
      </c>
      <c r="K8059" s="15" t="s">
        <v>23</v>
      </c>
    </row>
    <row r="8060" spans="1:11" ht="42" customHeight="1">
      <c r="A8060" s="4" t="s">
        <v>19294</v>
      </c>
      <c r="B8060" s="5" t="s">
        <v>19295</v>
      </c>
      <c r="C8060" s="5" t="s">
        <v>17</v>
      </c>
      <c r="D8060" s="5" t="s">
        <v>18</v>
      </c>
      <c r="E8060" s="5" t="s">
        <v>522</v>
      </c>
      <c r="F8060" s="9" t="s">
        <v>523</v>
      </c>
      <c r="G8060" s="9">
        <v>984</v>
      </c>
      <c r="H8060" s="5" t="s">
        <v>21</v>
      </c>
      <c r="I8060" s="5" t="s">
        <v>19296</v>
      </c>
      <c r="J8060" s="12" t="str">
        <f>HYPERLINK("https://www.boe.es/gazeta/dias/1808/08/07/pdfs/GMD-1808-110.pdf#page=6","Abrir facsímil")</f>
        <v>Abrir facsímil</v>
      </c>
      <c r="K8060" s="15" t="s">
        <v>23</v>
      </c>
    </row>
    <row r="8061" spans="1:11" ht="42" customHeight="1">
      <c r="A8061" s="4" t="s">
        <v>19294</v>
      </c>
      <c r="B8061" s="5" t="s">
        <v>19295</v>
      </c>
      <c r="C8061" s="5" t="s">
        <v>17</v>
      </c>
      <c r="D8061" s="5" t="s">
        <v>18</v>
      </c>
      <c r="E8061" s="5" t="s">
        <v>719</v>
      </c>
      <c r="F8061" s="9" t="s">
        <v>720</v>
      </c>
      <c r="G8061" s="9">
        <v>1609</v>
      </c>
      <c r="H8061" s="5" t="s">
        <v>21</v>
      </c>
      <c r="I8061" s="5" t="s">
        <v>19297</v>
      </c>
      <c r="J8061" s="12" t="str">
        <f>HYPERLINK("https://www.boe.es/gazeta/dias/1808/12/16/pdfs/GMD-1808-156.pdf#page=1","Abrir facsímil")</f>
        <v>Abrir facsímil</v>
      </c>
      <c r="K8061" s="15" t="s">
        <v>23</v>
      </c>
    </row>
    <row r="8062" spans="1:11" ht="42" customHeight="1">
      <c r="A8062" s="4" t="s">
        <v>19294</v>
      </c>
      <c r="B8062" s="5" t="s">
        <v>19295</v>
      </c>
      <c r="C8062" s="5" t="s">
        <v>17</v>
      </c>
      <c r="D8062" s="5" t="s">
        <v>18</v>
      </c>
      <c r="E8062" s="5" t="s">
        <v>719</v>
      </c>
      <c r="F8062" s="9" t="s">
        <v>720</v>
      </c>
      <c r="G8062" s="9">
        <v>1611</v>
      </c>
      <c r="H8062" s="5" t="s">
        <v>21</v>
      </c>
      <c r="I8062" s="5" t="s">
        <v>19298</v>
      </c>
      <c r="J8062" s="12" t="str">
        <f>HYPERLINK("https://www.boe.es/gazeta/dias/1808/12/16/pdfs/GMD-1808-156.pdf#page=3","Abrir facsímil")</f>
        <v>Abrir facsímil</v>
      </c>
      <c r="K8062" s="15" t="s">
        <v>23</v>
      </c>
    </row>
    <row r="8063" spans="1:11" ht="42" customHeight="1">
      <c r="A8063" s="4" t="s">
        <v>19299</v>
      </c>
      <c r="B8063" s="5" t="s">
        <v>19300</v>
      </c>
      <c r="C8063" s="5" t="s">
        <v>94</v>
      </c>
      <c r="D8063" s="5" t="s">
        <v>95</v>
      </c>
      <c r="E8063" s="5" t="s">
        <v>877</v>
      </c>
      <c r="F8063" s="9" t="s">
        <v>878</v>
      </c>
      <c r="G8063" s="9">
        <v>118</v>
      </c>
      <c r="H8063" s="5" t="s">
        <v>21</v>
      </c>
      <c r="I8063" s="5" t="s">
        <v>19301</v>
      </c>
      <c r="J8063" s="12" t="str">
        <f>HYPERLINK("https://www.boe.es/gazeta/dias/1808/02/02/pdfs/GMD-1808-10.pdf#page=10","Abrir facsímil")</f>
        <v>Abrir facsímil</v>
      </c>
      <c r="K8063" s="15" t="s">
        <v>23</v>
      </c>
    </row>
    <row r="8064" spans="1:11" ht="42" customHeight="1">
      <c r="A8064" s="4" t="s">
        <v>19302</v>
      </c>
      <c r="B8064" s="5" t="s">
        <v>19303</v>
      </c>
      <c r="C8064" s="5" t="s">
        <v>17</v>
      </c>
      <c r="D8064" s="5" t="s">
        <v>18</v>
      </c>
      <c r="E8064" s="5" t="s">
        <v>51</v>
      </c>
      <c r="F8064" s="9" t="s">
        <v>1366</v>
      </c>
      <c r="G8064" s="9">
        <v>167</v>
      </c>
      <c r="H8064" s="5" t="s">
        <v>21</v>
      </c>
      <c r="I8064" s="5" t="s">
        <v>19304</v>
      </c>
      <c r="J8064" s="12" t="str">
        <f>HYPERLINK("https://www.boe.es/gazeta/dias/1808/08/09/pdfs/GMS-1808-21.pdf#page=7","Abrir facsímil")</f>
        <v>Abrir facsímil</v>
      </c>
      <c r="K8064" s="15" t="s">
        <v>23</v>
      </c>
    </row>
    <row r="8065" spans="1:11" ht="42" customHeight="1">
      <c r="A8065" s="4" t="s">
        <v>19305</v>
      </c>
      <c r="B8065" s="5" t="s">
        <v>19305</v>
      </c>
      <c r="C8065" s="5" t="s">
        <v>17</v>
      </c>
      <c r="D8065" s="5" t="s">
        <v>18</v>
      </c>
      <c r="E8065" s="5" t="s">
        <v>28</v>
      </c>
      <c r="F8065" s="9" t="s">
        <v>29</v>
      </c>
      <c r="G8065" s="9">
        <v>1428</v>
      </c>
      <c r="H8065" s="5" t="s">
        <v>21</v>
      </c>
      <c r="I8065" s="5" t="s">
        <v>19306</v>
      </c>
      <c r="J8065" s="12" t="str">
        <f>HYPERLINK("https://www.boe.es/gazeta/dias/1808/11/04/pdfs/GMD-1808-141.pdf#page=10","Abrir facsímil")</f>
        <v>Abrir facsímil</v>
      </c>
      <c r="K8065" s="15" t="s">
        <v>23</v>
      </c>
    </row>
    <row r="8066" spans="1:11" ht="42" customHeight="1">
      <c r="A8066" s="4" t="s">
        <v>19307</v>
      </c>
      <c r="B8066" s="5" t="s">
        <v>19307</v>
      </c>
      <c r="C8066" s="5" t="s">
        <v>17</v>
      </c>
      <c r="D8066" s="5" t="s">
        <v>18</v>
      </c>
      <c r="E8066" s="5" t="s">
        <v>61</v>
      </c>
      <c r="F8066" s="9" t="s">
        <v>62</v>
      </c>
      <c r="G8066" s="9">
        <v>1286</v>
      </c>
      <c r="H8066" s="5" t="s">
        <v>21</v>
      </c>
      <c r="I8066" s="5" t="s">
        <v>19308</v>
      </c>
      <c r="J8066" s="12" t="str">
        <f>HYPERLINK("https://www.boe.es/gazeta/dias/1808/10/11/pdfs/GMD-1808-133.pdf#page=14","Abrir facsímil")</f>
        <v>Abrir facsímil</v>
      </c>
      <c r="K8066" s="15" t="s">
        <v>23</v>
      </c>
    </row>
    <row r="8067" spans="1:11" ht="42" customHeight="1">
      <c r="A8067" s="4" t="s">
        <v>19309</v>
      </c>
      <c r="B8067" s="5" t="s">
        <v>19309</v>
      </c>
      <c r="C8067" s="5" t="s">
        <v>17</v>
      </c>
      <c r="D8067" s="5" t="s">
        <v>18</v>
      </c>
      <c r="E8067" s="5" t="s">
        <v>19</v>
      </c>
      <c r="F8067" s="9" t="s">
        <v>20</v>
      </c>
      <c r="G8067" s="9">
        <v>284</v>
      </c>
      <c r="H8067" s="5" t="s">
        <v>21</v>
      </c>
      <c r="I8067" s="5" t="s">
        <v>19310</v>
      </c>
      <c r="J8067" s="12" t="str">
        <f>HYPERLINK("https://www.boe.es/gazeta/dias/1808/09/30/pdfs/GMS-1808-36.pdf#page=4","Abrir facsímil")</f>
        <v>Abrir facsímil</v>
      </c>
      <c r="K8067" s="15" t="s">
        <v>23</v>
      </c>
    </row>
    <row r="8068" spans="1:11" ht="42" customHeight="1">
      <c r="A8068" s="4" t="s">
        <v>19311</v>
      </c>
      <c r="B8068" s="5" t="s">
        <v>19311</v>
      </c>
      <c r="C8068" s="5" t="s">
        <v>17</v>
      </c>
      <c r="D8068" s="5" t="s">
        <v>18</v>
      </c>
      <c r="E8068" s="5" t="s">
        <v>508</v>
      </c>
      <c r="F8068" s="9" t="s">
        <v>5993</v>
      </c>
      <c r="G8068" s="9">
        <v>181</v>
      </c>
      <c r="H8068" s="5" t="s">
        <v>21</v>
      </c>
      <c r="I8068" s="5" t="s">
        <v>19312</v>
      </c>
      <c r="J8068" s="12" t="str">
        <f>HYPERLINK("https://www.boe.es/gazeta/dias/1808/08/16/pdfs/GMS-1808-23.pdf#page=5","Abrir facsímil")</f>
        <v>Abrir facsímil</v>
      </c>
      <c r="K8068" s="15" t="s">
        <v>23</v>
      </c>
    </row>
    <row r="8069" spans="1:11" ht="42" customHeight="1">
      <c r="A8069" s="4" t="s">
        <v>19313</v>
      </c>
      <c r="B8069" s="5" t="s">
        <v>19313</v>
      </c>
      <c r="C8069" s="5" t="s">
        <v>17</v>
      </c>
      <c r="D8069" s="5" t="s">
        <v>18</v>
      </c>
      <c r="E8069" s="5" t="s">
        <v>125</v>
      </c>
      <c r="F8069" s="9" t="s">
        <v>347</v>
      </c>
      <c r="G8069" s="9">
        <v>303</v>
      </c>
      <c r="H8069" s="5" t="s">
        <v>21</v>
      </c>
      <c r="I8069" s="5" t="s">
        <v>19314</v>
      </c>
      <c r="J8069" s="12" t="str">
        <f>HYPERLINK("https://www.boe.es/gazeta/dias/1808/10/07/pdfs/GMS-1808-38.pdf#page=7","Abrir facsímil")</f>
        <v>Abrir facsímil</v>
      </c>
      <c r="K8069" s="15" t="s">
        <v>23</v>
      </c>
    </row>
    <row r="8070" spans="1:11" ht="42" customHeight="1">
      <c r="A8070" s="4" t="s">
        <v>19315</v>
      </c>
      <c r="B8070" s="5" t="s">
        <v>19315</v>
      </c>
      <c r="C8070" s="5" t="s">
        <v>94</v>
      </c>
      <c r="D8070" s="5" t="s">
        <v>95</v>
      </c>
      <c r="E8070" s="5" t="s">
        <v>115</v>
      </c>
      <c r="F8070" s="9" t="s">
        <v>1650</v>
      </c>
      <c r="G8070" s="9">
        <v>1179</v>
      </c>
      <c r="H8070" s="5" t="s">
        <v>21</v>
      </c>
      <c r="I8070" s="5" t="s">
        <v>19316</v>
      </c>
      <c r="J8070" s="12" t="str">
        <f>HYPERLINK("https://www.boe.es/gazeta/dias/1808/09/16/pdfs/GMD-1808-125.pdf#page=11","Abrir facsímil")</f>
        <v>Abrir facsímil</v>
      </c>
      <c r="K8070" s="15" t="s">
        <v>23</v>
      </c>
    </row>
    <row r="8071" spans="1:11" ht="42" customHeight="1">
      <c r="A8071" s="4" t="s">
        <v>19317</v>
      </c>
      <c r="B8071" s="5" t="s">
        <v>19318</v>
      </c>
      <c r="C8071" s="5" t="s">
        <v>33</v>
      </c>
      <c r="D8071" s="5" t="s">
        <v>34</v>
      </c>
      <c r="E8071" s="5" t="s">
        <v>35</v>
      </c>
      <c r="F8071" s="9" t="s">
        <v>36</v>
      </c>
      <c r="G8071" s="9" t="s">
        <v>199</v>
      </c>
      <c r="H8071" s="5" t="s">
        <v>21</v>
      </c>
      <c r="I8071" s="5" t="s">
        <v>19319</v>
      </c>
      <c r="J8071" s="12" t="str">
        <f>HYPERLINK("https://www.boe.es/gazeta/dias/1808/04/22/pdfs/GMD-C-1808-38.pdf#page=2","Abrir facsímil")</f>
        <v>Abrir facsímil</v>
      </c>
      <c r="K8071" s="15" t="s">
        <v>23</v>
      </c>
    </row>
    <row r="8072" spans="1:11" ht="42" customHeight="1">
      <c r="A8072" s="4" t="s">
        <v>19320</v>
      </c>
      <c r="B8072" s="5" t="s">
        <v>19321</v>
      </c>
      <c r="C8072" s="5" t="s">
        <v>17</v>
      </c>
      <c r="D8072" s="5" t="s">
        <v>18</v>
      </c>
      <c r="E8072" s="5" t="s">
        <v>61</v>
      </c>
      <c r="F8072" s="9" t="s">
        <v>62</v>
      </c>
      <c r="G8072" s="9">
        <v>1285</v>
      </c>
      <c r="H8072" s="5" t="s">
        <v>21</v>
      </c>
      <c r="I8072" s="5" t="s">
        <v>19322</v>
      </c>
      <c r="J8072" s="12" t="str">
        <f>HYPERLINK("https://www.boe.es/gazeta/dias/1808/10/11/pdfs/GMD-1808-133.pdf#page=13","Abrir facsímil")</f>
        <v>Abrir facsímil</v>
      </c>
      <c r="K8072" s="15" t="s">
        <v>23</v>
      </c>
    </row>
    <row r="8073" spans="1:11" ht="42" customHeight="1">
      <c r="A8073" s="4" t="s">
        <v>19323</v>
      </c>
      <c r="B8073" s="5" t="s">
        <v>19324</v>
      </c>
      <c r="C8073" s="5" t="s">
        <v>33</v>
      </c>
      <c r="D8073" s="5" t="s">
        <v>34</v>
      </c>
      <c r="E8073" s="5" t="s">
        <v>180</v>
      </c>
      <c r="F8073" s="9" t="s">
        <v>768</v>
      </c>
      <c r="G8073" s="9" t="s">
        <v>106</v>
      </c>
      <c r="H8073" s="5" t="s">
        <v>21</v>
      </c>
      <c r="I8073" s="5" t="s">
        <v>19325</v>
      </c>
      <c r="J8073" s="12" t="str">
        <f>HYPERLINK("https://www.boe.es/gazeta/dias/1808/11/15/pdfs/GMD-D-1808-144.pdf#page=3","Abrir facsímil")</f>
        <v>Abrir facsímil</v>
      </c>
      <c r="K8073" s="15" t="s">
        <v>23</v>
      </c>
    </row>
    <row r="8074" spans="1:11" ht="42" customHeight="1">
      <c r="A8074" s="4" t="s">
        <v>19326</v>
      </c>
      <c r="B8074" s="5" t="s">
        <v>19327</v>
      </c>
      <c r="C8074" s="5" t="s">
        <v>17</v>
      </c>
      <c r="D8074" s="5" t="s">
        <v>18</v>
      </c>
      <c r="E8074" s="5" t="s">
        <v>461</v>
      </c>
      <c r="F8074" s="9" t="s">
        <v>733</v>
      </c>
      <c r="G8074" s="9">
        <v>1447</v>
      </c>
      <c r="H8074" s="5" t="s">
        <v>21</v>
      </c>
      <c r="I8074" s="5" t="s">
        <v>19328</v>
      </c>
      <c r="J8074" s="12" t="str">
        <f>HYPERLINK("https://www.boe.es/gazeta/dias/1808/11/08/pdfs/GMD-1808-142.pdf#page=9","Abrir facsímil")</f>
        <v>Abrir facsímil</v>
      </c>
      <c r="K8074" s="15" t="s">
        <v>23</v>
      </c>
    </row>
    <row r="8075" spans="1:11" ht="42" customHeight="1">
      <c r="A8075" s="4" t="s">
        <v>19329</v>
      </c>
      <c r="B8075" s="5" t="s">
        <v>19330</v>
      </c>
      <c r="C8075" s="5" t="s">
        <v>33</v>
      </c>
      <c r="D8075" s="5" t="s">
        <v>34</v>
      </c>
      <c r="E8075" s="5" t="s">
        <v>391</v>
      </c>
      <c r="F8075" s="9" t="s">
        <v>588</v>
      </c>
      <c r="G8075" s="9" t="s">
        <v>106</v>
      </c>
      <c r="H8075" s="5" t="s">
        <v>21</v>
      </c>
      <c r="I8075" s="5" t="s">
        <v>19331</v>
      </c>
      <c r="J8075" s="12" t="str">
        <f>HYPERLINK("https://www.boe.es/gazeta/dias/1808/09/27/pdfs/GMD-C-1808-128.pdf#page=3","Abrir facsímil")</f>
        <v>Abrir facsímil</v>
      </c>
      <c r="K8075" s="15" t="s">
        <v>23</v>
      </c>
    </row>
    <row r="8076" spans="1:11" ht="42" customHeight="1">
      <c r="A8076" s="4" t="s">
        <v>19332</v>
      </c>
      <c r="B8076" s="5" t="s">
        <v>19333</v>
      </c>
      <c r="C8076" s="5" t="s">
        <v>94</v>
      </c>
      <c r="D8076" s="5" t="s">
        <v>95</v>
      </c>
      <c r="E8076" s="5" t="s">
        <v>203</v>
      </c>
      <c r="F8076" s="9" t="s">
        <v>204</v>
      </c>
      <c r="G8076" s="9">
        <v>141</v>
      </c>
      <c r="H8076" s="5" t="s">
        <v>21</v>
      </c>
      <c r="I8076" s="5" t="s">
        <v>19334</v>
      </c>
      <c r="J8076" s="12" t="str">
        <f>HYPERLINK("https://www.boe.es/gazeta/dias/1808/02/09/pdfs/GMD-1808-12.pdf#page=9","Abrir facsímil")</f>
        <v>Abrir facsímil</v>
      </c>
      <c r="K8076" s="15" t="s">
        <v>23</v>
      </c>
    </row>
    <row r="8077" spans="1:11" ht="42" customHeight="1">
      <c r="A8077" s="4" t="s">
        <v>19335</v>
      </c>
      <c r="B8077" s="5" t="s">
        <v>19336</v>
      </c>
      <c r="C8077" s="5" t="s">
        <v>94</v>
      </c>
      <c r="D8077" s="5" t="s">
        <v>95</v>
      </c>
      <c r="E8077" s="5" t="s">
        <v>469</v>
      </c>
      <c r="F8077" s="9" t="s">
        <v>470</v>
      </c>
      <c r="G8077" s="9">
        <v>153</v>
      </c>
      <c r="H8077" s="5" t="s">
        <v>21</v>
      </c>
      <c r="I8077" s="5" t="s">
        <v>19337</v>
      </c>
      <c r="J8077" s="12" t="str">
        <f>HYPERLINK("https://www.boe.es/gazeta/dias/1808/02/12/pdfs/GMD-1808-13.pdf#page=9","Abrir facsímil")</f>
        <v>Abrir facsímil</v>
      </c>
      <c r="K8077" s="15" t="s">
        <v>23</v>
      </c>
    </row>
    <row r="8078" spans="1:11" ht="42" customHeight="1">
      <c r="A8078" s="4" t="s">
        <v>19338</v>
      </c>
      <c r="B8078" s="5" t="s">
        <v>19339</v>
      </c>
      <c r="C8078" s="5" t="s">
        <v>94</v>
      </c>
      <c r="D8078" s="5" t="s">
        <v>95</v>
      </c>
      <c r="E8078" s="5" t="s">
        <v>89</v>
      </c>
      <c r="F8078" s="9" t="s">
        <v>563</v>
      </c>
      <c r="G8078" s="9" t="s">
        <v>75</v>
      </c>
      <c r="H8078" s="5" t="s">
        <v>21</v>
      </c>
      <c r="I8078" s="5" t="s">
        <v>19340</v>
      </c>
      <c r="J8078" s="12" t="str">
        <f>HYPERLINK("https://www.boe.es/gazeta/dias/1808/10/25/pdfs/GMD-D-1808-137.pdf#page=4","Abrir facsímil")</f>
        <v>Abrir facsímil</v>
      </c>
      <c r="K8078" s="15" t="s">
        <v>23</v>
      </c>
    </row>
    <row r="8079" spans="1:11" ht="42" customHeight="1">
      <c r="A8079" s="4" t="s">
        <v>19341</v>
      </c>
      <c r="B8079" s="5" t="s">
        <v>19342</v>
      </c>
      <c r="C8079" s="5" t="s">
        <v>41</v>
      </c>
      <c r="D8079" s="5" t="s">
        <v>42</v>
      </c>
      <c r="E8079" s="5" t="s">
        <v>35</v>
      </c>
      <c r="F8079" s="9" t="s">
        <v>36</v>
      </c>
      <c r="G8079" s="9" t="s">
        <v>15282</v>
      </c>
      <c r="H8079" s="5" t="s">
        <v>21</v>
      </c>
      <c r="I8079" s="5" t="s">
        <v>19343</v>
      </c>
      <c r="J8079" s="12" t="str">
        <f>HYPERLINK("https://www.boe.es/gazeta/dias/1808/04/22/pdfs/GMD-C-1808-38.pdf#page=28","Abrir facsímil")</f>
        <v>Abrir facsímil</v>
      </c>
      <c r="K8079" s="15" t="s">
        <v>23</v>
      </c>
    </row>
    <row r="8080" spans="1:11" ht="42" customHeight="1">
      <c r="A8080" s="4" t="s">
        <v>19344</v>
      </c>
      <c r="B8080" s="5" t="s">
        <v>19345</v>
      </c>
      <c r="C8080" s="5" t="s">
        <v>41</v>
      </c>
      <c r="D8080" s="5" t="s">
        <v>42</v>
      </c>
      <c r="E8080" s="5" t="s">
        <v>73</v>
      </c>
      <c r="F8080" s="9" t="s">
        <v>581</v>
      </c>
      <c r="G8080" s="9">
        <v>1469</v>
      </c>
      <c r="H8080" s="5" t="s">
        <v>21</v>
      </c>
      <c r="I8080" s="5" t="s">
        <v>19346</v>
      </c>
      <c r="J8080" s="12" t="str">
        <f>HYPERLINK("https://www.boe.es/gazeta/dias/1808/11/11/pdfs/GMD-1808-143.pdf#page=11","Abrir facsímil")</f>
        <v>Abrir facsímil</v>
      </c>
      <c r="K8080" s="15" t="s">
        <v>23</v>
      </c>
    </row>
    <row r="8081" spans="1:11" ht="42" customHeight="1">
      <c r="A8081" s="4" t="s">
        <v>19347</v>
      </c>
      <c r="B8081" s="5" t="s">
        <v>19348</v>
      </c>
      <c r="C8081" s="5" t="s">
        <v>17</v>
      </c>
      <c r="D8081" s="5" t="s">
        <v>18</v>
      </c>
      <c r="E8081" s="5" t="s">
        <v>203</v>
      </c>
      <c r="F8081" s="9" t="s">
        <v>204</v>
      </c>
      <c r="G8081" s="9">
        <v>141</v>
      </c>
      <c r="H8081" s="5" t="s">
        <v>21</v>
      </c>
      <c r="I8081" s="5" t="s">
        <v>19349</v>
      </c>
      <c r="J8081" s="12" t="str">
        <f>HYPERLINK("https://www.boe.es/gazeta/dias/1808/02/09/pdfs/GMD-1808-12.pdf#page=9","Abrir facsímil")</f>
        <v>Abrir facsímil</v>
      </c>
      <c r="K8081" s="15" t="s">
        <v>23</v>
      </c>
    </row>
    <row r="8082" spans="1:11" ht="42" customHeight="1">
      <c r="A8082" s="4" t="s">
        <v>19350</v>
      </c>
      <c r="B8082" s="5" t="s">
        <v>19351</v>
      </c>
      <c r="C8082" s="5" t="s">
        <v>33</v>
      </c>
      <c r="D8082" s="5" t="s">
        <v>34</v>
      </c>
      <c r="E8082" s="5" t="s">
        <v>65</v>
      </c>
      <c r="F8082" s="9" t="s">
        <v>105</v>
      </c>
      <c r="G8082" s="9" t="s">
        <v>75</v>
      </c>
      <c r="H8082" s="5" t="s">
        <v>21</v>
      </c>
      <c r="I8082" s="5" t="s">
        <v>19352</v>
      </c>
      <c r="J8082" s="12" t="str">
        <f>HYPERLINK("https://www.boe.es/gazeta/dias/1808/10/18/pdfs/GMD-D-1808-135.pdf#page=4","Abrir facsímil")</f>
        <v>Abrir facsímil</v>
      </c>
      <c r="K8082" s="15" t="s">
        <v>23</v>
      </c>
    </row>
    <row r="8083" spans="1:11" ht="42" customHeight="1">
      <c r="A8083" s="4" t="s">
        <v>19353</v>
      </c>
      <c r="B8083" s="5" t="s">
        <v>19353</v>
      </c>
      <c r="C8083" s="5" t="s">
        <v>41</v>
      </c>
      <c r="D8083" s="5" t="s">
        <v>42</v>
      </c>
      <c r="E8083" s="5" t="s">
        <v>3365</v>
      </c>
      <c r="F8083" s="9" t="s">
        <v>3366</v>
      </c>
      <c r="G8083" s="9">
        <v>123</v>
      </c>
      <c r="H8083" s="5" t="s">
        <v>21</v>
      </c>
      <c r="I8083" s="5" t="s">
        <v>19354</v>
      </c>
      <c r="J8083" s="12" t="str">
        <f>HYPERLINK("https://www.boe.es/gazeta/dias/1808/07/23/pdfs/GMS-1808-16.pdf#page=3","Abrir facsímil")</f>
        <v>Abrir facsímil</v>
      </c>
      <c r="K8083" s="15" t="s">
        <v>23</v>
      </c>
    </row>
    <row r="8084" spans="1:11" ht="42" customHeight="1">
      <c r="A8084" s="4" t="s">
        <v>19355</v>
      </c>
      <c r="B8084" s="5" t="s">
        <v>19356</v>
      </c>
      <c r="C8084" s="5" t="s">
        <v>17</v>
      </c>
      <c r="D8084" s="5" t="s">
        <v>18</v>
      </c>
      <c r="E8084" s="5" t="s">
        <v>218</v>
      </c>
      <c r="F8084" s="9" t="s">
        <v>219</v>
      </c>
      <c r="G8084" s="9">
        <v>331</v>
      </c>
      <c r="H8084" s="5" t="s">
        <v>21</v>
      </c>
      <c r="I8084" s="5" t="s">
        <v>19357</v>
      </c>
      <c r="J8084" s="12" t="str">
        <f>HYPERLINK("https://www.boe.es/gazeta/dias/1808/04/01/pdfs/GMD-1808-29.pdf#page=7","Abrir facsímil")</f>
        <v>Abrir facsímil</v>
      </c>
      <c r="K8084" s="15" t="s">
        <v>23</v>
      </c>
    </row>
    <row r="8085" spans="1:11" ht="42" customHeight="1">
      <c r="A8085" s="4" t="s">
        <v>19355</v>
      </c>
      <c r="B8085" s="5" t="s">
        <v>19356</v>
      </c>
      <c r="C8085" s="5" t="s">
        <v>17</v>
      </c>
      <c r="D8085" s="5" t="s">
        <v>18</v>
      </c>
      <c r="E8085" s="5" t="s">
        <v>1791</v>
      </c>
      <c r="F8085" s="9" t="s">
        <v>2814</v>
      </c>
      <c r="G8085" s="9">
        <v>930</v>
      </c>
      <c r="H8085" s="5" t="s">
        <v>21</v>
      </c>
      <c r="I8085" s="5" t="s">
        <v>19358</v>
      </c>
      <c r="J8085" s="12" t="str">
        <f>HYPERLINK("https://www.boe.es/gazeta/dias/1808/07/30/pdfs/GMD-1808-102.pdf#page=4","Abrir facsímil")</f>
        <v>Abrir facsímil</v>
      </c>
      <c r="K8085" s="15" t="s">
        <v>23</v>
      </c>
    </row>
    <row r="8086" spans="1:11" ht="42" customHeight="1">
      <c r="A8086" s="4" t="s">
        <v>19355</v>
      </c>
      <c r="B8086" s="5" t="s">
        <v>19356</v>
      </c>
      <c r="C8086" s="5" t="s">
        <v>17</v>
      </c>
      <c r="D8086" s="5" t="s">
        <v>18</v>
      </c>
      <c r="E8086" s="5" t="s">
        <v>427</v>
      </c>
      <c r="F8086" s="9" t="s">
        <v>1802</v>
      </c>
      <c r="G8086" s="9">
        <v>1526</v>
      </c>
      <c r="H8086" s="5" t="s">
        <v>21</v>
      </c>
      <c r="I8086" s="5" t="s">
        <v>19359</v>
      </c>
      <c r="J8086" s="12" t="str">
        <f>HYPERLINK("https://www.boe.es/gazeta/dias/1808/11/22/pdfs/GMD-1808-146.pdf#page=12","Abrir facsímil")</f>
        <v>Abrir facsímil</v>
      </c>
      <c r="K8086" s="15" t="s">
        <v>23</v>
      </c>
    </row>
    <row r="8087" spans="1:11" ht="42" customHeight="1">
      <c r="A8087" s="4" t="s">
        <v>19360</v>
      </c>
      <c r="B8087" s="5" t="s">
        <v>19360</v>
      </c>
      <c r="C8087" s="5" t="s">
        <v>33</v>
      </c>
      <c r="D8087" s="5" t="s">
        <v>34</v>
      </c>
      <c r="E8087" s="5" t="s">
        <v>89</v>
      </c>
      <c r="F8087" s="9" t="s">
        <v>563</v>
      </c>
      <c r="G8087" s="9" t="s">
        <v>199</v>
      </c>
      <c r="H8087" s="5" t="s">
        <v>21</v>
      </c>
      <c r="I8087" s="5" t="s">
        <v>19361</v>
      </c>
      <c r="J8087" s="12" t="str">
        <f>HYPERLINK("https://www.boe.es/gazeta/dias/1808/10/25/pdfs/GMD-D-1808-137.pdf#page=2","Abrir facsímil")</f>
        <v>Abrir facsímil</v>
      </c>
      <c r="K8087" s="15" t="s">
        <v>23</v>
      </c>
    </row>
    <row r="8088" spans="1:11" ht="42" customHeight="1">
      <c r="A8088" s="4" t="s">
        <v>19362</v>
      </c>
      <c r="B8088" s="5" t="s">
        <v>19363</v>
      </c>
      <c r="C8088" s="5" t="s">
        <v>17</v>
      </c>
      <c r="D8088" s="5" t="s">
        <v>18</v>
      </c>
      <c r="E8088" s="5" t="s">
        <v>290</v>
      </c>
      <c r="F8088" s="9" t="s">
        <v>3150</v>
      </c>
      <c r="G8088" s="9">
        <v>194</v>
      </c>
      <c r="H8088" s="5" t="s">
        <v>21</v>
      </c>
      <c r="I8088" s="5" t="s">
        <v>19364</v>
      </c>
      <c r="J8088" s="12" t="str">
        <f>HYPERLINK("https://www.boe.es/gazeta/dias/1808/08/23/pdfs/GMS-1808-25.pdf#page=2","Abrir facsímil")</f>
        <v>Abrir facsímil</v>
      </c>
      <c r="K8088" s="15" t="s">
        <v>9927</v>
      </c>
    </row>
    <row r="8089" spans="1:11" ht="42" customHeight="1">
      <c r="A8089" s="4" t="s">
        <v>19365</v>
      </c>
      <c r="B8089" s="5" t="s">
        <v>19366</v>
      </c>
      <c r="C8089" s="5" t="s">
        <v>389</v>
      </c>
      <c r="D8089" s="5" t="s">
        <v>390</v>
      </c>
      <c r="E8089" s="5" t="s">
        <v>197</v>
      </c>
      <c r="F8089" s="9" t="s">
        <v>790</v>
      </c>
      <c r="G8089" s="9">
        <v>1410</v>
      </c>
      <c r="H8089" s="5" t="s">
        <v>21</v>
      </c>
      <c r="I8089" s="5" t="s">
        <v>19367</v>
      </c>
      <c r="J8089" s="12" t="str">
        <f>HYPERLINK("https://www.boe.es/gazeta/dias/1808/11/01/pdfs/GMD-1808-140.pdf#page=12","Abrir facsímil")</f>
        <v>Abrir facsímil</v>
      </c>
      <c r="K8089" s="15" t="s">
        <v>23</v>
      </c>
    </row>
    <row r="8090" spans="1:11" ht="42" customHeight="1">
      <c r="A8090" s="4" t="s">
        <v>19368</v>
      </c>
      <c r="B8090" s="5" t="s">
        <v>19369</v>
      </c>
      <c r="C8090" s="5" t="s">
        <v>33</v>
      </c>
      <c r="D8090" s="5" t="s">
        <v>34</v>
      </c>
      <c r="E8090" s="5" t="s">
        <v>35</v>
      </c>
      <c r="F8090" s="9" t="s">
        <v>36</v>
      </c>
      <c r="G8090" s="9" t="s">
        <v>37</v>
      </c>
      <c r="H8090" s="5" t="s">
        <v>21</v>
      </c>
      <c r="I8090" s="5" t="s">
        <v>19370</v>
      </c>
      <c r="J8090" s="12" t="str">
        <f>HYPERLINK("https://www.boe.es/gazeta/dias/1808/04/22/pdfs/GMD-C-1808-38.pdf#page=33","Abrir facsímil")</f>
        <v>Abrir facsímil</v>
      </c>
      <c r="K8090" s="15" t="s">
        <v>23</v>
      </c>
    </row>
    <row r="8091" spans="1:11" ht="42" customHeight="1">
      <c r="A8091" s="4" t="s">
        <v>19371</v>
      </c>
      <c r="B8091" s="5" t="s">
        <v>19372</v>
      </c>
      <c r="C8091" s="5" t="s">
        <v>17</v>
      </c>
      <c r="D8091" s="5" t="s">
        <v>18</v>
      </c>
      <c r="E8091" s="5" t="s">
        <v>19</v>
      </c>
      <c r="F8091" s="9" t="s">
        <v>59</v>
      </c>
      <c r="G8091" s="9">
        <v>1228</v>
      </c>
      <c r="H8091" s="5" t="s">
        <v>21</v>
      </c>
      <c r="I8091" s="5" t="s">
        <v>19373</v>
      </c>
      <c r="J8091" s="12" t="str">
        <f>HYPERLINK("https://www.boe.es/gazeta/dias/1808/09/30/pdfs/GMD-1808-130.pdf#page=8","Abrir facsímil")</f>
        <v>Abrir facsímil</v>
      </c>
      <c r="K8091" s="15" t="s">
        <v>23</v>
      </c>
    </row>
    <row r="8092" spans="1:11" ht="42" customHeight="1">
      <c r="A8092" s="4" t="s">
        <v>19374</v>
      </c>
      <c r="B8092" s="5" t="s">
        <v>19375</v>
      </c>
      <c r="C8092" s="5" t="s">
        <v>101</v>
      </c>
      <c r="D8092" s="5" t="s">
        <v>102</v>
      </c>
      <c r="E8092" s="5" t="s">
        <v>2204</v>
      </c>
      <c r="F8092" s="9" t="s">
        <v>2285</v>
      </c>
      <c r="G8092" s="9">
        <v>680</v>
      </c>
      <c r="H8092" s="5" t="s">
        <v>21</v>
      </c>
      <c r="I8092" s="5" t="s">
        <v>19376</v>
      </c>
      <c r="J8092" s="12" t="str">
        <f>HYPERLINK("https://www.boe.es/gazeta/dias/1808/06/29/pdfs/GMD-1808-71.pdf#page=2","Abrir facsímil")</f>
        <v>Abrir facsímil</v>
      </c>
      <c r="K8092" s="15" t="s">
        <v>23</v>
      </c>
    </row>
    <row r="8093" spans="1:11" ht="42" customHeight="1">
      <c r="A8093" s="4" t="s">
        <v>19377</v>
      </c>
      <c r="B8093" s="5" t="s">
        <v>19378</v>
      </c>
      <c r="C8093" s="5" t="s">
        <v>389</v>
      </c>
      <c r="D8093" s="5" t="s">
        <v>390</v>
      </c>
      <c r="E8093" s="5" t="s">
        <v>197</v>
      </c>
      <c r="F8093" s="9" t="s">
        <v>790</v>
      </c>
      <c r="G8093" s="9">
        <v>1408</v>
      </c>
      <c r="H8093" s="5" t="s">
        <v>21</v>
      </c>
      <c r="I8093" s="5" t="s">
        <v>19379</v>
      </c>
      <c r="J8093" s="12" t="str">
        <f>HYPERLINK("https://www.boe.es/gazeta/dias/1808/11/01/pdfs/GMD-1808-140.pdf#page=10","Abrir facsímil")</f>
        <v>Abrir facsímil</v>
      </c>
      <c r="K8093" s="15" t="s">
        <v>23</v>
      </c>
    </row>
    <row r="8094" spans="1:11" ht="42" customHeight="1">
      <c r="A8094" s="4" t="s">
        <v>19380</v>
      </c>
      <c r="B8094" s="5" t="s">
        <v>19381</v>
      </c>
      <c r="C8094" s="5" t="s">
        <v>41</v>
      </c>
      <c r="D8094" s="5" t="s">
        <v>42</v>
      </c>
      <c r="E8094" s="5" t="s">
        <v>870</v>
      </c>
      <c r="F8094" s="9" t="s">
        <v>871</v>
      </c>
      <c r="G8094" s="9">
        <v>586</v>
      </c>
      <c r="H8094" s="5" t="s">
        <v>21</v>
      </c>
      <c r="I8094" s="5" t="s">
        <v>19382</v>
      </c>
      <c r="J8094" s="12" t="str">
        <f>HYPERLINK("https://www.boe.es/gazeta/dias/1808/06/17/pdfs/GMD-1808-59.pdf#page=8","Abrir facsímil")</f>
        <v>Abrir facsímil</v>
      </c>
      <c r="K8094" s="15" t="s">
        <v>23</v>
      </c>
    </row>
    <row r="8095" spans="1:11" ht="42" customHeight="1">
      <c r="A8095" s="4" t="s">
        <v>19383</v>
      </c>
      <c r="B8095" s="5" t="s">
        <v>19384</v>
      </c>
      <c r="C8095" s="5" t="s">
        <v>260</v>
      </c>
      <c r="D8095" s="5" t="s">
        <v>42</v>
      </c>
      <c r="E8095" s="5" t="s">
        <v>290</v>
      </c>
      <c r="F8095" s="9" t="s">
        <v>291</v>
      </c>
      <c r="G8095" s="9">
        <v>1060</v>
      </c>
      <c r="H8095" s="5" t="s">
        <v>21</v>
      </c>
      <c r="I8095" s="5" t="s">
        <v>19385</v>
      </c>
      <c r="J8095" s="12" t="str">
        <f>HYPERLINK("https://www.boe.es/gazeta/dias/1808/08/23/pdfs/GMD-1808-116.pdf#page=6","Abrir facsímil")</f>
        <v>Abrir facsímil</v>
      </c>
      <c r="K8095" s="15" t="s">
        <v>23</v>
      </c>
    </row>
    <row r="8096" spans="1:11" ht="42" customHeight="1">
      <c r="A8096" s="4" t="s">
        <v>19386</v>
      </c>
      <c r="B8096" s="5" t="s">
        <v>19387</v>
      </c>
      <c r="C8096" s="5" t="s">
        <v>260</v>
      </c>
      <c r="D8096" s="5" t="s">
        <v>42</v>
      </c>
      <c r="E8096" s="5" t="s">
        <v>1760</v>
      </c>
      <c r="F8096" s="9" t="s">
        <v>1761</v>
      </c>
      <c r="G8096" s="9">
        <v>432</v>
      </c>
      <c r="H8096" s="5" t="s">
        <v>21</v>
      </c>
      <c r="I8096" s="5" t="s">
        <v>19388</v>
      </c>
      <c r="J8096" s="12" t="str">
        <f>HYPERLINK("https://www.boe.es/gazeta/dias/1808/05/03/pdfs/GMD-1808-43.pdf#page=8","Abrir facsímil")</f>
        <v>Abrir facsímil</v>
      </c>
      <c r="K8096" s="15" t="s">
        <v>23</v>
      </c>
    </row>
    <row r="8097" spans="1:11" ht="42" customHeight="1">
      <c r="A8097" s="4" t="s">
        <v>19389</v>
      </c>
      <c r="B8097" s="5" t="s">
        <v>19390</v>
      </c>
      <c r="C8097" s="5" t="s">
        <v>41</v>
      </c>
      <c r="D8097" s="5" t="s">
        <v>42</v>
      </c>
      <c r="E8097" s="5" t="s">
        <v>210</v>
      </c>
      <c r="F8097" s="9" t="s">
        <v>211</v>
      </c>
      <c r="G8097" s="9">
        <v>255</v>
      </c>
      <c r="H8097" s="5" t="s">
        <v>21</v>
      </c>
      <c r="I8097" s="5" t="s">
        <v>19391</v>
      </c>
      <c r="J8097" s="12" t="str">
        <f>HYPERLINK("https://www.boe.es/gazeta/dias/1808/03/11/pdfs/GMD-1808-21.pdf#page=9","Abrir facsímil")</f>
        <v>Abrir facsímil</v>
      </c>
      <c r="K8097" s="15" t="s">
        <v>23</v>
      </c>
    </row>
    <row r="8098" spans="1:11" ht="42" customHeight="1">
      <c r="A8098" s="4" t="s">
        <v>19392</v>
      </c>
      <c r="B8098" s="5" t="s">
        <v>19393</v>
      </c>
      <c r="C8098" s="5" t="s">
        <v>33</v>
      </c>
      <c r="D8098" s="5" t="s">
        <v>34</v>
      </c>
      <c r="E8098" s="5" t="s">
        <v>68</v>
      </c>
      <c r="F8098" s="9" t="s">
        <v>309</v>
      </c>
      <c r="G8098" s="9" t="s">
        <v>117</v>
      </c>
      <c r="H8098" s="5" t="s">
        <v>21</v>
      </c>
      <c r="I8098" s="5" t="s">
        <v>19394</v>
      </c>
      <c r="J8098" s="12" t="str">
        <f>HYPERLINK("https://www.boe.es/gazeta/dias/1808/10/21/pdfs/GMD-D-1808-136.pdf#page=1","Abrir facsímil")</f>
        <v>Abrir facsímil</v>
      </c>
      <c r="K8098" s="15" t="s">
        <v>23</v>
      </c>
    </row>
    <row r="8099" spans="1:11" ht="42" customHeight="1">
      <c r="A8099" s="4" t="s">
        <v>19395</v>
      </c>
      <c r="B8099" s="5" t="s">
        <v>19396</v>
      </c>
      <c r="C8099" s="5" t="s">
        <v>33</v>
      </c>
      <c r="D8099" s="5" t="s">
        <v>34</v>
      </c>
      <c r="E8099" s="5" t="s">
        <v>461</v>
      </c>
      <c r="F8099" s="9" t="s">
        <v>462</v>
      </c>
      <c r="G8099" s="9" t="s">
        <v>75</v>
      </c>
      <c r="H8099" s="5" t="s">
        <v>21</v>
      </c>
      <c r="I8099" s="5" t="s">
        <v>19397</v>
      </c>
      <c r="J8099" s="12" t="str">
        <f>HYPERLINK("https://www.boe.es/gazeta/dias/1808/11/08/pdfs/GMD-D-1808-142.pdf#page=4","Abrir facsímil")</f>
        <v>Abrir facsímil</v>
      </c>
      <c r="K8099" s="15" t="s">
        <v>23</v>
      </c>
    </row>
    <row r="8100" spans="1:11" ht="42" customHeight="1">
      <c r="A8100" s="4" t="s">
        <v>19398</v>
      </c>
      <c r="B8100" s="5" t="s">
        <v>19399</v>
      </c>
      <c r="C8100" s="5" t="s">
        <v>41</v>
      </c>
      <c r="D8100" s="5" t="s">
        <v>42</v>
      </c>
      <c r="E8100" s="5" t="s">
        <v>153</v>
      </c>
      <c r="F8100" s="9" t="s">
        <v>154</v>
      </c>
      <c r="G8100" s="9" t="s">
        <v>106</v>
      </c>
      <c r="H8100" s="5" t="s">
        <v>21</v>
      </c>
      <c r="I8100" s="5" t="s">
        <v>19400</v>
      </c>
      <c r="J8100" s="12" t="str">
        <f>HYPERLINK("https://www.boe.es/gazeta/dias/1808/09/09/pdfs/GMD-C-1808-121.pdf#page=3","Abrir facsímil")</f>
        <v>Abrir facsímil</v>
      </c>
      <c r="K8100" s="15" t="s">
        <v>23</v>
      </c>
    </row>
    <row r="8101" spans="1:11" ht="42" customHeight="1">
      <c r="A8101" s="4" t="s">
        <v>19401</v>
      </c>
      <c r="B8101" s="5" t="s">
        <v>19402</v>
      </c>
      <c r="C8101" s="5" t="s">
        <v>17</v>
      </c>
      <c r="D8101" s="5" t="s">
        <v>18</v>
      </c>
      <c r="E8101" s="5" t="s">
        <v>351</v>
      </c>
      <c r="F8101" s="9" t="s">
        <v>352</v>
      </c>
      <c r="G8101" s="9">
        <v>28</v>
      </c>
      <c r="H8101" s="5" t="s">
        <v>21</v>
      </c>
      <c r="I8101" s="5" t="s">
        <v>19403</v>
      </c>
      <c r="J8101" s="12" t="str">
        <f>HYPERLINK("https://www.boe.es/gazeta/dias/1808/06/11/pdfs/GMS-1808-4.pdf#page=4","Abrir facsímil")</f>
        <v>Abrir facsímil</v>
      </c>
      <c r="K8101" s="15" t="s">
        <v>23</v>
      </c>
    </row>
    <row r="8102" spans="1:11" ht="42" customHeight="1">
      <c r="A8102" s="4" t="s">
        <v>19404</v>
      </c>
      <c r="B8102" s="5" t="s">
        <v>19405</v>
      </c>
      <c r="C8102" s="5" t="s">
        <v>17</v>
      </c>
      <c r="D8102" s="5" t="s">
        <v>18</v>
      </c>
      <c r="E8102" s="5" t="s">
        <v>493</v>
      </c>
      <c r="F8102" s="9" t="s">
        <v>494</v>
      </c>
      <c r="G8102" s="9">
        <v>47</v>
      </c>
      <c r="H8102" s="5" t="s">
        <v>21</v>
      </c>
      <c r="I8102" s="5" t="s">
        <v>19406</v>
      </c>
      <c r="J8102" s="12" t="str">
        <f>HYPERLINK("https://www.boe.es/gazeta/dias/1808/01/12/pdfs/GMD-1808-4.pdf#page=11","Abrir facsímil")</f>
        <v>Abrir facsímil</v>
      </c>
      <c r="K8102" s="15" t="s">
        <v>23</v>
      </c>
    </row>
    <row r="8103" spans="1:11" ht="42" customHeight="1">
      <c r="A8103" s="4" t="s">
        <v>19407</v>
      </c>
      <c r="B8103" s="5" t="s">
        <v>19408</v>
      </c>
      <c r="C8103" s="5" t="s">
        <v>33</v>
      </c>
      <c r="D8103" s="5" t="s">
        <v>34</v>
      </c>
      <c r="E8103" s="5" t="s">
        <v>180</v>
      </c>
      <c r="F8103" s="9" t="s">
        <v>768</v>
      </c>
      <c r="G8103" s="9" t="s">
        <v>75</v>
      </c>
      <c r="H8103" s="5" t="s">
        <v>21</v>
      </c>
      <c r="I8103" s="5" t="s">
        <v>19409</v>
      </c>
      <c r="J8103" s="12" t="str">
        <f>HYPERLINK("https://www.boe.es/gazeta/dias/1808/11/15/pdfs/GMD-D-1808-144.pdf#page=4","Abrir facsímil")</f>
        <v>Abrir facsímil</v>
      </c>
      <c r="K8103" s="15" t="s">
        <v>23</v>
      </c>
    </row>
    <row r="8104" spans="1:11" ht="42" customHeight="1">
      <c r="A8104" s="4" t="s">
        <v>19410</v>
      </c>
      <c r="B8104" s="5" t="s">
        <v>19411</v>
      </c>
      <c r="C8104" s="5" t="s">
        <v>260</v>
      </c>
      <c r="D8104" s="5" t="s">
        <v>42</v>
      </c>
      <c r="E8104" s="5" t="s">
        <v>218</v>
      </c>
      <c r="F8104" s="9" t="s">
        <v>219</v>
      </c>
      <c r="G8104" s="9">
        <v>329</v>
      </c>
      <c r="H8104" s="5" t="s">
        <v>21</v>
      </c>
      <c r="I8104" s="5" t="s">
        <v>19412</v>
      </c>
      <c r="J8104" s="12" t="str">
        <f>HYPERLINK("https://www.boe.es/gazeta/dias/1808/04/01/pdfs/GMD-1808-29.pdf#page=5","Abrir facsímil")</f>
        <v>Abrir facsímil</v>
      </c>
      <c r="K8104" s="15" t="s">
        <v>23</v>
      </c>
    </row>
    <row r="8105" spans="1:11" ht="42" customHeight="1">
      <c r="A8105" s="4" t="s">
        <v>19413</v>
      </c>
      <c r="B8105" s="5" t="s">
        <v>19414</v>
      </c>
      <c r="C8105" s="5" t="s">
        <v>33</v>
      </c>
      <c r="D8105" s="5" t="s">
        <v>34</v>
      </c>
      <c r="E8105" s="5" t="s">
        <v>19</v>
      </c>
      <c r="F8105" s="9" t="s">
        <v>949</v>
      </c>
      <c r="G8105" s="9" t="s">
        <v>199</v>
      </c>
      <c r="H8105" s="5" t="s">
        <v>21</v>
      </c>
      <c r="I8105" s="5" t="s">
        <v>19415</v>
      </c>
      <c r="J8105" s="12" t="str">
        <f>HYPERLINK("https://www.boe.es/gazeta/dias/1808/09/30/pdfs/GMD-C-1808-130.pdf#page=2","Abrir facsímil")</f>
        <v>Abrir facsímil</v>
      </c>
      <c r="K8105" s="15" t="s">
        <v>23</v>
      </c>
    </row>
    <row r="8106" spans="1:11" ht="42" customHeight="1">
      <c r="A8106" s="4" t="s">
        <v>19416</v>
      </c>
      <c r="B8106" s="5" t="s">
        <v>19417</v>
      </c>
      <c r="C8106" s="5" t="s">
        <v>260</v>
      </c>
      <c r="D8106" s="5" t="s">
        <v>42</v>
      </c>
      <c r="E8106" s="5" t="s">
        <v>115</v>
      </c>
      <c r="F8106" s="9" t="s">
        <v>1650</v>
      </c>
      <c r="G8106" s="9">
        <v>1177</v>
      </c>
      <c r="H8106" s="5" t="s">
        <v>21</v>
      </c>
      <c r="I8106" s="5" t="s">
        <v>19418</v>
      </c>
      <c r="J8106" s="12" t="str">
        <f>HYPERLINK("https://www.boe.es/gazeta/dias/1808/09/16/pdfs/GMD-1808-125.pdf#page=9","Abrir facsímil")</f>
        <v>Abrir facsímil</v>
      </c>
      <c r="K8106" s="15" t="s">
        <v>23</v>
      </c>
    </row>
    <row r="8107" spans="1:11" ht="42" customHeight="1">
      <c r="A8107" s="4" t="s">
        <v>19419</v>
      </c>
      <c r="B8107" s="5" t="s">
        <v>19420</v>
      </c>
      <c r="C8107" s="5" t="s">
        <v>260</v>
      </c>
      <c r="D8107" s="5" t="s">
        <v>42</v>
      </c>
      <c r="E8107" s="5" t="s">
        <v>469</v>
      </c>
      <c r="F8107" s="9" t="s">
        <v>470</v>
      </c>
      <c r="G8107" s="9">
        <v>152</v>
      </c>
      <c r="H8107" s="5" t="s">
        <v>21</v>
      </c>
      <c r="I8107" s="5" t="s">
        <v>19421</v>
      </c>
      <c r="J8107" s="12" t="str">
        <f>HYPERLINK("https://www.boe.es/gazeta/dias/1808/02/12/pdfs/GMD-1808-13.pdf#page=8","Abrir facsímil")</f>
        <v>Abrir facsímil</v>
      </c>
      <c r="K8107" s="15" t="s">
        <v>23</v>
      </c>
    </row>
    <row r="8108" spans="1:11" ht="42" customHeight="1">
      <c r="A8108" s="4" t="s">
        <v>19422</v>
      </c>
      <c r="B8108" s="5" t="s">
        <v>19423</v>
      </c>
      <c r="C8108" s="5" t="s">
        <v>101</v>
      </c>
      <c r="D8108" s="5" t="s">
        <v>102</v>
      </c>
      <c r="E8108" s="5" t="s">
        <v>3365</v>
      </c>
      <c r="F8108" s="9" t="s">
        <v>7950</v>
      </c>
      <c r="G8108" s="9">
        <v>876</v>
      </c>
      <c r="H8108" s="5" t="s">
        <v>21</v>
      </c>
      <c r="I8108" s="5" t="s">
        <v>19424</v>
      </c>
      <c r="J8108" s="12" t="str">
        <f>HYPERLINK("https://www.boe.es/gazeta/dias/1808/07/23/pdfs/GMD-1808-95.pdf#page=6","Abrir facsímil")</f>
        <v>Abrir facsímil</v>
      </c>
      <c r="K8108" s="15" t="s">
        <v>23</v>
      </c>
    </row>
    <row r="8109" spans="1:11" ht="42" customHeight="1">
      <c r="A8109" s="4" t="s">
        <v>19425</v>
      </c>
      <c r="B8109" s="5" t="s">
        <v>19425</v>
      </c>
      <c r="C8109" s="5" t="s">
        <v>94</v>
      </c>
      <c r="D8109" s="5" t="s">
        <v>95</v>
      </c>
      <c r="E8109" s="5" t="s">
        <v>1466</v>
      </c>
      <c r="F8109" s="9" t="s">
        <v>1467</v>
      </c>
      <c r="G8109" s="9">
        <v>53</v>
      </c>
      <c r="H8109" s="5" t="s">
        <v>21</v>
      </c>
      <c r="I8109" s="5" t="s">
        <v>19426</v>
      </c>
      <c r="J8109" s="12" t="str">
        <f>HYPERLINK("https://www.boe.es/gazeta/dias/1808/01/15/pdfs/GMD-1808-5.pdf#page=5","Abrir facsímil")</f>
        <v>Abrir facsímil</v>
      </c>
      <c r="K8109" s="15" t="s">
        <v>23</v>
      </c>
    </row>
    <row r="8110" spans="1:11" ht="42" customHeight="1">
      <c r="A8110" s="4" t="s">
        <v>19427</v>
      </c>
      <c r="B8110" s="5" t="s">
        <v>19427</v>
      </c>
      <c r="C8110" s="5" t="s">
        <v>101</v>
      </c>
      <c r="D8110" s="5" t="s">
        <v>102</v>
      </c>
      <c r="E8110" s="5" t="s">
        <v>157</v>
      </c>
      <c r="F8110" s="9" t="s">
        <v>2896</v>
      </c>
      <c r="G8110" s="9">
        <v>589</v>
      </c>
      <c r="H8110" s="5" t="s">
        <v>21</v>
      </c>
      <c r="I8110" s="5" t="s">
        <v>19428</v>
      </c>
      <c r="J8110" s="12" t="str">
        <f>HYPERLINK("https://www.boe.es/gazeta/dias/1808/06/18/pdfs/GMD-1808-60.pdf#page=3","Abrir facsímil")</f>
        <v>Abrir facsímil</v>
      </c>
      <c r="K8110" s="15" t="s">
        <v>23</v>
      </c>
    </row>
    <row r="8111" spans="1:11" ht="42" customHeight="1">
      <c r="A8111" s="4" t="s">
        <v>19429</v>
      </c>
      <c r="B8111" s="5" t="s">
        <v>19430</v>
      </c>
      <c r="C8111" s="5" t="s">
        <v>17</v>
      </c>
      <c r="D8111" s="5" t="s">
        <v>18</v>
      </c>
      <c r="E8111" s="5" t="s">
        <v>197</v>
      </c>
      <c r="F8111" s="9" t="s">
        <v>790</v>
      </c>
      <c r="G8111" s="9">
        <v>1407</v>
      </c>
      <c r="H8111" s="5" t="s">
        <v>21</v>
      </c>
      <c r="I8111" s="5" t="s">
        <v>19431</v>
      </c>
      <c r="J8111" s="12" t="str">
        <f>HYPERLINK("https://www.boe.es/gazeta/dias/1808/11/01/pdfs/GMD-1808-140.pdf#page=9","Abrir facsímil")</f>
        <v>Abrir facsímil</v>
      </c>
      <c r="K8111" s="15" t="s">
        <v>23</v>
      </c>
    </row>
    <row r="8112" spans="1:11" ht="42" customHeight="1">
      <c r="A8112" s="4" t="s">
        <v>19432</v>
      </c>
      <c r="B8112" s="5" t="s">
        <v>19433</v>
      </c>
      <c r="C8112" s="5" t="s">
        <v>33</v>
      </c>
      <c r="D8112" s="5" t="s">
        <v>34</v>
      </c>
      <c r="E8112" s="5" t="s">
        <v>19</v>
      </c>
      <c r="F8112" s="9" t="s">
        <v>949</v>
      </c>
      <c r="G8112" s="9" t="s">
        <v>117</v>
      </c>
      <c r="H8112" s="5" t="s">
        <v>21</v>
      </c>
      <c r="I8112" s="5" t="s">
        <v>19434</v>
      </c>
      <c r="J8112" s="12" t="str">
        <f>HYPERLINK("https://www.boe.es/gazeta/dias/1808/09/30/pdfs/GMD-C-1808-130.pdf#page=1","Abrir facsímil")</f>
        <v>Abrir facsímil</v>
      </c>
      <c r="K8112" s="15" t="s">
        <v>23</v>
      </c>
    </row>
    <row r="8113" spans="1:11" ht="42" customHeight="1">
      <c r="A8113" s="4" t="s">
        <v>19435</v>
      </c>
      <c r="B8113" s="5" t="s">
        <v>19435</v>
      </c>
      <c r="C8113" s="5" t="s">
        <v>94</v>
      </c>
      <c r="D8113" s="5" t="s">
        <v>95</v>
      </c>
      <c r="E8113" s="5" t="s">
        <v>548</v>
      </c>
      <c r="F8113" s="9" t="s">
        <v>549</v>
      </c>
      <c r="G8113" s="9">
        <v>273</v>
      </c>
      <c r="H8113" s="5" t="s">
        <v>21</v>
      </c>
      <c r="I8113" s="5" t="s">
        <v>19436</v>
      </c>
      <c r="J8113" s="12" t="str">
        <f>HYPERLINK("https://www.boe.es/gazeta/dias/1808/03/18/pdfs/GMD-1808-23.pdf#page=3","Abrir facsímil")</f>
        <v>Abrir facsímil</v>
      </c>
      <c r="K8113" s="15" t="s">
        <v>23</v>
      </c>
    </row>
    <row r="8114" spans="1:11" ht="42" customHeight="1">
      <c r="A8114" s="4" t="s">
        <v>19437</v>
      </c>
      <c r="B8114" s="5" t="s">
        <v>19438</v>
      </c>
      <c r="C8114" s="5" t="s">
        <v>33</v>
      </c>
      <c r="D8114" s="5" t="s">
        <v>34</v>
      </c>
      <c r="E8114" s="5" t="s">
        <v>35</v>
      </c>
      <c r="F8114" s="9" t="s">
        <v>36</v>
      </c>
      <c r="G8114" s="9" t="s">
        <v>47</v>
      </c>
      <c r="H8114" s="5" t="s">
        <v>21</v>
      </c>
      <c r="I8114" s="5" t="s">
        <v>19439</v>
      </c>
      <c r="J8114" s="12" t="str">
        <f>HYPERLINK("https://www.boe.es/gazeta/dias/1808/04/22/pdfs/GMD-C-1808-38.pdf#page=13","Abrir facsímil")</f>
        <v>Abrir facsímil</v>
      </c>
      <c r="K8114" s="15" t="s">
        <v>23</v>
      </c>
    </row>
    <row r="8115" spans="1:11" ht="42" customHeight="1">
      <c r="A8115" s="4" t="s">
        <v>19440</v>
      </c>
      <c r="B8115" s="5" t="s">
        <v>19440</v>
      </c>
      <c r="C8115" s="5" t="s">
        <v>33</v>
      </c>
      <c r="D8115" s="5" t="s">
        <v>34</v>
      </c>
      <c r="E8115" s="5" t="s">
        <v>35</v>
      </c>
      <c r="F8115" s="9" t="s">
        <v>36</v>
      </c>
      <c r="G8115" s="9" t="s">
        <v>277</v>
      </c>
      <c r="H8115" s="5" t="s">
        <v>21</v>
      </c>
      <c r="I8115" s="5" t="s">
        <v>19441</v>
      </c>
      <c r="J8115" s="12" t="str">
        <f>HYPERLINK("https://www.boe.es/gazeta/dias/1808/04/22/pdfs/GMD-C-1808-38.pdf#page=34","Abrir facsímil")</f>
        <v>Abrir facsímil</v>
      </c>
      <c r="K8115" s="15" t="s">
        <v>23</v>
      </c>
    </row>
    <row r="8116" spans="1:11" ht="42" customHeight="1">
      <c r="A8116" s="4" t="s">
        <v>19442</v>
      </c>
      <c r="B8116" s="5" t="s">
        <v>19442</v>
      </c>
      <c r="C8116" s="5" t="s">
        <v>33</v>
      </c>
      <c r="D8116" s="5" t="s">
        <v>34</v>
      </c>
      <c r="E8116" s="5" t="s">
        <v>89</v>
      </c>
      <c r="F8116" s="9" t="s">
        <v>563</v>
      </c>
      <c r="G8116" s="9" t="s">
        <v>106</v>
      </c>
      <c r="H8116" s="5" t="s">
        <v>21</v>
      </c>
      <c r="I8116" s="5" t="s">
        <v>19443</v>
      </c>
      <c r="J8116" s="12" t="str">
        <f>HYPERLINK("https://www.boe.es/gazeta/dias/1808/10/25/pdfs/GMD-D-1808-137.pdf#page=3","Abrir facsímil")</f>
        <v>Abrir facsímil</v>
      </c>
      <c r="K8116" s="15" t="s">
        <v>23</v>
      </c>
    </row>
    <row r="8117" spans="1:11" ht="42" customHeight="1">
      <c r="A8117" s="4" t="s">
        <v>19444</v>
      </c>
      <c r="B8117" s="5" t="s">
        <v>19444</v>
      </c>
      <c r="C8117" s="5" t="s">
        <v>17</v>
      </c>
      <c r="D8117" s="5" t="s">
        <v>18</v>
      </c>
      <c r="E8117" s="5" t="s">
        <v>61</v>
      </c>
      <c r="F8117" s="9" t="s">
        <v>62</v>
      </c>
      <c r="G8117" s="9">
        <v>1286</v>
      </c>
      <c r="H8117" s="5" t="s">
        <v>21</v>
      </c>
      <c r="I8117" s="5" t="s">
        <v>19445</v>
      </c>
      <c r="J8117" s="12" t="str">
        <f>HYPERLINK("https://www.boe.es/gazeta/dias/1808/10/11/pdfs/GMD-1808-133.pdf#page=14","Abrir facsímil")</f>
        <v>Abrir facsímil</v>
      </c>
      <c r="K8117" s="15" t="s">
        <v>23</v>
      </c>
    </row>
    <row r="8118" spans="1:11" ht="42" customHeight="1">
      <c r="A8118" s="4" t="s">
        <v>19446</v>
      </c>
      <c r="B8118" s="5" t="s">
        <v>19446</v>
      </c>
      <c r="C8118" s="5" t="s">
        <v>101</v>
      </c>
      <c r="D8118" s="5" t="s">
        <v>102</v>
      </c>
      <c r="E8118" s="5" t="s">
        <v>548</v>
      </c>
      <c r="F8118" s="9" t="s">
        <v>549</v>
      </c>
      <c r="G8118" s="9">
        <v>274</v>
      </c>
      <c r="H8118" s="5" t="s">
        <v>21</v>
      </c>
      <c r="I8118" s="5" t="s">
        <v>19447</v>
      </c>
      <c r="J8118" s="12" t="str">
        <f>HYPERLINK("https://www.boe.es/gazeta/dias/1808/03/18/pdfs/GMD-1808-23.pdf#page=4","Abrir facsímil")</f>
        <v>Abrir facsímil</v>
      </c>
      <c r="K8118" s="15" t="s">
        <v>23</v>
      </c>
    </row>
    <row r="8119" spans="1:11" ht="42" customHeight="1">
      <c r="A8119" s="4" t="s">
        <v>19448</v>
      </c>
      <c r="B8119" s="5" t="s">
        <v>19449</v>
      </c>
      <c r="C8119" s="5" t="s">
        <v>389</v>
      </c>
      <c r="D8119" s="5" t="s">
        <v>390</v>
      </c>
      <c r="E8119" s="5" t="s">
        <v>4382</v>
      </c>
      <c r="F8119" s="9" t="s">
        <v>4383</v>
      </c>
      <c r="G8119" s="9">
        <v>846</v>
      </c>
      <c r="H8119" s="5" t="s">
        <v>21</v>
      </c>
      <c r="I8119" s="5" t="s">
        <v>19450</v>
      </c>
      <c r="J8119" s="12" t="str">
        <f>HYPERLINK("https://www.boe.es/gazeta/dias/1808/07/19/pdfs/GMD-1808-91.pdf#page=8","Abrir facsímil")</f>
        <v>Abrir facsímil</v>
      </c>
      <c r="K8119" s="15" t="s">
        <v>23</v>
      </c>
    </row>
    <row r="8120" spans="1:11" ht="42" customHeight="1">
      <c r="A8120" s="4" t="s">
        <v>19451</v>
      </c>
      <c r="B8120" s="5" t="s">
        <v>19452</v>
      </c>
      <c r="C8120" s="5" t="s">
        <v>260</v>
      </c>
      <c r="D8120" s="5" t="s">
        <v>42</v>
      </c>
      <c r="E8120" s="5" t="s">
        <v>516</v>
      </c>
      <c r="F8120" s="9" t="s">
        <v>517</v>
      </c>
      <c r="G8120" s="9">
        <v>602</v>
      </c>
      <c r="H8120" s="5" t="s">
        <v>21</v>
      </c>
      <c r="I8120" s="5" t="s">
        <v>19453</v>
      </c>
      <c r="J8120" s="12" t="str">
        <f>HYPERLINK("https://www.boe.es/gazeta/dias/1808/06/19/pdfs/GMD-1808-61.pdf#page=8","Abrir facsímil")</f>
        <v>Abrir facsímil</v>
      </c>
      <c r="K8120" s="15" t="s">
        <v>23</v>
      </c>
    </row>
    <row r="8121" spans="1:11" ht="42" customHeight="1">
      <c r="A8121" s="4" t="s">
        <v>19454</v>
      </c>
      <c r="B8121" s="5" t="s">
        <v>19455</v>
      </c>
      <c r="C8121" s="5" t="s">
        <v>17</v>
      </c>
      <c r="D8121" s="5" t="s">
        <v>18</v>
      </c>
      <c r="E8121" s="5" t="s">
        <v>1702</v>
      </c>
      <c r="F8121" s="9" t="s">
        <v>1703</v>
      </c>
      <c r="G8121" s="9">
        <v>104</v>
      </c>
      <c r="H8121" s="5" t="s">
        <v>21</v>
      </c>
      <c r="I8121" s="5" t="s">
        <v>19456</v>
      </c>
      <c r="J8121" s="12" t="str">
        <f>HYPERLINK("https://www.boe.es/gazeta/dias/1808/07/13/pdfs/GMS-1808-13.pdf#page=8","Abrir facsímil")</f>
        <v>Abrir facsímil</v>
      </c>
      <c r="K8121" s="15" t="s">
        <v>23</v>
      </c>
    </row>
    <row r="8122" spans="1:11" ht="42" customHeight="1">
      <c r="A8122" s="4" t="s">
        <v>19457</v>
      </c>
      <c r="B8122" s="5" t="s">
        <v>19458</v>
      </c>
      <c r="C8122" s="5" t="s">
        <v>33</v>
      </c>
      <c r="D8122" s="5" t="s">
        <v>34</v>
      </c>
      <c r="E8122" s="5" t="s">
        <v>427</v>
      </c>
      <c r="F8122" s="9" t="s">
        <v>428</v>
      </c>
      <c r="G8122" s="9" t="s">
        <v>106</v>
      </c>
      <c r="H8122" s="5" t="s">
        <v>21</v>
      </c>
      <c r="I8122" s="5" t="s">
        <v>19459</v>
      </c>
      <c r="J8122" s="12" t="str">
        <f>HYPERLINK("https://www.boe.es/gazeta/dias/1808/11/22/pdfs/GMD-D-1808-146.pdf#page=3","Abrir facsímil")</f>
        <v>Abrir facsímil</v>
      </c>
      <c r="K8122" s="15" t="s">
        <v>23</v>
      </c>
    </row>
    <row r="8123" spans="1:11" ht="42" customHeight="1">
      <c r="A8123" s="4" t="s">
        <v>19460</v>
      </c>
      <c r="B8123" s="5" t="s">
        <v>19461</v>
      </c>
      <c r="C8123" s="5" t="s">
        <v>33</v>
      </c>
      <c r="D8123" s="5" t="s">
        <v>34</v>
      </c>
      <c r="E8123" s="5" t="s">
        <v>68</v>
      </c>
      <c r="F8123" s="9" t="s">
        <v>309</v>
      </c>
      <c r="G8123" s="9" t="s">
        <v>199</v>
      </c>
      <c r="H8123" s="5" t="s">
        <v>21</v>
      </c>
      <c r="I8123" s="5" t="s">
        <v>19462</v>
      </c>
      <c r="J8123" s="12" t="str">
        <f>HYPERLINK("https://www.boe.es/gazeta/dias/1808/10/21/pdfs/GMD-D-1808-136.pdf#page=2","Abrir facsímil")</f>
        <v>Abrir facsímil</v>
      </c>
      <c r="K8123" s="15" t="s">
        <v>23</v>
      </c>
    </row>
    <row r="8124" spans="1:11" ht="42" customHeight="1">
      <c r="A8124" s="4" t="s">
        <v>19463</v>
      </c>
      <c r="B8124" s="5" t="s">
        <v>19464</v>
      </c>
      <c r="C8124" s="5" t="s">
        <v>17</v>
      </c>
      <c r="D8124" s="5" t="s">
        <v>18</v>
      </c>
      <c r="E8124" s="5" t="s">
        <v>553</v>
      </c>
      <c r="F8124" s="9" t="s">
        <v>554</v>
      </c>
      <c r="G8124" s="9">
        <v>910</v>
      </c>
      <c r="H8124" s="5" t="s">
        <v>21</v>
      </c>
      <c r="I8124" s="5" t="s">
        <v>19465</v>
      </c>
      <c r="J8124" s="12" t="str">
        <f>HYPERLINK("https://www.boe.es/gazeta/dias/1808/07/27/pdfs/GMD-1808-99.pdf#page=8","Abrir facsímil")</f>
        <v>Abrir facsímil</v>
      </c>
      <c r="K8124" s="15" t="s">
        <v>23</v>
      </c>
    </row>
    <row r="8125" spans="1:11" ht="42" customHeight="1">
      <c r="A8125" s="4" t="s">
        <v>19466</v>
      </c>
      <c r="B8125" s="5" t="s">
        <v>19467</v>
      </c>
      <c r="C8125" s="5" t="s">
        <v>17</v>
      </c>
      <c r="D8125" s="5" t="s">
        <v>18</v>
      </c>
      <c r="E8125" s="5" t="s">
        <v>130</v>
      </c>
      <c r="F8125" s="9" t="s">
        <v>131</v>
      </c>
      <c r="G8125" s="9">
        <v>1603</v>
      </c>
      <c r="H8125" s="5" t="s">
        <v>21</v>
      </c>
      <c r="I8125" s="5" t="s">
        <v>19468</v>
      </c>
      <c r="J8125" s="12" t="str">
        <f>HYPERLINK("https://www.boe.es/gazeta/dias/1808/12/15/pdfs/GMD-1808-155.pdf#page=7","Abrir facsímil")</f>
        <v>Abrir facsímil</v>
      </c>
      <c r="K8125" s="15" t="s">
        <v>23</v>
      </c>
    </row>
    <row r="8126" spans="1:11" ht="42" customHeight="1">
      <c r="A8126" s="4" t="s">
        <v>19469</v>
      </c>
      <c r="B8126" s="5" t="s">
        <v>19469</v>
      </c>
      <c r="C8126" s="5" t="s">
        <v>41</v>
      </c>
      <c r="D8126" s="5" t="s">
        <v>42</v>
      </c>
      <c r="E8126" s="5" t="s">
        <v>35</v>
      </c>
      <c r="F8126" s="9" t="s">
        <v>36</v>
      </c>
      <c r="G8126" s="9" t="s">
        <v>15282</v>
      </c>
      <c r="H8126" s="5" t="s">
        <v>21</v>
      </c>
      <c r="I8126" s="5" t="s">
        <v>19470</v>
      </c>
      <c r="J8126" s="12" t="str">
        <f>HYPERLINK("https://www.boe.es/gazeta/dias/1808/04/22/pdfs/GMD-C-1808-38.pdf#page=28","Abrir facsímil")</f>
        <v>Abrir facsímil</v>
      </c>
      <c r="K8126" s="15" t="s">
        <v>23</v>
      </c>
    </row>
    <row r="8127" spans="1:11" ht="42" customHeight="1">
      <c r="A8127" s="4" t="s">
        <v>19471</v>
      </c>
      <c r="B8127" s="5" t="s">
        <v>19472</v>
      </c>
      <c r="C8127" s="5" t="s">
        <v>41</v>
      </c>
      <c r="D8127" s="5" t="s">
        <v>42</v>
      </c>
      <c r="E8127" s="5" t="s">
        <v>28</v>
      </c>
      <c r="F8127" s="9" t="s">
        <v>446</v>
      </c>
      <c r="G8127" s="9" t="s">
        <v>106</v>
      </c>
      <c r="H8127" s="5" t="s">
        <v>21</v>
      </c>
      <c r="I8127" s="5" t="s">
        <v>19473</v>
      </c>
      <c r="J8127" s="12" t="str">
        <f>HYPERLINK("https://www.boe.es/gazeta/dias/1808/11/04/pdfs/GMD-D-1808-141.pdf#page=3","Abrir facsímil")</f>
        <v>Abrir facsímil</v>
      </c>
      <c r="K8127" s="15" t="s">
        <v>23</v>
      </c>
    </row>
    <row r="8128" spans="1:11" ht="42" customHeight="1">
      <c r="A8128" s="4" t="s">
        <v>19474</v>
      </c>
      <c r="B8128" s="5" t="s">
        <v>19475</v>
      </c>
      <c r="C8128" s="5" t="s">
        <v>17</v>
      </c>
      <c r="D8128" s="5" t="s">
        <v>18</v>
      </c>
      <c r="E8128" s="5" t="s">
        <v>1466</v>
      </c>
      <c r="F8128" s="9" t="s">
        <v>1467</v>
      </c>
      <c r="G8128" s="9">
        <v>55</v>
      </c>
      <c r="H8128" s="5" t="s">
        <v>21</v>
      </c>
      <c r="I8128" s="5" t="s">
        <v>19476</v>
      </c>
      <c r="J8128" s="12" t="str">
        <f>HYPERLINK("https://www.boe.es/gazeta/dias/1808/01/15/pdfs/GMD-1808-5.pdf#page=7","Abrir facsímil")</f>
        <v>Abrir facsímil</v>
      </c>
      <c r="K8128" s="15" t="s">
        <v>23</v>
      </c>
    </row>
    <row r="8129" spans="1:11" ht="42" customHeight="1">
      <c r="A8129" s="4" t="s">
        <v>19477</v>
      </c>
      <c r="B8129" s="5" t="s">
        <v>19478</v>
      </c>
      <c r="C8129" s="5" t="s">
        <v>41</v>
      </c>
      <c r="D8129" s="5" t="s">
        <v>42</v>
      </c>
      <c r="E8129" s="5" t="s">
        <v>68</v>
      </c>
      <c r="F8129" s="9" t="s">
        <v>69</v>
      </c>
      <c r="G8129" s="9">
        <v>1340</v>
      </c>
      <c r="H8129" s="5" t="s">
        <v>21</v>
      </c>
      <c r="I8129" s="5" t="s">
        <v>19479</v>
      </c>
      <c r="J8129" s="12" t="str">
        <f>HYPERLINK("https://www.boe.es/gazeta/dias/1808/10/21/pdfs/GMD-1808-136.pdf#page=12","Abrir facsímil")</f>
        <v>Abrir facsímil</v>
      </c>
      <c r="K8129" s="15" t="s">
        <v>23</v>
      </c>
    </row>
    <row r="8130" spans="1:11" ht="42" customHeight="1">
      <c r="A8130" s="4" t="s">
        <v>19480</v>
      </c>
      <c r="B8130" s="5" t="s">
        <v>19481</v>
      </c>
      <c r="C8130" s="5" t="s">
        <v>17</v>
      </c>
      <c r="D8130" s="5" t="s">
        <v>18</v>
      </c>
      <c r="E8130" s="5" t="s">
        <v>334</v>
      </c>
      <c r="F8130" s="9" t="s">
        <v>1814</v>
      </c>
      <c r="G8130" s="9">
        <v>1244</v>
      </c>
      <c r="H8130" s="5" t="s">
        <v>21</v>
      </c>
      <c r="I8130" s="5" t="s">
        <v>19482</v>
      </c>
      <c r="J8130" s="12" t="str">
        <f>HYPERLINK("https://www.boe.es/gazeta/dias/1808/10/04/pdfs/GMD-1808-131.pdf#page=12","Abrir facsímil")</f>
        <v>Abrir facsímil</v>
      </c>
      <c r="K8130" s="15" t="s">
        <v>23</v>
      </c>
    </row>
    <row r="8131" spans="1:11" ht="42" customHeight="1">
      <c r="A8131" s="4" t="s">
        <v>19483</v>
      </c>
      <c r="B8131" s="5" t="s">
        <v>19484</v>
      </c>
      <c r="C8131" s="5" t="s">
        <v>17</v>
      </c>
      <c r="D8131" s="5" t="s">
        <v>18</v>
      </c>
      <c r="E8131" s="5" t="s">
        <v>203</v>
      </c>
      <c r="F8131" s="9" t="s">
        <v>204</v>
      </c>
      <c r="G8131" s="9">
        <v>141</v>
      </c>
      <c r="H8131" s="5" t="s">
        <v>21</v>
      </c>
      <c r="I8131" s="5" t="s">
        <v>19485</v>
      </c>
      <c r="J8131" s="12" t="str">
        <f>HYPERLINK("https://www.boe.es/gazeta/dias/1808/02/09/pdfs/GMD-1808-12.pdf#page=9","Abrir facsímil")</f>
        <v>Abrir facsímil</v>
      </c>
      <c r="K8131" s="15" t="s">
        <v>23</v>
      </c>
    </row>
    <row r="8132" spans="1:11" ht="42" customHeight="1">
      <c r="A8132" s="4" t="s">
        <v>19483</v>
      </c>
      <c r="B8132" s="5" t="s">
        <v>19484</v>
      </c>
      <c r="C8132" s="5" t="s">
        <v>33</v>
      </c>
      <c r="D8132" s="5" t="s">
        <v>34</v>
      </c>
      <c r="E8132" s="5" t="s">
        <v>153</v>
      </c>
      <c r="F8132" s="9" t="s">
        <v>154</v>
      </c>
      <c r="G8132" s="9" t="s">
        <v>106</v>
      </c>
      <c r="H8132" s="5" t="s">
        <v>21</v>
      </c>
      <c r="I8132" s="5" t="s">
        <v>19486</v>
      </c>
      <c r="J8132" s="12" t="str">
        <f>HYPERLINK("https://www.boe.es/gazeta/dias/1808/09/09/pdfs/GMD-C-1808-121.pdf#page=3","Abrir facsímil")</f>
        <v>Abrir facsímil</v>
      </c>
      <c r="K8132" s="15" t="s">
        <v>23</v>
      </c>
    </row>
    <row r="8133" spans="1:11" ht="42" customHeight="1">
      <c r="A8133" s="4" t="s">
        <v>19487</v>
      </c>
      <c r="B8133" s="5" t="s">
        <v>19488</v>
      </c>
      <c r="C8133" s="5" t="s">
        <v>33</v>
      </c>
      <c r="D8133" s="5" t="s">
        <v>34</v>
      </c>
      <c r="E8133" s="5" t="s">
        <v>35</v>
      </c>
      <c r="F8133" s="9" t="s">
        <v>36</v>
      </c>
      <c r="G8133" s="9" t="s">
        <v>117</v>
      </c>
      <c r="H8133" s="5" t="s">
        <v>21</v>
      </c>
      <c r="I8133" s="5" t="s">
        <v>19489</v>
      </c>
      <c r="J8133" s="12" t="str">
        <f>HYPERLINK("https://www.boe.es/gazeta/dias/1808/04/22/pdfs/GMD-C-1808-38.pdf#page=1","Abrir facsímil")</f>
        <v>Abrir facsímil</v>
      </c>
      <c r="K8133" s="15" t="s">
        <v>23</v>
      </c>
    </row>
    <row r="8134" spans="1:11" ht="42" customHeight="1">
      <c r="A8134" s="4" t="s">
        <v>19490</v>
      </c>
      <c r="B8134" s="5" t="s">
        <v>19490</v>
      </c>
      <c r="C8134" s="5" t="s">
        <v>17</v>
      </c>
      <c r="D8134" s="5" t="s">
        <v>18</v>
      </c>
      <c r="E8134" s="5" t="s">
        <v>68</v>
      </c>
      <c r="F8134" s="9" t="s">
        <v>69</v>
      </c>
      <c r="G8134" s="9">
        <v>1339</v>
      </c>
      <c r="H8134" s="5" t="s">
        <v>21</v>
      </c>
      <c r="I8134" s="5" t="s">
        <v>19491</v>
      </c>
      <c r="J8134" s="12" t="str">
        <f>HYPERLINK("https://www.boe.es/gazeta/dias/1808/10/21/pdfs/GMD-1808-136.pdf#page=11","Abrir facsímil")</f>
        <v>Abrir facsímil</v>
      </c>
      <c r="K8134" s="15" t="s">
        <v>23</v>
      </c>
    </row>
    <row r="8135" spans="1:11" ht="42" customHeight="1">
      <c r="A8135" s="4" t="s">
        <v>19492</v>
      </c>
      <c r="B8135" s="5" t="s">
        <v>19493</v>
      </c>
      <c r="C8135" s="5" t="s">
        <v>101</v>
      </c>
      <c r="D8135" s="5" t="s">
        <v>102</v>
      </c>
      <c r="E8135" s="5" t="s">
        <v>2603</v>
      </c>
      <c r="F8135" s="9" t="s">
        <v>2604</v>
      </c>
      <c r="G8135" s="9">
        <v>668</v>
      </c>
      <c r="H8135" s="5" t="s">
        <v>21</v>
      </c>
      <c r="I8135" s="5" t="s">
        <v>19494</v>
      </c>
      <c r="J8135" s="12" t="str">
        <f>HYPERLINK("https://www.boe.es/gazeta/dias/1808/06/27/pdfs/GMD-1808-69.pdf#page=6","Abrir facsímil")</f>
        <v>Abrir facsímil</v>
      </c>
      <c r="K8135" s="15" t="s">
        <v>23</v>
      </c>
    </row>
    <row r="8136" spans="1:11" ht="42" customHeight="1">
      <c r="A8136" s="4" t="s">
        <v>19495</v>
      </c>
      <c r="B8136" s="5" t="s">
        <v>19496</v>
      </c>
      <c r="C8136" s="5" t="s">
        <v>94</v>
      </c>
      <c r="D8136" s="5" t="s">
        <v>95</v>
      </c>
      <c r="E8136" s="5" t="s">
        <v>287</v>
      </c>
      <c r="F8136" s="9" t="s">
        <v>489</v>
      </c>
      <c r="G8136" s="9">
        <v>1003</v>
      </c>
      <c r="H8136" s="5" t="s">
        <v>21</v>
      </c>
      <c r="I8136" s="5" t="s">
        <v>19497</v>
      </c>
      <c r="J8136" s="12" t="str">
        <f>HYPERLINK("https://www.boe.es/gazeta/dias/1808/08/12/pdfs/GMD-1808-112.pdf#page=7","Abrir facsímil")</f>
        <v>Abrir facsímil</v>
      </c>
      <c r="K8136" s="15" t="s">
        <v>23</v>
      </c>
    </row>
    <row r="8137" spans="1:11" ht="42" customHeight="1">
      <c r="A8137" s="4" t="s">
        <v>19498</v>
      </c>
      <c r="B8137" s="5" t="s">
        <v>19499</v>
      </c>
      <c r="C8137" s="5" t="s">
        <v>260</v>
      </c>
      <c r="D8137" s="5" t="s">
        <v>42</v>
      </c>
      <c r="E8137" s="5" t="s">
        <v>115</v>
      </c>
      <c r="F8137" s="9" t="s">
        <v>1650</v>
      </c>
      <c r="G8137" s="9">
        <v>1177</v>
      </c>
      <c r="H8137" s="5" t="s">
        <v>21</v>
      </c>
      <c r="I8137" s="5" t="s">
        <v>19500</v>
      </c>
      <c r="J8137" s="12" t="str">
        <f>HYPERLINK("https://www.boe.es/gazeta/dias/1808/09/16/pdfs/GMD-1808-125.pdf#page=9","Abrir facsímil")</f>
        <v>Abrir facsímil</v>
      </c>
      <c r="K8137" s="15" t="s">
        <v>23</v>
      </c>
    </row>
    <row r="8138" spans="1:11" ht="42" customHeight="1">
      <c r="A8138" s="4" t="s">
        <v>19501</v>
      </c>
      <c r="B8138" s="5" t="s">
        <v>19502</v>
      </c>
      <c r="C8138" s="5" t="s">
        <v>260</v>
      </c>
      <c r="D8138" s="5" t="s">
        <v>42</v>
      </c>
      <c r="E8138" s="5" t="s">
        <v>115</v>
      </c>
      <c r="F8138" s="9" t="s">
        <v>1650</v>
      </c>
      <c r="G8138" s="9">
        <v>1177</v>
      </c>
      <c r="H8138" s="5" t="s">
        <v>21</v>
      </c>
      <c r="I8138" s="5" t="s">
        <v>19503</v>
      </c>
      <c r="J8138" s="12" t="str">
        <f>HYPERLINK("https://www.boe.es/gazeta/dias/1808/09/16/pdfs/GMD-1808-125.pdf#page=9","Abrir facsímil")</f>
        <v>Abrir facsímil</v>
      </c>
      <c r="K8138" s="15" t="s">
        <v>23</v>
      </c>
    </row>
    <row r="8139" spans="1:11" ht="42" customHeight="1">
      <c r="A8139" s="4" t="s">
        <v>19504</v>
      </c>
      <c r="B8139" s="5" t="s">
        <v>19505</v>
      </c>
      <c r="C8139" s="5" t="s">
        <v>94</v>
      </c>
      <c r="D8139" s="5" t="s">
        <v>95</v>
      </c>
      <c r="E8139" s="5" t="s">
        <v>51</v>
      </c>
      <c r="F8139" s="9" t="s">
        <v>52</v>
      </c>
      <c r="G8139" s="9">
        <v>990</v>
      </c>
      <c r="H8139" s="5" t="s">
        <v>21</v>
      </c>
      <c r="I8139" s="5" t="s">
        <v>19506</v>
      </c>
      <c r="J8139" s="12" t="str">
        <f>HYPERLINK("https://www.boe.es/gazeta/dias/1808/08/09/pdfs/GMD-1808-111.pdf#page=6","Abrir facsímil")</f>
        <v>Abrir facsímil</v>
      </c>
      <c r="K8139" s="15" t="s">
        <v>23</v>
      </c>
    </row>
    <row r="8140" spans="1:11" ht="42" customHeight="1">
      <c r="A8140" s="6" t="s">
        <v>19507</v>
      </c>
      <c r="B8140" s="7" t="s">
        <v>19508</v>
      </c>
      <c r="C8140" s="7" t="s">
        <v>33</v>
      </c>
      <c r="D8140" s="7" t="s">
        <v>34</v>
      </c>
      <c r="E8140" s="7" t="s">
        <v>264</v>
      </c>
      <c r="F8140" s="10" t="s">
        <v>318</v>
      </c>
      <c r="G8140" s="10" t="s">
        <v>106</v>
      </c>
      <c r="H8140" s="7" t="s">
        <v>21</v>
      </c>
      <c r="I8140" s="7" t="s">
        <v>19509</v>
      </c>
      <c r="J8140" s="13" t="str">
        <f>HYPERLINK("https://www.boe.es/gazeta/dias/1808/11/29/pdfs/GMD-C-1808-148.pdf#page=3","Abrir facsímil")</f>
        <v>Abrir facsímil</v>
      </c>
      <c r="K8140" s="16" t="s">
        <v>23</v>
      </c>
    </row>
  </sheetData>
  <mergeCells count="5">
    <mergeCell ref="A1:K1"/>
    <mergeCell ref="A2:K2"/>
    <mergeCell ref="A3:C3"/>
    <mergeCell ref="D3:K3"/>
    <mergeCell ref="A4:K4"/>
  </mergeCells>
  <conditionalFormatting sqref="K7:K8140">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308"/>
  <sheetViews>
    <sheetView showGridLines="0" workbookViewId="0">
      <pane ySplit="3" topLeftCell="A4" activePane="bottomLeft" state="frozen"/>
      <selection pane="bottomLeft"/>
    </sheetView>
  </sheetViews>
  <sheetFormatPr baseColWidth="10" defaultColWidth="8.796875" defaultRowHeight="13.8"/>
  <cols>
    <col min="1" max="2" width="28" customWidth="1"/>
    <col min="3" max="3" width="26" customWidth="1"/>
    <col min="4" max="4" width="13" customWidth="1"/>
    <col min="5" max="5" width="22" customWidth="1"/>
  </cols>
  <sheetData>
    <row r="1" spans="1:5" ht="31.95" customHeight="1">
      <c r="A1" s="30" t="s">
        <v>19510</v>
      </c>
      <c r="B1" s="30"/>
      <c r="C1" s="30"/>
      <c r="D1" s="30"/>
      <c r="E1" s="30"/>
    </row>
    <row r="3" spans="1:5">
      <c r="A3" s="1" t="s">
        <v>10</v>
      </c>
      <c r="B3" s="1" t="s">
        <v>9</v>
      </c>
      <c r="C3" s="1" t="s">
        <v>19511</v>
      </c>
      <c r="D3" s="1" t="s">
        <v>19512</v>
      </c>
      <c r="E3" s="1" t="s">
        <v>19513</v>
      </c>
    </row>
    <row r="4" spans="1:5">
      <c r="A4" s="20" t="s">
        <v>243</v>
      </c>
      <c r="B4" s="17" t="s">
        <v>242</v>
      </c>
      <c r="C4" s="23" t="s">
        <v>19514</v>
      </c>
      <c r="D4" s="23">
        <v>23</v>
      </c>
      <c r="E4" s="26" t="str">
        <f>HYPERLINK("https://www.boe.es/gazeta/dias/1808/01/01/pdfs/GMD-1808-1.pdf","Abrir fascículo")</f>
        <v>Abrir fascículo</v>
      </c>
    </row>
    <row r="5" spans="1:5">
      <c r="A5" s="21" t="s">
        <v>573</v>
      </c>
      <c r="B5" s="18" t="s">
        <v>572</v>
      </c>
      <c r="C5" s="24" t="s">
        <v>19515</v>
      </c>
      <c r="D5" s="24">
        <v>35</v>
      </c>
      <c r="E5" s="27" t="str">
        <f>HYPERLINK("https://www.boe.es/gazeta/dias/1808/01/05/pdfs/GMD-1808-2.pdf","Abrir fascículo")</f>
        <v>Abrir fascículo</v>
      </c>
    </row>
    <row r="6" spans="1:5">
      <c r="A6" s="21" t="s">
        <v>239</v>
      </c>
      <c r="B6" s="18" t="s">
        <v>238</v>
      </c>
      <c r="C6" s="24" t="s">
        <v>19516</v>
      </c>
      <c r="D6" s="24">
        <v>30</v>
      </c>
      <c r="E6" s="27" t="str">
        <f>HYPERLINK("https://www.boe.es/gazeta/dias/1808/01/08/pdfs/GMD-1808-3.pdf","Abrir fascículo")</f>
        <v>Abrir fascículo</v>
      </c>
    </row>
    <row r="7" spans="1:5">
      <c r="A7" s="21" t="s">
        <v>494</v>
      </c>
      <c r="B7" s="18" t="s">
        <v>493</v>
      </c>
      <c r="C7" s="24" t="s">
        <v>19517</v>
      </c>
      <c r="D7" s="24">
        <v>55</v>
      </c>
      <c r="E7" s="27" t="str">
        <f>HYPERLINK("https://www.boe.es/gazeta/dias/1808/01/12/pdfs/GMD-1808-4.pdf","Abrir fascículo")</f>
        <v>Abrir fascículo</v>
      </c>
    </row>
    <row r="8" spans="1:5">
      <c r="A8" s="21" t="s">
        <v>1467</v>
      </c>
      <c r="B8" s="18" t="s">
        <v>1466</v>
      </c>
      <c r="C8" s="24" t="s">
        <v>19518</v>
      </c>
      <c r="D8" s="24">
        <v>28</v>
      </c>
      <c r="E8" s="27" t="str">
        <f>HYPERLINK("https://www.boe.es/gazeta/dias/1808/01/15/pdfs/GMD-1808-5.pdf","Abrir fascículo")</f>
        <v>Abrir fascículo</v>
      </c>
    </row>
    <row r="9" spans="1:5">
      <c r="A9" s="21" t="s">
        <v>270</v>
      </c>
      <c r="B9" s="18" t="s">
        <v>269</v>
      </c>
      <c r="C9" s="24" t="s">
        <v>19519</v>
      </c>
      <c r="D9" s="24">
        <v>46</v>
      </c>
      <c r="E9" s="27" t="str">
        <f>HYPERLINK("https://www.boe.es/gazeta/dias/1808/01/19/pdfs/GMD-1808-6.pdf","Abrir fascículo")</f>
        <v>Abrir fascículo</v>
      </c>
    </row>
    <row r="10" spans="1:5">
      <c r="A10" s="21" t="s">
        <v>340</v>
      </c>
      <c r="B10" s="18" t="s">
        <v>339</v>
      </c>
      <c r="C10" s="24" t="s">
        <v>19520</v>
      </c>
      <c r="D10" s="24">
        <v>29</v>
      </c>
      <c r="E10" s="27" t="str">
        <f>HYPERLINK("https://www.boe.es/gazeta/dias/1808/01/22/pdfs/GMD-1808-7.pdf","Abrir fascículo")</f>
        <v>Abrir fascículo</v>
      </c>
    </row>
    <row r="11" spans="1:5">
      <c r="A11" s="21" t="s">
        <v>1473</v>
      </c>
      <c r="B11" s="18" t="s">
        <v>1472</v>
      </c>
      <c r="C11" s="24" t="s">
        <v>19521</v>
      </c>
      <c r="D11" s="24">
        <v>28</v>
      </c>
      <c r="E11" s="27" t="str">
        <f>HYPERLINK("https://www.boe.es/gazeta/dias/1808/01/26/pdfs/GMD-1808-8.pdf","Abrir fascículo")</f>
        <v>Abrir fascículo</v>
      </c>
    </row>
    <row r="12" spans="1:5">
      <c r="A12" s="21" t="s">
        <v>1086</v>
      </c>
      <c r="B12" s="18" t="s">
        <v>1085</v>
      </c>
      <c r="C12" s="24" t="s">
        <v>19522</v>
      </c>
      <c r="D12" s="24">
        <v>38</v>
      </c>
      <c r="E12" s="27" t="str">
        <f>HYPERLINK("https://www.boe.es/gazeta/dias/1808/01/29/pdfs/GMD-1808-9.pdf","Abrir fascículo")</f>
        <v>Abrir fascículo</v>
      </c>
    </row>
    <row r="13" spans="1:5">
      <c r="A13" s="21" t="s">
        <v>878</v>
      </c>
      <c r="B13" s="18" t="s">
        <v>877</v>
      </c>
      <c r="C13" s="24" t="s">
        <v>19523</v>
      </c>
      <c r="D13" s="24">
        <v>43</v>
      </c>
      <c r="E13" s="27" t="str">
        <f>HYPERLINK("https://www.boe.es/gazeta/dias/1808/02/02/pdfs/GMD-1808-10.pdf","Abrir fascículo")</f>
        <v>Abrir fascículo</v>
      </c>
    </row>
    <row r="14" spans="1:5">
      <c r="A14" s="21" t="s">
        <v>2556</v>
      </c>
      <c r="B14" s="18" t="s">
        <v>2555</v>
      </c>
      <c r="C14" s="24" t="s">
        <v>19524</v>
      </c>
      <c r="D14" s="24">
        <v>23</v>
      </c>
      <c r="E14" s="27" t="str">
        <f>HYPERLINK("https://www.boe.es/gazeta/dias/1808/02/05/pdfs/GMD-1808-11.pdf","Abrir fascículo")</f>
        <v>Abrir fascículo</v>
      </c>
    </row>
    <row r="15" spans="1:5">
      <c r="A15" s="21" t="s">
        <v>204</v>
      </c>
      <c r="B15" s="18" t="s">
        <v>203</v>
      </c>
      <c r="C15" s="24" t="s">
        <v>19525</v>
      </c>
      <c r="D15" s="24">
        <v>117</v>
      </c>
      <c r="E15" s="27" t="str">
        <f>HYPERLINK("https://www.boe.es/gazeta/dias/1808/02/09/pdfs/GMD-1808-12.pdf","Abrir fascículo")</f>
        <v>Abrir fascículo</v>
      </c>
    </row>
    <row r="16" spans="1:5">
      <c r="A16" s="21" t="s">
        <v>470</v>
      </c>
      <c r="B16" s="18" t="s">
        <v>469</v>
      </c>
      <c r="C16" s="24" t="s">
        <v>19526</v>
      </c>
      <c r="D16" s="24">
        <v>49</v>
      </c>
      <c r="E16" s="27" t="str">
        <f>HYPERLINK("https://www.boe.es/gazeta/dias/1808/02/12/pdfs/GMD-1808-13.pdf","Abrir fascículo")</f>
        <v>Abrir fascículo</v>
      </c>
    </row>
    <row r="17" spans="1:5">
      <c r="A17" s="21" t="s">
        <v>19527</v>
      </c>
      <c r="B17" s="18" t="s">
        <v>469</v>
      </c>
      <c r="C17" s="24" t="s">
        <v>19528</v>
      </c>
      <c r="D17" s="24">
        <v>0</v>
      </c>
      <c r="E17" s="27" t="str">
        <f>HYPERLINK("https://www.boe.es/gazeta/dias/1808/02/12/pdfs/GMD-C-1808-13.pdf","Abrir suplemento")</f>
        <v>Abrir suplemento</v>
      </c>
    </row>
    <row r="18" spans="1:5">
      <c r="A18" s="21" t="s">
        <v>369</v>
      </c>
      <c r="B18" s="18" t="s">
        <v>368</v>
      </c>
      <c r="C18" s="24" t="s">
        <v>19529</v>
      </c>
      <c r="D18" s="24">
        <v>31</v>
      </c>
      <c r="E18" s="27" t="str">
        <f>HYPERLINK("https://www.boe.es/gazeta/dias/1808/02/16/pdfs/GMD-1808-14.pdf","Abrir fascículo")</f>
        <v>Abrir fascículo</v>
      </c>
    </row>
    <row r="19" spans="1:5">
      <c r="A19" s="21" t="s">
        <v>2160</v>
      </c>
      <c r="B19" s="18" t="s">
        <v>2159</v>
      </c>
      <c r="C19" s="24" t="s">
        <v>19530</v>
      </c>
      <c r="D19" s="24">
        <v>30</v>
      </c>
      <c r="E19" s="27" t="str">
        <f>HYPERLINK("https://www.boe.es/gazeta/dias/1808/02/19/pdfs/GMD-1808-15.pdf","Abrir fascículo")</f>
        <v>Abrir fascículo</v>
      </c>
    </row>
    <row r="20" spans="1:5">
      <c r="A20" s="21" t="s">
        <v>208</v>
      </c>
      <c r="B20" s="18" t="s">
        <v>207</v>
      </c>
      <c r="C20" s="24" t="s">
        <v>19531</v>
      </c>
      <c r="D20" s="24">
        <v>35</v>
      </c>
      <c r="E20" s="27" t="str">
        <f>HYPERLINK("https://www.boe.es/gazeta/dias/1808/02/23/pdfs/GMD-1808-16.pdf","Abrir fascículo")</f>
        <v>Abrir fascículo</v>
      </c>
    </row>
    <row r="21" spans="1:5">
      <c r="A21" s="21" t="s">
        <v>664</v>
      </c>
      <c r="B21" s="18" t="s">
        <v>663</v>
      </c>
      <c r="C21" s="24" t="s">
        <v>19532</v>
      </c>
      <c r="D21" s="24">
        <v>68</v>
      </c>
      <c r="E21" s="27" t="str">
        <f>HYPERLINK("https://www.boe.es/gazeta/dias/1808/02/26/pdfs/GMD-1808-17.pdf","Abrir fascículo")</f>
        <v>Abrir fascículo</v>
      </c>
    </row>
    <row r="22" spans="1:5">
      <c r="A22" s="21" t="s">
        <v>992</v>
      </c>
      <c r="B22" s="18" t="s">
        <v>991</v>
      </c>
      <c r="C22" s="24" t="s">
        <v>19533</v>
      </c>
      <c r="D22" s="24">
        <v>35</v>
      </c>
      <c r="E22" s="27" t="str">
        <f>HYPERLINK("https://www.boe.es/gazeta/dias/1808/03/01/pdfs/GMD-1808-18.pdf","Abrir fascículo")</f>
        <v>Abrir fascículo</v>
      </c>
    </row>
    <row r="23" spans="1:5">
      <c r="A23" s="21" t="s">
        <v>1386</v>
      </c>
      <c r="B23" s="18" t="s">
        <v>1385</v>
      </c>
      <c r="C23" s="24" t="s">
        <v>19534</v>
      </c>
      <c r="D23" s="24">
        <v>61</v>
      </c>
      <c r="E23" s="27" t="str">
        <f>HYPERLINK("https://www.boe.es/gazeta/dias/1808/03/04/pdfs/GMD-1808-19.pdf","Abrir fascículo")</f>
        <v>Abrir fascículo</v>
      </c>
    </row>
    <row r="24" spans="1:5">
      <c r="A24" s="21" t="s">
        <v>479</v>
      </c>
      <c r="B24" s="18" t="s">
        <v>478</v>
      </c>
      <c r="C24" s="24" t="s">
        <v>19535</v>
      </c>
      <c r="D24" s="24">
        <v>45</v>
      </c>
      <c r="E24" s="27" t="str">
        <f>HYPERLINK("https://www.boe.es/gazeta/dias/1808/03/08/pdfs/GMD-1808-20.pdf","Abrir fascículo")</f>
        <v>Abrir fascículo</v>
      </c>
    </row>
    <row r="25" spans="1:5">
      <c r="A25" s="21" t="s">
        <v>211</v>
      </c>
      <c r="B25" s="18" t="s">
        <v>210</v>
      </c>
      <c r="C25" s="24" t="s">
        <v>19536</v>
      </c>
      <c r="D25" s="24">
        <v>54</v>
      </c>
      <c r="E25" s="27" t="str">
        <f>HYPERLINK("https://www.boe.es/gazeta/dias/1808/03/11/pdfs/GMD-1808-21.pdf","Abrir fascículo")</f>
        <v>Abrir fascículo</v>
      </c>
    </row>
    <row r="26" spans="1:5">
      <c r="A26" s="21" t="s">
        <v>97</v>
      </c>
      <c r="B26" s="18" t="s">
        <v>96</v>
      </c>
      <c r="C26" s="24" t="s">
        <v>19537</v>
      </c>
      <c r="D26" s="24">
        <v>69</v>
      </c>
      <c r="E26" s="27" t="str">
        <f>HYPERLINK("https://www.boe.es/gazeta/dias/1808/03/15/pdfs/GMD-1808-22.pdf","Abrir fascículo")</f>
        <v>Abrir fascículo</v>
      </c>
    </row>
    <row r="27" spans="1:5">
      <c r="A27" s="21" t="s">
        <v>549</v>
      </c>
      <c r="B27" s="18" t="s">
        <v>548</v>
      </c>
      <c r="C27" s="24" t="s">
        <v>19538</v>
      </c>
      <c r="D27" s="24">
        <v>28</v>
      </c>
      <c r="E27" s="27" t="str">
        <f>HYPERLINK("https://www.boe.es/gazeta/dias/1808/03/18/pdfs/GMD-1808-23.pdf","Abrir fascículo")</f>
        <v>Abrir fascículo</v>
      </c>
    </row>
    <row r="28" spans="1:5">
      <c r="A28" s="21" t="s">
        <v>514</v>
      </c>
      <c r="B28" s="18" t="s">
        <v>513</v>
      </c>
      <c r="C28" s="24" t="s">
        <v>19539</v>
      </c>
      <c r="D28" s="24">
        <v>49</v>
      </c>
      <c r="E28" s="27" t="str">
        <f>HYPERLINK("https://www.boe.es/gazeta/dias/1808/03/22/pdfs/GMD-1808-24.pdf","Abrir fascículo")</f>
        <v>Abrir fascículo</v>
      </c>
    </row>
    <row r="29" spans="1:5">
      <c r="A29" s="21" t="s">
        <v>3074</v>
      </c>
      <c r="B29" s="18" t="s">
        <v>513</v>
      </c>
      <c r="C29" s="24" t="s">
        <v>19540</v>
      </c>
      <c r="D29" s="24">
        <v>2</v>
      </c>
      <c r="E29" s="27" t="str">
        <f>HYPERLINK("https://www.boe.es/gazeta/dias/1808/03/22/pdfs/GMD-C-1808-24.pdf","Abrir suplemento")</f>
        <v>Abrir suplemento</v>
      </c>
    </row>
    <row r="30" spans="1:5">
      <c r="A30" s="21" t="s">
        <v>216</v>
      </c>
      <c r="B30" s="18" t="s">
        <v>215</v>
      </c>
      <c r="C30" s="24" t="s">
        <v>19541</v>
      </c>
      <c r="D30" s="24">
        <v>36</v>
      </c>
      <c r="E30" s="27" t="str">
        <f>HYPERLINK("https://www.boe.es/gazeta/dias/1808/03/25/pdfs/GMD-1808-25.pdf","Abrir fascículo")</f>
        <v>Abrir fascículo</v>
      </c>
    </row>
    <row r="31" spans="1:5">
      <c r="A31" s="21" t="s">
        <v>19542</v>
      </c>
      <c r="B31" s="18" t="s">
        <v>19543</v>
      </c>
      <c r="C31" s="24" t="s">
        <v>19544</v>
      </c>
      <c r="D31" s="24">
        <v>0</v>
      </c>
      <c r="E31" s="27" t="str">
        <f>HYPERLINK("https://www.boe.es/gazeta/dias/1808/03/27/pdfs/GMD-1808-26E.pdf","Abrir extraordinaria")</f>
        <v>Abrir extraordinaria</v>
      </c>
    </row>
    <row r="32" spans="1:5">
      <c r="A32" s="21" t="s">
        <v>121</v>
      </c>
      <c r="B32" s="18" t="s">
        <v>120</v>
      </c>
      <c r="C32" s="24" t="s">
        <v>19545</v>
      </c>
      <c r="D32" s="24">
        <v>26</v>
      </c>
      <c r="E32" s="27" t="str">
        <f>HYPERLINK("https://www.boe.es/gazeta/dias/1808/03/29/pdfs/GMD-1808-27.pdf","Abrir fascículo")</f>
        <v>Abrir fascículo</v>
      </c>
    </row>
    <row r="33" spans="1:5">
      <c r="A33" s="21" t="s">
        <v>645</v>
      </c>
      <c r="B33" s="18" t="s">
        <v>644</v>
      </c>
      <c r="C33" s="24" t="s">
        <v>19546</v>
      </c>
      <c r="D33" s="24">
        <v>43</v>
      </c>
      <c r="E33" s="27" t="str">
        <f>HYPERLINK("https://www.boe.es/gazeta/dias/1808/03/31/pdfs/GMD-1808-28E.pdf","Abrir extraordinaria")</f>
        <v>Abrir extraordinaria</v>
      </c>
    </row>
    <row r="34" spans="1:5">
      <c r="A34" s="21" t="s">
        <v>219</v>
      </c>
      <c r="B34" s="18" t="s">
        <v>218</v>
      </c>
      <c r="C34" s="24" t="s">
        <v>19547</v>
      </c>
      <c r="D34" s="24">
        <v>40</v>
      </c>
      <c r="E34" s="27" t="str">
        <f>HYPERLINK("https://www.boe.es/gazeta/dias/1808/04/01/pdfs/GMD-1808-29.pdf","Abrir fascículo")</f>
        <v>Abrir fascículo</v>
      </c>
    </row>
    <row r="35" spans="1:5">
      <c r="A35" s="21" t="s">
        <v>19548</v>
      </c>
      <c r="B35" s="18" t="s">
        <v>19549</v>
      </c>
      <c r="C35" s="24" t="s">
        <v>19550</v>
      </c>
      <c r="D35" s="24">
        <v>0</v>
      </c>
      <c r="E35" s="27" t="str">
        <f>HYPERLINK("https://www.boe.es/gazeta/dias/1808/04/02/pdfs/GMD-1808-30E.pdf","Abrir extraordinaria")</f>
        <v>Abrir extraordinaria</v>
      </c>
    </row>
    <row r="36" spans="1:5">
      <c r="A36" s="21" t="s">
        <v>3881</v>
      </c>
      <c r="B36" s="18" t="s">
        <v>2194</v>
      </c>
      <c r="C36" s="24" t="s">
        <v>19551</v>
      </c>
      <c r="D36" s="24">
        <v>10</v>
      </c>
      <c r="E36" s="27" t="str">
        <f>HYPERLINK("https://www.boe.es/gazeta/dias/1808/04/05/pdfs/GMD-1808-31.pdf","Abrir fascículo")</f>
        <v>Abrir fascículo</v>
      </c>
    </row>
    <row r="37" spans="1:5">
      <c r="A37" s="21" t="s">
        <v>2195</v>
      </c>
      <c r="B37" s="18" t="s">
        <v>2194</v>
      </c>
      <c r="C37" s="24" t="s">
        <v>19552</v>
      </c>
      <c r="D37" s="24">
        <v>4</v>
      </c>
      <c r="E37" s="27" t="str">
        <f>HYPERLINK("https://www.boe.es/gazeta/dias/1808/04/05/pdfs/GMD-C-1808-31.pdf","Abrir suplemento")</f>
        <v>Abrir suplemento</v>
      </c>
    </row>
    <row r="38" spans="1:5">
      <c r="A38" s="21" t="s">
        <v>223</v>
      </c>
      <c r="B38" s="18" t="s">
        <v>222</v>
      </c>
      <c r="C38" s="24" t="s">
        <v>19553</v>
      </c>
      <c r="D38" s="24">
        <v>34</v>
      </c>
      <c r="E38" s="27" t="str">
        <f>HYPERLINK("https://www.boe.es/gazeta/dias/1808/04/08/pdfs/GMD-1808-32.pdf","Abrir fascículo")</f>
        <v>Abrir fascículo</v>
      </c>
    </row>
    <row r="39" spans="1:5">
      <c r="A39" s="21" t="s">
        <v>16011</v>
      </c>
      <c r="B39" s="18" t="s">
        <v>16010</v>
      </c>
      <c r="C39" s="24" t="s">
        <v>19554</v>
      </c>
      <c r="D39" s="24">
        <v>1</v>
      </c>
      <c r="E39" s="27" t="str">
        <f>HYPERLINK("https://www.boe.es/gazeta/dias/1808/04/09/pdfs/GMD-1808-33E.pdf","Abrir extraordinaria")</f>
        <v>Abrir extraordinaria</v>
      </c>
    </row>
    <row r="40" spans="1:5">
      <c r="A40" s="21" t="s">
        <v>3382</v>
      </c>
      <c r="B40" s="18" t="s">
        <v>3381</v>
      </c>
      <c r="C40" s="24" t="s">
        <v>19555</v>
      </c>
      <c r="D40" s="24">
        <v>10</v>
      </c>
      <c r="E40" s="27" t="str">
        <f>HYPERLINK("https://www.boe.es/gazeta/dias/1808/04/12/pdfs/GMD-1808-34.pdf","Abrir fascículo")</f>
        <v>Abrir fascículo</v>
      </c>
    </row>
    <row r="41" spans="1:5">
      <c r="A41" s="21" t="s">
        <v>19556</v>
      </c>
      <c r="B41" s="18" t="s">
        <v>3381</v>
      </c>
      <c r="C41" s="24" t="s">
        <v>19557</v>
      </c>
      <c r="D41" s="24">
        <v>0</v>
      </c>
      <c r="E41" s="27" t="str">
        <f>HYPERLINK("https://www.boe.es/gazeta/dias/1808/04/12/pdfs/GMD-C-1808-34.pdf","Abrir suplemento")</f>
        <v>Abrir suplemento</v>
      </c>
    </row>
    <row r="42" spans="1:5">
      <c r="A42" s="21" t="s">
        <v>685</v>
      </c>
      <c r="B42" s="18" t="s">
        <v>684</v>
      </c>
      <c r="C42" s="24" t="s">
        <v>19558</v>
      </c>
      <c r="D42" s="24">
        <v>18</v>
      </c>
      <c r="E42" s="27" t="str">
        <f>HYPERLINK("https://www.boe.es/gazeta/dias/1808/04/15/pdfs/GMD-1808-35.pdf","Abrir fascículo")</f>
        <v>Abrir fascículo</v>
      </c>
    </row>
    <row r="43" spans="1:5">
      <c r="A43" s="21" t="s">
        <v>19559</v>
      </c>
      <c r="B43" s="18" t="s">
        <v>19560</v>
      </c>
      <c r="C43" s="24" t="s">
        <v>19561</v>
      </c>
      <c r="D43" s="24">
        <v>0</v>
      </c>
      <c r="E43" s="27" t="str">
        <f>HYPERLINK("https://www.boe.es/gazeta/dias/1808/04/17/pdfs/GMD-1808-36E.pdf","Abrir extraordinaria")</f>
        <v>Abrir extraordinaria</v>
      </c>
    </row>
    <row r="44" spans="1:5">
      <c r="A44" s="21" t="s">
        <v>975</v>
      </c>
      <c r="B44" s="18" t="s">
        <v>974</v>
      </c>
      <c r="C44" s="24" t="s">
        <v>19562</v>
      </c>
      <c r="D44" s="24">
        <v>46</v>
      </c>
      <c r="E44" s="27" t="str">
        <f>HYPERLINK("https://www.boe.es/gazeta/dias/1808/04/19/pdfs/GMD-1808-37.pdf","Abrir fascículo")</f>
        <v>Abrir fascículo</v>
      </c>
    </row>
    <row r="45" spans="1:5">
      <c r="A45" s="21" t="s">
        <v>3452</v>
      </c>
      <c r="B45" s="18" t="s">
        <v>35</v>
      </c>
      <c r="C45" s="24" t="s">
        <v>19563</v>
      </c>
      <c r="D45" s="24">
        <v>27</v>
      </c>
      <c r="E45" s="27" t="str">
        <f>HYPERLINK("https://www.boe.es/gazeta/dias/1808/04/22/pdfs/GMD-1808-38.pdf","Abrir fascículo")</f>
        <v>Abrir fascículo</v>
      </c>
    </row>
    <row r="46" spans="1:5">
      <c r="A46" s="21" t="s">
        <v>36</v>
      </c>
      <c r="B46" s="18" t="s">
        <v>35</v>
      </c>
      <c r="C46" s="24" t="s">
        <v>19564</v>
      </c>
      <c r="D46" s="24">
        <v>1364</v>
      </c>
      <c r="E46" s="27" t="str">
        <f>HYPERLINK("https://www.boe.es/gazeta/dias/1808/04/22/pdfs/GMD-C-1808-38.pdf","Abrir suplemento")</f>
        <v>Abrir suplemento</v>
      </c>
    </row>
    <row r="47" spans="1:5">
      <c r="A47" s="21" t="s">
        <v>4680</v>
      </c>
      <c r="B47" s="18" t="s">
        <v>35</v>
      </c>
      <c r="C47" s="24" t="s">
        <v>19565</v>
      </c>
      <c r="D47" s="24">
        <v>1</v>
      </c>
      <c r="E47" s="27" t="str">
        <f>HYPERLINK("https://www.boe.es/gazeta/dias/1808/04/22/pdfs/GMD-1808-39E.pdf","Abrir extraordinaria")</f>
        <v>Abrir extraordinaria</v>
      </c>
    </row>
    <row r="48" spans="1:5">
      <c r="A48" s="21" t="s">
        <v>19566</v>
      </c>
      <c r="B48" s="18" t="s">
        <v>35</v>
      </c>
      <c r="C48" s="24" t="s">
        <v>19567</v>
      </c>
      <c r="D48" s="24">
        <v>0</v>
      </c>
      <c r="E48" s="27" t="str">
        <f>HYPERLINK("https://www.boe.es/gazeta/dias/1808/04/22/pdfs/GMD-1808-40E.pdf","Abrir extraordinaria")</f>
        <v>Abrir extraordinaria</v>
      </c>
    </row>
    <row r="49" spans="1:5">
      <c r="A49" s="21" t="s">
        <v>1416</v>
      </c>
      <c r="B49" s="18" t="s">
        <v>1415</v>
      </c>
      <c r="C49" s="24" t="s">
        <v>19568</v>
      </c>
      <c r="D49" s="24">
        <v>18</v>
      </c>
      <c r="E49" s="27" t="str">
        <f>HYPERLINK("https://www.boe.es/gazeta/dias/1808/04/26/pdfs/GMD-1808-41.pdf","Abrir fascículo")</f>
        <v>Abrir fascículo</v>
      </c>
    </row>
    <row r="50" spans="1:5">
      <c r="A50" s="21" t="s">
        <v>2282</v>
      </c>
      <c r="B50" s="18" t="s">
        <v>2281</v>
      </c>
      <c r="C50" s="24" t="s">
        <v>19569</v>
      </c>
      <c r="D50" s="24">
        <v>16</v>
      </c>
      <c r="E50" s="27" t="str">
        <f>HYPERLINK("https://www.boe.es/gazeta/dias/1808/04/29/pdfs/GMD-1808-42.pdf","Abrir fascículo")</f>
        <v>Abrir fascículo</v>
      </c>
    </row>
    <row r="51" spans="1:5">
      <c r="A51" s="21" t="s">
        <v>1761</v>
      </c>
      <c r="B51" s="18" t="s">
        <v>1760</v>
      </c>
      <c r="C51" s="24" t="s">
        <v>19570</v>
      </c>
      <c r="D51" s="24">
        <v>13</v>
      </c>
      <c r="E51" s="27" t="str">
        <f>HYPERLINK("https://www.boe.es/gazeta/dias/1808/05/03/pdfs/GMD-1808-43.pdf","Abrir fascículo")</f>
        <v>Abrir fascículo</v>
      </c>
    </row>
    <row r="52" spans="1:5">
      <c r="A52" s="21" t="s">
        <v>7115</v>
      </c>
      <c r="B52" s="18" t="s">
        <v>7114</v>
      </c>
      <c r="C52" s="24" t="s">
        <v>19571</v>
      </c>
      <c r="D52" s="24">
        <v>7</v>
      </c>
      <c r="E52" s="27" t="str">
        <f>HYPERLINK("https://www.boe.es/gazeta/dias/1808/05/06/pdfs/GMD-1808-44.pdf","Abrir fascículo")</f>
        <v>Abrir fascículo</v>
      </c>
    </row>
    <row r="53" spans="1:5">
      <c r="A53" s="21" t="s">
        <v>1195</v>
      </c>
      <c r="B53" s="18" t="s">
        <v>1194</v>
      </c>
      <c r="C53" s="24" t="s">
        <v>19572</v>
      </c>
      <c r="D53" s="24">
        <v>13</v>
      </c>
      <c r="E53" s="27" t="str">
        <f>HYPERLINK("https://www.boe.es/gazeta/dias/1808/05/10/pdfs/GMD-1808-45.pdf","Abrir fascículo")</f>
        <v>Abrir fascículo</v>
      </c>
    </row>
    <row r="54" spans="1:5">
      <c r="A54" s="21" t="s">
        <v>1211</v>
      </c>
      <c r="B54" s="18" t="s">
        <v>1210</v>
      </c>
      <c r="C54" s="24" t="s">
        <v>19573</v>
      </c>
      <c r="D54" s="24">
        <v>11</v>
      </c>
      <c r="E54" s="27" t="str">
        <f>HYPERLINK("https://www.boe.es/gazeta/dias/1808/05/13/pdfs/GMD-1808-46.pdf","Abrir fascículo")</f>
        <v>Abrir fascículo</v>
      </c>
    </row>
    <row r="55" spans="1:5">
      <c r="A55" s="21" t="s">
        <v>1362</v>
      </c>
      <c r="B55" s="18" t="s">
        <v>1361</v>
      </c>
      <c r="C55" s="24" t="s">
        <v>19574</v>
      </c>
      <c r="D55" s="24">
        <v>26</v>
      </c>
      <c r="E55" s="27" t="str">
        <f>HYPERLINK("https://www.boe.es/gazeta/dias/1808/05/17/pdfs/GMD-1808-47.pdf","Abrir fascículo")</f>
        <v>Abrir fascículo</v>
      </c>
    </row>
    <row r="56" spans="1:5">
      <c r="A56" s="21" t="s">
        <v>1672</v>
      </c>
      <c r="B56" s="18" t="s">
        <v>1671</v>
      </c>
      <c r="C56" s="24" t="s">
        <v>19575</v>
      </c>
      <c r="D56" s="24">
        <v>21</v>
      </c>
      <c r="E56" s="27" t="str">
        <f>HYPERLINK("https://www.boe.es/gazeta/dias/1808/05/20/pdfs/GMD-1808-48.pdf","Abrir fascículo")</f>
        <v>Abrir fascículo</v>
      </c>
    </row>
    <row r="57" spans="1:5">
      <c r="A57" s="21" t="s">
        <v>920</v>
      </c>
      <c r="B57" s="18" t="s">
        <v>919</v>
      </c>
      <c r="C57" s="24" t="s">
        <v>19576</v>
      </c>
      <c r="D57" s="24">
        <v>28</v>
      </c>
      <c r="E57" s="27" t="str">
        <f>HYPERLINK("https://www.boe.es/gazeta/dias/1808/05/24/pdfs/GMD-1808-49.pdf","Abrir fascículo")</f>
        <v>Abrir fascículo</v>
      </c>
    </row>
    <row r="58" spans="1:5">
      <c r="A58" s="21" t="s">
        <v>1149</v>
      </c>
      <c r="B58" s="18" t="s">
        <v>1148</v>
      </c>
      <c r="C58" s="24" t="s">
        <v>19577</v>
      </c>
      <c r="D58" s="24">
        <v>24</v>
      </c>
      <c r="E58" s="27" t="str">
        <f>HYPERLINK("https://www.boe.es/gazeta/dias/1808/05/27/pdfs/GMD-1808-50.pdf","Abrir fascículo")</f>
        <v>Abrir fascículo</v>
      </c>
    </row>
    <row r="59" spans="1:5">
      <c r="A59" s="21" t="s">
        <v>19578</v>
      </c>
      <c r="B59" s="18" t="s">
        <v>19579</v>
      </c>
      <c r="C59" s="24" t="s">
        <v>19580</v>
      </c>
      <c r="D59" s="24">
        <v>0</v>
      </c>
      <c r="E59" s="27" t="str">
        <f>HYPERLINK("https://www.boe.es/gazeta/dias/1808/05/28/pdfs/GMD-1808-51E.pdf","Abrir extraordinaria")</f>
        <v>Abrir extraordinaria</v>
      </c>
    </row>
    <row r="60" spans="1:5">
      <c r="A60" s="21" t="s">
        <v>833</v>
      </c>
      <c r="B60" s="18" t="s">
        <v>832</v>
      </c>
      <c r="C60" s="24" t="s">
        <v>19581</v>
      </c>
      <c r="D60" s="24">
        <v>13</v>
      </c>
      <c r="E60" s="27" t="str">
        <f>HYPERLINK("https://www.boe.es/gazeta/dias/1808/05/31/pdfs/GMD-1808-52.pdf","Abrir fascículo")</f>
        <v>Abrir fascículo</v>
      </c>
    </row>
    <row r="61" spans="1:5">
      <c r="A61" s="21" t="s">
        <v>3217</v>
      </c>
      <c r="B61" s="18" t="s">
        <v>3216</v>
      </c>
      <c r="C61" s="24" t="s">
        <v>19582</v>
      </c>
      <c r="D61" s="24">
        <v>10</v>
      </c>
      <c r="E61" s="27" t="str">
        <f>HYPERLINK("https://www.boe.es/gazeta/dias/1808/06/01/pdfs/GMS-1808-1.pdf","Abrir fascículo")</f>
        <v>Abrir fascículo</v>
      </c>
    </row>
    <row r="62" spans="1:5">
      <c r="A62" s="21" t="s">
        <v>257</v>
      </c>
      <c r="B62" s="18" t="s">
        <v>256</v>
      </c>
      <c r="C62" s="24" t="s">
        <v>19583</v>
      </c>
      <c r="D62" s="24">
        <v>19</v>
      </c>
      <c r="E62" s="27" t="str">
        <f>HYPERLINK("https://www.boe.es/gazeta/dias/1808/06/03/pdfs/GMD-1808-53.pdf","Abrir fascículo")</f>
        <v>Abrir fascículo</v>
      </c>
    </row>
    <row r="63" spans="1:5">
      <c r="A63" s="21" t="s">
        <v>2850</v>
      </c>
      <c r="B63" s="18" t="s">
        <v>2849</v>
      </c>
      <c r="C63" s="24" t="s">
        <v>19584</v>
      </c>
      <c r="D63" s="24">
        <v>14</v>
      </c>
      <c r="E63" s="27" t="str">
        <f>HYPERLINK("https://www.boe.es/gazeta/dias/1808/06/04/pdfs/GMS-1808-2.pdf","Abrir fascículo")</f>
        <v>Abrir fascículo</v>
      </c>
    </row>
    <row r="64" spans="1:5">
      <c r="A64" s="21" t="s">
        <v>246</v>
      </c>
      <c r="B64" s="18" t="s">
        <v>245</v>
      </c>
      <c r="C64" s="24" t="s">
        <v>19585</v>
      </c>
      <c r="D64" s="24">
        <v>27</v>
      </c>
      <c r="E64" s="27" t="str">
        <f>HYPERLINK("https://www.boe.es/gazeta/dias/1808/06/07/pdfs/GMD-1808-54.pdf","Abrir fascículo")</f>
        <v>Abrir fascículo</v>
      </c>
    </row>
    <row r="65" spans="1:5">
      <c r="A65" s="21" t="s">
        <v>3236</v>
      </c>
      <c r="B65" s="18" t="s">
        <v>3235</v>
      </c>
      <c r="C65" s="24" t="s">
        <v>19586</v>
      </c>
      <c r="D65" s="24">
        <v>14</v>
      </c>
      <c r="E65" s="27" t="str">
        <f>HYPERLINK("https://www.boe.es/gazeta/dias/1808/06/08/pdfs/GMS-1808-3.pdf","Abrir fascículo")</f>
        <v>Abrir fascículo</v>
      </c>
    </row>
    <row r="66" spans="1:5">
      <c r="A66" s="21" t="s">
        <v>1677</v>
      </c>
      <c r="B66" s="18" t="s">
        <v>1676</v>
      </c>
      <c r="C66" s="24" t="s">
        <v>19587</v>
      </c>
      <c r="D66" s="24">
        <v>23</v>
      </c>
      <c r="E66" s="27" t="str">
        <f>HYPERLINK("https://www.boe.es/gazeta/dias/1808/06/10/pdfs/GMD-1808-55.pdf","Abrir fascículo")</f>
        <v>Abrir fascículo</v>
      </c>
    </row>
    <row r="67" spans="1:5">
      <c r="A67" s="21" t="s">
        <v>352</v>
      </c>
      <c r="B67" s="18" t="s">
        <v>351</v>
      </c>
      <c r="C67" s="24" t="s">
        <v>19588</v>
      </c>
      <c r="D67" s="24">
        <v>17</v>
      </c>
      <c r="E67" s="27" t="str">
        <f>HYPERLINK("https://www.boe.es/gazeta/dias/1808/06/11/pdfs/GMS-1808-4.pdf","Abrir fascículo")</f>
        <v>Abrir fascículo</v>
      </c>
    </row>
    <row r="68" spans="1:5">
      <c r="A68" s="21" t="s">
        <v>4138</v>
      </c>
      <c r="B68" s="18" t="s">
        <v>4137</v>
      </c>
      <c r="C68" s="24" t="s">
        <v>19589</v>
      </c>
      <c r="D68" s="24">
        <v>3</v>
      </c>
      <c r="E68" s="27" t="str">
        <f>HYPERLINK("https://www.boe.es/gazeta/dias/1808/06/12/pdfs/GMD-1808-56E.pdf","Abrir extraordinaria")</f>
        <v>Abrir extraordinaria</v>
      </c>
    </row>
    <row r="69" spans="1:5">
      <c r="A69" s="21" t="s">
        <v>3161</v>
      </c>
      <c r="B69" s="18" t="s">
        <v>3160</v>
      </c>
      <c r="C69" s="24" t="s">
        <v>19590</v>
      </c>
      <c r="D69" s="24">
        <v>13</v>
      </c>
      <c r="E69" s="27" t="str">
        <f>HYPERLINK("https://www.boe.es/gazeta/dias/1808/06/14/pdfs/GMD-1808-57.pdf","Abrir fascículo")</f>
        <v>Abrir fascículo</v>
      </c>
    </row>
    <row r="70" spans="1:5">
      <c r="A70" s="21" t="s">
        <v>16389</v>
      </c>
      <c r="B70" s="18" t="s">
        <v>3160</v>
      </c>
      <c r="C70" s="24" t="s">
        <v>19591</v>
      </c>
      <c r="D70" s="24">
        <v>1</v>
      </c>
      <c r="E70" s="27" t="str">
        <f>HYPERLINK("https://www.boe.es/gazeta/dias/1808/06/14/pdfs/GMD-1808-58E.pdf","Abrir extraordinaria")</f>
        <v>Abrir extraordinaria</v>
      </c>
    </row>
    <row r="71" spans="1:5">
      <c r="A71" s="21" t="s">
        <v>5929</v>
      </c>
      <c r="B71" s="18" t="s">
        <v>5928</v>
      </c>
      <c r="C71" s="24" t="s">
        <v>19592</v>
      </c>
      <c r="D71" s="24">
        <v>6</v>
      </c>
      <c r="E71" s="27" t="str">
        <f>HYPERLINK("https://www.boe.es/gazeta/dias/1808/06/15/pdfs/GMS-1808-5.pdf","Abrir fascículo")</f>
        <v>Abrir fascículo</v>
      </c>
    </row>
    <row r="72" spans="1:5">
      <c r="A72" s="21" t="s">
        <v>871</v>
      </c>
      <c r="B72" s="18" t="s">
        <v>870</v>
      </c>
      <c r="C72" s="24" t="s">
        <v>19593</v>
      </c>
      <c r="D72" s="24">
        <v>13</v>
      </c>
      <c r="E72" s="27" t="str">
        <f>HYPERLINK("https://www.boe.es/gazeta/dias/1808/06/17/pdfs/GMD-1808-59.pdf","Abrir fascículo")</f>
        <v>Abrir fascículo</v>
      </c>
    </row>
    <row r="73" spans="1:5">
      <c r="A73" s="21" t="s">
        <v>2896</v>
      </c>
      <c r="B73" s="18" t="s">
        <v>157</v>
      </c>
      <c r="C73" s="24" t="s">
        <v>19594</v>
      </c>
      <c r="D73" s="24">
        <v>9</v>
      </c>
      <c r="E73" s="27" t="str">
        <f>HYPERLINK("https://www.boe.es/gazeta/dias/1808/06/18/pdfs/GMD-1808-60.pdf","Abrir fascículo")</f>
        <v>Abrir fascículo</v>
      </c>
    </row>
    <row r="74" spans="1:5">
      <c r="A74" s="21" t="s">
        <v>158</v>
      </c>
      <c r="B74" s="18" t="s">
        <v>157</v>
      </c>
      <c r="C74" s="24" t="s">
        <v>19595</v>
      </c>
      <c r="D74" s="24">
        <v>9</v>
      </c>
      <c r="E74" s="27" t="str">
        <f>HYPERLINK("https://www.boe.es/gazeta/dias/1808/06/18/pdfs/GMS-1808-6.pdf","Abrir fascículo")</f>
        <v>Abrir fascículo</v>
      </c>
    </row>
    <row r="75" spans="1:5">
      <c r="A75" s="21" t="s">
        <v>517</v>
      </c>
      <c r="B75" s="18" t="s">
        <v>516</v>
      </c>
      <c r="C75" s="24" t="s">
        <v>19596</v>
      </c>
      <c r="D75" s="24">
        <v>29</v>
      </c>
      <c r="E75" s="27" t="str">
        <f>HYPERLINK("https://www.boe.es/gazeta/dias/1808/06/19/pdfs/GMD-1808-61.pdf","Abrir fascículo")</f>
        <v>Abrir fascículo</v>
      </c>
    </row>
    <row r="76" spans="1:5">
      <c r="A76" s="21" t="s">
        <v>2732</v>
      </c>
      <c r="B76" s="18" t="s">
        <v>516</v>
      </c>
      <c r="C76" s="24" t="s">
        <v>19597</v>
      </c>
      <c r="D76" s="24">
        <v>2</v>
      </c>
      <c r="E76" s="27" t="str">
        <f>HYPERLINK("https://www.boe.es/gazeta/dias/1808/06/19/pdfs/GMS-1808-6E.pdf","Abrir extraordinaria")</f>
        <v>Abrir extraordinaria</v>
      </c>
    </row>
    <row r="77" spans="1:5">
      <c r="A77" s="21" t="s">
        <v>226</v>
      </c>
      <c r="B77" s="18" t="s">
        <v>225</v>
      </c>
      <c r="C77" s="24" t="s">
        <v>19598</v>
      </c>
      <c r="D77" s="24">
        <v>16</v>
      </c>
      <c r="E77" s="27" t="str">
        <f>HYPERLINK("https://www.boe.es/gazeta/dias/1808/06/20/pdfs/GMD-1808-62.pdf","Abrir fascículo")</f>
        <v>Abrir fascículo</v>
      </c>
    </row>
    <row r="78" spans="1:5">
      <c r="A78" s="21" t="s">
        <v>3792</v>
      </c>
      <c r="B78" s="18" t="s">
        <v>3791</v>
      </c>
      <c r="C78" s="24" t="s">
        <v>19599</v>
      </c>
      <c r="D78" s="24">
        <v>7</v>
      </c>
      <c r="E78" s="27" t="str">
        <f>HYPERLINK("https://www.boe.es/gazeta/dias/1808/06/21/pdfs/GMD-1808-63.pdf","Abrir fascículo")</f>
        <v>Abrir fascículo</v>
      </c>
    </row>
    <row r="79" spans="1:5">
      <c r="A79" s="21" t="s">
        <v>8498</v>
      </c>
      <c r="B79" s="18" t="s">
        <v>3791</v>
      </c>
      <c r="C79" s="24" t="s">
        <v>19600</v>
      </c>
      <c r="D79" s="24">
        <v>5</v>
      </c>
      <c r="E79" s="27" t="str">
        <f>HYPERLINK("https://www.boe.es/gazeta/dias/1808/06/21/pdfs/GMD-C-1808-63.pdf","Abrir suplemento")</f>
        <v>Abrir suplemento</v>
      </c>
    </row>
    <row r="80" spans="1:5">
      <c r="A80" s="21" t="s">
        <v>1874</v>
      </c>
      <c r="B80" s="18" t="s">
        <v>1821</v>
      </c>
      <c r="C80" s="24" t="s">
        <v>19601</v>
      </c>
      <c r="D80" s="24">
        <v>19</v>
      </c>
      <c r="E80" s="27" t="str">
        <f>HYPERLINK("https://www.boe.es/gazeta/dias/1808/06/22/pdfs/GMD-1808-64.pdf","Abrir fascículo")</f>
        <v>Abrir fascículo</v>
      </c>
    </row>
    <row r="81" spans="1:5">
      <c r="A81" s="21" t="s">
        <v>1822</v>
      </c>
      <c r="B81" s="18" t="s">
        <v>1821</v>
      </c>
      <c r="C81" s="24" t="s">
        <v>19602</v>
      </c>
      <c r="D81" s="24">
        <v>8</v>
      </c>
      <c r="E81" s="27" t="str">
        <f>HYPERLINK("https://www.boe.es/gazeta/dias/1808/06/22/pdfs/GMS-1808-7.pdf","Abrir fascículo")</f>
        <v>Abrir fascículo</v>
      </c>
    </row>
    <row r="82" spans="1:5">
      <c r="A82" s="21" t="s">
        <v>2652</v>
      </c>
      <c r="B82" s="18" t="s">
        <v>2651</v>
      </c>
      <c r="C82" s="24" t="s">
        <v>19603</v>
      </c>
      <c r="D82" s="24">
        <v>5</v>
      </c>
      <c r="E82" s="27" t="str">
        <f>HYPERLINK("https://www.boe.es/gazeta/dias/1808/06/23/pdfs/GMD-1808-65.pdf","Abrir fascículo")</f>
        <v>Abrir fascículo</v>
      </c>
    </row>
    <row r="83" spans="1:5">
      <c r="A83" s="21" t="s">
        <v>5676</v>
      </c>
      <c r="B83" s="18" t="s">
        <v>5675</v>
      </c>
      <c r="C83" s="24" t="s">
        <v>19604</v>
      </c>
      <c r="D83" s="24">
        <v>5</v>
      </c>
      <c r="E83" s="27" t="str">
        <f>HYPERLINK("https://www.boe.es/gazeta/dias/1808/06/24/pdfs/GMD-1808-66.pdf","Abrir fascículo")</f>
        <v>Abrir fascículo</v>
      </c>
    </row>
    <row r="84" spans="1:5">
      <c r="A84" s="21" t="s">
        <v>6283</v>
      </c>
      <c r="B84" s="18" t="s">
        <v>6282</v>
      </c>
      <c r="C84" s="24" t="s">
        <v>19605</v>
      </c>
      <c r="D84" s="24">
        <v>10</v>
      </c>
      <c r="E84" s="27" t="str">
        <f>HYPERLINK("https://www.boe.es/gazeta/dias/1808/06/25/pdfs/GMD-1808-67.pdf","Abrir fascículo")</f>
        <v>Abrir fascículo</v>
      </c>
    </row>
    <row r="85" spans="1:5">
      <c r="A85" s="21" t="s">
        <v>1197</v>
      </c>
      <c r="B85" s="18" t="s">
        <v>1182</v>
      </c>
      <c r="C85" s="24" t="s">
        <v>19606</v>
      </c>
      <c r="D85" s="24">
        <v>11</v>
      </c>
      <c r="E85" s="27" t="str">
        <f>HYPERLINK("https://www.boe.es/gazeta/dias/1808/06/26/pdfs/GMD-1808-68.pdf","Abrir fascículo")</f>
        <v>Abrir fascículo</v>
      </c>
    </row>
    <row r="86" spans="1:5">
      <c r="A86" s="21" t="s">
        <v>1183</v>
      </c>
      <c r="B86" s="18" t="s">
        <v>1182</v>
      </c>
      <c r="C86" s="24" t="s">
        <v>19607</v>
      </c>
      <c r="D86" s="24">
        <v>13</v>
      </c>
      <c r="E86" s="27" t="str">
        <f>HYPERLINK("https://www.boe.es/gazeta/dias/1808/06/26/pdfs/GMS-1808-8.pdf","Abrir fascículo")</f>
        <v>Abrir fascículo</v>
      </c>
    </row>
    <row r="87" spans="1:5">
      <c r="A87" s="21" t="s">
        <v>2604</v>
      </c>
      <c r="B87" s="18" t="s">
        <v>2603</v>
      </c>
      <c r="C87" s="24" t="s">
        <v>19608</v>
      </c>
      <c r="D87" s="24">
        <v>7</v>
      </c>
      <c r="E87" s="27" t="str">
        <f>HYPERLINK("https://www.boe.es/gazeta/dias/1808/06/27/pdfs/GMD-1808-69.pdf","Abrir fascículo")</f>
        <v>Abrir fascículo</v>
      </c>
    </row>
    <row r="88" spans="1:5">
      <c r="A88" s="21" t="s">
        <v>1485</v>
      </c>
      <c r="B88" s="18" t="s">
        <v>1484</v>
      </c>
      <c r="C88" s="24" t="s">
        <v>19609</v>
      </c>
      <c r="D88" s="24">
        <v>18</v>
      </c>
      <c r="E88" s="27" t="str">
        <f>HYPERLINK("https://www.boe.es/gazeta/dias/1808/06/28/pdfs/GMD-1808-70.pdf","Abrir fascículo")</f>
        <v>Abrir fascículo</v>
      </c>
    </row>
    <row r="89" spans="1:5">
      <c r="A89" s="21" t="s">
        <v>2285</v>
      </c>
      <c r="B89" s="18" t="s">
        <v>2204</v>
      </c>
      <c r="C89" s="24" t="s">
        <v>19610</v>
      </c>
      <c r="D89" s="24">
        <v>15</v>
      </c>
      <c r="E89" s="27" t="str">
        <f>HYPERLINK("https://www.boe.es/gazeta/dias/1808/06/29/pdfs/GMD-1808-71.pdf","Abrir fascículo")</f>
        <v>Abrir fascículo</v>
      </c>
    </row>
    <row r="90" spans="1:5">
      <c r="A90" s="21" t="s">
        <v>2205</v>
      </c>
      <c r="B90" s="18" t="s">
        <v>2204</v>
      </c>
      <c r="C90" s="24" t="s">
        <v>19611</v>
      </c>
      <c r="D90" s="24">
        <v>7</v>
      </c>
      <c r="E90" s="27" t="str">
        <f>HYPERLINK("https://www.boe.es/gazeta/dias/1808/06/29/pdfs/GMS-1808-9.pdf","Abrir fascículo")</f>
        <v>Abrir fascículo</v>
      </c>
    </row>
    <row r="91" spans="1:5">
      <c r="A91" s="21" t="s">
        <v>4568</v>
      </c>
      <c r="B91" s="18" t="s">
        <v>4567</v>
      </c>
      <c r="C91" s="24" t="s">
        <v>19612</v>
      </c>
      <c r="D91" s="24">
        <v>5</v>
      </c>
      <c r="E91" s="27" t="str">
        <f>HYPERLINK("https://www.boe.es/gazeta/dias/1808/06/30/pdfs/GMD-1808-72.pdf","Abrir fascículo")</f>
        <v>Abrir fascículo</v>
      </c>
    </row>
    <row r="92" spans="1:5">
      <c r="A92" s="21" t="s">
        <v>3486</v>
      </c>
      <c r="B92" s="18" t="s">
        <v>3485</v>
      </c>
      <c r="C92" s="24" t="s">
        <v>19613</v>
      </c>
      <c r="D92" s="24">
        <v>9</v>
      </c>
      <c r="E92" s="27" t="str">
        <f>HYPERLINK("https://www.boe.es/gazeta/dias/1808/07/01/pdfs/GMD-1808-73.pdf","Abrir fascículo")</f>
        <v>Abrir fascículo</v>
      </c>
    </row>
    <row r="93" spans="1:5">
      <c r="A93" s="21" t="s">
        <v>474</v>
      </c>
      <c r="B93" s="18" t="s">
        <v>473</v>
      </c>
      <c r="C93" s="24" t="s">
        <v>19614</v>
      </c>
      <c r="D93" s="24">
        <v>13</v>
      </c>
      <c r="E93" s="27" t="str">
        <f>HYPERLINK("https://www.boe.es/gazeta/dias/1808/07/02/pdfs/GMD-1808-74.pdf","Abrir fascículo")</f>
        <v>Abrir fascículo</v>
      </c>
    </row>
    <row r="94" spans="1:5">
      <c r="A94" s="21" t="s">
        <v>4258</v>
      </c>
      <c r="B94" s="18" t="s">
        <v>473</v>
      </c>
      <c r="C94" s="24" t="s">
        <v>19615</v>
      </c>
      <c r="D94" s="24">
        <v>7</v>
      </c>
      <c r="E94" s="27" t="str">
        <f>HYPERLINK("https://www.boe.es/gazeta/dias/1808/07/02/pdfs/GMS-1808-10.pdf","Abrir fascículo")</f>
        <v>Abrir fascículo</v>
      </c>
    </row>
    <row r="95" spans="1:5">
      <c r="A95" s="21" t="s">
        <v>6899</v>
      </c>
      <c r="B95" s="18" t="s">
        <v>6898</v>
      </c>
      <c r="C95" s="24" t="s">
        <v>19616</v>
      </c>
      <c r="D95" s="24">
        <v>4</v>
      </c>
      <c r="E95" s="27" t="str">
        <f>HYPERLINK("https://www.boe.es/gazeta/dias/1808/07/03/pdfs/GMD-1808-75.pdf","Abrir fascículo")</f>
        <v>Abrir fascículo</v>
      </c>
    </row>
    <row r="96" spans="1:5">
      <c r="A96" s="21" t="s">
        <v>2178</v>
      </c>
      <c r="B96" s="18" t="s">
        <v>2177</v>
      </c>
      <c r="C96" s="24" t="s">
        <v>19617</v>
      </c>
      <c r="D96" s="24">
        <v>6</v>
      </c>
      <c r="E96" s="27" t="str">
        <f>HYPERLINK("https://www.boe.es/gazeta/dias/1808/07/04/pdfs/GMD-1808-76.pdf","Abrir fascículo")</f>
        <v>Abrir fascículo</v>
      </c>
    </row>
    <row r="97" spans="1:5">
      <c r="A97" s="21" t="s">
        <v>1963</v>
      </c>
      <c r="B97" s="18" t="s">
        <v>1962</v>
      </c>
      <c r="C97" s="24" t="s">
        <v>19618</v>
      </c>
      <c r="D97" s="24">
        <v>17</v>
      </c>
      <c r="E97" s="27" t="str">
        <f>HYPERLINK("https://www.boe.es/gazeta/dias/1808/07/05/pdfs/GMD-1808-77.pdf","Abrir fascículo")</f>
        <v>Abrir fascículo</v>
      </c>
    </row>
    <row r="98" spans="1:5">
      <c r="A98" s="21" t="s">
        <v>3321</v>
      </c>
      <c r="B98" s="18" t="s">
        <v>1345</v>
      </c>
      <c r="C98" s="24" t="s">
        <v>19619</v>
      </c>
      <c r="D98" s="24">
        <v>4</v>
      </c>
      <c r="E98" s="27" t="str">
        <f>HYPERLINK("https://www.boe.es/gazeta/dias/1808/07/06/pdfs/GMD-1808-78.pdf","Abrir fascículo")</f>
        <v>Abrir fascículo</v>
      </c>
    </row>
    <row r="99" spans="1:5">
      <c r="A99" s="21" t="s">
        <v>1346</v>
      </c>
      <c r="B99" s="18" t="s">
        <v>1345</v>
      </c>
      <c r="C99" s="24" t="s">
        <v>19620</v>
      </c>
      <c r="D99" s="24">
        <v>12</v>
      </c>
      <c r="E99" s="27" t="str">
        <f>HYPERLINK("https://www.boe.es/gazeta/dias/1808/07/06/pdfs/GMS-1808-11.pdf","Abrir fascículo")</f>
        <v>Abrir fascículo</v>
      </c>
    </row>
    <row r="100" spans="1:5">
      <c r="A100" s="21" t="s">
        <v>19621</v>
      </c>
      <c r="B100" s="18" t="s">
        <v>1345</v>
      </c>
      <c r="C100" s="24" t="s">
        <v>19622</v>
      </c>
      <c r="D100" s="24">
        <v>0</v>
      </c>
      <c r="E100" s="27" t="str">
        <f>HYPERLINK("https://www.boe.es/gazeta/dias/1808/07/06/pdfs/GMS-D-1808-11.pdf","Abrir suplemento")</f>
        <v>Abrir suplemento</v>
      </c>
    </row>
    <row r="101" spans="1:5">
      <c r="A101" s="21" t="s">
        <v>1894</v>
      </c>
      <c r="B101" s="18" t="s">
        <v>1893</v>
      </c>
      <c r="C101" s="24" t="s">
        <v>19623</v>
      </c>
      <c r="D101" s="24">
        <v>7</v>
      </c>
      <c r="E101" s="27" t="str">
        <f>HYPERLINK("https://www.boe.es/gazeta/dias/1808/07/07/pdfs/GMD-1808-79.pdf","Abrir fascículo")</f>
        <v>Abrir fascículo</v>
      </c>
    </row>
    <row r="102" spans="1:5">
      <c r="A102" s="21" t="s">
        <v>8065</v>
      </c>
      <c r="B102" s="18" t="s">
        <v>8064</v>
      </c>
      <c r="C102" s="24" t="s">
        <v>19624</v>
      </c>
      <c r="D102" s="24">
        <v>2</v>
      </c>
      <c r="E102" s="27" t="str">
        <f>HYPERLINK("https://www.boe.es/gazeta/dias/1808/07/08/pdfs/GMD-1808-80.pdf","Abrir fascículo")</f>
        <v>Abrir fascículo</v>
      </c>
    </row>
    <row r="103" spans="1:5">
      <c r="A103" s="21" t="s">
        <v>193</v>
      </c>
      <c r="B103" s="18" t="s">
        <v>192</v>
      </c>
      <c r="C103" s="24" t="s">
        <v>19625</v>
      </c>
      <c r="D103" s="24">
        <v>4</v>
      </c>
      <c r="E103" s="27" t="str">
        <f>HYPERLINK("https://www.boe.es/gazeta/dias/1808/07/09/pdfs/GMD-1808-81.pdf","Abrir fascículo")</f>
        <v>Abrir fascículo</v>
      </c>
    </row>
    <row r="104" spans="1:5">
      <c r="A104" s="21" t="s">
        <v>9673</v>
      </c>
      <c r="B104" s="18" t="s">
        <v>192</v>
      </c>
      <c r="C104" s="24" t="s">
        <v>19626</v>
      </c>
      <c r="D104" s="24">
        <v>4</v>
      </c>
      <c r="E104" s="27" t="str">
        <f>HYPERLINK("https://www.boe.es/gazeta/dias/1808/07/09/pdfs/GMS-1808-12.pdf","Abrir fascículo")</f>
        <v>Abrir fascículo</v>
      </c>
    </row>
    <row r="105" spans="1:5">
      <c r="A105" s="21" t="s">
        <v>2172</v>
      </c>
      <c r="B105" s="18" t="s">
        <v>2171</v>
      </c>
      <c r="C105" s="24" t="s">
        <v>19627</v>
      </c>
      <c r="D105" s="24">
        <v>10</v>
      </c>
      <c r="E105" s="27" t="str">
        <f>HYPERLINK("https://www.boe.es/gazeta/dias/1808/07/10/pdfs/GMD-1808-82.pdf","Abrir fascículo")</f>
        <v>Abrir fascículo</v>
      </c>
    </row>
    <row r="106" spans="1:5">
      <c r="A106" s="21" t="s">
        <v>1897</v>
      </c>
      <c r="B106" s="18" t="s">
        <v>1896</v>
      </c>
      <c r="C106" s="24" t="s">
        <v>19628</v>
      </c>
      <c r="D106" s="24">
        <v>15</v>
      </c>
      <c r="E106" s="27" t="str">
        <f>HYPERLINK("https://www.boe.es/gazeta/dias/1808/07/11/pdfs/GMD-1808-83.pdf","Abrir fascículo")</f>
        <v>Abrir fascículo</v>
      </c>
    </row>
    <row r="107" spans="1:5">
      <c r="A107" s="21" t="s">
        <v>14717</v>
      </c>
      <c r="B107" s="18" t="s">
        <v>14716</v>
      </c>
      <c r="C107" s="24" t="s">
        <v>19629</v>
      </c>
      <c r="D107" s="24">
        <v>4</v>
      </c>
      <c r="E107" s="27" t="str">
        <f>HYPERLINK("https://www.boe.es/gazeta/dias/1808/07/12/pdfs/GMD-1808-84.pdf","Abrir fascículo")</f>
        <v>Abrir fascículo</v>
      </c>
    </row>
    <row r="108" spans="1:5">
      <c r="A108" s="21" t="s">
        <v>3079</v>
      </c>
      <c r="B108" s="18" t="s">
        <v>1702</v>
      </c>
      <c r="C108" s="24" t="s">
        <v>19630</v>
      </c>
      <c r="D108" s="24">
        <v>16</v>
      </c>
      <c r="E108" s="27" t="str">
        <f>HYPERLINK("https://www.boe.es/gazeta/dias/1808/07/13/pdfs/GMD-1808-85.pdf","Abrir fascículo")</f>
        <v>Abrir fascículo</v>
      </c>
    </row>
    <row r="109" spans="1:5">
      <c r="A109" s="21" t="s">
        <v>1703</v>
      </c>
      <c r="B109" s="18" t="s">
        <v>1702</v>
      </c>
      <c r="C109" s="24" t="s">
        <v>19631</v>
      </c>
      <c r="D109" s="24">
        <v>3</v>
      </c>
      <c r="E109" s="27" t="str">
        <f>HYPERLINK("https://www.boe.es/gazeta/dias/1808/07/13/pdfs/GMS-1808-13.pdf","Abrir fascículo")</f>
        <v>Abrir fascículo</v>
      </c>
    </row>
    <row r="110" spans="1:5">
      <c r="A110" s="21" t="s">
        <v>8355</v>
      </c>
      <c r="B110" s="18" t="s">
        <v>8354</v>
      </c>
      <c r="C110" s="24" t="s">
        <v>19632</v>
      </c>
      <c r="D110" s="24">
        <v>6</v>
      </c>
      <c r="E110" s="27" t="str">
        <f>HYPERLINK("https://www.boe.es/gazeta/dias/1808/07/14/pdfs/GMD-1808-86.pdf","Abrir fascículo")</f>
        <v>Abrir fascículo</v>
      </c>
    </row>
    <row r="111" spans="1:5">
      <c r="A111" s="21" t="s">
        <v>3314</v>
      </c>
      <c r="B111" s="18" t="s">
        <v>3313</v>
      </c>
      <c r="C111" s="24" t="s">
        <v>19633</v>
      </c>
      <c r="D111" s="24">
        <v>12</v>
      </c>
      <c r="E111" s="27" t="str">
        <f>HYPERLINK("https://www.boe.es/gazeta/dias/1808/07/15/pdfs/GMD-1808-87.pdf","Abrir fascículo")</f>
        <v>Abrir fascículo</v>
      </c>
    </row>
    <row r="112" spans="1:5">
      <c r="A112" s="21" t="s">
        <v>2736</v>
      </c>
      <c r="B112" s="18" t="s">
        <v>714</v>
      </c>
      <c r="C112" s="24" t="s">
        <v>19634</v>
      </c>
      <c r="D112" s="24">
        <v>12</v>
      </c>
      <c r="E112" s="27" t="str">
        <f>HYPERLINK("https://www.boe.es/gazeta/dias/1808/07/16/pdfs/GMD-1808-88.pdf","Abrir fascículo")</f>
        <v>Abrir fascículo</v>
      </c>
    </row>
    <row r="113" spans="1:5">
      <c r="A113" s="21" t="s">
        <v>715</v>
      </c>
      <c r="B113" s="18" t="s">
        <v>714</v>
      </c>
      <c r="C113" s="24" t="s">
        <v>19635</v>
      </c>
      <c r="D113" s="24">
        <v>11</v>
      </c>
      <c r="E113" s="27" t="str">
        <f>HYPERLINK("https://www.boe.es/gazeta/dias/1808/07/16/pdfs/GMS-1808-14.pdf","Abrir fascículo")</f>
        <v>Abrir fascículo</v>
      </c>
    </row>
    <row r="114" spans="1:5">
      <c r="A114" s="21" t="s">
        <v>3098</v>
      </c>
      <c r="B114" s="18" t="s">
        <v>3097</v>
      </c>
      <c r="C114" s="24" t="s">
        <v>19636</v>
      </c>
      <c r="D114" s="24">
        <v>11</v>
      </c>
      <c r="E114" s="27" t="str">
        <f>HYPERLINK("https://www.boe.es/gazeta/dias/1808/07/17/pdfs/GMD-1808-89.pdf","Abrir fascículo")</f>
        <v>Abrir fascículo</v>
      </c>
    </row>
    <row r="115" spans="1:5">
      <c r="A115" s="21" t="s">
        <v>229</v>
      </c>
      <c r="B115" s="18" t="s">
        <v>228</v>
      </c>
      <c r="C115" s="24" t="s">
        <v>19637</v>
      </c>
      <c r="D115" s="24">
        <v>19</v>
      </c>
      <c r="E115" s="27" t="str">
        <f>HYPERLINK("https://www.boe.es/gazeta/dias/1808/07/18/pdfs/GMD-1808-90.pdf","Abrir fascículo")</f>
        <v>Abrir fascículo</v>
      </c>
    </row>
    <row r="116" spans="1:5">
      <c r="A116" s="21" t="s">
        <v>4383</v>
      </c>
      <c r="B116" s="18" t="s">
        <v>4382</v>
      </c>
      <c r="C116" s="24" t="s">
        <v>19638</v>
      </c>
      <c r="D116" s="24">
        <v>4</v>
      </c>
      <c r="E116" s="27" t="str">
        <f>HYPERLINK("https://www.boe.es/gazeta/dias/1808/07/19/pdfs/GMD-1808-91.pdf","Abrir fascículo")</f>
        <v>Abrir fascículo</v>
      </c>
    </row>
    <row r="117" spans="1:5">
      <c r="A117" s="21" t="s">
        <v>5018</v>
      </c>
      <c r="B117" s="18" t="s">
        <v>2639</v>
      </c>
      <c r="C117" s="24" t="s">
        <v>19639</v>
      </c>
      <c r="D117" s="24">
        <v>4</v>
      </c>
      <c r="E117" s="27" t="str">
        <f>HYPERLINK("https://www.boe.es/gazeta/dias/1808/07/20/pdfs/GMD-1808-92.pdf","Abrir fascículo")</f>
        <v>Abrir fascículo</v>
      </c>
    </row>
    <row r="118" spans="1:5">
      <c r="A118" s="21" t="s">
        <v>2640</v>
      </c>
      <c r="B118" s="18" t="s">
        <v>2639</v>
      </c>
      <c r="C118" s="24" t="s">
        <v>19640</v>
      </c>
      <c r="D118" s="24">
        <v>9</v>
      </c>
      <c r="E118" s="27" t="str">
        <f>HYPERLINK("https://www.boe.es/gazeta/dias/1808/07/20/pdfs/GMS-1808-15.pdf","Abrir fascículo")</f>
        <v>Abrir fascículo</v>
      </c>
    </row>
    <row r="119" spans="1:5">
      <c r="A119" s="21" t="s">
        <v>961</v>
      </c>
      <c r="B119" s="18" t="s">
        <v>960</v>
      </c>
      <c r="C119" s="24" t="s">
        <v>19641</v>
      </c>
      <c r="D119" s="24">
        <v>10</v>
      </c>
      <c r="E119" s="27" t="str">
        <f>HYPERLINK("https://www.boe.es/gazeta/dias/1808/07/21/pdfs/GMD-1808-93.pdf","Abrir fascículo")</f>
        <v>Abrir fascículo</v>
      </c>
    </row>
    <row r="120" spans="1:5">
      <c r="A120" s="21" t="s">
        <v>1155</v>
      </c>
      <c r="B120" s="18" t="s">
        <v>1154</v>
      </c>
      <c r="C120" s="24" t="s">
        <v>19642</v>
      </c>
      <c r="D120" s="24">
        <v>5</v>
      </c>
      <c r="E120" s="27" t="str">
        <f>HYPERLINK("https://www.boe.es/gazeta/dias/1808/07/22/pdfs/GMD-1808-94.pdf","Abrir fascículo")</f>
        <v>Abrir fascículo</v>
      </c>
    </row>
    <row r="121" spans="1:5">
      <c r="A121" s="21" t="s">
        <v>7950</v>
      </c>
      <c r="B121" s="18" t="s">
        <v>3365</v>
      </c>
      <c r="C121" s="24" t="s">
        <v>19643</v>
      </c>
      <c r="D121" s="24">
        <v>3</v>
      </c>
      <c r="E121" s="27" t="str">
        <f>HYPERLINK("https://www.boe.es/gazeta/dias/1808/07/23/pdfs/GMD-1808-95.pdf","Abrir fascículo")</f>
        <v>Abrir fascículo</v>
      </c>
    </row>
    <row r="122" spans="1:5">
      <c r="A122" s="21" t="s">
        <v>3366</v>
      </c>
      <c r="B122" s="18" t="s">
        <v>3365</v>
      </c>
      <c r="C122" s="24" t="s">
        <v>19644</v>
      </c>
      <c r="D122" s="24">
        <v>16</v>
      </c>
      <c r="E122" s="27" t="str">
        <f>HYPERLINK("https://www.boe.es/gazeta/dias/1808/07/23/pdfs/GMS-1808-16.pdf","Abrir fascículo")</f>
        <v>Abrir fascículo</v>
      </c>
    </row>
    <row r="123" spans="1:5">
      <c r="A123" s="21" t="s">
        <v>19645</v>
      </c>
      <c r="B123" s="18" t="s">
        <v>3365</v>
      </c>
      <c r="C123" s="24" t="s">
        <v>19622</v>
      </c>
      <c r="D123" s="24">
        <v>0</v>
      </c>
      <c r="E123" s="27" t="str">
        <f>HYPERLINK("https://www.boe.es/gazeta/dias/1808/07/23/pdfs/GMS-D-1808-16.pdf","Abrir suplemento")</f>
        <v>Abrir suplemento</v>
      </c>
    </row>
    <row r="124" spans="1:5">
      <c r="A124" s="21" t="s">
        <v>8876</v>
      </c>
      <c r="B124" s="18" t="s">
        <v>8875</v>
      </c>
      <c r="C124" s="24" t="s">
        <v>19646</v>
      </c>
      <c r="D124" s="24">
        <v>8</v>
      </c>
      <c r="E124" s="27" t="str">
        <f>HYPERLINK("https://www.boe.es/gazeta/dias/1808/07/24/pdfs/GMD-1808-96.pdf","Abrir fascículo")</f>
        <v>Abrir fascículo</v>
      </c>
    </row>
    <row r="125" spans="1:5">
      <c r="A125" s="21" t="s">
        <v>1259</v>
      </c>
      <c r="B125" s="18" t="s">
        <v>1258</v>
      </c>
      <c r="C125" s="24" t="s">
        <v>19647</v>
      </c>
      <c r="D125" s="24">
        <v>26</v>
      </c>
      <c r="E125" s="27" t="str">
        <f>HYPERLINK("https://www.boe.es/gazeta/dias/1808/07/25/pdfs/GMD-1808-97.pdf","Abrir fascículo")</f>
        <v>Abrir fascículo</v>
      </c>
    </row>
    <row r="126" spans="1:5">
      <c r="A126" s="21" t="s">
        <v>969</v>
      </c>
      <c r="B126" s="18" t="s">
        <v>968</v>
      </c>
      <c r="C126" s="24" t="s">
        <v>19648</v>
      </c>
      <c r="D126" s="24">
        <v>18</v>
      </c>
      <c r="E126" s="27" t="str">
        <f>HYPERLINK("https://www.boe.es/gazeta/dias/1808/07/26/pdfs/GMD-1808-98.pdf","Abrir fascículo")</f>
        <v>Abrir fascículo</v>
      </c>
    </row>
    <row r="127" spans="1:5">
      <c r="A127" s="21" t="s">
        <v>554</v>
      </c>
      <c r="B127" s="18" t="s">
        <v>553</v>
      </c>
      <c r="C127" s="24" t="s">
        <v>19649</v>
      </c>
      <c r="D127" s="24">
        <v>9</v>
      </c>
      <c r="E127" s="27" t="str">
        <f>HYPERLINK("https://www.boe.es/gazeta/dias/1808/07/27/pdfs/GMD-1808-99.pdf","Abrir fascículo")</f>
        <v>Abrir fascículo</v>
      </c>
    </row>
    <row r="128" spans="1:5">
      <c r="A128" s="21" t="s">
        <v>3282</v>
      </c>
      <c r="B128" s="18" t="s">
        <v>553</v>
      </c>
      <c r="C128" s="24" t="s">
        <v>19650</v>
      </c>
      <c r="D128" s="24">
        <v>7</v>
      </c>
      <c r="E128" s="27" t="str">
        <f>HYPERLINK("https://www.boe.es/gazeta/dias/1808/07/27/pdfs/GMS-1808-17.pdf","Abrir fascículo")</f>
        <v>Abrir fascículo</v>
      </c>
    </row>
    <row r="129" spans="1:5">
      <c r="A129" s="21" t="s">
        <v>635</v>
      </c>
      <c r="B129" s="18" t="s">
        <v>634</v>
      </c>
      <c r="C129" s="24" t="s">
        <v>19651</v>
      </c>
      <c r="D129" s="24">
        <v>5</v>
      </c>
      <c r="E129" s="27" t="str">
        <f>HYPERLINK("https://www.boe.es/gazeta/dias/1808/07/28/pdfs/GMD-1808-100.pdf","Abrir fascículo")</f>
        <v>Abrir fascículo</v>
      </c>
    </row>
    <row r="130" spans="1:5">
      <c r="A130" s="21" t="s">
        <v>2324</v>
      </c>
      <c r="B130" s="18" t="s">
        <v>2323</v>
      </c>
      <c r="C130" s="24" t="s">
        <v>19652</v>
      </c>
      <c r="D130" s="24">
        <v>1</v>
      </c>
      <c r="E130" s="27" t="str">
        <f>HYPERLINK("https://www.boe.es/gazeta/dias/1808/07/29/pdfs/GMD-1808-101.pdf","Abrir fascículo")</f>
        <v>Abrir fascículo</v>
      </c>
    </row>
    <row r="131" spans="1:5">
      <c r="A131" s="21" t="s">
        <v>2814</v>
      </c>
      <c r="B131" s="18" t="s">
        <v>1791</v>
      </c>
      <c r="C131" s="24" t="s">
        <v>19653</v>
      </c>
      <c r="D131" s="24">
        <v>32</v>
      </c>
      <c r="E131" s="27" t="str">
        <f>HYPERLINK("https://www.boe.es/gazeta/dias/1808/07/30/pdfs/GMD-1808-102.pdf","Abrir fascículo")</f>
        <v>Abrir fascículo</v>
      </c>
    </row>
    <row r="132" spans="1:5">
      <c r="A132" s="21" t="s">
        <v>1792</v>
      </c>
      <c r="B132" s="18" t="s">
        <v>1791</v>
      </c>
      <c r="C132" s="24" t="s">
        <v>19654</v>
      </c>
      <c r="D132" s="24">
        <v>16</v>
      </c>
      <c r="E132" s="27" t="str">
        <f>HYPERLINK("https://www.boe.es/gazeta/dias/1808/07/30/pdfs/GMS-1808-18.pdf","Abrir fascículo")</f>
        <v>Abrir fascículo</v>
      </c>
    </row>
    <row r="133" spans="1:5">
      <c r="A133" s="21" t="s">
        <v>3440</v>
      </c>
      <c r="B133" s="18" t="s">
        <v>3439</v>
      </c>
      <c r="C133" s="24" t="s">
        <v>19655</v>
      </c>
      <c r="D133" s="24">
        <v>13</v>
      </c>
      <c r="E133" s="27" t="str">
        <f>HYPERLINK("https://www.boe.es/gazeta/dias/1808/07/31/pdfs/GMD-1808-103.pdf","Abrir fascículo")</f>
        <v>Abrir fascículo</v>
      </c>
    </row>
    <row r="134" spans="1:5">
      <c r="A134" s="21" t="s">
        <v>2599</v>
      </c>
      <c r="B134" s="18" t="s">
        <v>2598</v>
      </c>
      <c r="C134" s="24" t="s">
        <v>19656</v>
      </c>
      <c r="D134" s="24">
        <v>16</v>
      </c>
      <c r="E134" s="27" t="str">
        <f>HYPERLINK("https://www.boe.es/gazeta/dias/1808/08/01/pdfs/GMD-1808-104.pdf","Abrir fascículo")</f>
        <v>Abrir fascículo</v>
      </c>
    </row>
    <row r="135" spans="1:5">
      <c r="A135" s="21" t="s">
        <v>6962</v>
      </c>
      <c r="B135" s="18" t="s">
        <v>6961</v>
      </c>
      <c r="C135" s="24" t="s">
        <v>19657</v>
      </c>
      <c r="D135" s="24">
        <v>6</v>
      </c>
      <c r="E135" s="27" t="str">
        <f>HYPERLINK("https://www.boe.es/gazeta/dias/1808/08/02/pdfs/GMD-1808-105.pdf","Abrir fascículo")</f>
        <v>Abrir fascículo</v>
      </c>
    </row>
    <row r="136" spans="1:5">
      <c r="A136" s="21" t="s">
        <v>6466</v>
      </c>
      <c r="B136" s="18" t="s">
        <v>2856</v>
      </c>
      <c r="C136" s="24" t="s">
        <v>19658</v>
      </c>
      <c r="D136" s="24">
        <v>8</v>
      </c>
      <c r="E136" s="27" t="str">
        <f>HYPERLINK("https://www.boe.es/gazeta/dias/1808/08/03/pdfs/GMD-1808-106.pdf","Abrir fascículo")</f>
        <v>Abrir fascículo</v>
      </c>
    </row>
    <row r="137" spans="1:5">
      <c r="A137" s="21" t="s">
        <v>2857</v>
      </c>
      <c r="B137" s="18" t="s">
        <v>2856</v>
      </c>
      <c r="C137" s="24" t="s">
        <v>19659</v>
      </c>
      <c r="D137" s="24">
        <v>8</v>
      </c>
      <c r="E137" s="27" t="str">
        <f>HYPERLINK("https://www.boe.es/gazeta/dias/1808/08/03/pdfs/GMS-1808-19.pdf","Abrir fascículo")</f>
        <v>Abrir fascículo</v>
      </c>
    </row>
    <row r="138" spans="1:5">
      <c r="A138" s="21" t="s">
        <v>520</v>
      </c>
      <c r="B138" s="18" t="s">
        <v>519</v>
      </c>
      <c r="C138" s="24" t="s">
        <v>19660</v>
      </c>
      <c r="D138" s="24">
        <v>5</v>
      </c>
      <c r="E138" s="27" t="str">
        <f>HYPERLINK("https://www.boe.es/gazeta/dias/1808/08/04/pdfs/GMD-1808-107.pdf","Abrir fascículo")</f>
        <v>Abrir fascículo</v>
      </c>
    </row>
    <row r="139" spans="1:5">
      <c r="A139" s="21" t="s">
        <v>805</v>
      </c>
      <c r="B139" s="18" t="s">
        <v>804</v>
      </c>
      <c r="C139" s="24" t="s">
        <v>19661</v>
      </c>
      <c r="D139" s="24">
        <v>10</v>
      </c>
      <c r="E139" s="27" t="str">
        <f>HYPERLINK("https://www.boe.es/gazeta/dias/1808/08/05/pdfs/GMD-1808-108.pdf","Abrir fascículo")</f>
        <v>Abrir fascículo</v>
      </c>
    </row>
    <row r="140" spans="1:5">
      <c r="A140" s="21" t="s">
        <v>3116</v>
      </c>
      <c r="B140" s="18" t="s">
        <v>804</v>
      </c>
      <c r="C140" s="24" t="s">
        <v>19662</v>
      </c>
      <c r="D140" s="24">
        <v>2</v>
      </c>
      <c r="E140" s="27" t="str">
        <f>HYPERLINK("https://www.boe.es/gazeta/dias/1808/08/05/pdfs/GMS-1808-20.pdf","Abrir fascículo")</f>
        <v>Abrir fascículo</v>
      </c>
    </row>
    <row r="141" spans="1:5">
      <c r="A141" s="21" t="s">
        <v>2795</v>
      </c>
      <c r="B141" s="18" t="s">
        <v>2794</v>
      </c>
      <c r="C141" s="24" t="s">
        <v>19663</v>
      </c>
      <c r="D141" s="24">
        <v>10</v>
      </c>
      <c r="E141" s="27" t="str">
        <f>HYPERLINK("https://www.boe.es/gazeta/dias/1808/08/06/pdfs/GMD-1808-109.pdf","Abrir fascículo")</f>
        <v>Abrir fascículo</v>
      </c>
    </row>
    <row r="142" spans="1:5">
      <c r="A142" s="21" t="s">
        <v>523</v>
      </c>
      <c r="B142" s="18" t="s">
        <v>522</v>
      </c>
      <c r="C142" s="24" t="s">
        <v>19664</v>
      </c>
      <c r="D142" s="24">
        <v>18</v>
      </c>
      <c r="E142" s="27" t="str">
        <f>HYPERLINK("https://www.boe.es/gazeta/dias/1808/08/07/pdfs/GMD-1808-110.pdf","Abrir fascículo")</f>
        <v>Abrir fascículo</v>
      </c>
    </row>
    <row r="143" spans="1:5">
      <c r="A143" s="21" t="s">
        <v>52</v>
      </c>
      <c r="B143" s="18" t="s">
        <v>51</v>
      </c>
      <c r="C143" s="24" t="s">
        <v>19665</v>
      </c>
      <c r="D143" s="24">
        <v>35</v>
      </c>
      <c r="E143" s="27" t="str">
        <f>HYPERLINK("https://www.boe.es/gazeta/dias/1808/08/09/pdfs/GMD-1808-111.pdf","Abrir fascículo")</f>
        <v>Abrir fascículo</v>
      </c>
    </row>
    <row r="144" spans="1:5">
      <c r="A144" s="21" t="s">
        <v>1366</v>
      </c>
      <c r="B144" s="18" t="s">
        <v>51</v>
      </c>
      <c r="C144" s="24" t="s">
        <v>19666</v>
      </c>
      <c r="D144" s="24">
        <v>13</v>
      </c>
      <c r="E144" s="27" t="str">
        <f>HYPERLINK("https://www.boe.es/gazeta/dias/1808/08/09/pdfs/GMS-1808-21.pdf","Abrir fascículo")</f>
        <v>Abrir fascículo</v>
      </c>
    </row>
    <row r="145" spans="1:5">
      <c r="A145" s="21" t="s">
        <v>489</v>
      </c>
      <c r="B145" s="18" t="s">
        <v>287</v>
      </c>
      <c r="C145" s="24" t="s">
        <v>19667</v>
      </c>
      <c r="D145" s="24">
        <v>30</v>
      </c>
      <c r="E145" s="27" t="str">
        <f>HYPERLINK("https://www.boe.es/gazeta/dias/1808/08/12/pdfs/GMD-1808-112.pdf","Abrir fascículo")</f>
        <v>Abrir fascículo</v>
      </c>
    </row>
    <row r="146" spans="1:5">
      <c r="A146" s="21" t="s">
        <v>288</v>
      </c>
      <c r="B146" s="18" t="s">
        <v>287</v>
      </c>
      <c r="C146" s="24" t="s">
        <v>19668</v>
      </c>
      <c r="D146" s="24">
        <v>8</v>
      </c>
      <c r="E146" s="27" t="str">
        <f>HYPERLINK("https://www.boe.es/gazeta/dias/1808/08/12/pdfs/GMS-1808-22.pdf","Abrir fascículo")</f>
        <v>Abrir fascículo</v>
      </c>
    </row>
    <row r="147" spans="1:5">
      <c r="A147" s="21" t="s">
        <v>509</v>
      </c>
      <c r="B147" s="18" t="s">
        <v>508</v>
      </c>
      <c r="C147" s="24" t="s">
        <v>19669</v>
      </c>
      <c r="D147" s="24">
        <v>25</v>
      </c>
      <c r="E147" s="27" t="str">
        <f>HYPERLINK("https://www.boe.es/gazeta/dias/1808/08/16/pdfs/GMD-1808-113.pdf","Abrir fascículo")</f>
        <v>Abrir fascículo</v>
      </c>
    </row>
    <row r="148" spans="1:5">
      <c r="A148" s="21" t="s">
        <v>1561</v>
      </c>
      <c r="B148" s="18" t="s">
        <v>508</v>
      </c>
      <c r="C148" s="24" t="s">
        <v>19670</v>
      </c>
      <c r="D148" s="24">
        <v>21</v>
      </c>
      <c r="E148" s="27" t="str">
        <f>HYPERLINK("https://www.boe.es/gazeta/dias/1808/08/16/pdfs/GMD-C-1808-113.pdf","Abrir suplemento")</f>
        <v>Abrir suplemento</v>
      </c>
    </row>
    <row r="149" spans="1:5">
      <c r="A149" s="21" t="s">
        <v>5993</v>
      </c>
      <c r="B149" s="18" t="s">
        <v>508</v>
      </c>
      <c r="C149" s="24" t="s">
        <v>19671</v>
      </c>
      <c r="D149" s="24">
        <v>7</v>
      </c>
      <c r="E149" s="27" t="str">
        <f>HYPERLINK("https://www.boe.es/gazeta/dias/1808/08/16/pdfs/GMS-1808-23.pdf","Abrir fascículo")</f>
        <v>Abrir fascículo</v>
      </c>
    </row>
    <row r="150" spans="1:5">
      <c r="A150" s="21" t="s">
        <v>659</v>
      </c>
      <c r="B150" s="18" t="s">
        <v>658</v>
      </c>
      <c r="C150" s="24" t="s">
        <v>19672</v>
      </c>
      <c r="D150" s="24">
        <v>2</v>
      </c>
      <c r="E150" s="27" t="str">
        <f>HYPERLINK("https://www.boe.es/gazeta/dias/1808/08/18/pdfs/GMD-1808-114E.pdf","Abrir extraordinaria")</f>
        <v>Abrir extraordinaria</v>
      </c>
    </row>
    <row r="151" spans="1:5">
      <c r="A151" s="21" t="s">
        <v>617</v>
      </c>
      <c r="B151" s="18" t="s">
        <v>616</v>
      </c>
      <c r="C151" s="24" t="s">
        <v>19673</v>
      </c>
      <c r="D151" s="24">
        <v>33</v>
      </c>
      <c r="E151" s="27" t="str">
        <f>HYPERLINK("https://www.boe.es/gazeta/dias/1808/08/19/pdfs/GMD-1808-115.pdf","Abrir fascículo")</f>
        <v>Abrir fascículo</v>
      </c>
    </row>
    <row r="152" spans="1:5">
      <c r="A152" s="21" t="s">
        <v>4334</v>
      </c>
      <c r="B152" s="18" t="s">
        <v>616</v>
      </c>
      <c r="C152" s="24" t="s">
        <v>19674</v>
      </c>
      <c r="D152" s="24">
        <v>8</v>
      </c>
      <c r="E152" s="27" t="str">
        <f>HYPERLINK("https://www.boe.es/gazeta/dias/1808/08/19/pdfs/GMD-C-1808-115.pdf","Abrir suplemento")</f>
        <v>Abrir suplemento</v>
      </c>
    </row>
    <row r="153" spans="1:5">
      <c r="A153" s="21" t="s">
        <v>8009</v>
      </c>
      <c r="B153" s="18" t="s">
        <v>616</v>
      </c>
      <c r="C153" s="24" t="s">
        <v>19675</v>
      </c>
      <c r="D153" s="24">
        <v>6</v>
      </c>
      <c r="E153" s="27" t="str">
        <f>HYPERLINK("https://www.boe.es/gazeta/dias/1808/08/19/pdfs/GMS-1808-24.pdf","Abrir fascículo")</f>
        <v>Abrir fascículo</v>
      </c>
    </row>
    <row r="154" spans="1:5">
      <c r="A154" s="21" t="s">
        <v>291</v>
      </c>
      <c r="B154" s="18" t="s">
        <v>290</v>
      </c>
      <c r="C154" s="24" t="s">
        <v>19676</v>
      </c>
      <c r="D154" s="24">
        <v>30</v>
      </c>
      <c r="E154" s="27" t="str">
        <f>HYPERLINK("https://www.boe.es/gazeta/dias/1808/08/23/pdfs/GMD-1808-116.pdf","Abrir fascículo")</f>
        <v>Abrir fascículo</v>
      </c>
    </row>
    <row r="155" spans="1:5">
      <c r="A155" s="21" t="s">
        <v>4683</v>
      </c>
      <c r="B155" s="18" t="s">
        <v>290</v>
      </c>
      <c r="C155" s="24" t="s">
        <v>19677</v>
      </c>
      <c r="D155" s="24">
        <v>2</v>
      </c>
      <c r="E155" s="27" t="str">
        <f>HYPERLINK("https://www.boe.es/gazeta/dias/1808/08/23/pdfs/GMD-C-1808-116.pdf","Abrir suplemento")</f>
        <v>Abrir suplemento</v>
      </c>
    </row>
    <row r="156" spans="1:5">
      <c r="A156" s="21" t="s">
        <v>9365</v>
      </c>
      <c r="B156" s="18" t="s">
        <v>290</v>
      </c>
      <c r="C156" s="24" t="s">
        <v>19678</v>
      </c>
      <c r="D156" s="24">
        <v>1</v>
      </c>
      <c r="E156" s="27" t="str">
        <f>HYPERLINK("https://www.boe.es/gazeta/dias/1808/08/23/pdfs/GMD-D-1808-116.pdf","Abrir suplemento")</f>
        <v>Abrir suplemento</v>
      </c>
    </row>
    <row r="157" spans="1:5">
      <c r="A157" s="21" t="s">
        <v>3150</v>
      </c>
      <c r="B157" s="18" t="s">
        <v>290</v>
      </c>
      <c r="C157" s="24" t="s">
        <v>19679</v>
      </c>
      <c r="D157" s="24">
        <v>17</v>
      </c>
      <c r="E157" s="27" t="str">
        <f>HYPERLINK("https://www.boe.es/gazeta/dias/1808/08/23/pdfs/GMS-1808-25.pdf","Abrir fascículo")</f>
        <v>Abrir fascículo</v>
      </c>
    </row>
    <row r="158" spans="1:5">
      <c r="A158" s="21" t="s">
        <v>55</v>
      </c>
      <c r="B158" s="18" t="s">
        <v>54</v>
      </c>
      <c r="C158" s="24" t="s">
        <v>19680</v>
      </c>
      <c r="D158" s="24">
        <v>68</v>
      </c>
      <c r="E158" s="27" t="str">
        <f>HYPERLINK("https://www.boe.es/gazeta/dias/1808/08/26/pdfs/GMD-1808-117.pdf","Abrir fascículo")</f>
        <v>Abrir fascículo</v>
      </c>
    </row>
    <row r="159" spans="1:5">
      <c r="A159" s="21" t="s">
        <v>8048</v>
      </c>
      <c r="B159" s="18" t="s">
        <v>54</v>
      </c>
      <c r="C159" s="24" t="s">
        <v>19681</v>
      </c>
      <c r="D159" s="24">
        <v>3</v>
      </c>
      <c r="E159" s="27" t="str">
        <f>HYPERLINK("https://www.boe.es/gazeta/dias/1808/08/26/pdfs/GMD-C-1808-117.pdf","Abrir suplemento")</f>
        <v>Abrir suplemento</v>
      </c>
    </row>
    <row r="160" spans="1:5">
      <c r="A160" s="21" t="s">
        <v>6663</v>
      </c>
      <c r="B160" s="18" t="s">
        <v>54</v>
      </c>
      <c r="C160" s="24" t="s">
        <v>19682</v>
      </c>
      <c r="D160" s="24">
        <v>3</v>
      </c>
      <c r="E160" s="27" t="str">
        <f>HYPERLINK("https://www.boe.es/gazeta/dias/1808/08/26/pdfs/GMS-1808-26.pdf","Abrir fascículo")</f>
        <v>Abrir fascículo</v>
      </c>
    </row>
    <row r="161" spans="1:5">
      <c r="A161" s="21" t="s">
        <v>186</v>
      </c>
      <c r="B161" s="18" t="s">
        <v>185</v>
      </c>
      <c r="C161" s="24" t="s">
        <v>19683</v>
      </c>
      <c r="D161" s="24">
        <v>31</v>
      </c>
      <c r="E161" s="27" t="str">
        <f>HYPERLINK("https://www.boe.es/gazeta/dias/1808/08/30/pdfs/GMD-1808-118.pdf","Abrir fascículo")</f>
        <v>Abrir fascículo</v>
      </c>
    </row>
    <row r="162" spans="1:5">
      <c r="A162" s="21" t="s">
        <v>6822</v>
      </c>
      <c r="B162" s="18" t="s">
        <v>185</v>
      </c>
      <c r="C162" s="24" t="s">
        <v>19684</v>
      </c>
      <c r="D162" s="24">
        <v>12</v>
      </c>
      <c r="E162" s="27" t="str">
        <f>HYPERLINK("https://www.boe.es/gazeta/dias/1808/08/30/pdfs/GMS-1808-27.pdf","Abrir fascículo")</f>
        <v>Abrir fascículo</v>
      </c>
    </row>
    <row r="163" spans="1:5">
      <c r="A163" s="21" t="s">
        <v>540</v>
      </c>
      <c r="B163" s="18" t="s">
        <v>539</v>
      </c>
      <c r="C163" s="24" t="s">
        <v>19685</v>
      </c>
      <c r="D163" s="24">
        <v>38</v>
      </c>
      <c r="E163" s="27" t="str">
        <f>HYPERLINK("https://www.boe.es/gazeta/dias/1808/09/02/pdfs/GMD-1808-119.pdf","Abrir fascículo")</f>
        <v>Abrir fascículo</v>
      </c>
    </row>
    <row r="164" spans="1:5">
      <c r="A164" s="21" t="s">
        <v>908</v>
      </c>
      <c r="B164" s="18" t="s">
        <v>539</v>
      </c>
      <c r="C164" s="24" t="s">
        <v>19686</v>
      </c>
      <c r="D164" s="24">
        <v>10</v>
      </c>
      <c r="E164" s="27" t="str">
        <f>HYPERLINK("https://www.boe.es/gazeta/dias/1808/09/02/pdfs/GMS-1808-28.pdf","Abrir fascículo")</f>
        <v>Abrir fascículo</v>
      </c>
    </row>
    <row r="165" spans="1:5">
      <c r="A165" s="21" t="s">
        <v>1218</v>
      </c>
      <c r="B165" s="18" t="s">
        <v>418</v>
      </c>
      <c r="C165" s="24" t="s">
        <v>19687</v>
      </c>
      <c r="D165" s="24">
        <v>8</v>
      </c>
      <c r="E165" s="27" t="str">
        <f>HYPERLINK("https://www.boe.es/gazeta/dias/1808/09/06/pdfs/GMD-1808-120.pdf","Abrir fascículo")</f>
        <v>Abrir fascículo</v>
      </c>
    </row>
    <row r="166" spans="1:5">
      <c r="A166" s="21" t="s">
        <v>419</v>
      </c>
      <c r="B166" s="18" t="s">
        <v>418</v>
      </c>
      <c r="C166" s="24" t="s">
        <v>19688</v>
      </c>
      <c r="D166" s="24">
        <v>37</v>
      </c>
      <c r="E166" s="27" t="str">
        <f>HYPERLINK("https://www.boe.es/gazeta/dias/1808/09/06/pdfs/GMD-C-1808-120.pdf","Abrir suplemento")</f>
        <v>Abrir suplemento</v>
      </c>
    </row>
    <row r="167" spans="1:5">
      <c r="A167" s="21" t="s">
        <v>3832</v>
      </c>
      <c r="B167" s="18" t="s">
        <v>418</v>
      </c>
      <c r="C167" s="24" t="s">
        <v>19689</v>
      </c>
      <c r="D167" s="24">
        <v>12</v>
      </c>
      <c r="E167" s="27" t="str">
        <f>HYPERLINK("https://www.boe.es/gazeta/dias/1808/09/06/pdfs/GMS-1808-29.pdf","Abrir fascículo")</f>
        <v>Abrir fascículo</v>
      </c>
    </row>
    <row r="168" spans="1:5">
      <c r="A168" s="21" t="s">
        <v>1185</v>
      </c>
      <c r="B168" s="18" t="s">
        <v>153</v>
      </c>
      <c r="C168" s="24" t="s">
        <v>19690</v>
      </c>
      <c r="D168" s="24">
        <v>15</v>
      </c>
      <c r="E168" s="27" t="str">
        <f>HYPERLINK("https://www.boe.es/gazeta/dias/1808/09/09/pdfs/GMD-1808-121.pdf","Abrir fascículo")</f>
        <v>Abrir fascículo</v>
      </c>
    </row>
    <row r="169" spans="1:5">
      <c r="A169" s="21" t="s">
        <v>154</v>
      </c>
      <c r="B169" s="18" t="s">
        <v>153</v>
      </c>
      <c r="C169" s="24" t="s">
        <v>19597</v>
      </c>
      <c r="D169" s="24">
        <v>101</v>
      </c>
      <c r="E169" s="27" t="str">
        <f>HYPERLINK("https://www.boe.es/gazeta/dias/1808/09/09/pdfs/GMD-C-1808-121.pdf","Abrir suplemento")</f>
        <v>Abrir suplemento</v>
      </c>
    </row>
    <row r="170" spans="1:5">
      <c r="A170" s="21" t="s">
        <v>306</v>
      </c>
      <c r="B170" s="18" t="s">
        <v>153</v>
      </c>
      <c r="C170" s="24" t="s">
        <v>19691</v>
      </c>
      <c r="D170" s="24">
        <v>2</v>
      </c>
      <c r="E170" s="27" t="str">
        <f>HYPERLINK("https://www.boe.es/gazeta/dias/1808/09/09/pdfs/GMS-1808-30.pdf","Abrir fascículo")</f>
        <v>Abrir fascículo</v>
      </c>
    </row>
    <row r="171" spans="1:5">
      <c r="A171" s="21" t="s">
        <v>2868</v>
      </c>
      <c r="B171" s="18" t="s">
        <v>2867</v>
      </c>
      <c r="C171" s="24" t="s">
        <v>19692</v>
      </c>
      <c r="D171" s="24">
        <v>3</v>
      </c>
      <c r="E171" s="27" t="str">
        <f>HYPERLINK("https://www.boe.es/gazeta/dias/1808/09/10/pdfs/GMD-1808-122E.pdf","Abrir extraordinaria")</f>
        <v>Abrir extraordinaria</v>
      </c>
    </row>
    <row r="172" spans="1:5">
      <c r="A172" s="21" t="s">
        <v>85</v>
      </c>
      <c r="B172" s="18" t="s">
        <v>84</v>
      </c>
      <c r="C172" s="24" t="s">
        <v>19693</v>
      </c>
      <c r="D172" s="24">
        <v>26</v>
      </c>
      <c r="E172" s="27" t="str">
        <f>HYPERLINK("https://www.boe.es/gazeta/dias/1808/09/13/pdfs/GMD-1808-123.pdf","Abrir fascículo")</f>
        <v>Abrir fascículo</v>
      </c>
    </row>
    <row r="173" spans="1:5">
      <c r="A173" s="21" t="s">
        <v>1381</v>
      </c>
      <c r="B173" s="18" t="s">
        <v>84</v>
      </c>
      <c r="C173" s="24" t="s">
        <v>19694</v>
      </c>
      <c r="D173" s="24">
        <v>10</v>
      </c>
      <c r="E173" s="27" t="str">
        <f>HYPERLINK("https://www.boe.es/gazeta/dias/1808/09/13/pdfs/GMS-1808-31.pdf","Abrir fascículo")</f>
        <v>Abrir fascículo</v>
      </c>
    </row>
    <row r="174" spans="1:5">
      <c r="A174" s="21" t="s">
        <v>294</v>
      </c>
      <c r="B174" s="18" t="s">
        <v>293</v>
      </c>
      <c r="C174" s="24" t="s">
        <v>19695</v>
      </c>
      <c r="D174" s="24">
        <v>8</v>
      </c>
      <c r="E174" s="27" t="str">
        <f>HYPERLINK("https://www.boe.es/gazeta/dias/1808/09/14/pdfs/GMD-1808-124E.pdf","Abrir extraordinaria")</f>
        <v>Abrir extraordinaria</v>
      </c>
    </row>
    <row r="175" spans="1:5">
      <c r="A175" s="21" t="s">
        <v>1650</v>
      </c>
      <c r="B175" s="18" t="s">
        <v>115</v>
      </c>
      <c r="C175" s="24" t="s">
        <v>19696</v>
      </c>
      <c r="D175" s="24">
        <v>50</v>
      </c>
      <c r="E175" s="27" t="str">
        <f>HYPERLINK("https://www.boe.es/gazeta/dias/1808/09/16/pdfs/GMD-1808-125.pdf","Abrir fascículo")</f>
        <v>Abrir fascículo</v>
      </c>
    </row>
    <row r="176" spans="1:5">
      <c r="A176" s="21" t="s">
        <v>116</v>
      </c>
      <c r="B176" s="18" t="s">
        <v>115</v>
      </c>
      <c r="C176" s="24" t="s">
        <v>19597</v>
      </c>
      <c r="D176" s="24">
        <v>85</v>
      </c>
      <c r="E176" s="27" t="str">
        <f>HYPERLINK("https://www.boe.es/gazeta/dias/1808/09/16/pdfs/GMD-C-1808-125.pdf","Abrir suplemento")</f>
        <v>Abrir suplemento</v>
      </c>
    </row>
    <row r="177" spans="1:5">
      <c r="A177" s="21" t="s">
        <v>882</v>
      </c>
      <c r="B177" s="18" t="s">
        <v>115</v>
      </c>
      <c r="C177" s="24" t="s">
        <v>19697</v>
      </c>
      <c r="D177" s="24">
        <v>4</v>
      </c>
      <c r="E177" s="27" t="str">
        <f>HYPERLINK("https://www.boe.es/gazeta/dias/1808/09/16/pdfs/GMS-1808-32.pdf","Abrir fascículo")</f>
        <v>Abrir fascículo</v>
      </c>
    </row>
    <row r="178" spans="1:5">
      <c r="A178" s="21" t="s">
        <v>1224</v>
      </c>
      <c r="B178" s="18" t="s">
        <v>363</v>
      </c>
      <c r="C178" s="24" t="s">
        <v>19698</v>
      </c>
      <c r="D178" s="24">
        <v>31</v>
      </c>
      <c r="E178" s="27" t="str">
        <f>HYPERLINK("https://www.boe.es/gazeta/dias/1808/09/20/pdfs/GMD-1808-126.pdf","Abrir fascículo")</f>
        <v>Abrir fascículo</v>
      </c>
    </row>
    <row r="179" spans="1:5">
      <c r="A179" s="21" t="s">
        <v>364</v>
      </c>
      <c r="B179" s="18" t="s">
        <v>363</v>
      </c>
      <c r="C179" s="24" t="s">
        <v>19597</v>
      </c>
      <c r="D179" s="24">
        <v>91</v>
      </c>
      <c r="E179" s="27" t="str">
        <f>HYPERLINK("https://www.boe.es/gazeta/dias/1808/09/20/pdfs/GMD-C-1808-126.pdf","Abrir suplemento")</f>
        <v>Abrir suplemento</v>
      </c>
    </row>
    <row r="180" spans="1:5">
      <c r="A180" s="21" t="s">
        <v>3718</v>
      </c>
      <c r="B180" s="18" t="s">
        <v>363</v>
      </c>
      <c r="C180" s="24" t="s">
        <v>19699</v>
      </c>
      <c r="D180" s="24">
        <v>16</v>
      </c>
      <c r="E180" s="27" t="str">
        <f>HYPERLINK("https://www.boe.es/gazeta/dias/1808/09/20/pdfs/GMS-1808-33.pdf","Abrir fascículo")</f>
        <v>Abrir fascículo</v>
      </c>
    </row>
    <row r="181" spans="1:5">
      <c r="A181" s="21" t="s">
        <v>140</v>
      </c>
      <c r="B181" s="18" t="s">
        <v>139</v>
      </c>
      <c r="C181" s="24" t="s">
        <v>19700</v>
      </c>
      <c r="D181" s="24">
        <v>69</v>
      </c>
      <c r="E181" s="27" t="str">
        <f>HYPERLINK("https://www.boe.es/gazeta/dias/1808/09/23/pdfs/GMD-1808-127.pdf","Abrir fascículo")</f>
        <v>Abrir fascículo</v>
      </c>
    </row>
    <row r="182" spans="1:5">
      <c r="A182" s="21" t="s">
        <v>1089</v>
      </c>
      <c r="B182" s="18" t="s">
        <v>139</v>
      </c>
      <c r="C182" s="24" t="s">
        <v>19597</v>
      </c>
      <c r="D182" s="24">
        <v>74</v>
      </c>
      <c r="E182" s="27" t="str">
        <f>HYPERLINK("https://www.boe.es/gazeta/dias/1808/09/23/pdfs/GMD-C-1808-127.pdf","Abrir suplemento")</f>
        <v>Abrir suplemento</v>
      </c>
    </row>
    <row r="183" spans="1:5">
      <c r="A183" s="21" t="s">
        <v>3587</v>
      </c>
      <c r="B183" s="18" t="s">
        <v>139</v>
      </c>
      <c r="C183" s="24" t="s">
        <v>19701</v>
      </c>
      <c r="D183" s="24">
        <v>13</v>
      </c>
      <c r="E183" s="27" t="str">
        <f>HYPERLINK("https://www.boe.es/gazeta/dias/1808/09/23/pdfs/GMS-1808-34.pdf","Abrir fascículo")</f>
        <v>Abrir fascículo</v>
      </c>
    </row>
    <row r="184" spans="1:5">
      <c r="A184" s="21" t="s">
        <v>392</v>
      </c>
      <c r="B184" s="18" t="s">
        <v>391</v>
      </c>
      <c r="C184" s="24" t="s">
        <v>19702</v>
      </c>
      <c r="D184" s="24">
        <v>21</v>
      </c>
      <c r="E184" s="27" t="str">
        <f>HYPERLINK("https://www.boe.es/gazeta/dias/1808/09/27/pdfs/GMD-1808-128.pdf","Abrir fascículo")</f>
        <v>Abrir fascículo</v>
      </c>
    </row>
    <row r="185" spans="1:5">
      <c r="A185" s="21" t="s">
        <v>588</v>
      </c>
      <c r="B185" s="18" t="s">
        <v>391</v>
      </c>
      <c r="C185" s="24" t="s">
        <v>19597</v>
      </c>
      <c r="D185" s="24">
        <v>86</v>
      </c>
      <c r="E185" s="27" t="str">
        <f>HYPERLINK("https://www.boe.es/gazeta/dias/1808/09/27/pdfs/GMD-C-1808-128.pdf","Abrir suplemento")</f>
        <v>Abrir suplemento</v>
      </c>
    </row>
    <row r="186" spans="1:5">
      <c r="A186" s="21" t="s">
        <v>454</v>
      </c>
      <c r="B186" s="18" t="s">
        <v>391</v>
      </c>
      <c r="C186" s="24" t="s">
        <v>19703</v>
      </c>
      <c r="D186" s="24">
        <v>10</v>
      </c>
      <c r="E186" s="27" t="str">
        <f>HYPERLINK("https://www.boe.es/gazeta/dias/1808/09/27/pdfs/GMS-1808-35.pdf","Abrir fascículo")</f>
        <v>Abrir fascículo</v>
      </c>
    </row>
    <row r="187" spans="1:5">
      <c r="A187" s="21" t="s">
        <v>2144</v>
      </c>
      <c r="B187" s="18" t="s">
        <v>2143</v>
      </c>
      <c r="C187" s="24" t="s">
        <v>19704</v>
      </c>
      <c r="D187" s="24">
        <v>9</v>
      </c>
      <c r="E187" s="27" t="str">
        <f>HYPERLINK("https://www.boe.es/gazeta/dias/1808/09/29/pdfs/GMD-1808-129E.pdf","Abrir extraordinaria")</f>
        <v>Abrir extraordinaria</v>
      </c>
    </row>
    <row r="188" spans="1:5">
      <c r="A188" s="21" t="s">
        <v>59</v>
      </c>
      <c r="B188" s="18" t="s">
        <v>19</v>
      </c>
      <c r="C188" s="24" t="s">
        <v>19705</v>
      </c>
      <c r="D188" s="24">
        <v>93</v>
      </c>
      <c r="E188" s="27" t="str">
        <f>HYPERLINK("https://www.boe.es/gazeta/dias/1808/09/30/pdfs/GMD-1808-130.pdf","Abrir fascículo")</f>
        <v>Abrir fascículo</v>
      </c>
    </row>
    <row r="189" spans="1:5">
      <c r="A189" s="21" t="s">
        <v>949</v>
      </c>
      <c r="B189" s="18" t="s">
        <v>19</v>
      </c>
      <c r="C189" s="24" t="s">
        <v>19597</v>
      </c>
      <c r="D189" s="24">
        <v>91</v>
      </c>
      <c r="E189" s="27" t="str">
        <f>HYPERLINK("https://www.boe.es/gazeta/dias/1808/09/30/pdfs/GMD-C-1808-130.pdf","Abrir suplemento")</f>
        <v>Abrir suplemento</v>
      </c>
    </row>
    <row r="190" spans="1:5">
      <c r="A190" s="21" t="s">
        <v>20</v>
      </c>
      <c r="B190" s="18" t="s">
        <v>19</v>
      </c>
      <c r="C190" s="24" t="s">
        <v>19706</v>
      </c>
      <c r="D190" s="24">
        <v>4</v>
      </c>
      <c r="E190" s="27" t="str">
        <f>HYPERLINK("https://www.boe.es/gazeta/dias/1808/09/30/pdfs/GMS-1808-36.pdf","Abrir fascículo")</f>
        <v>Abrir fascículo</v>
      </c>
    </row>
    <row r="191" spans="1:5">
      <c r="A191" s="21" t="s">
        <v>6764</v>
      </c>
      <c r="B191" s="18" t="s">
        <v>19</v>
      </c>
      <c r="C191" s="24" t="s">
        <v>19707</v>
      </c>
      <c r="D191" s="24">
        <v>1</v>
      </c>
      <c r="E191" s="27" t="str">
        <f>HYPERLINK("https://www.boe.es/gazeta/dias/1808/09/30/pdfs/GMS-1808-36E.pdf","Abrir extraordinaria")</f>
        <v>Abrir extraordinaria</v>
      </c>
    </row>
    <row r="192" spans="1:5">
      <c r="A192" s="21" t="s">
        <v>1814</v>
      </c>
      <c r="B192" s="18" t="s">
        <v>334</v>
      </c>
      <c r="C192" s="24" t="s">
        <v>19708</v>
      </c>
      <c r="D192" s="24">
        <v>45</v>
      </c>
      <c r="E192" s="27" t="str">
        <f>HYPERLINK("https://www.boe.es/gazeta/dias/1808/10/04/pdfs/GMD-1808-131.pdf","Abrir fascículo")</f>
        <v>Abrir fascículo</v>
      </c>
    </row>
    <row r="193" spans="1:5">
      <c r="A193" s="21" t="s">
        <v>335</v>
      </c>
      <c r="B193" s="18" t="s">
        <v>334</v>
      </c>
      <c r="C193" s="24" t="s">
        <v>19709</v>
      </c>
      <c r="D193" s="24">
        <v>50</v>
      </c>
      <c r="E193" s="27" t="str">
        <f>HYPERLINK("https://www.boe.es/gazeta/dias/1808/10/04/pdfs/GMD-C-1808-131.pdf","Abrir suplemento")</f>
        <v>Abrir suplemento</v>
      </c>
    </row>
    <row r="194" spans="1:5">
      <c r="A194" s="21" t="s">
        <v>10165</v>
      </c>
      <c r="B194" s="18" t="s">
        <v>334</v>
      </c>
      <c r="C194" s="24" t="s">
        <v>19710</v>
      </c>
      <c r="D194" s="24">
        <v>3</v>
      </c>
      <c r="E194" s="27" t="str">
        <f>HYPERLINK("https://www.boe.es/gazeta/dias/1808/10/04/pdfs/GMS-1808-37.pdf","Abrir fascículo")</f>
        <v>Abrir fascículo</v>
      </c>
    </row>
    <row r="195" spans="1:5">
      <c r="A195" s="21" t="s">
        <v>397</v>
      </c>
      <c r="B195" s="18" t="s">
        <v>125</v>
      </c>
      <c r="C195" s="24" t="s">
        <v>19711</v>
      </c>
      <c r="D195" s="24">
        <v>64</v>
      </c>
      <c r="E195" s="27" t="str">
        <f>HYPERLINK("https://www.boe.es/gazeta/dias/1808/10/07/pdfs/GMD-1808-132.pdf","Abrir fascículo")</f>
        <v>Abrir fascículo</v>
      </c>
    </row>
    <row r="196" spans="1:5">
      <c r="A196" s="21" t="s">
        <v>126</v>
      </c>
      <c r="B196" s="18" t="s">
        <v>125</v>
      </c>
      <c r="C196" s="24" t="s">
        <v>19597</v>
      </c>
      <c r="D196" s="24">
        <v>88</v>
      </c>
      <c r="E196" s="27" t="str">
        <f>HYPERLINK("https://www.boe.es/gazeta/dias/1808/10/07/pdfs/GMD-C-1808-132.pdf","Abrir suplemento")</f>
        <v>Abrir suplemento</v>
      </c>
    </row>
    <row r="197" spans="1:5">
      <c r="A197" s="21" t="s">
        <v>347</v>
      </c>
      <c r="B197" s="18" t="s">
        <v>125</v>
      </c>
      <c r="C197" s="24" t="s">
        <v>19712</v>
      </c>
      <c r="D197" s="24">
        <v>5</v>
      </c>
      <c r="E197" s="27" t="str">
        <f>HYPERLINK("https://www.boe.es/gazeta/dias/1808/10/07/pdfs/GMS-1808-38.pdf","Abrir fascículo")</f>
        <v>Abrir fascículo</v>
      </c>
    </row>
    <row r="198" spans="1:5">
      <c r="A198" s="21" t="s">
        <v>62</v>
      </c>
      <c r="B198" s="18" t="s">
        <v>61</v>
      </c>
      <c r="C198" s="24" t="s">
        <v>19713</v>
      </c>
      <c r="D198" s="24">
        <v>124</v>
      </c>
      <c r="E198" s="27" t="str">
        <f>HYPERLINK("https://www.boe.es/gazeta/dias/1808/10/11/pdfs/GMD-1808-133.pdf","Abrir fascículo")</f>
        <v>Abrir fascículo</v>
      </c>
    </row>
    <row r="199" spans="1:5">
      <c r="A199" s="21" t="s">
        <v>2876</v>
      </c>
      <c r="B199" s="18" t="s">
        <v>61</v>
      </c>
      <c r="C199" s="24" t="s">
        <v>19714</v>
      </c>
      <c r="D199" s="24">
        <v>4</v>
      </c>
      <c r="E199" s="27" t="str">
        <f>HYPERLINK("https://www.boe.es/gazeta/dias/1808/10/11/pdfs/GMS-1808-39.pdf","Abrir fascículo")</f>
        <v>Abrir fascículo</v>
      </c>
    </row>
    <row r="200" spans="1:5">
      <c r="A200" s="21" t="s">
        <v>457</v>
      </c>
      <c r="B200" s="18" t="s">
        <v>456</v>
      </c>
      <c r="C200" s="24" t="s">
        <v>19715</v>
      </c>
      <c r="D200" s="24">
        <v>22</v>
      </c>
      <c r="E200" s="27" t="str">
        <f>HYPERLINK("https://www.boe.es/gazeta/dias/1808/10/14/pdfs/GMD-1808-134.pdf","Abrir fascículo")</f>
        <v>Abrir fascículo</v>
      </c>
    </row>
    <row r="201" spans="1:5">
      <c r="A201" s="21" t="s">
        <v>748</v>
      </c>
      <c r="B201" s="18" t="s">
        <v>456</v>
      </c>
      <c r="C201" s="24" t="s">
        <v>19597</v>
      </c>
      <c r="D201" s="24">
        <v>78</v>
      </c>
      <c r="E201" s="27" t="str">
        <f>HYPERLINK("https://www.boe.es/gazeta/dias/1808/10/14/pdfs/GMD-C-1808-134.pdf","Abrir suplemento")</f>
        <v>Abrir suplemento</v>
      </c>
    </row>
    <row r="202" spans="1:5">
      <c r="A202" s="21" t="s">
        <v>2825</v>
      </c>
      <c r="B202" s="18" t="s">
        <v>456</v>
      </c>
      <c r="C202" s="24" t="s">
        <v>19716</v>
      </c>
      <c r="D202" s="24">
        <v>8</v>
      </c>
      <c r="E202" s="27" t="str">
        <f>HYPERLINK("https://www.boe.es/gazeta/dias/1808/10/14/pdfs/GMS-1808-40.pdf","Abrir fascículo")</f>
        <v>Abrir fascículo</v>
      </c>
    </row>
    <row r="203" spans="1:5">
      <c r="A203" s="21" t="s">
        <v>66</v>
      </c>
      <c r="B203" s="18" t="s">
        <v>65</v>
      </c>
      <c r="C203" s="24" t="s">
        <v>19717</v>
      </c>
      <c r="D203" s="24">
        <v>94</v>
      </c>
      <c r="E203" s="27" t="str">
        <f>HYPERLINK("https://www.boe.es/gazeta/dias/1808/10/18/pdfs/GMD-1808-135.pdf","Abrir fascículo")</f>
        <v>Abrir fascículo</v>
      </c>
    </row>
    <row r="204" spans="1:5">
      <c r="A204" s="21" t="s">
        <v>691</v>
      </c>
      <c r="B204" s="18" t="s">
        <v>65</v>
      </c>
      <c r="C204" s="24" t="s">
        <v>19718</v>
      </c>
      <c r="D204" s="24">
        <v>41</v>
      </c>
      <c r="E204" s="27" t="str">
        <f>HYPERLINK("https://www.boe.es/gazeta/dias/1808/10/18/pdfs/GMD-C-1808-135.pdf","Abrir suplemento")</f>
        <v>Abrir suplemento</v>
      </c>
    </row>
    <row r="205" spans="1:5">
      <c r="A205" s="21" t="s">
        <v>105</v>
      </c>
      <c r="B205" s="18" t="s">
        <v>65</v>
      </c>
      <c r="C205" s="24" t="s">
        <v>19597</v>
      </c>
      <c r="D205" s="24">
        <v>68</v>
      </c>
      <c r="E205" s="27" t="str">
        <f>HYPERLINK("https://www.boe.es/gazeta/dias/1808/10/18/pdfs/GMD-D-1808-135.pdf","Abrir suplemento")</f>
        <v>Abrir suplemento</v>
      </c>
    </row>
    <row r="206" spans="1:5">
      <c r="A206" s="21" t="s">
        <v>7955</v>
      </c>
      <c r="B206" s="18" t="s">
        <v>65</v>
      </c>
      <c r="C206" s="24" t="s">
        <v>19719</v>
      </c>
      <c r="D206" s="24">
        <v>6</v>
      </c>
      <c r="E206" s="27" t="str">
        <f>HYPERLINK("https://www.boe.es/gazeta/dias/1808/10/18/pdfs/GMS-1808-41.pdf","Abrir fascículo")</f>
        <v>Abrir fascículo</v>
      </c>
    </row>
    <row r="207" spans="1:5">
      <c r="A207" s="21" t="s">
        <v>69</v>
      </c>
      <c r="B207" s="18" t="s">
        <v>68</v>
      </c>
      <c r="C207" s="24" t="s">
        <v>19720</v>
      </c>
      <c r="D207" s="24">
        <v>60</v>
      </c>
      <c r="E207" s="27" t="str">
        <f>HYPERLINK("https://www.boe.es/gazeta/dias/1808/10/21/pdfs/GMD-1808-136.pdf","Abrir fascículo")</f>
        <v>Abrir fascículo</v>
      </c>
    </row>
    <row r="208" spans="1:5">
      <c r="A208" s="21" t="s">
        <v>849</v>
      </c>
      <c r="B208" s="18" t="s">
        <v>68</v>
      </c>
      <c r="C208" s="24" t="s">
        <v>19721</v>
      </c>
      <c r="D208" s="24">
        <v>83</v>
      </c>
      <c r="E208" s="27" t="str">
        <f>HYPERLINK("https://www.boe.es/gazeta/dias/1808/10/21/pdfs/GMD-C-1808-136.pdf","Abrir suplemento")</f>
        <v>Abrir suplemento</v>
      </c>
    </row>
    <row r="209" spans="1:5">
      <c r="A209" s="21" t="s">
        <v>309</v>
      </c>
      <c r="B209" s="18" t="s">
        <v>68</v>
      </c>
      <c r="C209" s="24" t="s">
        <v>19597</v>
      </c>
      <c r="D209" s="24">
        <v>95</v>
      </c>
      <c r="E209" s="27" t="str">
        <f>HYPERLINK("https://www.boe.es/gazeta/dias/1808/10/21/pdfs/GMD-D-1808-136.pdf","Abrir suplemento")</f>
        <v>Abrir suplemento</v>
      </c>
    </row>
    <row r="210" spans="1:5">
      <c r="A210" s="21" t="s">
        <v>11577</v>
      </c>
      <c r="B210" s="18" t="s">
        <v>68</v>
      </c>
      <c r="C210" s="24" t="s">
        <v>19722</v>
      </c>
      <c r="D210" s="24">
        <v>1</v>
      </c>
      <c r="E210" s="27" t="str">
        <f>HYPERLINK("https://www.boe.es/gazeta/dias/1808/10/21/pdfs/GMS-1808-42.pdf","Abrir fascículo")</f>
        <v>Abrir fascículo</v>
      </c>
    </row>
    <row r="211" spans="1:5">
      <c r="A211" s="21" t="s">
        <v>90</v>
      </c>
      <c r="B211" s="18" t="s">
        <v>89</v>
      </c>
      <c r="C211" s="24" t="s">
        <v>19723</v>
      </c>
      <c r="D211" s="24">
        <v>38</v>
      </c>
      <c r="E211" s="27" t="str">
        <f>HYPERLINK("https://www.boe.es/gazeta/dias/1808/10/25/pdfs/GMD-1808-137.pdf","Abrir fascículo")</f>
        <v>Abrir fascículo</v>
      </c>
    </row>
    <row r="212" spans="1:5">
      <c r="A212" s="21" t="s">
        <v>1247</v>
      </c>
      <c r="B212" s="18" t="s">
        <v>89</v>
      </c>
      <c r="C212" s="24" t="s">
        <v>19724</v>
      </c>
      <c r="D212" s="24">
        <v>30</v>
      </c>
      <c r="E212" s="27" t="str">
        <f>HYPERLINK("https://www.boe.es/gazeta/dias/1808/10/25/pdfs/GMD-C-1808-137.pdf","Abrir suplemento")</f>
        <v>Abrir suplemento</v>
      </c>
    </row>
    <row r="213" spans="1:5">
      <c r="A213" s="21" t="s">
        <v>563</v>
      </c>
      <c r="B213" s="18" t="s">
        <v>89</v>
      </c>
      <c r="C213" s="24" t="s">
        <v>19597</v>
      </c>
      <c r="D213" s="24">
        <v>98</v>
      </c>
      <c r="E213" s="27" t="str">
        <f>HYPERLINK("https://www.boe.es/gazeta/dias/1808/10/25/pdfs/GMD-D-1808-137.pdf","Abrir suplemento")</f>
        <v>Abrir suplemento</v>
      </c>
    </row>
    <row r="214" spans="1:5">
      <c r="A214" s="21" t="s">
        <v>2031</v>
      </c>
      <c r="B214" s="18" t="s">
        <v>89</v>
      </c>
      <c r="C214" s="24" t="s">
        <v>19725</v>
      </c>
      <c r="D214" s="24">
        <v>9</v>
      </c>
      <c r="E214" s="27" t="str">
        <f>HYPERLINK("https://www.boe.es/gazeta/dias/1808/10/25/pdfs/GMS-1808-43.pdf","Abrir fascículo")</f>
        <v>Abrir fascículo</v>
      </c>
    </row>
    <row r="215" spans="1:5">
      <c r="A215" s="21" t="s">
        <v>111</v>
      </c>
      <c r="B215" s="18" t="s">
        <v>110</v>
      </c>
      <c r="C215" s="24" t="s">
        <v>19726</v>
      </c>
      <c r="D215" s="24">
        <v>85</v>
      </c>
      <c r="E215" s="27" t="str">
        <f>HYPERLINK("https://www.boe.es/gazeta/dias/1808/10/28/pdfs/GMD-1808-138.pdf","Abrir fascículo")</f>
        <v>Abrir fascículo</v>
      </c>
    </row>
    <row r="216" spans="1:5">
      <c r="A216" s="21" t="s">
        <v>4354</v>
      </c>
      <c r="B216" s="18" t="s">
        <v>110</v>
      </c>
      <c r="C216" s="24" t="s">
        <v>19727</v>
      </c>
      <c r="D216" s="24">
        <v>5</v>
      </c>
      <c r="E216" s="27" t="str">
        <f>HYPERLINK("https://www.boe.es/gazeta/dias/1808/10/28/pdfs/GMD-C-1808-138.pdf","Abrir suplemento")</f>
        <v>Abrir suplemento</v>
      </c>
    </row>
    <row r="217" spans="1:5">
      <c r="A217" s="21" t="s">
        <v>828</v>
      </c>
      <c r="B217" s="18" t="s">
        <v>110</v>
      </c>
      <c r="C217" s="24" t="s">
        <v>19597</v>
      </c>
      <c r="D217" s="24">
        <v>67</v>
      </c>
      <c r="E217" s="27" t="str">
        <f>HYPERLINK("https://www.boe.es/gazeta/dias/1808/10/28/pdfs/GMD-D-1808-138.pdf","Abrir suplemento")</f>
        <v>Abrir suplemento</v>
      </c>
    </row>
    <row r="218" spans="1:5">
      <c r="A218" s="21" t="s">
        <v>3788</v>
      </c>
      <c r="B218" s="18" t="s">
        <v>110</v>
      </c>
      <c r="C218" s="24" t="s">
        <v>19728</v>
      </c>
      <c r="D218" s="24">
        <v>2</v>
      </c>
      <c r="E218" s="27" t="str">
        <f>HYPERLINK("https://www.boe.es/gazeta/dias/1808/10/28/pdfs/GMS-1808-44.pdf","Abrir fascículo")</f>
        <v>Abrir fascículo</v>
      </c>
    </row>
    <row r="219" spans="1:5">
      <c r="A219" s="21" t="s">
        <v>7775</v>
      </c>
      <c r="B219" s="18" t="s">
        <v>7774</v>
      </c>
      <c r="C219" s="24" t="s">
        <v>19729</v>
      </c>
      <c r="D219" s="24">
        <v>7</v>
      </c>
      <c r="E219" s="27" t="str">
        <f>HYPERLINK("https://www.boe.es/gazeta/dias/1808/10/30/pdfs/GMD-1808-139E.pdf","Abrir extraordinaria")</f>
        <v>Abrir extraordinaria</v>
      </c>
    </row>
    <row r="220" spans="1:5">
      <c r="A220" s="21" t="s">
        <v>790</v>
      </c>
      <c r="B220" s="18" t="s">
        <v>197</v>
      </c>
      <c r="C220" s="24" t="s">
        <v>19730</v>
      </c>
      <c r="D220" s="24">
        <v>27</v>
      </c>
      <c r="E220" s="27" t="str">
        <f>HYPERLINK("https://www.boe.es/gazeta/dias/1808/11/01/pdfs/GMD-1808-140.pdf","Abrir fascículo")</f>
        <v>Abrir fascículo</v>
      </c>
    </row>
    <row r="221" spans="1:5">
      <c r="A221" s="21" t="s">
        <v>2269</v>
      </c>
      <c r="B221" s="18" t="s">
        <v>197</v>
      </c>
      <c r="C221" s="24" t="s">
        <v>19731</v>
      </c>
      <c r="D221" s="24">
        <v>9</v>
      </c>
      <c r="E221" s="27" t="str">
        <f>HYPERLINK("https://www.boe.es/gazeta/dias/1808/11/01/pdfs/GMD-C-1808-140.pdf","Abrir suplemento")</f>
        <v>Abrir suplemento</v>
      </c>
    </row>
    <row r="222" spans="1:5">
      <c r="A222" s="21" t="s">
        <v>198</v>
      </c>
      <c r="B222" s="18" t="s">
        <v>197</v>
      </c>
      <c r="C222" s="24" t="s">
        <v>19597</v>
      </c>
      <c r="D222" s="24">
        <v>79</v>
      </c>
      <c r="E222" s="27" t="str">
        <f>HYPERLINK("https://www.boe.es/gazeta/dias/1808/11/01/pdfs/GMD-D-1808-140.pdf","Abrir suplemento")</f>
        <v>Abrir suplemento</v>
      </c>
    </row>
    <row r="223" spans="1:5">
      <c r="A223" s="21" t="s">
        <v>857</v>
      </c>
      <c r="B223" s="18" t="s">
        <v>197</v>
      </c>
      <c r="C223" s="24" t="s">
        <v>19732</v>
      </c>
      <c r="D223" s="24">
        <v>18</v>
      </c>
      <c r="E223" s="27" t="str">
        <f>HYPERLINK("https://www.boe.es/gazeta/dias/1808/11/01/pdfs/GMS-1808-45.pdf","Abrir fascículo")</f>
        <v>Abrir fascículo</v>
      </c>
    </row>
    <row r="224" spans="1:5">
      <c r="A224" s="21" t="s">
        <v>29</v>
      </c>
      <c r="B224" s="18" t="s">
        <v>28</v>
      </c>
      <c r="C224" s="24" t="s">
        <v>19733</v>
      </c>
      <c r="D224" s="24">
        <v>90</v>
      </c>
      <c r="E224" s="27" t="str">
        <f>HYPERLINK("https://www.boe.es/gazeta/dias/1808/11/04/pdfs/GMD-1808-141.pdf","Abrir fascículo")</f>
        <v>Abrir fascículo</v>
      </c>
    </row>
    <row r="225" spans="1:5">
      <c r="A225" s="21" t="s">
        <v>71</v>
      </c>
      <c r="B225" s="18" t="s">
        <v>28</v>
      </c>
      <c r="C225" s="24" t="s">
        <v>19734</v>
      </c>
      <c r="D225" s="24">
        <v>9</v>
      </c>
      <c r="E225" s="27" t="str">
        <f>HYPERLINK("https://www.boe.es/gazeta/dias/1808/11/04/pdfs/GMD-C-1808-141.pdf","Abrir suplemento")</f>
        <v>Abrir suplemento</v>
      </c>
    </row>
    <row r="226" spans="1:5">
      <c r="A226" s="21" t="s">
        <v>446</v>
      </c>
      <c r="B226" s="18" t="s">
        <v>28</v>
      </c>
      <c r="C226" s="24" t="s">
        <v>19597</v>
      </c>
      <c r="D226" s="24">
        <v>85</v>
      </c>
      <c r="E226" s="27" t="str">
        <f>HYPERLINK("https://www.boe.es/gazeta/dias/1808/11/04/pdfs/GMD-D-1808-141.pdf","Abrir suplemento")</f>
        <v>Abrir suplemento</v>
      </c>
    </row>
    <row r="227" spans="1:5">
      <c r="A227" s="21" t="s">
        <v>9084</v>
      </c>
      <c r="B227" s="18" t="s">
        <v>28</v>
      </c>
      <c r="C227" s="24" t="s">
        <v>19735</v>
      </c>
      <c r="D227" s="24">
        <v>8</v>
      </c>
      <c r="E227" s="27" t="str">
        <f>HYPERLINK("https://www.boe.es/gazeta/dias/1808/11/04/pdfs/GMS-1808-46.pdf","Abrir fascículo")</f>
        <v>Abrir fascículo</v>
      </c>
    </row>
    <row r="228" spans="1:5">
      <c r="A228" s="21" t="s">
        <v>733</v>
      </c>
      <c r="B228" s="18" t="s">
        <v>461</v>
      </c>
      <c r="C228" s="24" t="s">
        <v>19736</v>
      </c>
      <c r="D228" s="24">
        <v>101</v>
      </c>
      <c r="E228" s="27" t="str">
        <f>HYPERLINK("https://www.boe.es/gazeta/dias/1808/11/08/pdfs/GMD-1808-142.pdf","Abrir fascículo")</f>
        <v>Abrir fascículo</v>
      </c>
    </row>
    <row r="229" spans="1:5">
      <c r="A229" s="21" t="s">
        <v>1404</v>
      </c>
      <c r="B229" s="18" t="s">
        <v>461</v>
      </c>
      <c r="C229" s="24" t="s">
        <v>19737</v>
      </c>
      <c r="D229" s="24">
        <v>8</v>
      </c>
      <c r="E229" s="27" t="str">
        <f>HYPERLINK("https://www.boe.es/gazeta/dias/1808/11/08/pdfs/GMD-C-1808-142.pdf","Abrir suplemento")</f>
        <v>Abrir suplemento</v>
      </c>
    </row>
    <row r="230" spans="1:5">
      <c r="A230" s="21" t="s">
        <v>462</v>
      </c>
      <c r="B230" s="18" t="s">
        <v>461</v>
      </c>
      <c r="C230" s="24" t="s">
        <v>19597</v>
      </c>
      <c r="D230" s="24">
        <v>87</v>
      </c>
      <c r="E230" s="27" t="str">
        <f>HYPERLINK("https://www.boe.es/gazeta/dias/1808/11/08/pdfs/GMD-D-1808-142.pdf","Abrir suplemento")</f>
        <v>Abrir suplemento</v>
      </c>
    </row>
    <row r="231" spans="1:5">
      <c r="A231" s="21" t="s">
        <v>6965</v>
      </c>
      <c r="B231" s="18" t="s">
        <v>461</v>
      </c>
      <c r="C231" s="24" t="s">
        <v>19738</v>
      </c>
      <c r="D231" s="24">
        <v>3</v>
      </c>
      <c r="E231" s="27" t="str">
        <f>HYPERLINK("https://www.boe.es/gazeta/dias/1808/11/08/pdfs/GMS-1808-47.pdf","Abrir fascículo")</f>
        <v>Abrir fascículo</v>
      </c>
    </row>
    <row r="232" spans="1:5">
      <c r="A232" s="21" t="s">
        <v>581</v>
      </c>
      <c r="B232" s="18" t="s">
        <v>73</v>
      </c>
      <c r="C232" s="24" t="s">
        <v>19739</v>
      </c>
      <c r="D232" s="24">
        <v>60</v>
      </c>
      <c r="E232" s="27" t="str">
        <f>HYPERLINK("https://www.boe.es/gazeta/dias/1808/11/11/pdfs/GMD-1808-143.pdf","Abrir fascículo")</f>
        <v>Abrir fascículo</v>
      </c>
    </row>
    <row r="233" spans="1:5">
      <c r="A233" s="21" t="s">
        <v>1570</v>
      </c>
      <c r="B233" s="18" t="s">
        <v>73</v>
      </c>
      <c r="C233" s="24" t="s">
        <v>19740</v>
      </c>
      <c r="D233" s="24">
        <v>48</v>
      </c>
      <c r="E233" s="27" t="str">
        <f>HYPERLINK("https://www.boe.es/gazeta/dias/1808/11/11/pdfs/GMD-C-1808-143.pdf","Abrir suplemento")</f>
        <v>Abrir suplemento</v>
      </c>
    </row>
    <row r="234" spans="1:5">
      <c r="A234" s="21" t="s">
        <v>74</v>
      </c>
      <c r="B234" s="18" t="s">
        <v>73</v>
      </c>
      <c r="C234" s="24" t="s">
        <v>19597</v>
      </c>
      <c r="D234" s="24">
        <v>59</v>
      </c>
      <c r="E234" s="27" t="str">
        <f>HYPERLINK("https://www.boe.es/gazeta/dias/1808/11/11/pdfs/GMD-D-1808-143.pdf","Abrir suplemento")</f>
        <v>Abrir suplemento</v>
      </c>
    </row>
    <row r="235" spans="1:5">
      <c r="A235" s="21" t="s">
        <v>2883</v>
      </c>
      <c r="B235" s="18" t="s">
        <v>73</v>
      </c>
      <c r="C235" s="24" t="s">
        <v>19741</v>
      </c>
      <c r="D235" s="24">
        <v>6</v>
      </c>
      <c r="E235" s="27" t="str">
        <f>HYPERLINK("https://www.boe.es/gazeta/dias/1808/11/11/pdfs/GMS-1808-48.pdf","Abrir fascículo")</f>
        <v>Abrir fascículo</v>
      </c>
    </row>
    <row r="236" spans="1:5">
      <c r="A236" s="21" t="s">
        <v>2568</v>
      </c>
      <c r="B236" s="18" t="s">
        <v>180</v>
      </c>
      <c r="C236" s="24" t="s">
        <v>19742</v>
      </c>
      <c r="D236" s="24">
        <v>28</v>
      </c>
      <c r="E236" s="27" t="str">
        <f>HYPERLINK("https://www.boe.es/gazeta/dias/1808/11/15/pdfs/GMD-1808-144.pdf","Abrir fascículo")</f>
        <v>Abrir fascículo</v>
      </c>
    </row>
    <row r="237" spans="1:5">
      <c r="A237" s="21" t="s">
        <v>181</v>
      </c>
      <c r="B237" s="18" t="s">
        <v>180</v>
      </c>
      <c r="C237" s="24" t="s">
        <v>19743</v>
      </c>
      <c r="D237" s="24">
        <v>3</v>
      </c>
      <c r="E237" s="27" t="str">
        <f>HYPERLINK("https://www.boe.es/gazeta/dias/1808/11/15/pdfs/GMD-C-1808-144.pdf","Abrir suplemento")</f>
        <v>Abrir suplemento</v>
      </c>
    </row>
    <row r="238" spans="1:5">
      <c r="A238" s="21" t="s">
        <v>768</v>
      </c>
      <c r="B238" s="18" t="s">
        <v>180</v>
      </c>
      <c r="C238" s="24" t="s">
        <v>19597</v>
      </c>
      <c r="D238" s="24">
        <v>78</v>
      </c>
      <c r="E238" s="27" t="str">
        <f>HYPERLINK("https://www.boe.es/gazeta/dias/1808/11/15/pdfs/GMD-D-1808-144.pdf","Abrir suplemento")</f>
        <v>Abrir suplemento</v>
      </c>
    </row>
    <row r="239" spans="1:5">
      <c r="A239" s="21" t="s">
        <v>7347</v>
      </c>
      <c r="B239" s="18" t="s">
        <v>180</v>
      </c>
      <c r="C239" s="24" t="s">
        <v>19562</v>
      </c>
      <c r="D239" s="24">
        <v>3</v>
      </c>
      <c r="E239" s="27" t="str">
        <f>HYPERLINK("https://www.boe.es/gazeta/dias/1808/11/15/pdfs/GMS-1808-49.pdf","Abrir fascículo")</f>
        <v>Abrir fascículo</v>
      </c>
    </row>
    <row r="240" spans="1:5">
      <c r="A240" s="21" t="s">
        <v>356</v>
      </c>
      <c r="B240" s="18" t="s">
        <v>166</v>
      </c>
      <c r="C240" s="24" t="s">
        <v>19744</v>
      </c>
      <c r="D240" s="24">
        <v>32</v>
      </c>
      <c r="E240" s="27" t="str">
        <f>HYPERLINK("https://www.boe.es/gazeta/dias/1808/11/18/pdfs/GMD-1808-145.pdf","Abrir fascículo")</f>
        <v>Abrir fascículo</v>
      </c>
    </row>
    <row r="241" spans="1:5">
      <c r="A241" s="21" t="s">
        <v>167</v>
      </c>
      <c r="B241" s="18" t="s">
        <v>166</v>
      </c>
      <c r="C241" s="24" t="s">
        <v>19745</v>
      </c>
      <c r="D241" s="24">
        <v>5</v>
      </c>
      <c r="E241" s="27" t="str">
        <f>HYPERLINK("https://www.boe.es/gazeta/dias/1808/11/18/pdfs/GMD-C-1808-145.pdf","Abrir suplemento")</f>
        <v>Abrir suplemento</v>
      </c>
    </row>
    <row r="242" spans="1:5">
      <c r="A242" s="21" t="s">
        <v>5028</v>
      </c>
      <c r="B242" s="18" t="s">
        <v>166</v>
      </c>
      <c r="C242" s="24" t="s">
        <v>19746</v>
      </c>
      <c r="D242" s="24">
        <v>8</v>
      </c>
      <c r="E242" s="27" t="str">
        <f>HYPERLINK("https://www.boe.es/gazeta/dias/1808/11/18/pdfs/GMS-1808-50.pdf","Abrir fascículo")</f>
        <v>Abrir fascículo</v>
      </c>
    </row>
    <row r="243" spans="1:5">
      <c r="A243" s="21" t="s">
        <v>400</v>
      </c>
      <c r="B243" s="18" t="s">
        <v>166</v>
      </c>
      <c r="C243" s="24" t="s">
        <v>19597</v>
      </c>
      <c r="D243" s="24">
        <v>55</v>
      </c>
      <c r="E243" s="27" t="str">
        <f>HYPERLINK("https://www.boe.es/gazeta/dias/1808/11/18/pdfs/D00069-00072.pdf","Abrir anexo")</f>
        <v>Abrir anexo</v>
      </c>
    </row>
    <row r="244" spans="1:5">
      <c r="A244" s="21" t="s">
        <v>1802</v>
      </c>
      <c r="B244" s="18" t="s">
        <v>427</v>
      </c>
      <c r="C244" s="24" t="s">
        <v>19747</v>
      </c>
      <c r="D244" s="24">
        <v>51</v>
      </c>
      <c r="E244" s="27" t="str">
        <f>HYPERLINK("https://www.boe.es/gazeta/dias/1808/11/22/pdfs/GMD-1808-146.pdf","Abrir fascículo")</f>
        <v>Abrir fascículo</v>
      </c>
    </row>
    <row r="245" spans="1:5">
      <c r="A245" s="21" t="s">
        <v>9188</v>
      </c>
      <c r="B245" s="18" t="s">
        <v>427</v>
      </c>
      <c r="C245" s="24" t="s">
        <v>19748</v>
      </c>
      <c r="D245" s="24">
        <v>3</v>
      </c>
      <c r="E245" s="27" t="str">
        <f>HYPERLINK("https://www.boe.es/gazeta/dias/1808/11/22/pdfs/GMD-C-1808-146.pdf","Abrir suplemento")</f>
        <v>Abrir suplemento</v>
      </c>
    </row>
    <row r="246" spans="1:5">
      <c r="A246" s="21" t="s">
        <v>428</v>
      </c>
      <c r="B246" s="18" t="s">
        <v>427</v>
      </c>
      <c r="C246" s="24" t="s">
        <v>19597</v>
      </c>
      <c r="D246" s="24">
        <v>66</v>
      </c>
      <c r="E246" s="27" t="str">
        <f>HYPERLINK("https://www.boe.es/gazeta/dias/1808/11/22/pdfs/GMD-D-1808-146.pdf","Abrir suplemento")</f>
        <v>Abrir suplemento</v>
      </c>
    </row>
    <row r="247" spans="1:5">
      <c r="A247" s="21" t="s">
        <v>19749</v>
      </c>
      <c r="B247" s="18" t="s">
        <v>427</v>
      </c>
      <c r="C247" s="24" t="s">
        <v>19750</v>
      </c>
      <c r="D247" s="24">
        <v>0</v>
      </c>
      <c r="E247" s="27" t="str">
        <f>HYPERLINK("https://www.boe.es/gazeta/dias/1808/11/22/pdfs/GMS-1808-51.pdf","Abrir fascículo")</f>
        <v>Abrir fascículo</v>
      </c>
    </row>
    <row r="248" spans="1:5">
      <c r="A248" s="21" t="s">
        <v>559</v>
      </c>
      <c r="B248" s="18" t="s">
        <v>558</v>
      </c>
      <c r="C248" s="24" t="s">
        <v>19751</v>
      </c>
      <c r="D248" s="24">
        <v>99</v>
      </c>
      <c r="E248" s="27" t="str">
        <f>HYPERLINK("https://www.boe.es/gazeta/dias/1808/11/25/pdfs/GMD-1808-147.pdf","Abrir fascículo")</f>
        <v>Abrir fascículo</v>
      </c>
    </row>
    <row r="249" spans="1:5">
      <c r="A249" s="21" t="s">
        <v>1310</v>
      </c>
      <c r="B249" s="18" t="s">
        <v>558</v>
      </c>
      <c r="C249" s="24" t="s">
        <v>19752</v>
      </c>
      <c r="D249" s="24">
        <v>5</v>
      </c>
      <c r="E249" s="27" t="str">
        <f>HYPERLINK("https://www.boe.es/gazeta/dias/1808/11/25/pdfs/GMD-C-1808-147.pdf","Abrir suplemento")</f>
        <v>Abrir suplemento</v>
      </c>
    </row>
    <row r="250" spans="1:5">
      <c r="A250" s="21" t="s">
        <v>1495</v>
      </c>
      <c r="B250" s="18" t="s">
        <v>558</v>
      </c>
      <c r="C250" s="24" t="s">
        <v>19753</v>
      </c>
      <c r="D250" s="24">
        <v>5</v>
      </c>
      <c r="E250" s="27" t="str">
        <f>HYPERLINK("https://www.boe.es/gazeta/dias/1808/11/25/pdfs/GMD-D-1808-147.pdf","Abrir suplemento")</f>
        <v>Abrir suplemento</v>
      </c>
    </row>
    <row r="251" spans="1:5">
      <c r="A251" s="21" t="s">
        <v>758</v>
      </c>
      <c r="B251" s="18" t="s">
        <v>558</v>
      </c>
      <c r="C251" s="24" t="s">
        <v>19597</v>
      </c>
      <c r="D251" s="24">
        <v>88</v>
      </c>
      <c r="E251" s="27" t="str">
        <f>HYPERLINK("https://www.boe.es/gazeta/dias/1808/11/25/pdfs/GMD-E-1808-147.pdf","Abrir anexo")</f>
        <v>Abrir anexo</v>
      </c>
    </row>
    <row r="252" spans="1:5">
      <c r="A252" s="21" t="s">
        <v>3837</v>
      </c>
      <c r="B252" s="18" t="s">
        <v>558</v>
      </c>
      <c r="C252" s="24" t="s">
        <v>19568</v>
      </c>
      <c r="D252" s="24">
        <v>5</v>
      </c>
      <c r="E252" s="27" t="str">
        <f>HYPERLINK("https://www.boe.es/gazeta/dias/1808/11/25/pdfs/GMS-1808-52.pdf","Abrir fascículo")</f>
        <v>Abrir fascículo</v>
      </c>
    </row>
    <row r="253" spans="1:5">
      <c r="A253" s="21" t="s">
        <v>2256</v>
      </c>
      <c r="B253" s="18" t="s">
        <v>264</v>
      </c>
      <c r="C253" s="24" t="s">
        <v>19754</v>
      </c>
      <c r="D253" s="24">
        <v>20</v>
      </c>
      <c r="E253" s="27" t="str">
        <f>HYPERLINK("https://www.boe.es/gazeta/dias/1808/11/29/pdfs/GMD-1808-148.pdf","Abrir fascículo")</f>
        <v>Abrir fascículo</v>
      </c>
    </row>
    <row r="254" spans="1:5">
      <c r="A254" s="21" t="s">
        <v>318</v>
      </c>
      <c r="B254" s="18" t="s">
        <v>264</v>
      </c>
      <c r="C254" s="24" t="s">
        <v>19597</v>
      </c>
      <c r="D254" s="24">
        <v>63</v>
      </c>
      <c r="E254" s="27" t="str">
        <f>HYPERLINK("https://www.boe.es/gazeta/dias/1808/11/29/pdfs/GMD-C-1808-148.pdf","Abrir suplemento")</f>
        <v>Abrir suplemento</v>
      </c>
    </row>
    <row r="255" spans="1:5">
      <c r="A255" s="21" t="s">
        <v>265</v>
      </c>
      <c r="B255" s="18" t="s">
        <v>264</v>
      </c>
      <c r="C255" s="24" t="s">
        <v>19569</v>
      </c>
      <c r="D255" s="24">
        <v>6</v>
      </c>
      <c r="E255" s="27" t="str">
        <f>HYPERLINK("https://www.boe.es/gazeta/dias/1808/11/29/pdfs/GMS-1808-53.pdf","Abrir fascículo")</f>
        <v>Abrir fascículo</v>
      </c>
    </row>
    <row r="256" spans="1:5">
      <c r="A256" s="21" t="s">
        <v>4338</v>
      </c>
      <c r="B256" s="18" t="s">
        <v>4337</v>
      </c>
      <c r="C256" s="24" t="s">
        <v>19755</v>
      </c>
      <c r="D256" s="24">
        <v>6</v>
      </c>
      <c r="E256" s="27" t="str">
        <f>HYPERLINK("https://www.boe.es/gazeta/dias/1808/11/30/pdfs/GMD-1808-149E.pdf","Abrir extraordinaria")</f>
        <v>Abrir extraordinaria</v>
      </c>
    </row>
    <row r="257" spans="1:5">
      <c r="A257" s="21" t="s">
        <v>2936</v>
      </c>
      <c r="B257" s="18" t="s">
        <v>2935</v>
      </c>
      <c r="C257" s="24" t="s">
        <v>19570</v>
      </c>
      <c r="D257" s="24">
        <v>11</v>
      </c>
      <c r="E257" s="27" t="str">
        <f>HYPERLINK("https://www.boe.es/gazeta/dias/1808/12/02/pdfs/GMS-1808-54.pdf","Abrir fascículo")</f>
        <v>Abrir fascículo</v>
      </c>
    </row>
    <row r="258" spans="1:5">
      <c r="A258" s="21" t="s">
        <v>19756</v>
      </c>
      <c r="B258" s="18" t="s">
        <v>7340</v>
      </c>
      <c r="C258" s="24" t="s">
        <v>19757</v>
      </c>
      <c r="D258" s="24">
        <v>0</v>
      </c>
      <c r="E258" s="27" t="str">
        <f>HYPERLINK("https://www.boe.es/gazeta/dias/1808/12/06/pdfs/GMD-1808-150E.pdf","Abrir extraordinaria")</f>
        <v>Abrir extraordinaria</v>
      </c>
    </row>
    <row r="259" spans="1:5">
      <c r="A259" s="21" t="s">
        <v>7341</v>
      </c>
      <c r="B259" s="18" t="s">
        <v>7340</v>
      </c>
      <c r="C259" s="24" t="s">
        <v>19571</v>
      </c>
      <c r="D259" s="24">
        <v>3</v>
      </c>
      <c r="E259" s="27" t="str">
        <f>HYPERLINK("https://www.boe.es/gazeta/dias/1808/12/06/pdfs/GMS-1808-55.pdf","Abrir fascículo")</f>
        <v>Abrir fascículo</v>
      </c>
    </row>
    <row r="260" spans="1:5">
      <c r="A260" s="21" t="s">
        <v>8478</v>
      </c>
      <c r="B260" s="18" t="s">
        <v>8477</v>
      </c>
      <c r="C260" s="24" t="s">
        <v>19572</v>
      </c>
      <c r="D260" s="24">
        <v>8</v>
      </c>
      <c r="E260" s="27" t="str">
        <f>HYPERLINK("https://www.boe.es/gazeta/dias/1808/12/09/pdfs/GMS-1808-56.pdf","Abrir fascículo")</f>
        <v>Abrir fascículo</v>
      </c>
    </row>
    <row r="261" spans="1:5">
      <c r="A261" s="21" t="s">
        <v>2888</v>
      </c>
      <c r="B261" s="18" t="s">
        <v>2887</v>
      </c>
      <c r="C261" s="24" t="s">
        <v>19758</v>
      </c>
      <c r="D261" s="24">
        <v>8</v>
      </c>
      <c r="E261" s="27" t="str">
        <f>HYPERLINK("https://www.boe.es/gazeta/dias/1808/12/11/pdfs/GMD-1808-151E.pdf","Abrir extraordinaria")</f>
        <v>Abrir extraordinaria</v>
      </c>
    </row>
    <row r="262" spans="1:5">
      <c r="A262" s="21" t="s">
        <v>6655</v>
      </c>
      <c r="B262" s="18" t="s">
        <v>6654</v>
      </c>
      <c r="C262" s="24" t="s">
        <v>19759</v>
      </c>
      <c r="D262" s="24">
        <v>2</v>
      </c>
      <c r="E262" s="27" t="str">
        <f>HYPERLINK("https://www.boe.es/gazeta/dias/1808/12/12/pdfs/GMD-1808-152.pdf","Abrir fascículo")</f>
        <v>Abrir fascículo</v>
      </c>
    </row>
    <row r="263" spans="1:5">
      <c r="A263" s="21" t="s">
        <v>8675</v>
      </c>
      <c r="B263" s="18" t="s">
        <v>6654</v>
      </c>
      <c r="C263" s="24" t="s">
        <v>19760</v>
      </c>
      <c r="D263" s="24">
        <v>3</v>
      </c>
      <c r="E263" s="27" t="str">
        <f>HYPERLINK("https://www.boe.es/gazeta/dias/1808/12/12/pdfs/GMD-C-1808-152.pdf","Abrir suplemento")</f>
        <v>Abrir suplemento</v>
      </c>
    </row>
    <row r="264" spans="1:5">
      <c r="A264" s="21" t="s">
        <v>7857</v>
      </c>
      <c r="B264" s="18" t="s">
        <v>376</v>
      </c>
      <c r="C264" s="24" t="s">
        <v>19761</v>
      </c>
      <c r="D264" s="24">
        <v>1</v>
      </c>
      <c r="E264" s="27" t="str">
        <f>HYPERLINK("https://www.boe.es/gazeta/dias/1808/12/13/pdfs/GMD-1808-153.pdf","Abrir fascículo")</f>
        <v>Abrir fascículo</v>
      </c>
    </row>
    <row r="265" spans="1:5">
      <c r="A265" s="21" t="s">
        <v>19762</v>
      </c>
      <c r="B265" s="18" t="s">
        <v>376</v>
      </c>
      <c r="C265" s="24" t="s">
        <v>19763</v>
      </c>
      <c r="D265" s="24">
        <v>0</v>
      </c>
      <c r="E265" s="27" t="str">
        <f>HYPERLINK("https://www.boe.es/gazeta/dias/1808/12/13/pdfs/GMD-C-1808-153.pdf","Abrir suplemento")</f>
        <v>Abrir suplemento</v>
      </c>
    </row>
    <row r="266" spans="1:5">
      <c r="A266" s="21" t="s">
        <v>377</v>
      </c>
      <c r="B266" s="18" t="s">
        <v>376</v>
      </c>
      <c r="C266" s="24" t="s">
        <v>19764</v>
      </c>
      <c r="D266" s="24">
        <v>4</v>
      </c>
      <c r="E266" s="27" t="str">
        <f>HYPERLINK("https://www.boe.es/gazeta/dias/1808/12/13/pdfs/GMS-1808-57.pdf","Abrir fascículo")</f>
        <v>Abrir fascículo</v>
      </c>
    </row>
    <row r="267" spans="1:5">
      <c r="A267" s="21" t="s">
        <v>1867</v>
      </c>
      <c r="B267" s="18" t="s">
        <v>1866</v>
      </c>
      <c r="C267" s="24" t="s">
        <v>19765</v>
      </c>
      <c r="D267" s="24">
        <v>7</v>
      </c>
      <c r="E267" s="27" t="str">
        <f>HYPERLINK("https://www.boe.es/gazeta/dias/1808/12/14/pdfs/GMD-1808-154.pdf","Abrir fascículo")</f>
        <v>Abrir fascículo</v>
      </c>
    </row>
    <row r="268" spans="1:5">
      <c r="A268" s="21" t="s">
        <v>8714</v>
      </c>
      <c r="B268" s="18" t="s">
        <v>1866</v>
      </c>
      <c r="C268" s="24" t="s">
        <v>19766</v>
      </c>
      <c r="D268" s="24">
        <v>2</v>
      </c>
      <c r="E268" s="27" t="str">
        <f>HYPERLINK("https://www.boe.es/gazeta/dias/1808/12/14/pdfs/GMD-C-1808-154.pdf","Abrir suplemento")</f>
        <v>Abrir suplemento</v>
      </c>
    </row>
    <row r="269" spans="1:5">
      <c r="A269" s="21" t="s">
        <v>131</v>
      </c>
      <c r="B269" s="18" t="s">
        <v>130</v>
      </c>
      <c r="C269" s="24" t="s">
        <v>19767</v>
      </c>
      <c r="D269" s="24">
        <v>190</v>
      </c>
      <c r="E269" s="27" t="str">
        <f>HYPERLINK("https://www.boe.es/gazeta/dias/1808/12/15/pdfs/GMD-1808-155.pdf","Abrir fascículo")</f>
        <v>Abrir fascículo</v>
      </c>
    </row>
    <row r="270" spans="1:5">
      <c r="A270" s="21" t="s">
        <v>19768</v>
      </c>
      <c r="B270" s="18" t="s">
        <v>130</v>
      </c>
      <c r="C270" s="24" t="s">
        <v>19769</v>
      </c>
      <c r="D270" s="24">
        <v>0</v>
      </c>
      <c r="E270" s="27" t="str">
        <f>HYPERLINK("https://www.boe.es/gazeta/dias/1808/12/15/pdfs/GMD-C-1808-155.pdf","Abrir suplemento")</f>
        <v>Abrir suplemento</v>
      </c>
    </row>
    <row r="271" spans="1:5">
      <c r="A271" s="21" t="s">
        <v>720</v>
      </c>
      <c r="B271" s="18" t="s">
        <v>719</v>
      </c>
      <c r="C271" s="24" t="s">
        <v>19770</v>
      </c>
      <c r="D271" s="24">
        <v>68</v>
      </c>
      <c r="E271" s="27" t="str">
        <f>HYPERLINK("https://www.boe.es/gazeta/dias/1808/12/16/pdfs/GMD-1808-156.pdf","Abrir fascículo")</f>
        <v>Abrir fascículo</v>
      </c>
    </row>
    <row r="272" spans="1:5">
      <c r="A272" s="21" t="s">
        <v>19771</v>
      </c>
      <c r="B272" s="18" t="s">
        <v>719</v>
      </c>
      <c r="C272" s="24" t="s">
        <v>19772</v>
      </c>
      <c r="D272" s="24">
        <v>0</v>
      </c>
      <c r="E272" s="27" t="str">
        <f>HYPERLINK("https://www.boe.es/gazeta/dias/1808/12/16/pdfs/GMD-C-1808-156.pdf","Abrir suplemento")</f>
        <v>Abrir suplemento</v>
      </c>
    </row>
    <row r="273" spans="1:5">
      <c r="A273" s="21" t="s">
        <v>1377</v>
      </c>
      <c r="B273" s="18" t="s">
        <v>719</v>
      </c>
      <c r="C273" s="24" t="s">
        <v>19773</v>
      </c>
      <c r="D273" s="24">
        <v>4</v>
      </c>
      <c r="E273" s="27" t="str">
        <f>HYPERLINK("https://www.boe.es/gazeta/dias/1808/12/16/pdfs/GMS-1808-58.pdf","Abrir fascículo")</f>
        <v>Abrir fascículo</v>
      </c>
    </row>
    <row r="274" spans="1:5">
      <c r="A274" s="21" t="s">
        <v>1287</v>
      </c>
      <c r="B274" s="18" t="s">
        <v>1286</v>
      </c>
      <c r="C274" s="24" t="s">
        <v>19774</v>
      </c>
      <c r="D274" s="24">
        <v>25</v>
      </c>
      <c r="E274" s="27" t="str">
        <f>HYPERLINK("https://www.boe.es/gazeta/dias/1808/12/17/pdfs/GMD-1808-157.pdf","Abrir fascículo")</f>
        <v>Abrir fascículo</v>
      </c>
    </row>
    <row r="275" spans="1:5">
      <c r="A275" s="21" t="s">
        <v>19775</v>
      </c>
      <c r="B275" s="18" t="s">
        <v>1286</v>
      </c>
      <c r="C275" s="24" t="s">
        <v>19776</v>
      </c>
      <c r="D275" s="24">
        <v>0</v>
      </c>
      <c r="E275" s="27" t="str">
        <f>HYPERLINK("https://www.boe.es/gazeta/dias/1808/12/17/pdfs/GMD-C-1808-157.pdf","Abrir suplemento")</f>
        <v>Abrir suplemento</v>
      </c>
    </row>
    <row r="276" spans="1:5">
      <c r="A276" s="21" t="s">
        <v>2168</v>
      </c>
      <c r="B276" s="18" t="s">
        <v>2167</v>
      </c>
      <c r="C276" s="24" t="s">
        <v>19777</v>
      </c>
      <c r="D276" s="24">
        <v>1</v>
      </c>
      <c r="E276" s="27" t="str">
        <f>HYPERLINK("https://www.boe.es/gazeta/dias/1808/12/18/pdfs/GMD-1808-158.pdf","Abrir fascículo")</f>
        <v>Abrir fascículo</v>
      </c>
    </row>
    <row r="277" spans="1:5">
      <c r="A277" s="21" t="s">
        <v>3362</v>
      </c>
      <c r="B277" s="18" t="s">
        <v>3361</v>
      </c>
      <c r="C277" s="24" t="s">
        <v>19778</v>
      </c>
      <c r="D277" s="24">
        <v>5</v>
      </c>
      <c r="E277" s="27" t="str">
        <f>HYPERLINK("https://www.boe.es/gazeta/dias/1808/12/19/pdfs/GMD-1808-159.pdf","Abrir fascículo")</f>
        <v>Abrir fascículo</v>
      </c>
    </row>
    <row r="278" spans="1:5">
      <c r="A278" s="21" t="s">
        <v>3952</v>
      </c>
      <c r="B278" s="18" t="s">
        <v>3951</v>
      </c>
      <c r="C278" s="24" t="s">
        <v>19779</v>
      </c>
      <c r="D278" s="24">
        <v>5</v>
      </c>
      <c r="E278" s="27" t="str">
        <f>HYPERLINK("https://www.boe.es/gazeta/dias/1808/12/20/pdfs/GMD-1808-160.pdf","Abrir fascículo")</f>
        <v>Abrir fascículo</v>
      </c>
    </row>
    <row r="279" spans="1:5">
      <c r="A279" s="21" t="s">
        <v>4218</v>
      </c>
      <c r="B279" s="18" t="s">
        <v>3951</v>
      </c>
      <c r="C279" s="24" t="s">
        <v>19780</v>
      </c>
      <c r="D279" s="24">
        <v>7</v>
      </c>
      <c r="E279" s="27" t="str">
        <f>HYPERLINK("https://www.boe.es/gazeta/dias/1808/12/20/pdfs/GMS-1808-59.pdf","Abrir fascículo")</f>
        <v>Abrir fascículo</v>
      </c>
    </row>
    <row r="280" spans="1:5">
      <c r="A280" s="21" t="s">
        <v>3002</v>
      </c>
      <c r="B280" s="18" t="s">
        <v>3001</v>
      </c>
      <c r="C280" s="24" t="s">
        <v>19781</v>
      </c>
      <c r="D280" s="24">
        <v>8</v>
      </c>
      <c r="E280" s="27" t="str">
        <f>HYPERLINK("https://www.boe.es/gazeta/dias/1808/12/21/pdfs/GMD-1808-161.pdf","Abrir fascículo")</f>
        <v>Abrir fascículo</v>
      </c>
    </row>
    <row r="281" spans="1:5">
      <c r="A281" s="21" t="s">
        <v>1352</v>
      </c>
      <c r="B281" s="18" t="s">
        <v>1351</v>
      </c>
      <c r="C281" s="24" t="s">
        <v>19782</v>
      </c>
      <c r="D281" s="24">
        <v>7</v>
      </c>
      <c r="E281" s="27" t="str">
        <f>HYPERLINK("https://www.boe.es/gazeta/dias/1808/12/22/pdfs/GMD-1808-162.pdf","Abrir fascículo")</f>
        <v>Abrir fascículo</v>
      </c>
    </row>
    <row r="282" spans="1:5">
      <c r="A282" s="21" t="s">
        <v>2525</v>
      </c>
      <c r="B282" s="18" t="s">
        <v>2524</v>
      </c>
      <c r="C282" s="24" t="s">
        <v>19783</v>
      </c>
      <c r="D282" s="24">
        <v>2</v>
      </c>
      <c r="E282" s="27" t="str">
        <f>HYPERLINK("https://www.boe.es/gazeta/dias/1808/12/23/pdfs/GMD-1808-163.pdf","Abrir fascículo")</f>
        <v>Abrir fascículo</v>
      </c>
    </row>
    <row r="283" spans="1:5">
      <c r="A283" s="21" t="s">
        <v>4648</v>
      </c>
      <c r="B283" s="18" t="s">
        <v>2524</v>
      </c>
      <c r="C283" s="24" t="s">
        <v>19575</v>
      </c>
      <c r="D283" s="24">
        <v>9</v>
      </c>
      <c r="E283" s="27" t="str">
        <f>HYPERLINK("https://www.boe.es/gazeta/dias/1808/12/23/pdfs/GMS-1808-60.pdf","Abrir fascículo")</f>
        <v>Abrir fascículo</v>
      </c>
    </row>
    <row r="284" spans="1:5">
      <c r="A284" s="21" t="s">
        <v>1372</v>
      </c>
      <c r="B284" s="18" t="s">
        <v>1371</v>
      </c>
      <c r="C284" s="24" t="s">
        <v>19784</v>
      </c>
      <c r="D284" s="24">
        <v>9</v>
      </c>
      <c r="E284" s="27" t="str">
        <f>HYPERLINK("https://www.boe.es/gazeta/dias/1808/12/24/pdfs/GMD-1808-164.pdf","Abrir fascículo")</f>
        <v>Abrir fascículo</v>
      </c>
    </row>
    <row r="285" spans="1:5">
      <c r="A285" s="21" t="s">
        <v>3012</v>
      </c>
      <c r="B285" s="18" t="s">
        <v>3011</v>
      </c>
      <c r="C285" s="24" t="s">
        <v>19785</v>
      </c>
      <c r="D285" s="24">
        <v>3</v>
      </c>
      <c r="E285" s="27" t="str">
        <f>HYPERLINK("https://www.boe.es/gazeta/dias/1808/12/25/pdfs/GMD-1808-165.pdf","Abrir fascículo")</f>
        <v>Abrir fascículo</v>
      </c>
    </row>
    <row r="286" spans="1:5">
      <c r="A286" s="21" t="s">
        <v>232</v>
      </c>
      <c r="B286" s="18" t="s">
        <v>231</v>
      </c>
      <c r="C286" s="24" t="s">
        <v>19786</v>
      </c>
      <c r="D286" s="24">
        <v>1</v>
      </c>
      <c r="E286" s="27" t="str">
        <f>HYPERLINK("https://www.boe.es/gazeta/dias/1808/12/26/pdfs/GMD-1808-166.pdf","Abrir fascículo")</f>
        <v>Abrir fascículo</v>
      </c>
    </row>
    <row r="287" spans="1:5">
      <c r="A287" s="21" t="s">
        <v>19787</v>
      </c>
      <c r="B287" s="18" t="s">
        <v>431</v>
      </c>
      <c r="C287" s="24" t="s">
        <v>19788</v>
      </c>
      <c r="D287" s="24">
        <v>0</v>
      </c>
      <c r="E287" s="27" t="str">
        <f>HYPERLINK("https://www.boe.es/gazeta/dias/1808/12/27/pdfs/GMD-1808-167.pdf","Abrir fascículo")</f>
        <v>Abrir fascículo</v>
      </c>
    </row>
    <row r="288" spans="1:5">
      <c r="A288" s="21" t="s">
        <v>432</v>
      </c>
      <c r="B288" s="18" t="s">
        <v>431</v>
      </c>
      <c r="C288" s="24" t="s">
        <v>19789</v>
      </c>
      <c r="D288" s="24">
        <v>11</v>
      </c>
      <c r="E288" s="27" t="str">
        <f>HYPERLINK("https://www.boe.es/gazeta/dias/1808/12/27/pdfs/GMS-1808-61.pdf","Abrir fascículo")</f>
        <v>Abrir fascículo</v>
      </c>
    </row>
    <row r="289" spans="1:5">
      <c r="A289" s="21" t="s">
        <v>15631</v>
      </c>
      <c r="B289" s="18" t="s">
        <v>15630</v>
      </c>
      <c r="C289" s="24" t="s">
        <v>19790</v>
      </c>
      <c r="D289" s="24">
        <v>1</v>
      </c>
      <c r="E289" s="27" t="str">
        <f>HYPERLINK("https://www.boe.es/gazeta/dias/1808/12/28/pdfs/GMD-1808-168.pdf","Abrir fascículo")</f>
        <v>Abrir fascículo</v>
      </c>
    </row>
    <row r="290" spans="1:5">
      <c r="A290" s="21" t="s">
        <v>2317</v>
      </c>
      <c r="B290" s="18" t="s">
        <v>2316</v>
      </c>
      <c r="C290" s="24" t="s">
        <v>19791</v>
      </c>
      <c r="D290" s="24">
        <v>4</v>
      </c>
      <c r="E290" s="27" t="str">
        <f>HYPERLINK("https://www.boe.es/gazeta/dias/1808/12/29/pdfs/GMD-1808-169.pdf","Abrir fascículo")</f>
        <v>Abrir fascículo</v>
      </c>
    </row>
    <row r="291" spans="1:5">
      <c r="A291" s="21" t="s">
        <v>19792</v>
      </c>
      <c r="B291" s="18" t="s">
        <v>2316</v>
      </c>
      <c r="C291" s="24" t="s">
        <v>19793</v>
      </c>
      <c r="D291" s="24">
        <v>0</v>
      </c>
      <c r="E291" s="27" t="str">
        <f>HYPERLINK("https://www.boe.es/gazeta/dias/1808/12/29/pdfs/GMD-C-1808-169.pdf","Abrir suplemento")</f>
        <v>Abrir suplemento</v>
      </c>
    </row>
    <row r="292" spans="1:5">
      <c r="A292" s="21" t="s">
        <v>235</v>
      </c>
      <c r="B292" s="18" t="s">
        <v>234</v>
      </c>
      <c r="C292" s="24" t="s">
        <v>19794</v>
      </c>
      <c r="D292" s="24">
        <v>1</v>
      </c>
      <c r="E292" s="27" t="str">
        <f>HYPERLINK("https://www.boe.es/gazeta/dias/1808/12/30/pdfs/GMD-1808-170.pdf","Abrir fascículo")</f>
        <v>Abrir fascículo</v>
      </c>
    </row>
    <row r="293" spans="1:5">
      <c r="A293" s="21" t="s">
        <v>19795</v>
      </c>
      <c r="B293" s="18" t="s">
        <v>234</v>
      </c>
      <c r="C293" s="24" t="s">
        <v>19597</v>
      </c>
      <c r="D293" s="24">
        <v>0</v>
      </c>
      <c r="E293" s="27" t="str">
        <f>HYPERLINK("https://www.boe.es/gazeta/dias/1808/12/30/pdfs/GMD-C-1808-170.pdf","Abrir suplemento")</f>
        <v>Abrir suplemento</v>
      </c>
    </row>
    <row r="294" spans="1:5">
      <c r="A294" s="21" t="s">
        <v>1871</v>
      </c>
      <c r="B294" s="18" t="s">
        <v>234</v>
      </c>
      <c r="C294" s="24" t="s">
        <v>19796</v>
      </c>
      <c r="D294" s="24">
        <v>5</v>
      </c>
      <c r="E294" s="27" t="str">
        <f>HYPERLINK("https://www.boe.es/gazeta/dias/1808/12/30/pdfs/GMS-1808-62.pdf","Abrir fascículo")</f>
        <v>Abrir fascículo</v>
      </c>
    </row>
    <row r="295" spans="1:5">
      <c r="A295" s="21" t="s">
        <v>249</v>
      </c>
      <c r="B295" s="18" t="s">
        <v>248</v>
      </c>
      <c r="C295" s="24" t="s">
        <v>19797</v>
      </c>
      <c r="D295" s="24">
        <v>2</v>
      </c>
      <c r="E295" s="27" t="str">
        <f>HYPERLINK("https://www.boe.es/gazeta/dias/1808/12/31/pdfs/GMD-1808-171.pdf","Abrir fascículo")</f>
        <v>Abrir fascículo</v>
      </c>
    </row>
    <row r="296" spans="1:5">
      <c r="A296" s="22" t="s">
        <v>19798</v>
      </c>
      <c r="B296" s="19" t="s">
        <v>248</v>
      </c>
      <c r="C296" s="25" t="s">
        <v>19799</v>
      </c>
      <c r="D296" s="25">
        <v>0</v>
      </c>
      <c r="E296" s="28" t="str">
        <f>HYPERLINK("https://www.boe.es/gazeta/dias/1808/12/31/pdfs/GMD-C-1808-171.pdf","Abrir suplemento")</f>
        <v>Abrir suplemento</v>
      </c>
    </row>
    <row r="298" spans="1:5" ht="48" customHeight="1">
      <c r="A298" s="29" t="s">
        <v>19800</v>
      </c>
      <c r="B298" s="34" t="s">
        <v>19801</v>
      </c>
      <c r="C298" s="34"/>
      <c r="D298" s="34"/>
      <c r="E298" s="34"/>
    </row>
    <row r="299" spans="1:5" ht="48" customHeight="1">
      <c r="A299" s="29" t="s">
        <v>19802</v>
      </c>
      <c r="B299" s="34" t="s">
        <v>19803</v>
      </c>
      <c r="C299" s="34"/>
      <c r="D299" s="34"/>
      <c r="E299" s="34"/>
    </row>
    <row r="300" spans="1:5" ht="48" customHeight="1">
      <c r="A300" s="29" t="s">
        <v>19804</v>
      </c>
      <c r="B300" s="34" t="s">
        <v>19805</v>
      </c>
      <c r="C300" s="34"/>
      <c r="D300" s="34"/>
      <c r="E300" s="34"/>
    </row>
    <row r="301" spans="1:5" ht="48" customHeight="1">
      <c r="A301" s="29" t="s">
        <v>19806</v>
      </c>
      <c r="B301" s="34" t="s">
        <v>19807</v>
      </c>
      <c r="C301" s="34"/>
      <c r="D301" s="34"/>
      <c r="E301" s="34"/>
    </row>
    <row r="302" spans="1:5" ht="48" customHeight="1">
      <c r="A302" s="29" t="s">
        <v>19808</v>
      </c>
      <c r="B302" s="34" t="s">
        <v>19809</v>
      </c>
      <c r="C302" s="34"/>
      <c r="D302" s="34"/>
      <c r="E302" s="34"/>
    </row>
    <row r="303" spans="1:5" ht="48" customHeight="1">
      <c r="A303" s="29" t="s">
        <v>19810</v>
      </c>
      <c r="B303" s="34" t="s">
        <v>19811</v>
      </c>
      <c r="C303" s="34"/>
      <c r="D303" s="34"/>
      <c r="E303" s="34"/>
    </row>
    <row r="304" spans="1:5" ht="48" customHeight="1">
      <c r="A304" s="29" t="s">
        <v>19812</v>
      </c>
      <c r="B304" s="34" t="s">
        <v>19813</v>
      </c>
      <c r="C304" s="34"/>
      <c r="D304" s="34"/>
      <c r="E304" s="34"/>
    </row>
    <row r="305" spans="1:5" ht="48" customHeight="1">
      <c r="A305" s="29" t="s">
        <v>19814</v>
      </c>
      <c r="B305" s="34" t="s">
        <v>19815</v>
      </c>
      <c r="C305" s="34"/>
      <c r="D305" s="34"/>
      <c r="E305" s="34"/>
    </row>
    <row r="306" spans="1:5" ht="48" customHeight="1">
      <c r="A306" s="29" t="s">
        <v>19816</v>
      </c>
      <c r="B306" s="34" t="s">
        <v>19817</v>
      </c>
      <c r="C306" s="34"/>
      <c r="D306" s="34"/>
      <c r="E306" s="34"/>
    </row>
    <row r="307" spans="1:5" ht="48" customHeight="1">
      <c r="A307" s="29" t="s">
        <v>19818</v>
      </c>
      <c r="B307" s="34" t="s">
        <v>19819</v>
      </c>
      <c r="C307" s="34"/>
      <c r="D307" s="34"/>
      <c r="E307" s="34"/>
    </row>
    <row r="308" spans="1:5" ht="48" customHeight="1">
      <c r="A308" s="29" t="s">
        <v>19820</v>
      </c>
      <c r="B308" s="34" t="s">
        <v>19821</v>
      </c>
      <c r="C308" s="34"/>
      <c r="D308" s="34"/>
      <c r="E308" s="34"/>
    </row>
  </sheetData>
  <mergeCells count="12">
    <mergeCell ref="B307:E307"/>
    <mergeCell ref="B308:E308"/>
    <mergeCell ref="B302:E302"/>
    <mergeCell ref="B303:E303"/>
    <mergeCell ref="B304:E304"/>
    <mergeCell ref="B305:E305"/>
    <mergeCell ref="B306:E306"/>
    <mergeCell ref="A1:E1"/>
    <mergeCell ref="B298:E298"/>
    <mergeCell ref="B299:E299"/>
    <mergeCell ref="B300:E300"/>
    <mergeCell ref="B301:E30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2026-09-26T10:04:27Z</dcterms:created>
  <dcterms:modified xsi:type="dcterms:W3CDTF">2026-09-26T10:04:28Z</dcterms:modified>
</cp:coreProperties>
</file>